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roy\Desktop\Document Manager\ORPC\IRM\2019\Interrogatories\"/>
    </mc:Choice>
  </mc:AlternateContent>
  <bookViews>
    <workbookView xWindow="0" yWindow="0" windowWidth="28800" windowHeight="12135"/>
  </bookViews>
  <sheets>
    <sheet name="Appendix A - Low Voltage" sheetId="1" r:id="rId1"/>
    <sheet name="Appendix B - Account 1589" sheetId="12" r:id="rId2"/>
    <sheet name="Appendix C - Summary" sheetId="10" r:id="rId3"/>
    <sheet name="Appendix C - 1 - Account 1588" sheetId="3" r:id="rId4"/>
    <sheet name="Appendix C - 2 - Account 1588" sheetId="9" r:id="rId5"/>
    <sheet name="Appendix D - Wholesale Market" sheetId="4" r:id="rId6"/>
    <sheet name="Appendix E - Network" sheetId="7" r:id="rId7"/>
    <sheet name="Appendix F - Transmission" sheetId="8" r:id="rId8"/>
    <sheet name="Appendix G - Embedded Generatio" sheetId="2" r:id="rId9"/>
    <sheet name="Appendix H - Unbilled GA - 2017" sheetId="13" r:id="rId10"/>
    <sheet name="Appendix I - Unbilled GA - 2016" sheetId="15" r:id="rId11"/>
    <sheet name="Appendix J - Unbilled GA - 2015" sheetId="14" r:id="rId12"/>
    <sheet name="Appendix K - Unbilled GA - 2014" sheetId="16" r:id="rId13"/>
  </sheets>
  <definedNames>
    <definedName name="_xlnm._FilterDatabase" localSheetId="11" hidden="1">'Appendix J - Unbilled GA - 2015'!$D$1:$D$846</definedName>
    <definedName name="_xlnm._FilterDatabase" localSheetId="12" hidden="1">'Appendix K - Unbilled GA - 2014'!$D$1:$D$265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 i="16" l="1"/>
  <c r="L71" i="16"/>
  <c r="L60" i="16"/>
  <c r="L68" i="16"/>
  <c r="L23" i="16"/>
  <c r="L24" i="16"/>
  <c r="L25" i="16"/>
  <c r="L26" i="16"/>
  <c r="L27" i="16"/>
  <c r="L28" i="16"/>
  <c r="L29"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6" i="16"/>
  <c r="L57" i="16"/>
  <c r="L58" i="16"/>
  <c r="L59" i="16"/>
  <c r="L61" i="16"/>
  <c r="L62" i="16"/>
  <c r="L63" i="16"/>
  <c r="L64" i="16"/>
  <c r="L65" i="16"/>
  <c r="L66" i="16"/>
  <c r="L22" i="16"/>
  <c r="K23" i="16"/>
  <c r="K24" i="16"/>
  <c r="K25" i="16"/>
  <c r="K26" i="16"/>
  <c r="K27" i="16"/>
  <c r="K28" i="16"/>
  <c r="K29" i="16"/>
  <c r="K30" i="16"/>
  <c r="K31" i="16"/>
  <c r="K32" i="16"/>
  <c r="K33" i="16"/>
  <c r="K34" i="16"/>
  <c r="K35" i="16"/>
  <c r="K36" i="16"/>
  <c r="K37" i="16"/>
  <c r="K38" i="16"/>
  <c r="K39" i="16"/>
  <c r="K40" i="16"/>
  <c r="K41" i="16"/>
  <c r="K42" i="16"/>
  <c r="K43" i="16"/>
  <c r="K44" i="16"/>
  <c r="K45" i="16"/>
  <c r="K46" i="16"/>
  <c r="K47" i="16"/>
  <c r="K48" i="16"/>
  <c r="K49" i="16"/>
  <c r="K50" i="16"/>
  <c r="K51" i="16"/>
  <c r="K52" i="16"/>
  <c r="K53" i="16"/>
  <c r="K54" i="16"/>
  <c r="K55" i="16"/>
  <c r="K56" i="16"/>
  <c r="K57" i="16"/>
  <c r="K58" i="16"/>
  <c r="K59" i="16"/>
  <c r="K60" i="16"/>
  <c r="K61" i="16"/>
  <c r="K62" i="16"/>
  <c r="K63" i="16"/>
  <c r="K64" i="16"/>
  <c r="K65" i="16"/>
  <c r="K66" i="16"/>
  <c r="K22" i="16"/>
  <c r="K68" i="16" s="1"/>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59" i="16"/>
  <c r="J60" i="16"/>
  <c r="J61" i="16"/>
  <c r="J62" i="16"/>
  <c r="J63" i="16"/>
  <c r="J64" i="16"/>
  <c r="J65" i="16"/>
  <c r="J66" i="16"/>
  <c r="J22" i="16"/>
  <c r="U38" i="14"/>
  <c r="U39" i="14"/>
  <c r="U40" i="14"/>
  <c r="U41" i="14"/>
  <c r="U42" i="14"/>
  <c r="U43" i="14"/>
  <c r="U44" i="14"/>
  <c r="U45" i="14"/>
  <c r="U46" i="14"/>
  <c r="U47" i="14"/>
  <c r="U48" i="14"/>
  <c r="U49" i="14"/>
  <c r="U50" i="14"/>
  <c r="U51" i="14"/>
  <c r="U52" i="14"/>
  <c r="U53" i="14"/>
  <c r="U54" i="14"/>
  <c r="U55" i="14"/>
  <c r="U37" i="14"/>
  <c r="U24" i="14"/>
  <c r="U25" i="14"/>
  <c r="U26" i="14"/>
  <c r="U27" i="14"/>
  <c r="U28" i="14"/>
  <c r="U29" i="14"/>
  <c r="U30" i="14"/>
  <c r="U31" i="14"/>
  <c r="U32" i="14"/>
  <c r="U33" i="14"/>
  <c r="U34" i="14"/>
  <c r="U35" i="14"/>
  <c r="U23" i="14"/>
  <c r="T23" i="14"/>
  <c r="C66" i="16"/>
  <c r="C22" i="16"/>
  <c r="C23" i="16"/>
  <c r="C24" i="16"/>
  <c r="C25" i="16"/>
  <c r="C26" i="16"/>
  <c r="C27" i="16"/>
  <c r="C28" i="16"/>
  <c r="C29" i="16"/>
  <c r="C30" i="16"/>
  <c r="C31" i="16"/>
  <c r="C32" i="16"/>
  <c r="C33" i="16"/>
  <c r="C34" i="16"/>
  <c r="C35" i="16"/>
  <c r="C36" i="16"/>
  <c r="C37" i="16"/>
  <c r="C38" i="16"/>
  <c r="C43" i="16"/>
  <c r="C56" i="16"/>
  <c r="C57" i="16"/>
  <c r="J69" i="16"/>
  <c r="K69" i="16"/>
  <c r="K71" i="16" l="1"/>
  <c r="J68" i="16"/>
  <c r="J71" i="16" s="1"/>
  <c r="L73" i="16" l="1"/>
  <c r="L76" i="16" s="1"/>
  <c r="C65" i="16"/>
  <c r="C64" i="16"/>
  <c r="C63" i="16"/>
  <c r="C62" i="16"/>
  <c r="C61" i="16"/>
  <c r="C60" i="16"/>
  <c r="C59" i="16"/>
  <c r="C58" i="16"/>
  <c r="C55" i="16"/>
  <c r="C54" i="16"/>
  <c r="C53" i="16"/>
  <c r="C52" i="16"/>
  <c r="C51" i="16"/>
  <c r="C50" i="16"/>
  <c r="C49" i="16"/>
  <c r="C48" i="16"/>
  <c r="C47" i="16"/>
  <c r="C46" i="16"/>
  <c r="C45" i="16"/>
  <c r="C44" i="16"/>
  <c r="C42" i="16"/>
  <c r="C41" i="16"/>
  <c r="C40" i="16"/>
  <c r="C39" i="16"/>
  <c r="R78" i="14" l="1"/>
  <c r="AE549" i="15" l="1"/>
  <c r="AD549" i="15"/>
  <c r="AC549" i="15"/>
  <c r="AB549" i="15"/>
  <c r="AA549" i="15"/>
  <c r="Z549" i="15"/>
  <c r="Y549" i="15"/>
  <c r="X549" i="15"/>
  <c r="W549" i="15"/>
  <c r="V549" i="15"/>
  <c r="U549" i="15"/>
  <c r="T549" i="15"/>
  <c r="Q540" i="15"/>
  <c r="P540" i="15"/>
  <c r="O540" i="15"/>
  <c r="N540" i="15"/>
  <c r="M540" i="15"/>
  <c r="L540" i="15"/>
  <c r="K540" i="15"/>
  <c r="J540" i="15"/>
  <c r="I540" i="15"/>
  <c r="H540" i="15"/>
  <c r="G540" i="15"/>
  <c r="F540" i="15"/>
  <c r="C538" i="15"/>
  <c r="C537" i="15"/>
  <c r="C536" i="15"/>
  <c r="T536" i="15" s="1"/>
  <c r="C535" i="15"/>
  <c r="C534" i="15"/>
  <c r="C533" i="15"/>
  <c r="C532" i="15"/>
  <c r="C531" i="15"/>
  <c r="AD531" i="15" s="1"/>
  <c r="C530" i="15"/>
  <c r="C529" i="15"/>
  <c r="C528" i="15"/>
  <c r="T528" i="15" s="1"/>
  <c r="C527" i="15"/>
  <c r="C526" i="15"/>
  <c r="U526" i="15" s="1"/>
  <c r="C525" i="15"/>
  <c r="T525" i="15" s="1"/>
  <c r="C524" i="15"/>
  <c r="AA524" i="15" s="1"/>
  <c r="C523" i="15"/>
  <c r="C522" i="15"/>
  <c r="C521" i="15"/>
  <c r="C520" i="15"/>
  <c r="T520" i="15" s="1"/>
  <c r="C519" i="15"/>
  <c r="C518" i="15"/>
  <c r="Z518" i="15" s="1"/>
  <c r="C517" i="15"/>
  <c r="AD517" i="15" s="1"/>
  <c r="C516" i="15"/>
  <c r="AB516" i="15" s="1"/>
  <c r="C515" i="15"/>
  <c r="Y515" i="15" s="1"/>
  <c r="C514" i="15"/>
  <c r="C513" i="15"/>
  <c r="U513" i="15" s="1"/>
  <c r="C512" i="15"/>
  <c r="Y512" i="15" s="1"/>
  <c r="C511" i="15"/>
  <c r="C510" i="15"/>
  <c r="C509" i="15"/>
  <c r="W509" i="15" s="1"/>
  <c r="C508" i="15"/>
  <c r="C507" i="15"/>
  <c r="Y507" i="15" s="1"/>
  <c r="C506" i="15"/>
  <c r="C505" i="15"/>
  <c r="U505" i="15" s="1"/>
  <c r="C504" i="15"/>
  <c r="C503" i="15"/>
  <c r="AD502" i="15"/>
  <c r="C502" i="15"/>
  <c r="C501" i="15"/>
  <c r="X501" i="15" s="1"/>
  <c r="C500" i="15"/>
  <c r="AA500" i="15" s="1"/>
  <c r="AD499" i="15"/>
  <c r="C499" i="15"/>
  <c r="V499" i="15" s="1"/>
  <c r="C498" i="15"/>
  <c r="C497" i="15"/>
  <c r="Y497" i="15" s="1"/>
  <c r="C496" i="15"/>
  <c r="AE496" i="15" s="1"/>
  <c r="AD495" i="15"/>
  <c r="C495" i="15"/>
  <c r="AC495" i="15" s="1"/>
  <c r="C494" i="15"/>
  <c r="AE494" i="15" s="1"/>
  <c r="C493" i="15"/>
  <c r="C492" i="15"/>
  <c r="AE492" i="15" s="1"/>
  <c r="C491" i="15"/>
  <c r="Z491" i="15" s="1"/>
  <c r="C490" i="15"/>
  <c r="C489" i="15"/>
  <c r="Z489" i="15" s="1"/>
  <c r="C488" i="15"/>
  <c r="C487" i="15"/>
  <c r="C486" i="15"/>
  <c r="C485" i="15"/>
  <c r="C483" i="15"/>
  <c r="AB483" i="15" s="1"/>
  <c r="C482" i="15"/>
  <c r="C481" i="15"/>
  <c r="AA481" i="15" s="1"/>
  <c r="C480" i="15"/>
  <c r="AC480" i="15" s="1"/>
  <c r="C479" i="15"/>
  <c r="U479" i="15" s="1"/>
  <c r="C478" i="15"/>
  <c r="Y478" i="15" s="1"/>
  <c r="C477" i="15"/>
  <c r="C476" i="15"/>
  <c r="C475" i="15"/>
  <c r="C474" i="15"/>
  <c r="R474" i="15" s="1"/>
  <c r="C473" i="15"/>
  <c r="AE473" i="15" s="1"/>
  <c r="C472" i="15"/>
  <c r="C471" i="15"/>
  <c r="Y471" i="15" s="1"/>
  <c r="C470" i="15"/>
  <c r="Y470" i="15" s="1"/>
  <c r="C469" i="15"/>
  <c r="X469" i="15" s="1"/>
  <c r="C468" i="15"/>
  <c r="AC468" i="15" s="1"/>
  <c r="C467" i="15"/>
  <c r="C466" i="15"/>
  <c r="R466" i="15" s="1"/>
  <c r="C465" i="15"/>
  <c r="AC464" i="15"/>
  <c r="C464" i="15"/>
  <c r="Y464" i="15" s="1"/>
  <c r="C463" i="15"/>
  <c r="C462" i="15"/>
  <c r="AB462" i="15" s="1"/>
  <c r="C461" i="15"/>
  <c r="W461" i="15" s="1"/>
  <c r="C460" i="15"/>
  <c r="C459" i="15"/>
  <c r="C458" i="15"/>
  <c r="AA458" i="15" s="1"/>
  <c r="C457" i="15"/>
  <c r="AA457" i="15" s="1"/>
  <c r="AC456" i="15"/>
  <c r="C456" i="15"/>
  <c r="C455" i="15"/>
  <c r="X455" i="15" s="1"/>
  <c r="C454" i="15"/>
  <c r="C453" i="15"/>
  <c r="AB453" i="15" s="1"/>
  <c r="C452" i="15"/>
  <c r="U452" i="15" s="1"/>
  <c r="C451" i="15"/>
  <c r="AE451" i="15" s="1"/>
  <c r="C450" i="15"/>
  <c r="AE450" i="15" s="1"/>
  <c r="C449" i="15"/>
  <c r="AC449" i="15" s="1"/>
  <c r="C447" i="15"/>
  <c r="C446" i="15"/>
  <c r="C445" i="15"/>
  <c r="C444" i="15"/>
  <c r="C443" i="15"/>
  <c r="U443" i="15" s="1"/>
  <c r="C442" i="15"/>
  <c r="AE442" i="15" s="1"/>
  <c r="C441" i="15"/>
  <c r="C440" i="15"/>
  <c r="Y440" i="15" s="1"/>
  <c r="C439" i="15"/>
  <c r="AB439" i="15" s="1"/>
  <c r="C438" i="15"/>
  <c r="X438" i="15" s="1"/>
  <c r="C437" i="15"/>
  <c r="AC437" i="15" s="1"/>
  <c r="C436" i="15"/>
  <c r="U436" i="15" s="1"/>
  <c r="C435" i="15"/>
  <c r="C434" i="15"/>
  <c r="AE434" i="15" s="1"/>
  <c r="C433" i="15"/>
  <c r="AD433" i="15" s="1"/>
  <c r="C432" i="15"/>
  <c r="AC432" i="15" s="1"/>
  <c r="C431" i="15"/>
  <c r="W431" i="15" s="1"/>
  <c r="C430" i="15"/>
  <c r="AD430" i="15" s="1"/>
  <c r="C429" i="15"/>
  <c r="AA429" i="15" s="1"/>
  <c r="AB428" i="15"/>
  <c r="C428" i="15"/>
  <c r="AD428" i="15" s="1"/>
  <c r="C427" i="15"/>
  <c r="C426" i="15"/>
  <c r="Y426" i="15" s="1"/>
  <c r="C425" i="15"/>
  <c r="C424" i="15"/>
  <c r="X424" i="15" s="1"/>
  <c r="C423" i="15"/>
  <c r="R423" i="15" s="1"/>
  <c r="C422" i="15"/>
  <c r="W422" i="15" s="1"/>
  <c r="C421" i="15"/>
  <c r="AB420" i="15"/>
  <c r="C420" i="15"/>
  <c r="X420" i="15" s="1"/>
  <c r="C419" i="15"/>
  <c r="AB418" i="15"/>
  <c r="C418" i="15"/>
  <c r="W418" i="15" s="1"/>
  <c r="C417" i="15"/>
  <c r="C416" i="15"/>
  <c r="AE416" i="15" s="1"/>
  <c r="C415" i="15"/>
  <c r="AB415" i="15" s="1"/>
  <c r="C414" i="15"/>
  <c r="C413" i="15"/>
  <c r="U413" i="15" s="1"/>
  <c r="C412" i="15"/>
  <c r="X412" i="15" s="1"/>
  <c r="C411" i="15"/>
  <c r="AB409" i="15"/>
  <c r="C409" i="15"/>
  <c r="C408" i="15"/>
  <c r="C407" i="15"/>
  <c r="C406" i="15"/>
  <c r="C405" i="15"/>
  <c r="Z405" i="15" s="1"/>
  <c r="C404" i="15"/>
  <c r="AC404" i="15" s="1"/>
  <c r="C403" i="15"/>
  <c r="C402" i="15"/>
  <c r="Z402" i="15" s="1"/>
  <c r="C401" i="15"/>
  <c r="C400" i="15"/>
  <c r="C399" i="15"/>
  <c r="AD399" i="15" s="1"/>
  <c r="C398" i="15"/>
  <c r="C397" i="15"/>
  <c r="W397" i="15" s="1"/>
  <c r="C396" i="15"/>
  <c r="U396" i="15" s="1"/>
  <c r="C395" i="15"/>
  <c r="C394" i="15"/>
  <c r="T394" i="15" s="1"/>
  <c r="C393" i="15"/>
  <c r="C392" i="15"/>
  <c r="AD392" i="15" s="1"/>
  <c r="C391" i="15"/>
  <c r="C390" i="15"/>
  <c r="Y390" i="15" s="1"/>
  <c r="C389" i="15"/>
  <c r="T389" i="15" s="1"/>
  <c r="C388" i="15"/>
  <c r="C387" i="15"/>
  <c r="AD387" i="15" s="1"/>
  <c r="C386" i="15"/>
  <c r="Y386" i="15" s="1"/>
  <c r="C385" i="15"/>
  <c r="AA385" i="15" s="1"/>
  <c r="C384" i="15"/>
  <c r="AA383" i="15"/>
  <c r="C383" i="15"/>
  <c r="C382" i="15"/>
  <c r="C381" i="15"/>
  <c r="C380" i="15"/>
  <c r="C379" i="15"/>
  <c r="AD379" i="15" s="1"/>
  <c r="C378" i="15"/>
  <c r="AD378" i="15" s="1"/>
  <c r="C377" i="15"/>
  <c r="Z377" i="15" s="1"/>
  <c r="C376" i="15"/>
  <c r="AA375" i="15"/>
  <c r="C375" i="15"/>
  <c r="C374" i="15"/>
  <c r="C373" i="15"/>
  <c r="AD373" i="15" s="1"/>
  <c r="C372" i="15"/>
  <c r="C371" i="15"/>
  <c r="AB371" i="15" s="1"/>
  <c r="C370" i="15"/>
  <c r="C368" i="15"/>
  <c r="C367" i="15"/>
  <c r="R367" i="15" s="1"/>
  <c r="D366" i="15"/>
  <c r="C366" i="15"/>
  <c r="R366" i="15" s="1"/>
  <c r="C365" i="15"/>
  <c r="C364" i="15"/>
  <c r="R364" i="15" s="1"/>
  <c r="C363" i="15"/>
  <c r="C361" i="15"/>
  <c r="C360" i="15"/>
  <c r="C359" i="15"/>
  <c r="C358" i="15"/>
  <c r="C357" i="15"/>
  <c r="U357" i="15" s="1"/>
  <c r="C356" i="15"/>
  <c r="W356" i="15" s="1"/>
  <c r="C355" i="15"/>
  <c r="X355" i="15" s="1"/>
  <c r="C354" i="15"/>
  <c r="AE354" i="15" s="1"/>
  <c r="C353" i="15"/>
  <c r="Z353" i="15" s="1"/>
  <c r="C352" i="15"/>
  <c r="C351" i="15"/>
  <c r="T351" i="15" s="1"/>
  <c r="C350" i="15"/>
  <c r="R350" i="15" s="1"/>
  <c r="C349" i="15"/>
  <c r="AD349" i="15" s="1"/>
  <c r="C348" i="15"/>
  <c r="C347" i="15"/>
  <c r="AB347" i="15" s="1"/>
  <c r="C346" i="15"/>
  <c r="AC346" i="15" s="1"/>
  <c r="Z345" i="15"/>
  <c r="C345" i="15"/>
  <c r="C344" i="15"/>
  <c r="V344" i="15" s="1"/>
  <c r="C343" i="15"/>
  <c r="AC343" i="15" s="1"/>
  <c r="C342" i="15"/>
  <c r="Y342" i="15" s="1"/>
  <c r="C341" i="15"/>
  <c r="AC341" i="15" s="1"/>
  <c r="C340" i="15"/>
  <c r="C339" i="15"/>
  <c r="X339" i="15" s="1"/>
  <c r="C338" i="15"/>
  <c r="C337" i="15"/>
  <c r="C336" i="15"/>
  <c r="AB336" i="15" s="1"/>
  <c r="C335" i="15"/>
  <c r="AC335" i="15" s="1"/>
  <c r="C334" i="15"/>
  <c r="AE334" i="15" s="1"/>
  <c r="C333" i="15"/>
  <c r="C331" i="15"/>
  <c r="T331" i="15" s="1"/>
  <c r="C330" i="15"/>
  <c r="AA330" i="15" s="1"/>
  <c r="C329" i="15"/>
  <c r="AE329" i="15" s="1"/>
  <c r="C328" i="15"/>
  <c r="C327" i="15"/>
  <c r="X327" i="15" s="1"/>
  <c r="C326" i="15"/>
  <c r="Y326" i="15" s="1"/>
  <c r="C325" i="15"/>
  <c r="AA325" i="15" s="1"/>
  <c r="C324" i="15"/>
  <c r="C323" i="15"/>
  <c r="Y323" i="15" s="1"/>
  <c r="C322" i="15"/>
  <c r="AD322" i="15" s="1"/>
  <c r="C321" i="15"/>
  <c r="C320" i="15"/>
  <c r="Y320" i="15" s="1"/>
  <c r="C319" i="15"/>
  <c r="AC319" i="15" s="1"/>
  <c r="C318" i="15"/>
  <c r="U318" i="15" s="1"/>
  <c r="C317" i="15"/>
  <c r="C316" i="15"/>
  <c r="C315" i="15"/>
  <c r="C314" i="15"/>
  <c r="AC314" i="15" s="1"/>
  <c r="C313" i="15"/>
  <c r="C312" i="15"/>
  <c r="Y312" i="15" s="1"/>
  <c r="C311" i="15"/>
  <c r="C310" i="15"/>
  <c r="C309" i="15"/>
  <c r="Z309" i="15" s="1"/>
  <c r="C308" i="15"/>
  <c r="C307" i="15"/>
  <c r="C306" i="15"/>
  <c r="AE306" i="15" s="1"/>
  <c r="C305" i="15"/>
  <c r="Z305" i="15" s="1"/>
  <c r="C304" i="15"/>
  <c r="Y303" i="15"/>
  <c r="C303" i="15"/>
  <c r="AA303" i="15" s="1"/>
  <c r="C302" i="15"/>
  <c r="R302" i="15" s="1"/>
  <c r="C301" i="15"/>
  <c r="Z301" i="15" s="1"/>
  <c r="C300" i="15"/>
  <c r="Y300" i="15" s="1"/>
  <c r="C299" i="15"/>
  <c r="C298" i="15"/>
  <c r="C297" i="15"/>
  <c r="Z297" i="15" s="1"/>
  <c r="C296" i="15"/>
  <c r="X296" i="15" s="1"/>
  <c r="C295" i="15"/>
  <c r="C294" i="15"/>
  <c r="C293" i="15"/>
  <c r="AC293" i="15" s="1"/>
  <c r="C292" i="15"/>
  <c r="X292" i="15" s="1"/>
  <c r="C291" i="15"/>
  <c r="Z291" i="15" s="1"/>
  <c r="C290" i="15"/>
  <c r="Y290" i="15" s="1"/>
  <c r="C289" i="15"/>
  <c r="AC289" i="15" s="1"/>
  <c r="C288" i="15"/>
  <c r="AB288" i="15" s="1"/>
  <c r="C286" i="15"/>
  <c r="C285" i="15"/>
  <c r="Y285" i="15" s="1"/>
  <c r="C284" i="15"/>
  <c r="X284" i="15" s="1"/>
  <c r="X283" i="15"/>
  <c r="C283" i="15"/>
  <c r="C282" i="15"/>
  <c r="Y282" i="15" s="1"/>
  <c r="C281" i="15"/>
  <c r="C280" i="15"/>
  <c r="X280" i="15" s="1"/>
  <c r="C279" i="15"/>
  <c r="Z279" i="15" s="1"/>
  <c r="C278" i="15"/>
  <c r="Y278" i="15" s="1"/>
  <c r="C277" i="15"/>
  <c r="Y277" i="15" s="1"/>
  <c r="C276" i="15"/>
  <c r="W276" i="15" s="1"/>
  <c r="C275" i="15"/>
  <c r="Z275" i="15" s="1"/>
  <c r="C274" i="15"/>
  <c r="Y274" i="15" s="1"/>
  <c r="C273" i="15"/>
  <c r="C272" i="15"/>
  <c r="AA272" i="15" s="1"/>
  <c r="C271" i="15"/>
  <c r="C270" i="15"/>
  <c r="Y270" i="15" s="1"/>
  <c r="C269" i="15"/>
  <c r="AE269" i="15" s="1"/>
  <c r="C268" i="15"/>
  <c r="AE268" i="15" s="1"/>
  <c r="C267" i="15"/>
  <c r="Z267" i="15" s="1"/>
  <c r="C266" i="15"/>
  <c r="Y266" i="15" s="1"/>
  <c r="C265" i="15"/>
  <c r="X264" i="15"/>
  <c r="C264" i="15"/>
  <c r="C263" i="15"/>
  <c r="Y263" i="15" s="1"/>
  <c r="C262" i="15"/>
  <c r="AC262" i="15" s="1"/>
  <c r="C261" i="15"/>
  <c r="C260" i="15"/>
  <c r="Z260" i="15" s="1"/>
  <c r="C259" i="15"/>
  <c r="X258" i="15"/>
  <c r="C258" i="15"/>
  <c r="V258" i="15" s="1"/>
  <c r="C257" i="15"/>
  <c r="AE257" i="15" s="1"/>
  <c r="C256" i="15"/>
  <c r="C255" i="15"/>
  <c r="AE255" i="15" s="1"/>
  <c r="C254" i="15"/>
  <c r="R254" i="15" s="1"/>
  <c r="C253" i="15"/>
  <c r="W253" i="15" s="1"/>
  <c r="C252" i="15"/>
  <c r="AB252" i="15" s="1"/>
  <c r="C251" i="15"/>
  <c r="AC251" i="15" s="1"/>
  <c r="C249" i="15"/>
  <c r="AA249" i="15" s="1"/>
  <c r="C248" i="15"/>
  <c r="C247" i="15"/>
  <c r="C246" i="15"/>
  <c r="AA246" i="15" s="1"/>
  <c r="C245" i="15"/>
  <c r="Z245" i="15" s="1"/>
  <c r="C244" i="15"/>
  <c r="AC244" i="15" s="1"/>
  <c r="C243" i="15"/>
  <c r="V243" i="15" s="1"/>
  <c r="C242" i="15"/>
  <c r="C241" i="15"/>
  <c r="AA241" i="15" s="1"/>
  <c r="C240" i="15"/>
  <c r="C239" i="15"/>
  <c r="Z239" i="15" s="1"/>
  <c r="C238" i="15"/>
  <c r="AE238" i="15" s="1"/>
  <c r="C237" i="15"/>
  <c r="AA237" i="15" s="1"/>
  <c r="C236" i="15"/>
  <c r="C235" i="15"/>
  <c r="AB235" i="15" s="1"/>
  <c r="C234" i="15"/>
  <c r="AC234" i="15" s="1"/>
  <c r="C233" i="15"/>
  <c r="AA233" i="15" s="1"/>
  <c r="C232" i="15"/>
  <c r="V232" i="15" s="1"/>
  <c r="C231" i="15"/>
  <c r="T231" i="15" s="1"/>
  <c r="C230" i="15"/>
  <c r="C229" i="15"/>
  <c r="Z229" i="15" s="1"/>
  <c r="C228" i="15"/>
  <c r="Y228" i="15" s="1"/>
  <c r="X227" i="15"/>
  <c r="C227" i="15"/>
  <c r="AD227" i="15" s="1"/>
  <c r="C226" i="15"/>
  <c r="AA226" i="15" s="1"/>
  <c r="C225" i="15"/>
  <c r="AA225" i="15" s="1"/>
  <c r="C224" i="15"/>
  <c r="C223" i="15"/>
  <c r="AB223" i="15" s="1"/>
  <c r="C222" i="15"/>
  <c r="Z222" i="15" s="1"/>
  <c r="W221" i="15"/>
  <c r="C221" i="15"/>
  <c r="Y221" i="15" s="1"/>
  <c r="W220" i="15"/>
  <c r="C220" i="15"/>
  <c r="C219" i="15"/>
  <c r="AE219" i="15" s="1"/>
  <c r="C218" i="15"/>
  <c r="Z218" i="15" s="1"/>
  <c r="C217" i="15"/>
  <c r="AD217" i="15" s="1"/>
  <c r="C216" i="15"/>
  <c r="R216" i="15" s="1"/>
  <c r="C215" i="15"/>
  <c r="C214" i="15"/>
  <c r="X214" i="15" s="1"/>
  <c r="C212" i="15"/>
  <c r="AA212" i="15" s="1"/>
  <c r="C211" i="15"/>
  <c r="AA211" i="15" s="1"/>
  <c r="C210" i="15"/>
  <c r="Y210" i="15" s="1"/>
  <c r="C209" i="15"/>
  <c r="Z209" i="15" s="1"/>
  <c r="C208" i="15"/>
  <c r="AC208" i="15" s="1"/>
  <c r="C207" i="15"/>
  <c r="AE207" i="15" s="1"/>
  <c r="C206" i="15"/>
  <c r="Y206" i="15" s="1"/>
  <c r="C205" i="15"/>
  <c r="X205" i="15" s="1"/>
  <c r="C204" i="15"/>
  <c r="AE204" i="15" s="1"/>
  <c r="C203" i="15"/>
  <c r="AA203" i="15" s="1"/>
  <c r="C202" i="15"/>
  <c r="Z202" i="15" s="1"/>
  <c r="C201" i="15"/>
  <c r="Z201" i="15" s="1"/>
  <c r="C200" i="15"/>
  <c r="AE200" i="15" s="1"/>
  <c r="C199" i="15"/>
  <c r="AD199" i="15" s="1"/>
  <c r="C198" i="15"/>
  <c r="AD198" i="15" s="1"/>
  <c r="C197" i="15"/>
  <c r="AB197" i="15" s="1"/>
  <c r="C196" i="15"/>
  <c r="W196" i="15" s="1"/>
  <c r="C195" i="15"/>
  <c r="W195" i="15" s="1"/>
  <c r="V194" i="15"/>
  <c r="C194" i="15"/>
  <c r="AA194" i="15" s="1"/>
  <c r="C193" i="15"/>
  <c r="C192" i="15"/>
  <c r="X192" i="15" s="1"/>
  <c r="V191" i="15"/>
  <c r="C191" i="15"/>
  <c r="AC191" i="15" s="1"/>
  <c r="C190" i="15"/>
  <c r="X190" i="15" s="1"/>
  <c r="C189" i="15"/>
  <c r="C188" i="15"/>
  <c r="Z188" i="15" s="1"/>
  <c r="C187" i="15"/>
  <c r="AD187" i="15" s="1"/>
  <c r="C186" i="15"/>
  <c r="C185" i="15"/>
  <c r="AD185" i="15" s="1"/>
  <c r="C184" i="15"/>
  <c r="AD184" i="15" s="1"/>
  <c r="C183" i="15"/>
  <c r="X183" i="15" s="1"/>
  <c r="C182" i="15"/>
  <c r="W182" i="15" s="1"/>
  <c r="C181" i="15"/>
  <c r="C180" i="15"/>
  <c r="Y180" i="15" s="1"/>
  <c r="C179" i="15"/>
  <c r="AD179" i="15" s="1"/>
  <c r="C178" i="15"/>
  <c r="C177" i="15"/>
  <c r="Z177" i="15" s="1"/>
  <c r="C176" i="15"/>
  <c r="C175" i="15"/>
  <c r="C173" i="15"/>
  <c r="AC173" i="15" s="1"/>
  <c r="C172" i="15"/>
  <c r="AA172" i="15" s="1"/>
  <c r="C171" i="15"/>
  <c r="AE171" i="15" s="1"/>
  <c r="C170" i="15"/>
  <c r="Z170" i="15" s="1"/>
  <c r="C169" i="15"/>
  <c r="Y169" i="15" s="1"/>
  <c r="C168" i="15"/>
  <c r="C167" i="15"/>
  <c r="AB167" i="15" s="1"/>
  <c r="C166" i="15"/>
  <c r="AE166" i="15" s="1"/>
  <c r="C165" i="15"/>
  <c r="AA165" i="15" s="1"/>
  <c r="C164" i="15"/>
  <c r="Z164" i="15" s="1"/>
  <c r="C163" i="15"/>
  <c r="C162" i="15"/>
  <c r="AB162" i="15" s="1"/>
  <c r="C161" i="15"/>
  <c r="Z161" i="15" s="1"/>
  <c r="C160" i="15"/>
  <c r="Y160" i="15" s="1"/>
  <c r="C159" i="15"/>
  <c r="X159" i="15" s="1"/>
  <c r="C158" i="15"/>
  <c r="AC158" i="15" s="1"/>
  <c r="C157" i="15"/>
  <c r="V156" i="15"/>
  <c r="C156" i="15"/>
  <c r="AC156" i="15" s="1"/>
  <c r="C155" i="15"/>
  <c r="AB155" i="15" s="1"/>
  <c r="C154" i="15"/>
  <c r="AA154" i="15" s="1"/>
  <c r="C153" i="15"/>
  <c r="C152" i="15"/>
  <c r="AB152" i="15" s="1"/>
  <c r="C151" i="15"/>
  <c r="C150" i="15"/>
  <c r="AA150" i="15" s="1"/>
  <c r="C149" i="15"/>
  <c r="Z149" i="15" s="1"/>
  <c r="C148" i="15"/>
  <c r="AB148" i="15" s="1"/>
  <c r="C147" i="15"/>
  <c r="AE147" i="15" s="1"/>
  <c r="C146" i="15"/>
  <c r="Z146" i="15" s="1"/>
  <c r="C145" i="15"/>
  <c r="AA145" i="15" s="1"/>
  <c r="C144" i="15"/>
  <c r="C143" i="15"/>
  <c r="U143" i="15" s="1"/>
  <c r="V142" i="15"/>
  <c r="C142" i="15"/>
  <c r="AE142" i="15" s="1"/>
  <c r="V141" i="15"/>
  <c r="C141" i="15"/>
  <c r="AD141" i="15" s="1"/>
  <c r="C140" i="15"/>
  <c r="V139" i="15"/>
  <c r="C139" i="15"/>
  <c r="AA139" i="15" s="1"/>
  <c r="C138" i="15"/>
  <c r="AE138" i="15" s="1"/>
  <c r="V137" i="15"/>
  <c r="C137" i="15"/>
  <c r="V136" i="15"/>
  <c r="C136" i="15"/>
  <c r="AE136" i="15" s="1"/>
  <c r="V135" i="15"/>
  <c r="C135" i="15"/>
  <c r="C134" i="15"/>
  <c r="Y134" i="15" s="1"/>
  <c r="C132" i="15"/>
  <c r="U132" i="15" s="1"/>
  <c r="C131" i="15"/>
  <c r="AB131" i="15" s="1"/>
  <c r="C130" i="15"/>
  <c r="X130" i="15" s="1"/>
  <c r="C129" i="15"/>
  <c r="AE129" i="15" s="1"/>
  <c r="C128" i="15"/>
  <c r="AD128" i="15" s="1"/>
  <c r="C127" i="15"/>
  <c r="AB127" i="15" s="1"/>
  <c r="C126" i="15"/>
  <c r="C125" i="15"/>
  <c r="AE125" i="15" s="1"/>
  <c r="C124" i="15"/>
  <c r="V124" i="15" s="1"/>
  <c r="C123" i="15"/>
  <c r="C122" i="15"/>
  <c r="AA122" i="15" s="1"/>
  <c r="C121" i="15"/>
  <c r="C120" i="15"/>
  <c r="C119" i="15"/>
  <c r="X119" i="15" s="1"/>
  <c r="C118" i="15"/>
  <c r="AA118" i="15" s="1"/>
  <c r="C117" i="15"/>
  <c r="C116" i="15"/>
  <c r="AC116" i="15" s="1"/>
  <c r="C115" i="15"/>
  <c r="X115" i="15" s="1"/>
  <c r="C114" i="15"/>
  <c r="C113" i="15"/>
  <c r="C112" i="15"/>
  <c r="U112" i="15" s="1"/>
  <c r="U111" i="15"/>
  <c r="C111" i="15"/>
  <c r="C110" i="15"/>
  <c r="C109" i="15"/>
  <c r="AD109" i="15" s="1"/>
  <c r="C108" i="15"/>
  <c r="AA108" i="15" s="1"/>
  <c r="C107" i="15"/>
  <c r="X107" i="15" s="1"/>
  <c r="C106" i="15"/>
  <c r="AA106" i="15" s="1"/>
  <c r="T105" i="15"/>
  <c r="C105" i="15"/>
  <c r="AD105" i="15" s="1"/>
  <c r="C104" i="15"/>
  <c r="AE104" i="15" s="1"/>
  <c r="C103" i="15"/>
  <c r="AA103" i="15" s="1"/>
  <c r="C102" i="15"/>
  <c r="Z102" i="15" s="1"/>
  <c r="C101" i="15"/>
  <c r="AA101" i="15" s="1"/>
  <c r="C100" i="15"/>
  <c r="C99" i="15"/>
  <c r="Z99" i="15" s="1"/>
  <c r="C98" i="15"/>
  <c r="C97" i="15"/>
  <c r="AA97" i="15" s="1"/>
  <c r="C96" i="15"/>
  <c r="AE96" i="15" s="1"/>
  <c r="C95" i="15"/>
  <c r="C94" i="15"/>
  <c r="AD94" i="15" s="1"/>
  <c r="C92" i="15"/>
  <c r="AD92" i="15" s="1"/>
  <c r="C91" i="15"/>
  <c r="AD91" i="15" s="1"/>
  <c r="C90" i="15"/>
  <c r="AD90" i="15" s="1"/>
  <c r="C89" i="15"/>
  <c r="AA89" i="15" s="1"/>
  <c r="C88" i="15"/>
  <c r="C87" i="15"/>
  <c r="AD87" i="15" s="1"/>
  <c r="C86" i="15"/>
  <c r="C85" i="15"/>
  <c r="V85" i="15" s="1"/>
  <c r="C84" i="15"/>
  <c r="Z84" i="15" s="1"/>
  <c r="C83" i="15"/>
  <c r="AD83" i="15" s="1"/>
  <c r="C82" i="15"/>
  <c r="Z82" i="15" s="1"/>
  <c r="C81" i="15"/>
  <c r="AA81" i="15" s="1"/>
  <c r="C80" i="15"/>
  <c r="C79" i="15"/>
  <c r="AD79" i="15" s="1"/>
  <c r="C78" i="15"/>
  <c r="C77" i="15"/>
  <c r="AA77" i="15" s="1"/>
  <c r="C76" i="15"/>
  <c r="Y76" i="15" s="1"/>
  <c r="C75" i="15"/>
  <c r="C74" i="15"/>
  <c r="AE74" i="15" s="1"/>
  <c r="C73" i="15"/>
  <c r="AD73" i="15" s="1"/>
  <c r="C72" i="15"/>
  <c r="C71" i="15"/>
  <c r="AC71" i="15" s="1"/>
  <c r="C70" i="15"/>
  <c r="C69" i="15"/>
  <c r="AA69" i="15" s="1"/>
  <c r="C68" i="15"/>
  <c r="Y68" i="15" s="1"/>
  <c r="C67" i="15"/>
  <c r="C66" i="15"/>
  <c r="AE66" i="15" s="1"/>
  <c r="C65" i="15"/>
  <c r="Z65" i="15" s="1"/>
  <c r="C64" i="15"/>
  <c r="Z64" i="15" s="1"/>
  <c r="C63" i="15"/>
  <c r="AC63" i="15" s="1"/>
  <c r="C62" i="15"/>
  <c r="AD62" i="15" s="1"/>
  <c r="C61" i="15"/>
  <c r="Z61" i="15" s="1"/>
  <c r="C60" i="15"/>
  <c r="C59" i="15"/>
  <c r="AE59" i="15" s="1"/>
  <c r="C58" i="15"/>
  <c r="Z58" i="15" s="1"/>
  <c r="C57" i="15"/>
  <c r="Z57" i="15" s="1"/>
  <c r="C56" i="15"/>
  <c r="W56" i="15" s="1"/>
  <c r="C55" i="15"/>
  <c r="AE55" i="15" s="1"/>
  <c r="C54" i="15"/>
  <c r="AA54" i="15" s="1"/>
  <c r="C53" i="15"/>
  <c r="Z53" i="15" s="1"/>
  <c r="C52" i="15"/>
  <c r="AA52" i="15" s="1"/>
  <c r="C51" i="15"/>
  <c r="Z51" i="15" s="1"/>
  <c r="C50" i="15"/>
  <c r="Y50" i="15" s="1"/>
  <c r="C49" i="15"/>
  <c r="AD49" i="15" s="1"/>
  <c r="C48" i="15"/>
  <c r="W48" i="15" s="1"/>
  <c r="C47" i="15"/>
  <c r="C45" i="15"/>
  <c r="C44" i="15"/>
  <c r="C43" i="15"/>
  <c r="C42" i="15"/>
  <c r="C41" i="15"/>
  <c r="C40" i="15"/>
  <c r="C39" i="15"/>
  <c r="C38" i="15"/>
  <c r="C37" i="15"/>
  <c r="C36" i="15"/>
  <c r="C35" i="15"/>
  <c r="C34" i="15"/>
  <c r="C33" i="15"/>
  <c r="C32" i="15"/>
  <c r="C31" i="15"/>
  <c r="C30" i="15"/>
  <c r="C29" i="15"/>
  <c r="C28" i="15"/>
  <c r="C27" i="15"/>
  <c r="C26" i="15"/>
  <c r="C25" i="15"/>
  <c r="C24" i="15"/>
  <c r="C23" i="15"/>
  <c r="AE536" i="14"/>
  <c r="AD536" i="14"/>
  <c r="AC536" i="14"/>
  <c r="AB536" i="14"/>
  <c r="AA536" i="14"/>
  <c r="Z536" i="14"/>
  <c r="Y536" i="14"/>
  <c r="X536" i="14"/>
  <c r="W536" i="14"/>
  <c r="V536" i="14"/>
  <c r="U536" i="14"/>
  <c r="T536" i="14"/>
  <c r="Q527" i="14"/>
  <c r="P527" i="14"/>
  <c r="O527" i="14"/>
  <c r="N527" i="14"/>
  <c r="M527" i="14"/>
  <c r="L527" i="14"/>
  <c r="K527" i="14"/>
  <c r="J527" i="14"/>
  <c r="I527" i="14"/>
  <c r="H527" i="14"/>
  <c r="D527" i="14"/>
  <c r="C524" i="14"/>
  <c r="AB524" i="14" s="1"/>
  <c r="C523" i="14"/>
  <c r="C522" i="14"/>
  <c r="R522" i="14" s="1"/>
  <c r="C521" i="14"/>
  <c r="C520" i="14"/>
  <c r="Y520" i="14" s="1"/>
  <c r="C519" i="14"/>
  <c r="T519" i="14" s="1"/>
  <c r="C518" i="14"/>
  <c r="C517" i="14"/>
  <c r="C516" i="14"/>
  <c r="C515" i="14"/>
  <c r="C514" i="14"/>
  <c r="C513" i="14"/>
  <c r="AC513" i="14" s="1"/>
  <c r="C512" i="14"/>
  <c r="AA512" i="14" s="1"/>
  <c r="C511" i="14"/>
  <c r="C510" i="14"/>
  <c r="AD510" i="14" s="1"/>
  <c r="C509" i="14"/>
  <c r="C508" i="14"/>
  <c r="C507" i="14"/>
  <c r="AE507" i="14" s="1"/>
  <c r="C506" i="14"/>
  <c r="C505" i="14"/>
  <c r="AD505" i="14" s="1"/>
  <c r="C504" i="14"/>
  <c r="C503" i="14"/>
  <c r="C502" i="14"/>
  <c r="C501" i="14"/>
  <c r="AE501" i="14" s="1"/>
  <c r="C500" i="14"/>
  <c r="C499" i="14"/>
  <c r="C498" i="14"/>
  <c r="Y498" i="14" s="1"/>
  <c r="C497" i="14"/>
  <c r="X497" i="14" s="1"/>
  <c r="C496" i="14"/>
  <c r="C495" i="14"/>
  <c r="C494" i="14"/>
  <c r="C493" i="14"/>
  <c r="V493" i="14" s="1"/>
  <c r="C492" i="14"/>
  <c r="C491" i="14"/>
  <c r="C490" i="14"/>
  <c r="AC490" i="14" s="1"/>
  <c r="C489" i="14"/>
  <c r="AB489" i="14" s="1"/>
  <c r="C488" i="14"/>
  <c r="C487" i="14"/>
  <c r="AE487" i="14" s="1"/>
  <c r="C486" i="14"/>
  <c r="U486" i="14" s="1"/>
  <c r="C485" i="14"/>
  <c r="C484" i="14"/>
  <c r="AA484" i="14" s="1"/>
  <c r="C483" i="14"/>
  <c r="C482" i="14"/>
  <c r="C481" i="14"/>
  <c r="AE481" i="14" s="1"/>
  <c r="C480" i="14"/>
  <c r="AD480" i="14" s="1"/>
  <c r="C479" i="14"/>
  <c r="Y479" i="14" s="1"/>
  <c r="C478" i="14"/>
  <c r="AA478" i="14" s="1"/>
  <c r="C477" i="14"/>
  <c r="AE477" i="14" s="1"/>
  <c r="C476" i="14"/>
  <c r="AD476" i="14" s="1"/>
  <c r="C475" i="14"/>
  <c r="AB475" i="14" s="1"/>
  <c r="C474" i="14"/>
  <c r="AC474" i="14" s="1"/>
  <c r="C473" i="14"/>
  <c r="AE473" i="14" s="1"/>
  <c r="C472" i="14"/>
  <c r="AE471" i="14"/>
  <c r="C471" i="14"/>
  <c r="C470" i="14"/>
  <c r="W470" i="14" s="1"/>
  <c r="C469" i="14"/>
  <c r="C468" i="14"/>
  <c r="C467" i="14"/>
  <c r="C466" i="14"/>
  <c r="AE466" i="14" s="1"/>
  <c r="C465" i="14"/>
  <c r="AE465" i="14" s="1"/>
  <c r="C464" i="14"/>
  <c r="AD463" i="14"/>
  <c r="C463" i="14"/>
  <c r="C462" i="14"/>
  <c r="AD462" i="14" s="1"/>
  <c r="C461" i="14"/>
  <c r="Y461" i="14" s="1"/>
  <c r="C460" i="14"/>
  <c r="C459" i="14"/>
  <c r="AC459" i="14" s="1"/>
  <c r="C458" i="14"/>
  <c r="C457" i="14"/>
  <c r="AA457" i="14" s="1"/>
  <c r="C456" i="14"/>
  <c r="U456" i="14" s="1"/>
  <c r="C454" i="14"/>
  <c r="C453" i="14"/>
  <c r="AD453" i="14" s="1"/>
  <c r="C452" i="14"/>
  <c r="AD452" i="14" s="1"/>
  <c r="C451" i="14"/>
  <c r="AD451" i="14" s="1"/>
  <c r="C450" i="14"/>
  <c r="Y450" i="14" s="1"/>
  <c r="C449" i="14"/>
  <c r="AC449" i="14" s="1"/>
  <c r="C448" i="14"/>
  <c r="C447" i="14"/>
  <c r="C446" i="14"/>
  <c r="C445" i="14"/>
  <c r="T445" i="14" s="1"/>
  <c r="C444" i="14"/>
  <c r="R444" i="14" s="1"/>
  <c r="C443" i="14"/>
  <c r="C442" i="14"/>
  <c r="AB442" i="14" s="1"/>
  <c r="C441" i="14"/>
  <c r="C440" i="14"/>
  <c r="C439" i="14"/>
  <c r="C438" i="14"/>
  <c r="AB438" i="14" s="1"/>
  <c r="C437" i="14"/>
  <c r="X437" i="14" s="1"/>
  <c r="C436" i="14"/>
  <c r="R436" i="14" s="1"/>
  <c r="C435" i="14"/>
  <c r="C434" i="14"/>
  <c r="AB434" i="14" s="1"/>
  <c r="C433" i="14"/>
  <c r="C432" i="14"/>
  <c r="C431" i="14"/>
  <c r="AD430" i="14"/>
  <c r="C430" i="14"/>
  <c r="C429" i="14"/>
  <c r="C428" i="14"/>
  <c r="AD428" i="14" s="1"/>
  <c r="C427" i="14"/>
  <c r="AE427" i="14" s="1"/>
  <c r="C426" i="14"/>
  <c r="AA426" i="14" s="1"/>
  <c r="C425" i="14"/>
  <c r="AD425" i="14" s="1"/>
  <c r="C424" i="14"/>
  <c r="AD424" i="14" s="1"/>
  <c r="C423" i="14"/>
  <c r="AC422" i="14"/>
  <c r="C422" i="14"/>
  <c r="C421" i="14"/>
  <c r="C420" i="14"/>
  <c r="T420" i="14" s="1"/>
  <c r="C419" i="14"/>
  <c r="AA419" i="14" s="1"/>
  <c r="C418" i="14"/>
  <c r="C416" i="14"/>
  <c r="U416" i="14" s="1"/>
  <c r="C415" i="14"/>
  <c r="R415" i="14" s="1"/>
  <c r="C414" i="14"/>
  <c r="C413" i="14"/>
  <c r="C412" i="14"/>
  <c r="C411" i="14"/>
  <c r="C410" i="14"/>
  <c r="AD410" i="14" s="1"/>
  <c r="C409" i="14"/>
  <c r="Y409" i="14" s="1"/>
  <c r="C408" i="14"/>
  <c r="AA408" i="14" s="1"/>
  <c r="C407" i="14"/>
  <c r="R407" i="14" s="1"/>
  <c r="C406" i="14"/>
  <c r="Z406" i="14" s="1"/>
  <c r="C405" i="14"/>
  <c r="C404" i="14"/>
  <c r="AA404" i="14" s="1"/>
  <c r="C403" i="14"/>
  <c r="Z403" i="14" s="1"/>
  <c r="C402" i="14"/>
  <c r="Y402" i="14" s="1"/>
  <c r="C401" i="14"/>
  <c r="Y401" i="14" s="1"/>
  <c r="C400" i="14"/>
  <c r="Y400" i="14" s="1"/>
  <c r="C399" i="14"/>
  <c r="W399" i="14" s="1"/>
  <c r="C398" i="14"/>
  <c r="C397" i="14"/>
  <c r="Y397" i="14" s="1"/>
  <c r="C396" i="14"/>
  <c r="U396" i="14" s="1"/>
  <c r="C395" i="14"/>
  <c r="AD395" i="14" s="1"/>
  <c r="AC394" i="14"/>
  <c r="C394" i="14"/>
  <c r="C393" i="14"/>
  <c r="Y393" i="14" s="1"/>
  <c r="C392" i="14"/>
  <c r="R392" i="14" s="1"/>
  <c r="C391" i="14"/>
  <c r="C390" i="14"/>
  <c r="C389" i="14"/>
  <c r="X389" i="14" s="1"/>
  <c r="AB388" i="14"/>
  <c r="C388" i="14"/>
  <c r="AA388" i="14" s="1"/>
  <c r="C387" i="14"/>
  <c r="C386" i="14"/>
  <c r="AA386" i="14" s="1"/>
  <c r="C385" i="14"/>
  <c r="C384" i="14"/>
  <c r="C383" i="14"/>
  <c r="C382" i="14"/>
  <c r="C381" i="14"/>
  <c r="C379" i="14"/>
  <c r="C378" i="14"/>
  <c r="C377" i="14"/>
  <c r="AC377" i="14" s="1"/>
  <c r="C376" i="14"/>
  <c r="C375" i="14"/>
  <c r="C374" i="14"/>
  <c r="V374" i="14" s="1"/>
  <c r="C373" i="14"/>
  <c r="V373" i="14" s="1"/>
  <c r="C372" i="14"/>
  <c r="T372" i="14" s="1"/>
  <c r="C371" i="14"/>
  <c r="C370" i="14"/>
  <c r="C369" i="14"/>
  <c r="AA368" i="14"/>
  <c r="C368" i="14"/>
  <c r="AE368" i="14" s="1"/>
  <c r="C367" i="14"/>
  <c r="C366" i="14"/>
  <c r="AB366" i="14" s="1"/>
  <c r="C365" i="14"/>
  <c r="C364" i="14"/>
  <c r="V364" i="14" s="1"/>
  <c r="C363" i="14"/>
  <c r="C362" i="14"/>
  <c r="AB362" i="14" s="1"/>
  <c r="C361" i="14"/>
  <c r="C360" i="14"/>
  <c r="AB359" i="14"/>
  <c r="C359" i="14"/>
  <c r="X359" i="14" s="1"/>
  <c r="C358" i="14"/>
  <c r="AA357" i="14"/>
  <c r="C357" i="14"/>
  <c r="U357" i="14" s="1"/>
  <c r="C356" i="14"/>
  <c r="AB356" i="14" s="1"/>
  <c r="C355" i="14"/>
  <c r="C354" i="14"/>
  <c r="AD354" i="14" s="1"/>
  <c r="C353" i="14"/>
  <c r="C352" i="14"/>
  <c r="Y352" i="14" s="1"/>
  <c r="C351" i="14"/>
  <c r="AA351" i="14" s="1"/>
  <c r="C350" i="14"/>
  <c r="C349" i="14"/>
  <c r="U349" i="14" s="1"/>
  <c r="C348" i="14"/>
  <c r="C347" i="14"/>
  <c r="C345" i="14"/>
  <c r="AD345" i="14" s="1"/>
  <c r="C344" i="14"/>
  <c r="AD344" i="14" s="1"/>
  <c r="C343" i="14"/>
  <c r="Z343" i="14" s="1"/>
  <c r="C342" i="14"/>
  <c r="V342" i="14" s="1"/>
  <c r="C341" i="14"/>
  <c r="AA341" i="14" s="1"/>
  <c r="C340" i="14"/>
  <c r="C339" i="14"/>
  <c r="Z339" i="14" s="1"/>
  <c r="C338" i="14"/>
  <c r="C337" i="14"/>
  <c r="X337" i="14" s="1"/>
  <c r="C336" i="14"/>
  <c r="C335" i="14"/>
  <c r="C334" i="14"/>
  <c r="C333" i="14"/>
  <c r="AC333" i="14" s="1"/>
  <c r="C332" i="14"/>
  <c r="AA332" i="14" s="1"/>
  <c r="C331" i="14"/>
  <c r="C330" i="14"/>
  <c r="AC330" i="14" s="1"/>
  <c r="C329" i="14"/>
  <c r="C328" i="14"/>
  <c r="AE328" i="14" s="1"/>
  <c r="C327" i="14"/>
  <c r="C326" i="14"/>
  <c r="AD326" i="14" s="1"/>
  <c r="C325" i="14"/>
  <c r="C324" i="14"/>
  <c r="U324" i="14" s="1"/>
  <c r="C323" i="14"/>
  <c r="C322" i="14"/>
  <c r="AB322" i="14" s="1"/>
  <c r="AA321" i="14"/>
  <c r="C321" i="14"/>
  <c r="AB321" i="14" s="1"/>
  <c r="C320" i="14"/>
  <c r="AC320" i="14" s="1"/>
  <c r="C319" i="14"/>
  <c r="AA319" i="14" s="1"/>
  <c r="C318" i="14"/>
  <c r="C317" i="14"/>
  <c r="V317" i="14" s="1"/>
  <c r="Z316" i="14"/>
  <c r="C316" i="14"/>
  <c r="X316" i="14" s="1"/>
  <c r="Z315" i="14"/>
  <c r="C315" i="14"/>
  <c r="Y315" i="14" s="1"/>
  <c r="C314" i="14"/>
  <c r="AB314" i="14" s="1"/>
  <c r="C313" i="14"/>
  <c r="AC313" i="14" s="1"/>
  <c r="C312" i="14"/>
  <c r="R312" i="14" s="1"/>
  <c r="C311" i="14"/>
  <c r="C310" i="14"/>
  <c r="U310" i="14" s="1"/>
  <c r="C309" i="14"/>
  <c r="C308" i="14"/>
  <c r="T308" i="14" s="1"/>
  <c r="C307" i="14"/>
  <c r="AA307" i="14" s="1"/>
  <c r="C306" i="14"/>
  <c r="R306" i="14" s="1"/>
  <c r="C305" i="14"/>
  <c r="C304" i="14"/>
  <c r="X304" i="14" s="1"/>
  <c r="C303" i="14"/>
  <c r="T303" i="14" s="1"/>
  <c r="C301" i="14"/>
  <c r="C300" i="14"/>
  <c r="W300" i="14" s="1"/>
  <c r="C299" i="14"/>
  <c r="C298" i="14"/>
  <c r="C297" i="14"/>
  <c r="AE297" i="14" s="1"/>
  <c r="C296" i="14"/>
  <c r="AC296" i="14" s="1"/>
  <c r="C295" i="14"/>
  <c r="C294" i="14"/>
  <c r="AD294" i="14" s="1"/>
  <c r="C293" i="14"/>
  <c r="C292" i="14"/>
  <c r="C291" i="14"/>
  <c r="C290" i="14"/>
  <c r="Z290" i="14" s="1"/>
  <c r="C289" i="14"/>
  <c r="X289" i="14" s="1"/>
  <c r="C288" i="14"/>
  <c r="AD288" i="14" s="1"/>
  <c r="C287" i="14"/>
  <c r="C286" i="14"/>
  <c r="AD286" i="14" s="1"/>
  <c r="C285" i="14"/>
  <c r="AB285" i="14" s="1"/>
  <c r="C284" i="14"/>
  <c r="X284" i="14" s="1"/>
  <c r="C283" i="14"/>
  <c r="C282" i="14"/>
  <c r="Y282" i="14" s="1"/>
  <c r="Z281" i="14"/>
  <c r="C281" i="14"/>
  <c r="R281" i="14" s="1"/>
  <c r="C280" i="14"/>
  <c r="C279" i="14"/>
  <c r="AD279" i="14" s="1"/>
  <c r="C278" i="14"/>
  <c r="AC278" i="14" s="1"/>
  <c r="C277" i="14"/>
  <c r="X277" i="14" s="1"/>
  <c r="C276" i="14"/>
  <c r="AE276" i="14" s="1"/>
  <c r="C275" i="14"/>
  <c r="Z275" i="14" s="1"/>
  <c r="C274" i="14"/>
  <c r="AC274" i="14" s="1"/>
  <c r="C273" i="14"/>
  <c r="Y273" i="14" s="1"/>
  <c r="C272" i="14"/>
  <c r="Z272" i="14" s="1"/>
  <c r="Y271" i="14"/>
  <c r="C271" i="14"/>
  <c r="C270" i="14"/>
  <c r="C269" i="14"/>
  <c r="C268" i="14"/>
  <c r="AC268" i="14" s="1"/>
  <c r="C267" i="14"/>
  <c r="C266" i="14"/>
  <c r="W266" i="14" s="1"/>
  <c r="C265" i="14"/>
  <c r="AE265" i="14" s="1"/>
  <c r="C264" i="14"/>
  <c r="Y264" i="14" s="1"/>
  <c r="C262" i="14"/>
  <c r="R262" i="14" s="1"/>
  <c r="C261" i="14"/>
  <c r="C260" i="14"/>
  <c r="AE260" i="14" s="1"/>
  <c r="C259" i="14"/>
  <c r="X259" i="14" s="1"/>
  <c r="C258" i="14"/>
  <c r="C257" i="14"/>
  <c r="C256" i="14"/>
  <c r="C255" i="14"/>
  <c r="C254" i="14"/>
  <c r="C253" i="14"/>
  <c r="Y253" i="14" s="1"/>
  <c r="C252" i="14"/>
  <c r="C251" i="14"/>
  <c r="AD251" i="14" s="1"/>
  <c r="C250" i="14"/>
  <c r="C249" i="14"/>
  <c r="C248" i="14"/>
  <c r="X248" i="14" s="1"/>
  <c r="C247" i="14"/>
  <c r="AA247" i="14" s="1"/>
  <c r="C246" i="14"/>
  <c r="C245" i="14"/>
  <c r="V245" i="14" s="1"/>
  <c r="Y244" i="14"/>
  <c r="C244" i="14"/>
  <c r="W244" i="14" s="1"/>
  <c r="C243" i="14"/>
  <c r="AE243" i="14" s="1"/>
  <c r="C242" i="14"/>
  <c r="Z242" i="14" s="1"/>
  <c r="C241" i="14"/>
  <c r="AC241" i="14" s="1"/>
  <c r="C240" i="14"/>
  <c r="C239" i="14"/>
  <c r="AA239" i="14" s="1"/>
  <c r="C238" i="14"/>
  <c r="C237" i="14"/>
  <c r="C236" i="14"/>
  <c r="C235" i="14"/>
  <c r="AC235" i="14" s="1"/>
  <c r="C234" i="14"/>
  <c r="C233" i="14"/>
  <c r="AB233" i="14" s="1"/>
  <c r="C232" i="14"/>
  <c r="C231" i="14"/>
  <c r="C230" i="14"/>
  <c r="AE230" i="14" s="1"/>
  <c r="C229" i="14"/>
  <c r="AB229" i="14" s="1"/>
  <c r="C228" i="14"/>
  <c r="C227" i="14"/>
  <c r="X227" i="14" s="1"/>
  <c r="C226" i="14"/>
  <c r="C225" i="14"/>
  <c r="C224" i="14"/>
  <c r="AA224" i="14" s="1"/>
  <c r="C223" i="14"/>
  <c r="AE223" i="14" s="1"/>
  <c r="C222" i="14"/>
  <c r="AD222" i="14" s="1"/>
  <c r="C221" i="14"/>
  <c r="AC221" i="14" s="1"/>
  <c r="C219" i="14"/>
  <c r="AD219" i="14" s="1"/>
  <c r="C218" i="14"/>
  <c r="C217" i="14"/>
  <c r="AB217" i="14" s="1"/>
  <c r="C216" i="14"/>
  <c r="AA216" i="14" s="1"/>
  <c r="C215" i="14"/>
  <c r="AD215" i="14" s="1"/>
  <c r="C214" i="14"/>
  <c r="C213" i="14"/>
  <c r="AC213" i="14" s="1"/>
  <c r="C212" i="14"/>
  <c r="AD212" i="14" s="1"/>
  <c r="C211" i="14"/>
  <c r="C210" i="14"/>
  <c r="C209" i="14"/>
  <c r="T209" i="14" s="1"/>
  <c r="C208" i="14"/>
  <c r="C207" i="14"/>
  <c r="AD207" i="14" s="1"/>
  <c r="W206" i="14"/>
  <c r="C206" i="14"/>
  <c r="C205" i="14"/>
  <c r="AE205" i="14" s="1"/>
  <c r="C204" i="14"/>
  <c r="C203" i="14"/>
  <c r="AC203" i="14" s="1"/>
  <c r="W202" i="14"/>
  <c r="C202" i="14"/>
  <c r="T202" i="14" s="1"/>
  <c r="C201" i="14"/>
  <c r="Z201" i="14" s="1"/>
  <c r="C200" i="14"/>
  <c r="C199" i="14"/>
  <c r="AE199" i="14" s="1"/>
  <c r="C198" i="14"/>
  <c r="AE198" i="14" s="1"/>
  <c r="C197" i="14"/>
  <c r="Z197" i="14" s="1"/>
  <c r="C196" i="14"/>
  <c r="AC196" i="14" s="1"/>
  <c r="X195" i="14"/>
  <c r="C195" i="14"/>
  <c r="Y195" i="14" s="1"/>
  <c r="C194" i="14"/>
  <c r="C193" i="14"/>
  <c r="AC193" i="14" s="1"/>
  <c r="C192" i="14"/>
  <c r="C191" i="14"/>
  <c r="C190" i="14"/>
  <c r="W189" i="14"/>
  <c r="C189" i="14"/>
  <c r="U189" i="14" s="1"/>
  <c r="C188" i="14"/>
  <c r="R188" i="14" s="1"/>
  <c r="C187" i="14"/>
  <c r="AD187" i="14" s="1"/>
  <c r="C186" i="14"/>
  <c r="AC186" i="14" s="1"/>
  <c r="C185" i="14"/>
  <c r="AE185" i="14" s="1"/>
  <c r="C184" i="14"/>
  <c r="C183" i="14"/>
  <c r="AD183" i="14" s="1"/>
  <c r="C182" i="14"/>
  <c r="Y182" i="14" s="1"/>
  <c r="C181" i="14"/>
  <c r="AA181" i="14" s="1"/>
  <c r="C180" i="14"/>
  <c r="X180" i="14" s="1"/>
  <c r="C179" i="14"/>
  <c r="AD179" i="14" s="1"/>
  <c r="C177" i="14"/>
  <c r="C176" i="14"/>
  <c r="AD176" i="14" s="1"/>
  <c r="C175" i="14"/>
  <c r="AC175" i="14" s="1"/>
  <c r="C174" i="14"/>
  <c r="AA174" i="14" s="1"/>
  <c r="C173" i="14"/>
  <c r="X173" i="14" s="1"/>
  <c r="C172" i="14"/>
  <c r="C171" i="14"/>
  <c r="C170" i="14"/>
  <c r="X170" i="14" s="1"/>
  <c r="C169" i="14"/>
  <c r="X169" i="14" s="1"/>
  <c r="C168" i="14"/>
  <c r="C167" i="14"/>
  <c r="Y167" i="14" s="1"/>
  <c r="C166" i="14"/>
  <c r="C165" i="14"/>
  <c r="AD165" i="14" s="1"/>
  <c r="C164" i="14"/>
  <c r="Z164" i="14" s="1"/>
  <c r="C163" i="14"/>
  <c r="C162" i="14"/>
  <c r="AB162" i="14" s="1"/>
  <c r="C161" i="14"/>
  <c r="AE161" i="14" s="1"/>
  <c r="W160" i="14"/>
  <c r="C160" i="14"/>
  <c r="AD160" i="14" s="1"/>
  <c r="C159" i="14"/>
  <c r="AB159" i="14" s="1"/>
  <c r="C158" i="14"/>
  <c r="AB158" i="14" s="1"/>
  <c r="C157" i="14"/>
  <c r="AE157" i="14" s="1"/>
  <c r="C156" i="14"/>
  <c r="C155" i="14"/>
  <c r="AC155" i="14" s="1"/>
  <c r="C154" i="14"/>
  <c r="Y154" i="14" s="1"/>
  <c r="C153" i="14"/>
  <c r="AD153" i="14" s="1"/>
  <c r="C152" i="14"/>
  <c r="AD152" i="14" s="1"/>
  <c r="C151" i="14"/>
  <c r="C150" i="14"/>
  <c r="AD150" i="14" s="1"/>
  <c r="C149" i="14"/>
  <c r="AC149" i="14" s="1"/>
  <c r="C148" i="14"/>
  <c r="C146" i="14"/>
  <c r="AA146" i="14" s="1"/>
  <c r="C145" i="14"/>
  <c r="AC145" i="14" s="1"/>
  <c r="C144" i="14"/>
  <c r="X144" i="14" s="1"/>
  <c r="C143" i="14"/>
  <c r="C142" i="14"/>
  <c r="AA142" i="14" s="1"/>
  <c r="C141" i="14"/>
  <c r="C140" i="14"/>
  <c r="Y140" i="14" s="1"/>
  <c r="C139" i="14"/>
  <c r="W139" i="14" s="1"/>
  <c r="C138" i="14"/>
  <c r="AA138" i="14" s="1"/>
  <c r="C137" i="14"/>
  <c r="AC137" i="14" s="1"/>
  <c r="C136" i="14"/>
  <c r="R136" i="14" s="1"/>
  <c r="C135" i="14"/>
  <c r="AA135" i="14" s="1"/>
  <c r="C134" i="14"/>
  <c r="W134" i="14" s="1"/>
  <c r="C133" i="14"/>
  <c r="C132" i="14"/>
  <c r="Y132" i="14" s="1"/>
  <c r="C131" i="14"/>
  <c r="C130" i="14"/>
  <c r="AD130" i="14" s="1"/>
  <c r="C129" i="14"/>
  <c r="AC129" i="14" s="1"/>
  <c r="C128" i="14"/>
  <c r="AB128" i="14" s="1"/>
  <c r="C127" i="14"/>
  <c r="AD127" i="14" s="1"/>
  <c r="C126" i="14"/>
  <c r="AB126" i="14" s="1"/>
  <c r="C125" i="14"/>
  <c r="V124" i="14"/>
  <c r="C124" i="14"/>
  <c r="C123" i="14"/>
  <c r="AB123" i="14" s="1"/>
  <c r="C122" i="14"/>
  <c r="C121" i="14"/>
  <c r="R121" i="14" s="1"/>
  <c r="C120" i="14"/>
  <c r="U119" i="14"/>
  <c r="C119" i="14"/>
  <c r="AE119" i="14" s="1"/>
  <c r="C118" i="14"/>
  <c r="R118" i="14" s="1"/>
  <c r="C117" i="14"/>
  <c r="AD117" i="14" s="1"/>
  <c r="U116" i="14"/>
  <c r="C116" i="14"/>
  <c r="AD116" i="14" s="1"/>
  <c r="C115" i="14"/>
  <c r="AB115" i="14" s="1"/>
  <c r="C114" i="14"/>
  <c r="C113" i="14"/>
  <c r="AA113" i="14" s="1"/>
  <c r="C112" i="14"/>
  <c r="U112" i="14" s="1"/>
  <c r="C111" i="14"/>
  <c r="AE111" i="14" s="1"/>
  <c r="C110" i="14"/>
  <c r="C109" i="14"/>
  <c r="AC109" i="14" s="1"/>
  <c r="C108" i="14"/>
  <c r="Z108" i="14" s="1"/>
  <c r="C107" i="14"/>
  <c r="AA107" i="14" s="1"/>
  <c r="C105" i="14"/>
  <c r="C104" i="14"/>
  <c r="AC104" i="14" s="1"/>
  <c r="C103" i="14"/>
  <c r="C102" i="14"/>
  <c r="Z102" i="14" s="1"/>
  <c r="C101" i="14"/>
  <c r="Z101" i="14" s="1"/>
  <c r="C100" i="14"/>
  <c r="AA100" i="14" s="1"/>
  <c r="C99" i="14"/>
  <c r="C98" i="14"/>
  <c r="C97" i="14"/>
  <c r="C96" i="14"/>
  <c r="AC96" i="14" s="1"/>
  <c r="C95" i="14"/>
  <c r="V95" i="14" s="1"/>
  <c r="C94" i="14"/>
  <c r="C93" i="14"/>
  <c r="C92" i="14"/>
  <c r="C91" i="14"/>
  <c r="C90" i="14"/>
  <c r="AD90" i="14" s="1"/>
  <c r="C89" i="14"/>
  <c r="C88" i="14"/>
  <c r="AC88" i="14" s="1"/>
  <c r="C87" i="14"/>
  <c r="C86" i="14"/>
  <c r="Z86" i="14" s="1"/>
  <c r="C85" i="14"/>
  <c r="AB85" i="14" s="1"/>
  <c r="C84" i="14"/>
  <c r="AA84" i="14" s="1"/>
  <c r="C83" i="14"/>
  <c r="C82" i="14"/>
  <c r="AE82" i="14" s="1"/>
  <c r="C81" i="14"/>
  <c r="C80" i="14"/>
  <c r="U80" i="14" s="1"/>
  <c r="C79" i="14"/>
  <c r="AE79" i="14" s="1"/>
  <c r="C78" i="14"/>
  <c r="W78" i="14" s="1"/>
  <c r="C77" i="14"/>
  <c r="C76" i="14"/>
  <c r="AB76" i="14" s="1"/>
  <c r="C75" i="14"/>
  <c r="AC75" i="14" s="1"/>
  <c r="C74" i="14"/>
  <c r="Y74" i="14" s="1"/>
  <c r="C73" i="14"/>
  <c r="AE73" i="14" s="1"/>
  <c r="C72" i="14"/>
  <c r="AE72" i="14" s="1"/>
  <c r="C71" i="14"/>
  <c r="AC71" i="14" s="1"/>
  <c r="C70" i="14"/>
  <c r="C69" i="14"/>
  <c r="G67" i="14"/>
  <c r="C67" i="14"/>
  <c r="AD67" i="14" s="1"/>
  <c r="C66" i="14"/>
  <c r="AB66" i="14" s="1"/>
  <c r="C65" i="14"/>
  <c r="AC65" i="14" s="1"/>
  <c r="C64" i="14"/>
  <c r="AD64" i="14" s="1"/>
  <c r="G63" i="14"/>
  <c r="C63" i="14"/>
  <c r="AD63" i="14" s="1"/>
  <c r="G62" i="14"/>
  <c r="C62" i="14"/>
  <c r="AE62" i="14" s="1"/>
  <c r="G61" i="14"/>
  <c r="C61" i="14"/>
  <c r="X61" i="14" s="1"/>
  <c r="G60" i="14"/>
  <c r="C60" i="14"/>
  <c r="G59" i="14"/>
  <c r="C59" i="14"/>
  <c r="AD59" i="14" s="1"/>
  <c r="G58" i="14"/>
  <c r="C58" i="14"/>
  <c r="AB58" i="14" s="1"/>
  <c r="G57" i="14"/>
  <c r="C57" i="14"/>
  <c r="X57" i="14" s="1"/>
  <c r="G56" i="14"/>
  <c r="C56" i="14"/>
  <c r="X56" i="14" s="1"/>
  <c r="F55" i="14"/>
  <c r="C55" i="14"/>
  <c r="F54" i="14"/>
  <c r="C54" i="14"/>
  <c r="F53" i="14"/>
  <c r="C53" i="14"/>
  <c r="F52" i="14"/>
  <c r="C52" i="14"/>
  <c r="F51" i="14"/>
  <c r="C51" i="14"/>
  <c r="F50" i="14"/>
  <c r="C50" i="14"/>
  <c r="F49" i="14"/>
  <c r="C49" i="14"/>
  <c r="F48" i="14"/>
  <c r="C48" i="14"/>
  <c r="C47" i="14"/>
  <c r="F46" i="14"/>
  <c r="C46" i="14"/>
  <c r="F45" i="14"/>
  <c r="C45" i="14"/>
  <c r="F44" i="14"/>
  <c r="C44" i="14"/>
  <c r="F43" i="14"/>
  <c r="C43" i="14"/>
  <c r="F42" i="14"/>
  <c r="C42" i="14"/>
  <c r="F41" i="14"/>
  <c r="C41" i="14"/>
  <c r="F40" i="14"/>
  <c r="C40" i="14"/>
  <c r="F39" i="14"/>
  <c r="C39" i="14"/>
  <c r="F38" i="14"/>
  <c r="C38" i="14"/>
  <c r="F37" i="14"/>
  <c r="C37" i="14"/>
  <c r="F35" i="14"/>
  <c r="C35" i="14"/>
  <c r="F34" i="14"/>
  <c r="C34" i="14"/>
  <c r="F33" i="14"/>
  <c r="C33" i="14"/>
  <c r="F32" i="14"/>
  <c r="C32" i="14"/>
  <c r="F31" i="14"/>
  <c r="C31" i="14"/>
  <c r="F30" i="14"/>
  <c r="C30" i="14"/>
  <c r="F29" i="14"/>
  <c r="C29" i="14"/>
  <c r="F28" i="14"/>
  <c r="C28" i="14"/>
  <c r="F27" i="14"/>
  <c r="C27" i="14"/>
  <c r="F26" i="14"/>
  <c r="C26" i="14"/>
  <c r="F25" i="14"/>
  <c r="C25" i="14"/>
  <c r="F24" i="14"/>
  <c r="C24" i="14"/>
  <c r="F23" i="14"/>
  <c r="C23" i="14"/>
  <c r="AC49" i="14" l="1"/>
  <c r="AD55" i="14"/>
  <c r="AC26" i="14"/>
  <c r="AB30" i="14"/>
  <c r="AC34" i="14"/>
  <c r="AB37" i="14"/>
  <c r="AC43" i="14"/>
  <c r="AC45" i="14"/>
  <c r="AA47" i="14"/>
  <c r="Z50" i="14"/>
  <c r="AD54" i="14"/>
  <c r="AC51" i="14"/>
  <c r="Z48" i="14"/>
  <c r="Z52" i="14"/>
  <c r="AE23" i="14"/>
  <c r="AB25" i="14"/>
  <c r="AC27" i="14"/>
  <c r="AB29" i="14"/>
  <c r="AC31" i="14"/>
  <c r="AC35" i="14"/>
  <c r="AC38" i="14"/>
  <c r="AB40" i="14"/>
  <c r="AD42" i="14"/>
  <c r="X46" i="14"/>
  <c r="Y512" i="14"/>
  <c r="V537" i="14"/>
  <c r="V538" i="14" s="1"/>
  <c r="Z537" i="14"/>
  <c r="Z538" i="14" s="1"/>
  <c r="AD537" i="14"/>
  <c r="AD538" i="14" s="1"/>
  <c r="AC537" i="14"/>
  <c r="AC538" i="14" s="1"/>
  <c r="R512" i="14"/>
  <c r="V49" i="14"/>
  <c r="AE399" i="14"/>
  <c r="AD157" i="14"/>
  <c r="X397" i="14"/>
  <c r="Z484" i="14"/>
  <c r="U507" i="14"/>
  <c r="Y159" i="14"/>
  <c r="Y314" i="14"/>
  <c r="U326" i="14"/>
  <c r="R332" i="14"/>
  <c r="V507" i="14"/>
  <c r="Y326" i="14"/>
  <c r="X332" i="14"/>
  <c r="R138" i="14"/>
  <c r="T188" i="14"/>
  <c r="U251" i="14"/>
  <c r="AB300" i="14"/>
  <c r="Z317" i="14"/>
  <c r="X319" i="14"/>
  <c r="R321" i="14"/>
  <c r="R322" i="14"/>
  <c r="AA374" i="14"/>
  <c r="W377" i="14"/>
  <c r="AE392" i="14"/>
  <c r="R459" i="14"/>
  <c r="U505" i="14"/>
  <c r="T63" i="14"/>
  <c r="T212" i="14"/>
  <c r="Z219" i="14"/>
  <c r="AA227" i="14"/>
  <c r="AA317" i="14"/>
  <c r="Y321" i="14"/>
  <c r="T322" i="14"/>
  <c r="W333" i="14"/>
  <c r="T344" i="14"/>
  <c r="X409" i="14"/>
  <c r="U438" i="14"/>
  <c r="U459" i="14"/>
  <c r="Z54" i="14"/>
  <c r="W344" i="14"/>
  <c r="X438" i="14"/>
  <c r="AC452" i="14"/>
  <c r="T31" i="14"/>
  <c r="U160" i="14"/>
  <c r="U266" i="14"/>
  <c r="R452" i="14"/>
  <c r="AC478" i="14"/>
  <c r="T30" i="14"/>
  <c r="AA46" i="14"/>
  <c r="T58" i="14"/>
  <c r="T153" i="14"/>
  <c r="U260" i="14"/>
  <c r="V264" i="14"/>
  <c r="AA266" i="14"/>
  <c r="AB310" i="14"/>
  <c r="V315" i="14"/>
  <c r="AC322" i="14"/>
  <c r="T345" i="14"/>
  <c r="T368" i="14"/>
  <c r="W396" i="14"/>
  <c r="U404" i="14"/>
  <c r="W408" i="14"/>
  <c r="W425" i="14"/>
  <c r="U427" i="14"/>
  <c r="T452" i="14"/>
  <c r="AE459" i="14"/>
  <c r="X474" i="14"/>
  <c r="AA477" i="14"/>
  <c r="R505" i="14"/>
  <c r="T132" i="14"/>
  <c r="R153" i="14"/>
  <c r="U162" i="14"/>
  <c r="AA245" i="14"/>
  <c r="U315" i="14"/>
  <c r="AE324" i="14"/>
  <c r="R404" i="14"/>
  <c r="T408" i="14"/>
  <c r="AC505" i="14"/>
  <c r="AC30" i="14"/>
  <c r="X55" i="14"/>
  <c r="AD79" i="14"/>
  <c r="AA86" i="14"/>
  <c r="AB101" i="14"/>
  <c r="AA153" i="14"/>
  <c r="U345" i="14"/>
  <c r="U368" i="14"/>
  <c r="AC404" i="14"/>
  <c r="AA425" i="14"/>
  <c r="X427" i="14"/>
  <c r="U452" i="14"/>
  <c r="T505" i="14"/>
  <c r="W49" i="14"/>
  <c r="R59" i="14"/>
  <c r="T62" i="14"/>
  <c r="AB63" i="14"/>
  <c r="X121" i="14"/>
  <c r="W123" i="14"/>
  <c r="W128" i="14"/>
  <c r="AB132" i="14"/>
  <c r="V138" i="14"/>
  <c r="T152" i="14"/>
  <c r="AE188" i="14"/>
  <c r="W212" i="14"/>
  <c r="U233" i="14"/>
  <c r="V239" i="14"/>
  <c r="AE251" i="14"/>
  <c r="AC264" i="14"/>
  <c r="U268" i="14"/>
  <c r="AB281" i="14"/>
  <c r="X312" i="14"/>
  <c r="AD314" i="14"/>
  <c r="W351" i="14"/>
  <c r="R359" i="14"/>
  <c r="Y386" i="14"/>
  <c r="V388" i="14"/>
  <c r="R389" i="14"/>
  <c r="V395" i="14"/>
  <c r="AB396" i="14"/>
  <c r="V410" i="14"/>
  <c r="W416" i="14"/>
  <c r="U419" i="14"/>
  <c r="T434" i="14"/>
  <c r="U442" i="14"/>
  <c r="Y473" i="14"/>
  <c r="U479" i="14"/>
  <c r="AD507" i="14"/>
  <c r="T59" i="14"/>
  <c r="AC116" i="14"/>
  <c r="Y121" i="14"/>
  <c r="Y128" i="14"/>
  <c r="AB152" i="14"/>
  <c r="Y202" i="14"/>
  <c r="Y233" i="14"/>
  <c r="V268" i="14"/>
  <c r="R333" i="14"/>
  <c r="W359" i="14"/>
  <c r="U389" i="14"/>
  <c r="AE396" i="14"/>
  <c r="T409" i="14"/>
  <c r="Z410" i="14"/>
  <c r="AA416" i="14"/>
  <c r="W419" i="14"/>
  <c r="U434" i="14"/>
  <c r="X442" i="14"/>
  <c r="AA452" i="14"/>
  <c r="X479" i="14"/>
  <c r="W481" i="14"/>
  <c r="R484" i="14"/>
  <c r="AA497" i="14"/>
  <c r="AA505" i="14"/>
  <c r="R507" i="14"/>
  <c r="Y30" i="14"/>
  <c r="R63" i="14"/>
  <c r="V79" i="14"/>
  <c r="X88" i="14"/>
  <c r="AA95" i="14"/>
  <c r="AC153" i="14"/>
  <c r="R159" i="14"/>
  <c r="W162" i="14"/>
  <c r="W165" i="14"/>
  <c r="W185" i="14"/>
  <c r="R212" i="14"/>
  <c r="T251" i="14"/>
  <c r="T260" i="14"/>
  <c r="X297" i="14"/>
  <c r="AB51" i="14"/>
  <c r="AC181" i="14"/>
  <c r="Y301" i="14"/>
  <c r="X301" i="14"/>
  <c r="U309" i="14"/>
  <c r="AC309" i="14"/>
  <c r="AA384" i="14"/>
  <c r="AE384" i="14"/>
  <c r="Y384" i="14"/>
  <c r="AE413" i="14"/>
  <c r="X413" i="14"/>
  <c r="U413" i="14"/>
  <c r="X448" i="14"/>
  <c r="U448" i="14"/>
  <c r="R448" i="14"/>
  <c r="AD482" i="14"/>
  <c r="W482" i="14"/>
  <c r="U482" i="14"/>
  <c r="AC55" i="14"/>
  <c r="R66" i="14"/>
  <c r="Z85" i="14"/>
  <c r="W104" i="14"/>
  <c r="AA134" i="14"/>
  <c r="Y136" i="14"/>
  <c r="AE165" i="14"/>
  <c r="R181" i="14"/>
  <c r="AB214" i="14"/>
  <c r="AC214" i="14"/>
  <c r="Y214" i="14"/>
  <c r="AB218" i="14"/>
  <c r="Y218" i="14"/>
  <c r="T238" i="14"/>
  <c r="AE238" i="14"/>
  <c r="T271" i="14"/>
  <c r="AC271" i="14"/>
  <c r="AD295" i="14"/>
  <c r="AA295" i="14"/>
  <c r="W295" i="14"/>
  <c r="AD338" i="14"/>
  <c r="Y338" i="14"/>
  <c r="V338" i="14"/>
  <c r="AA367" i="14"/>
  <c r="V367" i="14"/>
  <c r="R400" i="14"/>
  <c r="AC413" i="14"/>
  <c r="W441" i="14"/>
  <c r="X441" i="14"/>
  <c r="X467" i="14"/>
  <c r="T467" i="14"/>
  <c r="AC482" i="14"/>
  <c r="T489" i="14"/>
  <c r="AD515" i="14"/>
  <c r="W515" i="14"/>
  <c r="T515" i="14"/>
  <c r="W518" i="14"/>
  <c r="AE518" i="14"/>
  <c r="Z518" i="14"/>
  <c r="T37" i="14"/>
  <c r="V51" i="14"/>
  <c r="W58" i="14"/>
  <c r="AB59" i="14"/>
  <c r="Y66" i="14"/>
  <c r="T67" i="14"/>
  <c r="W76" i="14"/>
  <c r="W80" i="14"/>
  <c r="AA102" i="14"/>
  <c r="X104" i="14"/>
  <c r="T111" i="14"/>
  <c r="AC132" i="14"/>
  <c r="W138" i="14"/>
  <c r="AE142" i="14"/>
  <c r="AE152" i="14"/>
  <c r="U153" i="14"/>
  <c r="V157" i="14"/>
  <c r="X158" i="14"/>
  <c r="AC162" i="14"/>
  <c r="R165" i="14"/>
  <c r="W169" i="14"/>
  <c r="Z179" i="14"/>
  <c r="U181" i="14"/>
  <c r="U182" i="14"/>
  <c r="AE208" i="14"/>
  <c r="AB208" i="14"/>
  <c r="U218" i="14"/>
  <c r="AA249" i="14"/>
  <c r="Y249" i="14"/>
  <c r="U249" i="14"/>
  <c r="AE262" i="14"/>
  <c r="Y288" i="14"/>
  <c r="R295" i="14"/>
  <c r="AD411" i="14"/>
  <c r="AA411" i="14"/>
  <c r="W411" i="14"/>
  <c r="R441" i="14"/>
  <c r="AE448" i="14"/>
  <c r="V457" i="14"/>
  <c r="W466" i="14"/>
  <c r="AA466" i="14"/>
  <c r="U466" i="14"/>
  <c r="Y467" i="14"/>
  <c r="Z476" i="14"/>
  <c r="AD478" i="14"/>
  <c r="U478" i="14"/>
  <c r="T478" i="14"/>
  <c r="AE485" i="14"/>
  <c r="AC485" i="14"/>
  <c r="Z487" i="14"/>
  <c r="AD492" i="14"/>
  <c r="AC492" i="14"/>
  <c r="AE515" i="14"/>
  <c r="AD519" i="14"/>
  <c r="AE519" i="14"/>
  <c r="W519" i="14"/>
  <c r="AC255" i="14"/>
  <c r="X255" i="14"/>
  <c r="X371" i="14"/>
  <c r="AC371" i="14"/>
  <c r="W371" i="14"/>
  <c r="AD400" i="14"/>
  <c r="U400" i="14"/>
  <c r="AC400" i="14"/>
  <c r="T400" i="14"/>
  <c r="AD436" i="14"/>
  <c r="AA436" i="14"/>
  <c r="W436" i="14"/>
  <c r="AA489" i="14"/>
  <c r="W489" i="14"/>
  <c r="U489" i="14"/>
  <c r="T493" i="14"/>
  <c r="X493" i="14"/>
  <c r="Y499" i="14"/>
  <c r="AD499" i="14"/>
  <c r="T38" i="14"/>
  <c r="R67" i="14"/>
  <c r="U76" i="14"/>
  <c r="AA234" i="14"/>
  <c r="V234" i="14"/>
  <c r="X273" i="14"/>
  <c r="AB303" i="14"/>
  <c r="AC303" i="14"/>
  <c r="W303" i="14"/>
  <c r="AB372" i="14"/>
  <c r="Y372" i="14"/>
  <c r="U372" i="14"/>
  <c r="U384" i="14"/>
  <c r="AC448" i="14"/>
  <c r="Y25" i="14"/>
  <c r="Y37" i="14"/>
  <c r="T43" i="14"/>
  <c r="W51" i="14"/>
  <c r="X54" i="14"/>
  <c r="W55" i="14"/>
  <c r="AB67" i="14"/>
  <c r="AC76" i="14"/>
  <c r="Y80" i="14"/>
  <c r="W88" i="14"/>
  <c r="W111" i="14"/>
  <c r="W116" i="14"/>
  <c r="R132" i="14"/>
  <c r="AE138" i="14"/>
  <c r="R152" i="14"/>
  <c r="Y153" i="14"/>
  <c r="W157" i="14"/>
  <c r="T165" i="14"/>
  <c r="AB181" i="14"/>
  <c r="U185" i="14"/>
  <c r="AD188" i="14"/>
  <c r="AB188" i="14"/>
  <c r="AE189" i="14"/>
  <c r="AB189" i="14"/>
  <c r="T189" i="14"/>
  <c r="Z189" i="14"/>
  <c r="R189" i="14"/>
  <c r="AE206" i="14"/>
  <c r="U206" i="14"/>
  <c r="AD209" i="14"/>
  <c r="Y209" i="14"/>
  <c r="U209" i="14"/>
  <c r="AA236" i="14"/>
  <c r="Y236" i="14"/>
  <c r="U236" i="14"/>
  <c r="AE249" i="14"/>
  <c r="AE278" i="14"/>
  <c r="X278" i="14"/>
  <c r="U278" i="14"/>
  <c r="AE281" i="14"/>
  <c r="U281" i="14"/>
  <c r="T281" i="14"/>
  <c r="AB313" i="14"/>
  <c r="AD373" i="14"/>
  <c r="Y373" i="14"/>
  <c r="AC383" i="14"/>
  <c r="X383" i="14"/>
  <c r="AD386" i="14"/>
  <c r="T386" i="14"/>
  <c r="R386" i="14"/>
  <c r="AB393" i="14"/>
  <c r="U393" i="14"/>
  <c r="T393" i="14"/>
  <c r="AA400" i="14"/>
  <c r="AA407" i="14"/>
  <c r="AE407" i="14"/>
  <c r="X430" i="14"/>
  <c r="W430" i="14"/>
  <c r="W437" i="14"/>
  <c r="Z456" i="14"/>
  <c r="V456" i="14"/>
  <c r="T466" i="14"/>
  <c r="Y486" i="14"/>
  <c r="AD486" i="14"/>
  <c r="V486" i="14"/>
  <c r="AE489" i="14"/>
  <c r="R492" i="14"/>
  <c r="T501" i="14"/>
  <c r="AD512" i="14"/>
  <c r="U512" i="14"/>
  <c r="AC512" i="14"/>
  <c r="T512" i="14"/>
  <c r="AC516" i="14"/>
  <c r="X516" i="14"/>
  <c r="AE212" i="14"/>
  <c r="AC260" i="14"/>
  <c r="AE315" i="14"/>
  <c r="AB344" i="14"/>
  <c r="AE345" i="14"/>
  <c r="AD359" i="14"/>
  <c r="AC389" i="14"/>
  <c r="W404" i="14"/>
  <c r="AC427" i="14"/>
  <c r="Y452" i="14"/>
  <c r="X459" i="14"/>
  <c r="Y505" i="14"/>
  <c r="AA507" i="14"/>
  <c r="AA276" i="14"/>
  <c r="AE389" i="14"/>
  <c r="AB404" i="14"/>
  <c r="AD28" i="14"/>
  <c r="X28" i="14"/>
  <c r="AC28" i="14"/>
  <c r="W28" i="14"/>
  <c r="AE33" i="14"/>
  <c r="T33" i="14"/>
  <c r="AC53" i="14"/>
  <c r="W53" i="14"/>
  <c r="AB53" i="14"/>
  <c r="V53" i="14"/>
  <c r="AD60" i="14"/>
  <c r="AB60" i="14"/>
  <c r="R60" i="14"/>
  <c r="AA60" i="14"/>
  <c r="Y77" i="14"/>
  <c r="U77" i="14"/>
  <c r="Z83" i="14"/>
  <c r="X83" i="14"/>
  <c r="V87" i="14"/>
  <c r="AA87" i="14"/>
  <c r="U122" i="14"/>
  <c r="AB122" i="14"/>
  <c r="AD166" i="14"/>
  <c r="AA166" i="14"/>
  <c r="T166" i="14"/>
  <c r="Y166" i="14"/>
  <c r="R166" i="14"/>
  <c r="AE166" i="14"/>
  <c r="AD177" i="14"/>
  <c r="W177" i="14"/>
  <c r="AE177" i="14"/>
  <c r="T177" i="14"/>
  <c r="X228" i="14"/>
  <c r="W228" i="14"/>
  <c r="X240" i="14"/>
  <c r="W240" i="14"/>
  <c r="AE256" i="14"/>
  <c r="U256" i="14"/>
  <c r="AC256" i="14"/>
  <c r="T256" i="14"/>
  <c r="AA348" i="14"/>
  <c r="W348" i="14"/>
  <c r="AD412" i="14"/>
  <c r="Y412" i="14"/>
  <c r="R412" i="14"/>
  <c r="X412" i="14"/>
  <c r="AE412" i="14"/>
  <c r="U412" i="14"/>
  <c r="AC412" i="14"/>
  <c r="T412" i="14"/>
  <c r="AA412" i="14"/>
  <c r="AD56" i="14"/>
  <c r="AB56" i="14"/>
  <c r="R56" i="14"/>
  <c r="AA56" i="14"/>
  <c r="Z94" i="14"/>
  <c r="AA94" i="14"/>
  <c r="AB107" i="14"/>
  <c r="AE107" i="14"/>
  <c r="W107" i="14"/>
  <c r="AC107" i="14"/>
  <c r="T107" i="14"/>
  <c r="V120" i="14"/>
  <c r="AA120" i="14"/>
  <c r="Z120" i="14"/>
  <c r="AB150" i="14"/>
  <c r="Y150" i="14"/>
  <c r="T150" i="14"/>
  <c r="R177" i="14"/>
  <c r="W192" i="14"/>
  <c r="U192" i="14"/>
  <c r="T198" i="14"/>
  <c r="AB205" i="14"/>
  <c r="AD213" i="14"/>
  <c r="AA213" i="14"/>
  <c r="T213" i="14"/>
  <c r="Y213" i="14"/>
  <c r="R213" i="14"/>
  <c r="AE213" i="14"/>
  <c r="X217" i="14"/>
  <c r="W265" i="14"/>
  <c r="U277" i="14"/>
  <c r="T405" i="14"/>
  <c r="Y405" i="14"/>
  <c r="U405" i="14"/>
  <c r="AC405" i="14"/>
  <c r="T506" i="14"/>
  <c r="Y506" i="14"/>
  <c r="X506" i="14"/>
  <c r="AA28" i="14"/>
  <c r="X33" i="14"/>
  <c r="AE39" i="14"/>
  <c r="Y39" i="14"/>
  <c r="AD46" i="14"/>
  <c r="AC46" i="14"/>
  <c r="W46" i="14"/>
  <c r="AB46" i="14"/>
  <c r="X53" i="14"/>
  <c r="T60" i="14"/>
  <c r="X84" i="14"/>
  <c r="V94" i="14"/>
  <c r="X100" i="14"/>
  <c r="R107" i="14"/>
  <c r="V113" i="14"/>
  <c r="AE118" i="14"/>
  <c r="T120" i="14"/>
  <c r="AA125" i="14"/>
  <c r="AB125" i="14"/>
  <c r="W125" i="14"/>
  <c r="AD135" i="14"/>
  <c r="AE135" i="14"/>
  <c r="T135" i="14"/>
  <c r="AB135" i="14"/>
  <c r="R135" i="14"/>
  <c r="AE149" i="14"/>
  <c r="U149" i="14"/>
  <c r="AD149" i="14"/>
  <c r="R149" i="14"/>
  <c r="R150" i="14"/>
  <c r="AD164" i="14"/>
  <c r="X166" i="14"/>
  <c r="AE174" i="14"/>
  <c r="U174" i="14"/>
  <c r="AB174" i="14"/>
  <c r="T174" i="14"/>
  <c r="U175" i="14"/>
  <c r="AA177" i="14"/>
  <c r="AB192" i="14"/>
  <c r="U196" i="14"/>
  <c r="U213" i="14"/>
  <c r="V229" i="14"/>
  <c r="Z243" i="14"/>
  <c r="Y252" i="14"/>
  <c r="V252" i="14"/>
  <c r="AB256" i="14"/>
  <c r="AD273" i="14"/>
  <c r="AC273" i="14"/>
  <c r="U273" i="14"/>
  <c r="AA273" i="14"/>
  <c r="T273" i="14"/>
  <c r="AE273" i="14"/>
  <c r="V280" i="14"/>
  <c r="AD280" i="14"/>
  <c r="W280" i="14"/>
  <c r="Y323" i="14"/>
  <c r="AD323" i="14"/>
  <c r="U323" i="14"/>
  <c r="AB323" i="14"/>
  <c r="T323" i="14"/>
  <c r="Z323" i="14"/>
  <c r="V323" i="14"/>
  <c r="AB376" i="14"/>
  <c r="V376" i="14"/>
  <c r="AB433" i="14"/>
  <c r="X433" i="14"/>
  <c r="V464" i="14"/>
  <c r="Y464" i="14"/>
  <c r="AC464" i="14"/>
  <c r="U464" i="14"/>
  <c r="Z99" i="14"/>
  <c r="X99" i="14"/>
  <c r="V103" i="14"/>
  <c r="AA103" i="14"/>
  <c r="Z115" i="14"/>
  <c r="W115" i="14"/>
  <c r="AB139" i="14"/>
  <c r="X139" i="14"/>
  <c r="AA143" i="14"/>
  <c r="X143" i="14"/>
  <c r="W143" i="14"/>
  <c r="Y163" i="14"/>
  <c r="U163" i="14"/>
  <c r="X198" i="14"/>
  <c r="W198" i="14"/>
  <c r="AD205" i="14"/>
  <c r="W205" i="14"/>
  <c r="T205" i="14"/>
  <c r="AE258" i="14"/>
  <c r="AA258" i="14"/>
  <c r="V258" i="14"/>
  <c r="Y261" i="14"/>
  <c r="AC261" i="14"/>
  <c r="V261" i="14"/>
  <c r="AD265" i="14"/>
  <c r="V265" i="14"/>
  <c r="R265" i="14"/>
  <c r="X270" i="14"/>
  <c r="W270" i="14"/>
  <c r="AD277" i="14"/>
  <c r="AA277" i="14"/>
  <c r="T277" i="14"/>
  <c r="Y277" i="14"/>
  <c r="R277" i="14"/>
  <c r="AE277" i="14"/>
  <c r="AE285" i="14"/>
  <c r="X285" i="14"/>
  <c r="U285" i="14"/>
  <c r="AC285" i="14"/>
  <c r="T285" i="14"/>
  <c r="R382" i="14"/>
  <c r="AC382" i="14"/>
  <c r="T28" i="14"/>
  <c r="Y32" i="14"/>
  <c r="X32" i="14"/>
  <c r="AB41" i="14"/>
  <c r="Y41" i="14"/>
  <c r="AD78" i="14"/>
  <c r="AE78" i="14"/>
  <c r="AA78" i="14"/>
  <c r="T115" i="14"/>
  <c r="V126" i="14"/>
  <c r="AB131" i="14"/>
  <c r="X131" i="14"/>
  <c r="AD136" i="14"/>
  <c r="AC136" i="14"/>
  <c r="U136" i="14"/>
  <c r="AA136" i="14"/>
  <c r="T136" i="14"/>
  <c r="AE136" i="14"/>
  <c r="U166" i="14"/>
  <c r="AD238" i="14"/>
  <c r="Y238" i="14"/>
  <c r="U238" i="14"/>
  <c r="W246" i="14"/>
  <c r="AB246" i="14"/>
  <c r="X256" i="14"/>
  <c r="R258" i="14"/>
  <c r="AA262" i="14"/>
  <c r="W262" i="14"/>
  <c r="V262" i="14"/>
  <c r="AB271" i="14"/>
  <c r="X271" i="14"/>
  <c r="AD271" i="14"/>
  <c r="U271" i="14"/>
  <c r="AE299" i="14"/>
  <c r="AA299" i="14"/>
  <c r="Z378" i="14"/>
  <c r="X378" i="14"/>
  <c r="AA483" i="14"/>
  <c r="AD483" i="14"/>
  <c r="Y483" i="14"/>
  <c r="R483" i="14"/>
  <c r="X504" i="14"/>
  <c r="W504" i="14"/>
  <c r="AB28" i="14"/>
  <c r="AE32" i="14"/>
  <c r="AC33" i="14"/>
  <c r="AC41" i="14"/>
  <c r="AE43" i="14"/>
  <c r="X43" i="14"/>
  <c r="AA53" i="14"/>
  <c r="T56" i="14"/>
  <c r="X60" i="14"/>
  <c r="W66" i="14"/>
  <c r="AC66" i="14"/>
  <c r="T66" i="14"/>
  <c r="AC79" i="14"/>
  <c r="Z79" i="14"/>
  <c r="W79" i="14"/>
  <c r="Z107" i="14"/>
  <c r="AB112" i="14"/>
  <c r="Z112" i="14"/>
  <c r="V112" i="14"/>
  <c r="AE115" i="14"/>
  <c r="AD121" i="14"/>
  <c r="AC121" i="14"/>
  <c r="U121" i="14"/>
  <c r="AA121" i="14"/>
  <c r="T121" i="14"/>
  <c r="AE121" i="14"/>
  <c r="U125" i="14"/>
  <c r="W135" i="14"/>
  <c r="X136" i="14"/>
  <c r="Y149" i="14"/>
  <c r="AC150" i="14"/>
  <c r="W159" i="14"/>
  <c r="AC159" i="14"/>
  <c r="T159" i="14"/>
  <c r="X161" i="14"/>
  <c r="AC166" i="14"/>
  <c r="AD172" i="14"/>
  <c r="Z172" i="14"/>
  <c r="W174" i="14"/>
  <c r="AB177" i="14"/>
  <c r="AE192" i="14"/>
  <c r="Y199" i="14"/>
  <c r="W199" i="14"/>
  <c r="AD208" i="14"/>
  <c r="W208" i="14"/>
  <c r="T208" i="14"/>
  <c r="X213" i="14"/>
  <c r="AA238" i="14"/>
  <c r="AD252" i="14"/>
  <c r="W259" i="14"/>
  <c r="AD262" i="14"/>
  <c r="R273" i="14"/>
  <c r="AE274" i="14"/>
  <c r="X274" i="14"/>
  <c r="U274" i="14"/>
  <c r="AC277" i="14"/>
  <c r="V350" i="14"/>
  <c r="R350" i="14"/>
  <c r="Z350" i="14"/>
  <c r="AA288" i="14"/>
  <c r="AE309" i="14"/>
  <c r="AA336" i="14"/>
  <c r="X336" i="14"/>
  <c r="AD352" i="14"/>
  <c r="AC352" i="14"/>
  <c r="U352" i="14"/>
  <c r="AA352" i="14"/>
  <c r="T352" i="14"/>
  <c r="Z471" i="14"/>
  <c r="W471" i="14"/>
  <c r="R471" i="14"/>
  <c r="AA471" i="14"/>
  <c r="W537" i="14"/>
  <c r="W538" i="14" s="1"/>
  <c r="AA537" i="14"/>
  <c r="AA538" i="14" s="1"/>
  <c r="X23" i="14"/>
  <c r="AC25" i="14"/>
  <c r="AC37" i="14"/>
  <c r="T41" i="14"/>
  <c r="T46" i="14"/>
  <c r="AA49" i="14"/>
  <c r="W62" i="14"/>
  <c r="X63" i="14"/>
  <c r="X67" i="14"/>
  <c r="X76" i="14"/>
  <c r="AB80" i="14"/>
  <c r="AB111" i="14"/>
  <c r="W132" i="14"/>
  <c r="AD138" i="14"/>
  <c r="W152" i="14"/>
  <c r="X153" i="14"/>
  <c r="AE153" i="14"/>
  <c r="Z160" i="14"/>
  <c r="AA162" i="14"/>
  <c r="AA165" i="14"/>
  <c r="W181" i="14"/>
  <c r="AB185" i="14"/>
  <c r="W188" i="14"/>
  <c r="AD189" i="14"/>
  <c r="Z206" i="14"/>
  <c r="AA209" i="14"/>
  <c r="AA212" i="14"/>
  <c r="AC218" i="14"/>
  <c r="AD233" i="14"/>
  <c r="AE236" i="14"/>
  <c r="Y251" i="14"/>
  <c r="X260" i="14"/>
  <c r="Y268" i="14"/>
  <c r="AD281" i="14"/>
  <c r="W284" i="14"/>
  <c r="T288" i="14"/>
  <c r="AE288" i="14"/>
  <c r="Z294" i="14"/>
  <c r="T297" i="14"/>
  <c r="AC297" i="14"/>
  <c r="AE316" i="14"/>
  <c r="T316" i="14"/>
  <c r="Y316" i="14"/>
  <c r="R316" i="14"/>
  <c r="AC316" i="14"/>
  <c r="AD334" i="14"/>
  <c r="Y334" i="14"/>
  <c r="AD351" i="14"/>
  <c r="AE351" i="14"/>
  <c r="T351" i="14"/>
  <c r="AB351" i="14"/>
  <c r="R351" i="14"/>
  <c r="R352" i="14"/>
  <c r="AB353" i="14"/>
  <c r="AC353" i="14"/>
  <c r="Y353" i="14"/>
  <c r="AA358" i="14"/>
  <c r="X358" i="14"/>
  <c r="U387" i="14"/>
  <c r="Z387" i="14"/>
  <c r="Y394" i="14"/>
  <c r="V394" i="14"/>
  <c r="U394" i="14"/>
  <c r="AE394" i="14"/>
  <c r="T394" i="14"/>
  <c r="X401" i="14"/>
  <c r="AD426" i="14"/>
  <c r="Y426" i="14"/>
  <c r="R426" i="14"/>
  <c r="AE426" i="14"/>
  <c r="U426" i="14"/>
  <c r="AC426" i="14"/>
  <c r="T426" i="14"/>
  <c r="AD429" i="14"/>
  <c r="AA429" i="14"/>
  <c r="W429" i="14"/>
  <c r="R429" i="14"/>
  <c r="AD440" i="14"/>
  <c r="W440" i="14"/>
  <c r="AA440" i="14"/>
  <c r="AC463" i="14"/>
  <c r="Y463" i="14"/>
  <c r="V463" i="14"/>
  <c r="U463" i="14"/>
  <c r="W465" i="14"/>
  <c r="AA491" i="14"/>
  <c r="AD491" i="14"/>
  <c r="Y491" i="14"/>
  <c r="R491" i="14"/>
  <c r="AD521" i="14"/>
  <c r="Z521" i="14"/>
  <c r="V521" i="14"/>
  <c r="AB297" i="14"/>
  <c r="AE304" i="14"/>
  <c r="U304" i="14"/>
  <c r="AC304" i="14"/>
  <c r="T304" i="14"/>
  <c r="AD309" i="14"/>
  <c r="AA309" i="14"/>
  <c r="T309" i="14"/>
  <c r="Y309" i="14"/>
  <c r="R309" i="14"/>
  <c r="AE340" i="14"/>
  <c r="X340" i="14"/>
  <c r="AE352" i="14"/>
  <c r="AD360" i="14"/>
  <c r="Z360" i="14"/>
  <c r="V451" i="14"/>
  <c r="X451" i="14"/>
  <c r="T451" i="14"/>
  <c r="AE537" i="14"/>
  <c r="AE538" i="14" s="1"/>
  <c r="AC23" i="14"/>
  <c r="AB49" i="14"/>
  <c r="AA51" i="14"/>
  <c r="AB55" i="14"/>
  <c r="AA59" i="14"/>
  <c r="AA63" i="14"/>
  <c r="AA67" i="14"/>
  <c r="V86" i="14"/>
  <c r="V102" i="14"/>
  <c r="AC111" i="14"/>
  <c r="AA152" i="14"/>
  <c r="AE160" i="14"/>
  <c r="R162" i="14"/>
  <c r="AB165" i="14"/>
  <c r="AA188" i="14"/>
  <c r="Y189" i="14"/>
  <c r="T206" i="14"/>
  <c r="AB206" i="14"/>
  <c r="AE209" i="14"/>
  <c r="AB212" i="14"/>
  <c r="T233" i="14"/>
  <c r="AA251" i="14"/>
  <c r="AB260" i="14"/>
  <c r="AD268" i="14"/>
  <c r="V276" i="14"/>
  <c r="X281" i="14"/>
  <c r="Z286" i="14"/>
  <c r="U288" i="14"/>
  <c r="U297" i="14"/>
  <c r="U300" i="14"/>
  <c r="AE300" i="14"/>
  <c r="AB304" i="14"/>
  <c r="X309" i="14"/>
  <c r="W313" i="14"/>
  <c r="T313" i="14"/>
  <c r="U316" i="14"/>
  <c r="AD316" i="14"/>
  <c r="AA324" i="14"/>
  <c r="Z324" i="14"/>
  <c r="V324" i="14"/>
  <c r="V334" i="14"/>
  <c r="W337" i="14"/>
  <c r="W341" i="14"/>
  <c r="AE347" i="14"/>
  <c r="X347" i="14"/>
  <c r="X352" i="14"/>
  <c r="AC357" i="14"/>
  <c r="Y357" i="14"/>
  <c r="R358" i="14"/>
  <c r="AB375" i="14"/>
  <c r="AA375" i="14"/>
  <c r="V387" i="14"/>
  <c r="AA392" i="14"/>
  <c r="T392" i="14"/>
  <c r="AD392" i="14"/>
  <c r="X392" i="14"/>
  <c r="Z394" i="14"/>
  <c r="AD398" i="14"/>
  <c r="V398" i="14"/>
  <c r="Y398" i="14"/>
  <c r="X426" i="14"/>
  <c r="AD432" i="14"/>
  <c r="W432" i="14"/>
  <c r="AA432" i="14"/>
  <c r="R432" i="14"/>
  <c r="R440" i="14"/>
  <c r="AD444" i="14"/>
  <c r="W444" i="14"/>
  <c r="AA444" i="14"/>
  <c r="AE451" i="14"/>
  <c r="Y453" i="14"/>
  <c r="V453" i="14"/>
  <c r="U453" i="14"/>
  <c r="Y460" i="14"/>
  <c r="AC460" i="14"/>
  <c r="Y303" i="14"/>
  <c r="W322" i="14"/>
  <c r="AA326" i="14"/>
  <c r="X333" i="14"/>
  <c r="AE344" i="14"/>
  <c r="Y345" i="14"/>
  <c r="Y368" i="14"/>
  <c r="AD372" i="14"/>
  <c r="U386" i="14"/>
  <c r="AC386" i="14"/>
  <c r="V390" i="14"/>
  <c r="AB390" i="14"/>
  <c r="AE408" i="14"/>
  <c r="U408" i="14"/>
  <c r="AB408" i="14"/>
  <c r="AE434" i="14"/>
  <c r="X434" i="14"/>
  <c r="AC434" i="14"/>
  <c r="AC441" i="14"/>
  <c r="Y456" i="14"/>
  <c r="AB456" i="14"/>
  <c r="T456" i="14"/>
  <c r="AD456" i="14"/>
  <c r="AD459" i="14"/>
  <c r="AA459" i="14"/>
  <c r="T459" i="14"/>
  <c r="Y459" i="14"/>
  <c r="AB466" i="14"/>
  <c r="AA487" i="14"/>
  <c r="V487" i="14"/>
  <c r="U487" i="14"/>
  <c r="Y500" i="14"/>
  <c r="V500" i="14"/>
  <c r="AB502" i="14"/>
  <c r="AA502" i="14"/>
  <c r="AE516" i="14"/>
  <c r="AA516" i="14"/>
  <c r="T516" i="14"/>
  <c r="Y516" i="14"/>
  <c r="R516" i="14"/>
  <c r="AE520" i="14"/>
  <c r="AC520" i="14"/>
  <c r="T520" i="14"/>
  <c r="AB520" i="14"/>
  <c r="R520" i="14"/>
  <c r="R303" i="14"/>
  <c r="Z310" i="14"/>
  <c r="T314" i="14"/>
  <c r="R315" i="14"/>
  <c r="AB315" i="14"/>
  <c r="T326" i="14"/>
  <c r="AE326" i="14"/>
  <c r="AA345" i="14"/>
  <c r="AC359" i="14"/>
  <c r="R371" i="14"/>
  <c r="X386" i="14"/>
  <c r="AE386" i="14"/>
  <c r="AD389" i="14"/>
  <c r="AA389" i="14"/>
  <c r="T389" i="14"/>
  <c r="Y389" i="14"/>
  <c r="AE438" i="14"/>
  <c r="AC438" i="14"/>
  <c r="T438" i="14"/>
  <c r="AE442" i="14"/>
  <c r="AC442" i="14"/>
  <c r="T442" i="14"/>
  <c r="AD448" i="14"/>
  <c r="AA448" i="14"/>
  <c r="T448" i="14"/>
  <c r="Y448" i="14"/>
  <c r="V461" i="14"/>
  <c r="AC461" i="14"/>
  <c r="AE484" i="14"/>
  <c r="V484" i="14"/>
  <c r="AD484" i="14"/>
  <c r="T484" i="14"/>
  <c r="Z492" i="14"/>
  <c r="W492" i="14"/>
  <c r="U492" i="14"/>
  <c r="AA501" i="14"/>
  <c r="Z501" i="14"/>
  <c r="V501" i="14"/>
  <c r="W510" i="14"/>
  <c r="U516" i="14"/>
  <c r="U520" i="14"/>
  <c r="AD522" i="14"/>
  <c r="AA522" i="14"/>
  <c r="W522" i="14"/>
  <c r="X478" i="14"/>
  <c r="AE478" i="14"/>
  <c r="Z486" i="14"/>
  <c r="AD493" i="14"/>
  <c r="AA515" i="14"/>
  <c r="AA519" i="14"/>
  <c r="X400" i="14"/>
  <c r="AE400" i="14"/>
  <c r="X452" i="14"/>
  <c r="AE452" i="14"/>
  <c r="R478" i="14"/>
  <c r="Y478" i="14"/>
  <c r="T486" i="14"/>
  <c r="AB486" i="14"/>
  <c r="T499" i="14"/>
  <c r="X505" i="14"/>
  <c r="AE505" i="14"/>
  <c r="Z507" i="14"/>
  <c r="X512" i="14"/>
  <c r="AE512" i="14"/>
  <c r="R515" i="14"/>
  <c r="AB515" i="14"/>
  <c r="R519" i="14"/>
  <c r="AB519" i="14"/>
  <c r="AD92" i="14"/>
  <c r="AE92" i="14"/>
  <c r="Y92" i="14"/>
  <c r="T92" i="14"/>
  <c r="AC92" i="14"/>
  <c r="W92" i="14"/>
  <c r="AB92" i="14"/>
  <c r="U92" i="14"/>
  <c r="AD93" i="14"/>
  <c r="V93" i="14"/>
  <c r="Y93" i="14"/>
  <c r="U93" i="14"/>
  <c r="AA237" i="14"/>
  <c r="T237" i="14"/>
  <c r="Z237" i="14"/>
  <c r="R237" i="14"/>
  <c r="AD237" i="14"/>
  <c r="X237" i="14"/>
  <c r="V237" i="14"/>
  <c r="AA250" i="14"/>
  <c r="T250" i="14"/>
  <c r="Z250" i="14"/>
  <c r="R250" i="14"/>
  <c r="AD250" i="14"/>
  <c r="X250" i="14"/>
  <c r="V250" i="14"/>
  <c r="AC39" i="14"/>
  <c r="AB44" i="14"/>
  <c r="Y44" i="14"/>
  <c r="AC47" i="14"/>
  <c r="AE47" i="14"/>
  <c r="W47" i="14"/>
  <c r="AD47" i="14"/>
  <c r="V47" i="14"/>
  <c r="AC48" i="14"/>
  <c r="AB48" i="14"/>
  <c r="W48" i="14"/>
  <c r="AA48" i="14"/>
  <c r="V48" i="14"/>
  <c r="AD48" i="14"/>
  <c r="AC50" i="14"/>
  <c r="AB50" i="14"/>
  <c r="W50" i="14"/>
  <c r="AA50" i="14"/>
  <c r="V50" i="14"/>
  <c r="AC52" i="14"/>
  <c r="AB52" i="14"/>
  <c r="W52" i="14"/>
  <c r="AA52" i="14"/>
  <c r="V52" i="14"/>
  <c r="AD57" i="14"/>
  <c r="AB57" i="14"/>
  <c r="T57" i="14"/>
  <c r="R57" i="14"/>
  <c r="AA57" i="14"/>
  <c r="AD61" i="14"/>
  <c r="AB61" i="14"/>
  <c r="T61" i="14"/>
  <c r="AA61" i="14"/>
  <c r="R61" i="14"/>
  <c r="AE61" i="14"/>
  <c r="AB64" i="14"/>
  <c r="Y64" i="14"/>
  <c r="Z64" i="14"/>
  <c r="V64" i="14"/>
  <c r="AB72" i="14"/>
  <c r="AA72" i="14"/>
  <c r="V72" i="14"/>
  <c r="AD72" i="14"/>
  <c r="W72" i="14"/>
  <c r="AC72" i="14"/>
  <c r="R72" i="14"/>
  <c r="AD91" i="14"/>
  <c r="V91" i="14"/>
  <c r="AE91" i="14"/>
  <c r="T91" i="14"/>
  <c r="R91" i="14"/>
  <c r="AA91" i="14"/>
  <c r="R92" i="14"/>
  <c r="AD96" i="14"/>
  <c r="AE96" i="14"/>
  <c r="Y96" i="14"/>
  <c r="T96" i="14"/>
  <c r="AB96" i="14"/>
  <c r="U96" i="14"/>
  <c r="R96" i="14"/>
  <c r="AA96" i="14"/>
  <c r="AB97" i="14"/>
  <c r="V97" i="14"/>
  <c r="AD184" i="14"/>
  <c r="AA184" i="14"/>
  <c r="R184" i="14"/>
  <c r="X184" i="14"/>
  <c r="AE184" i="14"/>
  <c r="W184" i="14"/>
  <c r="T184" i="14"/>
  <c r="AD231" i="14"/>
  <c r="V231" i="14"/>
  <c r="AB231" i="14"/>
  <c r="U231" i="14"/>
  <c r="Z231" i="14"/>
  <c r="T231" i="14"/>
  <c r="Y231" i="14"/>
  <c r="T40" i="14"/>
  <c r="AE52" i="14"/>
  <c r="U64" i="14"/>
  <c r="AD85" i="14"/>
  <c r="V85" i="14"/>
  <c r="Y85" i="14"/>
  <c r="U85" i="14"/>
  <c r="X91" i="14"/>
  <c r="X92" i="14"/>
  <c r="W96" i="14"/>
  <c r="AD100" i="14"/>
  <c r="AE100" i="14"/>
  <c r="Y100" i="14"/>
  <c r="T100" i="14"/>
  <c r="AC100" i="14"/>
  <c r="W100" i="14"/>
  <c r="AB100" i="14"/>
  <c r="U100" i="14"/>
  <c r="AD101" i="14"/>
  <c r="V101" i="14"/>
  <c r="Y101" i="14"/>
  <c r="U101" i="14"/>
  <c r="V156" i="14"/>
  <c r="AC156" i="14"/>
  <c r="Y156" i="14"/>
  <c r="U156" i="14"/>
  <c r="AB184" i="14"/>
  <c r="AD211" i="14"/>
  <c r="Z211" i="14"/>
  <c r="AD226" i="14"/>
  <c r="Z226" i="14"/>
  <c r="V226" i="14"/>
  <c r="AC232" i="14"/>
  <c r="V232" i="14"/>
  <c r="AD292" i="14"/>
  <c r="AC292" i="14"/>
  <c r="X292" i="14"/>
  <c r="R292" i="14"/>
  <c r="AB292" i="14"/>
  <c r="U292" i="14"/>
  <c r="AA292" i="14"/>
  <c r="T292" i="14"/>
  <c r="AE292" i="14"/>
  <c r="W292" i="14"/>
  <c r="Y292" i="14"/>
  <c r="AD298" i="14"/>
  <c r="V298" i="14"/>
  <c r="Z298" i="14"/>
  <c r="V385" i="14"/>
  <c r="AE385" i="14"/>
  <c r="T385" i="14"/>
  <c r="AA385" i="14"/>
  <c r="Z385" i="14"/>
  <c r="AE423" i="14"/>
  <c r="AC423" i="14"/>
  <c r="U423" i="14"/>
  <c r="AB423" i="14"/>
  <c r="T423" i="14"/>
  <c r="Y423" i="14"/>
  <c r="X423" i="14"/>
  <c r="AE69" i="14"/>
  <c r="AC69" i="14"/>
  <c r="U69" i="14"/>
  <c r="Y69" i="14"/>
  <c r="X69" i="14"/>
  <c r="AD144" i="14"/>
  <c r="AE144" i="14"/>
  <c r="Y144" i="14"/>
  <c r="T144" i="14"/>
  <c r="AC144" i="14"/>
  <c r="W144" i="14"/>
  <c r="U144" i="14"/>
  <c r="AA144" i="14"/>
  <c r="AB144" i="14"/>
  <c r="R144" i="14"/>
  <c r="AD191" i="14"/>
  <c r="AA191" i="14"/>
  <c r="R191" i="14"/>
  <c r="X191" i="14"/>
  <c r="W191" i="14"/>
  <c r="AE191" i="14"/>
  <c r="T191" i="14"/>
  <c r="AB24" i="14"/>
  <c r="Y24" i="14"/>
  <c r="AE29" i="14"/>
  <c r="X29" i="14"/>
  <c r="AC29" i="14"/>
  <c r="AD39" i="14"/>
  <c r="AB39" i="14"/>
  <c r="W39" i="14"/>
  <c r="AA39" i="14"/>
  <c r="AE40" i="14"/>
  <c r="X40" i="14"/>
  <c r="AC40" i="14"/>
  <c r="AD50" i="14"/>
  <c r="AD52" i="14"/>
  <c r="AE57" i="14"/>
  <c r="T69" i="14"/>
  <c r="AB81" i="14"/>
  <c r="V81" i="14"/>
  <c r="T93" i="14"/>
  <c r="W109" i="14"/>
  <c r="AB109" i="14"/>
  <c r="X109" i="14"/>
  <c r="AD118" i="14"/>
  <c r="AA118" i="14"/>
  <c r="U118" i="14"/>
  <c r="AC118" i="14"/>
  <c r="W118" i="14"/>
  <c r="AB118" i="14"/>
  <c r="T118" i="14"/>
  <c r="Y118" i="14"/>
  <c r="AB124" i="14"/>
  <c r="AE124" i="14"/>
  <c r="Z124" i="14"/>
  <c r="T124" i="14"/>
  <c r="Y124" i="14"/>
  <c r="AD124" i="14"/>
  <c r="W124" i="14"/>
  <c r="AC124" i="14"/>
  <c r="Z168" i="14"/>
  <c r="AD168" i="14"/>
  <c r="AD170" i="14"/>
  <c r="AE170" i="14"/>
  <c r="Y170" i="14"/>
  <c r="T170" i="14"/>
  <c r="AC170" i="14"/>
  <c r="W170" i="14"/>
  <c r="AB170" i="14"/>
  <c r="R170" i="14"/>
  <c r="U170" i="14"/>
  <c r="AA170" i="14"/>
  <c r="AB191" i="14"/>
  <c r="AE237" i="14"/>
  <c r="AE250" i="14"/>
  <c r="AE267" i="14"/>
  <c r="X267" i="14"/>
  <c r="AC267" i="14"/>
  <c r="U267" i="14"/>
  <c r="AB267" i="14"/>
  <c r="Y267" i="14"/>
  <c r="T267" i="14"/>
  <c r="AD355" i="14"/>
  <c r="AE355" i="14"/>
  <c r="W355" i="14"/>
  <c r="AB355" i="14"/>
  <c r="T355" i="14"/>
  <c r="X355" i="14"/>
  <c r="R355" i="14"/>
  <c r="AA355" i="14"/>
  <c r="AD365" i="14"/>
  <c r="AE365" i="14"/>
  <c r="W365" i="14"/>
  <c r="AB365" i="14"/>
  <c r="T365" i="14"/>
  <c r="X365" i="14"/>
  <c r="R365" i="14"/>
  <c r="AA365" i="14"/>
  <c r="Z446" i="14"/>
  <c r="V446" i="14"/>
  <c r="AE446" i="14"/>
  <c r="AA446" i="14"/>
  <c r="U446" i="14"/>
  <c r="T29" i="14"/>
  <c r="AB34" i="14"/>
  <c r="Y34" i="14"/>
  <c r="T48" i="14"/>
  <c r="AE48" i="14"/>
  <c r="R50" i="14"/>
  <c r="AE50" i="14"/>
  <c r="T52" i="14"/>
  <c r="AC54" i="14"/>
  <c r="AB54" i="14"/>
  <c r="W54" i="14"/>
  <c r="AA54" i="14"/>
  <c r="V54" i="14"/>
  <c r="AD58" i="14"/>
  <c r="AA58" i="14"/>
  <c r="R58" i="14"/>
  <c r="X58" i="14"/>
  <c r="AD62" i="14"/>
  <c r="X62" i="14"/>
  <c r="AB62" i="14"/>
  <c r="R62" i="14"/>
  <c r="AA62" i="14"/>
  <c r="AB69" i="14"/>
  <c r="Y72" i="14"/>
  <c r="AD84" i="14"/>
  <c r="AE84" i="14"/>
  <c r="Y84" i="14"/>
  <c r="T84" i="14"/>
  <c r="AC84" i="14"/>
  <c r="W84" i="14"/>
  <c r="AB84" i="14"/>
  <c r="U84" i="14"/>
  <c r="Z93" i="14"/>
  <c r="AC24" i="14"/>
  <c r="Y29" i="14"/>
  <c r="AD32" i="14"/>
  <c r="AB32" i="14"/>
  <c r="W32" i="14"/>
  <c r="AA32" i="14"/>
  <c r="AC32" i="14"/>
  <c r="X39" i="14"/>
  <c r="Y40" i="14"/>
  <c r="AC44" i="14"/>
  <c r="Z47" i="14"/>
  <c r="X48" i="14"/>
  <c r="X50" i="14"/>
  <c r="X52" i="14"/>
  <c r="T54" i="14"/>
  <c r="AE54" i="14"/>
  <c r="G527" i="14"/>
  <c r="W57" i="14"/>
  <c r="AE58" i="14"/>
  <c r="W61" i="14"/>
  <c r="AC64" i="14"/>
  <c r="AB70" i="14"/>
  <c r="AC70" i="14"/>
  <c r="Y70" i="14"/>
  <c r="U70" i="14"/>
  <c r="Z72" i="14"/>
  <c r="AD83" i="14"/>
  <c r="V83" i="14"/>
  <c r="AE83" i="14"/>
  <c r="T83" i="14"/>
  <c r="AA83" i="14"/>
  <c r="R83" i="14"/>
  <c r="R84" i="14"/>
  <c r="T85" i="14"/>
  <c r="AD88" i="14"/>
  <c r="AE88" i="14"/>
  <c r="Y88" i="14"/>
  <c r="T88" i="14"/>
  <c r="AB88" i="14"/>
  <c r="U88" i="14"/>
  <c r="AA88" i="14"/>
  <c r="R88" i="14"/>
  <c r="AB89" i="14"/>
  <c r="V89" i="14"/>
  <c r="Z91" i="14"/>
  <c r="AA92" i="14"/>
  <c r="AB93" i="14"/>
  <c r="X96" i="14"/>
  <c r="AD99" i="14"/>
  <c r="V99" i="14"/>
  <c r="AE99" i="14"/>
  <c r="T99" i="14"/>
  <c r="R99" i="14"/>
  <c r="AA99" i="14"/>
  <c r="R100" i="14"/>
  <c r="T101" i="14"/>
  <c r="AD104" i="14"/>
  <c r="AE104" i="14"/>
  <c r="Y104" i="14"/>
  <c r="T104" i="14"/>
  <c r="AB104" i="14"/>
  <c r="U104" i="14"/>
  <c r="R104" i="14"/>
  <c r="AA104" i="14"/>
  <c r="AB105" i="14"/>
  <c r="V105" i="14"/>
  <c r="X118" i="14"/>
  <c r="AA124" i="14"/>
  <c r="AE130" i="14"/>
  <c r="V130" i="14"/>
  <c r="AA130" i="14"/>
  <c r="W130" i="14"/>
  <c r="R130" i="14"/>
  <c r="AD140" i="14"/>
  <c r="AC140" i="14"/>
  <c r="X140" i="14"/>
  <c r="R140" i="14"/>
  <c r="AE140" i="14"/>
  <c r="W140" i="14"/>
  <c r="AB140" i="14"/>
  <c r="U140" i="14"/>
  <c r="AA140" i="14"/>
  <c r="T140" i="14"/>
  <c r="AD156" i="14"/>
  <c r="AB171" i="14"/>
  <c r="AC171" i="14"/>
  <c r="U171" i="14"/>
  <c r="Y171" i="14"/>
  <c r="AD287" i="14"/>
  <c r="W287" i="14"/>
  <c r="R287" i="14"/>
  <c r="AA287" i="14"/>
  <c r="AE287" i="14"/>
  <c r="AE293" i="14"/>
  <c r="AC293" i="14"/>
  <c r="U293" i="14"/>
  <c r="X293" i="14"/>
  <c r="T293" i="14"/>
  <c r="AB293" i="14"/>
  <c r="Y293" i="14"/>
  <c r="AD329" i="14"/>
  <c r="AB329" i="14"/>
  <c r="T329" i="14"/>
  <c r="AA329" i="14"/>
  <c r="R329" i="14"/>
  <c r="X329" i="14"/>
  <c r="W329" i="14"/>
  <c r="AE329" i="14"/>
  <c r="AD361" i="14"/>
  <c r="AB361" i="14"/>
  <c r="T361" i="14"/>
  <c r="AA361" i="14"/>
  <c r="R361" i="14"/>
  <c r="AE361" i="14"/>
  <c r="X361" i="14"/>
  <c r="W361" i="14"/>
  <c r="AA131" i="14"/>
  <c r="AD134" i="14"/>
  <c r="AD142" i="14"/>
  <c r="R142" i="14"/>
  <c r="AE146" i="14"/>
  <c r="V146" i="14"/>
  <c r="AD146" i="14"/>
  <c r="AA158" i="14"/>
  <c r="AA161" i="14"/>
  <c r="AD173" i="14"/>
  <c r="AA173" i="14"/>
  <c r="R173" i="14"/>
  <c r="AD180" i="14"/>
  <c r="AB180" i="14"/>
  <c r="T180" i="14"/>
  <c r="AD199" i="14"/>
  <c r="AC199" i="14"/>
  <c r="X199" i="14"/>
  <c r="R199" i="14"/>
  <c r="AB200" i="14"/>
  <c r="Y200" i="14"/>
  <c r="AD216" i="14"/>
  <c r="AE216" i="14"/>
  <c r="W216" i="14"/>
  <c r="AB216" i="14"/>
  <c r="T216" i="14"/>
  <c r="AD217" i="14"/>
  <c r="AA217" i="14"/>
  <c r="U217" i="14"/>
  <c r="AE217" i="14"/>
  <c r="Y217" i="14"/>
  <c r="T217" i="14"/>
  <c r="AD223" i="14"/>
  <c r="AB223" i="14"/>
  <c r="T223" i="14"/>
  <c r="AA223" i="14"/>
  <c r="R223" i="14"/>
  <c r="AD224" i="14"/>
  <c r="AE224" i="14"/>
  <c r="Y224" i="14"/>
  <c r="T224" i="14"/>
  <c r="AC224" i="14"/>
  <c r="X224" i="14"/>
  <c r="R224" i="14"/>
  <c r="AB224" i="14"/>
  <c r="AD243" i="14"/>
  <c r="V243" i="14"/>
  <c r="AA243" i="14"/>
  <c r="T243" i="14"/>
  <c r="AD247" i="14"/>
  <c r="AE247" i="14"/>
  <c r="Y247" i="14"/>
  <c r="T247" i="14"/>
  <c r="AC247" i="14"/>
  <c r="X247" i="14"/>
  <c r="R247" i="14"/>
  <c r="AB255" i="14"/>
  <c r="AE269" i="14"/>
  <c r="W269" i="14"/>
  <c r="AD296" i="14"/>
  <c r="AA296" i="14"/>
  <c r="U296" i="14"/>
  <c r="AB296" i="14"/>
  <c r="T296" i="14"/>
  <c r="Y296" i="14"/>
  <c r="R296" i="14"/>
  <c r="AE296" i="14"/>
  <c r="AD307" i="14"/>
  <c r="AC307" i="14"/>
  <c r="X307" i="14"/>
  <c r="R307" i="14"/>
  <c r="AE307" i="14"/>
  <c r="W307" i="14"/>
  <c r="AB307" i="14"/>
  <c r="U307" i="14"/>
  <c r="AD379" i="14"/>
  <c r="AA379" i="14"/>
  <c r="U379" i="14"/>
  <c r="AE379" i="14"/>
  <c r="Y379" i="14"/>
  <c r="T379" i="14"/>
  <c r="W379" i="14"/>
  <c r="AC379" i="14"/>
  <c r="R379" i="14"/>
  <c r="AD472" i="14"/>
  <c r="W472" i="14"/>
  <c r="AA472" i="14"/>
  <c r="R472" i="14"/>
  <c r="AE472" i="14"/>
  <c r="T24" i="14"/>
  <c r="T27" i="14"/>
  <c r="T32" i="14"/>
  <c r="Y33" i="14"/>
  <c r="T35" i="14"/>
  <c r="T39" i="14"/>
  <c r="Y43" i="14"/>
  <c r="T45" i="14"/>
  <c r="X49" i="14"/>
  <c r="AD49" i="14"/>
  <c r="X51" i="14"/>
  <c r="AD53" i="14"/>
  <c r="Y55" i="14"/>
  <c r="AE55" i="14"/>
  <c r="W59" i="14"/>
  <c r="AB74" i="14"/>
  <c r="AC74" i="14"/>
  <c r="AD76" i="14"/>
  <c r="AE76" i="14"/>
  <c r="Y76" i="14"/>
  <c r="T76" i="14"/>
  <c r="AE77" i="14"/>
  <c r="X77" i="14"/>
  <c r="AD80" i="14"/>
  <c r="AC80" i="14"/>
  <c r="X80" i="14"/>
  <c r="R80" i="14"/>
  <c r="AE86" i="14"/>
  <c r="AE94" i="14"/>
  <c r="AE102" i="14"/>
  <c r="X111" i="14"/>
  <c r="AB116" i="14"/>
  <c r="AA116" i="14"/>
  <c r="AE116" i="14"/>
  <c r="V122" i="14"/>
  <c r="V142" i="14"/>
  <c r="R158" i="14"/>
  <c r="R161" i="14"/>
  <c r="AD169" i="14"/>
  <c r="AB169" i="14"/>
  <c r="T169" i="14"/>
  <c r="AA169" i="14"/>
  <c r="T173" i="14"/>
  <c r="AE173" i="14"/>
  <c r="R180" i="14"/>
  <c r="AE180" i="14"/>
  <c r="AD185" i="14"/>
  <c r="AC185" i="14"/>
  <c r="X185" i="14"/>
  <c r="R185" i="14"/>
  <c r="Y185" i="14"/>
  <c r="AB186" i="14"/>
  <c r="Y186" i="14"/>
  <c r="Z187" i="14"/>
  <c r="AD192" i="14"/>
  <c r="AC192" i="14"/>
  <c r="X192" i="14"/>
  <c r="R192" i="14"/>
  <c r="Y192" i="14"/>
  <c r="AB193" i="14"/>
  <c r="Y193" i="14"/>
  <c r="AE195" i="14"/>
  <c r="AB195" i="14"/>
  <c r="R195" i="14"/>
  <c r="AC195" i="14"/>
  <c r="T199" i="14"/>
  <c r="AA199" i="14"/>
  <c r="U200" i="14"/>
  <c r="AB203" i="14"/>
  <c r="Y203" i="14"/>
  <c r="Z207" i="14"/>
  <c r="AB210" i="14"/>
  <c r="Y210" i="14"/>
  <c r="U210" i="14"/>
  <c r="R216" i="14"/>
  <c r="R217" i="14"/>
  <c r="AC217" i="14"/>
  <c r="W223" i="14"/>
  <c r="U224" i="14"/>
  <c r="AB225" i="14"/>
  <c r="AC225" i="14"/>
  <c r="Y225" i="14"/>
  <c r="AD227" i="14"/>
  <c r="AE227" i="14"/>
  <c r="W227" i="14"/>
  <c r="AB227" i="14"/>
  <c r="T227" i="14"/>
  <c r="AD228" i="14"/>
  <c r="AA228" i="14"/>
  <c r="U228" i="14"/>
  <c r="AE228" i="14"/>
  <c r="Y228" i="14"/>
  <c r="T228" i="14"/>
  <c r="AB228" i="14"/>
  <c r="AD240" i="14"/>
  <c r="AA240" i="14"/>
  <c r="U240" i="14"/>
  <c r="AE240" i="14"/>
  <c r="Y240" i="14"/>
  <c r="T240" i="14"/>
  <c r="AB240" i="14"/>
  <c r="AA242" i="14"/>
  <c r="AE242" i="14"/>
  <c r="U242" i="14"/>
  <c r="AD242" i="14"/>
  <c r="R242" i="14"/>
  <c r="R243" i="14"/>
  <c r="AE244" i="14"/>
  <c r="Z244" i="14"/>
  <c r="T244" i="14"/>
  <c r="AD244" i="14"/>
  <c r="R244" i="14"/>
  <c r="AB244" i="14"/>
  <c r="U247" i="14"/>
  <c r="R255" i="14"/>
  <c r="AD259" i="14"/>
  <c r="AA259" i="14"/>
  <c r="U259" i="14"/>
  <c r="AE259" i="14"/>
  <c r="Y259" i="14"/>
  <c r="T259" i="14"/>
  <c r="AB259" i="14"/>
  <c r="AD270" i="14"/>
  <c r="AA270" i="14"/>
  <c r="U270" i="14"/>
  <c r="AE270" i="14"/>
  <c r="Y270" i="14"/>
  <c r="T270" i="14"/>
  <c r="AB270" i="14"/>
  <c r="Y279" i="14"/>
  <c r="V279" i="14"/>
  <c r="U279" i="14"/>
  <c r="AD284" i="14"/>
  <c r="AA284" i="14"/>
  <c r="U284" i="14"/>
  <c r="AE284" i="14"/>
  <c r="Y284" i="14"/>
  <c r="T284" i="14"/>
  <c r="AB284" i="14"/>
  <c r="AD291" i="14"/>
  <c r="W291" i="14"/>
  <c r="AA291" i="14"/>
  <c r="R291" i="14"/>
  <c r="W296" i="14"/>
  <c r="T307" i="14"/>
  <c r="AD319" i="14"/>
  <c r="AE319" i="14"/>
  <c r="Y319" i="14"/>
  <c r="T319" i="14"/>
  <c r="AC319" i="14"/>
  <c r="W319" i="14"/>
  <c r="AB319" i="14"/>
  <c r="U319" i="14"/>
  <c r="AE330" i="14"/>
  <c r="Y330" i="14"/>
  <c r="T330" i="14"/>
  <c r="AD330" i="14"/>
  <c r="X330" i="14"/>
  <c r="R330" i="14"/>
  <c r="W330" i="14"/>
  <c r="U330" i="14"/>
  <c r="AD356" i="14"/>
  <c r="AA356" i="14"/>
  <c r="U356" i="14"/>
  <c r="AE356" i="14"/>
  <c r="Y356" i="14"/>
  <c r="T356" i="14"/>
  <c r="W356" i="14"/>
  <c r="AC356" i="14"/>
  <c r="R356" i="14"/>
  <c r="AD362" i="14"/>
  <c r="AE362" i="14"/>
  <c r="Y362" i="14"/>
  <c r="T362" i="14"/>
  <c r="AC362" i="14"/>
  <c r="X362" i="14"/>
  <c r="R362" i="14"/>
  <c r="AA362" i="14"/>
  <c r="W362" i="14"/>
  <c r="AD366" i="14"/>
  <c r="AA366" i="14"/>
  <c r="U366" i="14"/>
  <c r="AE366" i="14"/>
  <c r="Y366" i="14"/>
  <c r="T366" i="14"/>
  <c r="W366" i="14"/>
  <c r="AC366" i="14"/>
  <c r="R366" i="14"/>
  <c r="AA370" i="14"/>
  <c r="AE370" i="14"/>
  <c r="T370" i="14"/>
  <c r="AD370" i="14"/>
  <c r="R370" i="14"/>
  <c r="Z370" i="14"/>
  <c r="X379" i="14"/>
  <c r="AD418" i="14"/>
  <c r="AA418" i="14"/>
  <c r="W418" i="14"/>
  <c r="AE418" i="14"/>
  <c r="R418" i="14"/>
  <c r="AD131" i="14"/>
  <c r="AE131" i="14"/>
  <c r="W131" i="14"/>
  <c r="AD158" i="14"/>
  <c r="AE158" i="14"/>
  <c r="W158" i="14"/>
  <c r="AD161" i="14"/>
  <c r="AB161" i="14"/>
  <c r="T161" i="14"/>
  <c r="AB167" i="14"/>
  <c r="U167" i="14"/>
  <c r="AB173" i="14"/>
  <c r="AA180" i="14"/>
  <c r="AE202" i="14"/>
  <c r="AB202" i="14"/>
  <c r="R202" i="14"/>
  <c r="AC202" i="14"/>
  <c r="AB221" i="14"/>
  <c r="Y221" i="14"/>
  <c r="U221" i="14"/>
  <c r="AB247" i="14"/>
  <c r="AD255" i="14"/>
  <c r="AA255" i="14"/>
  <c r="U255" i="14"/>
  <c r="AE255" i="14"/>
  <c r="Y255" i="14"/>
  <c r="T255" i="14"/>
  <c r="AE289" i="14"/>
  <c r="Y289" i="14"/>
  <c r="U289" i="14"/>
  <c r="AC289" i="14"/>
  <c r="T289" i="14"/>
  <c r="V308" i="14"/>
  <c r="AA308" i="14"/>
  <c r="Z308" i="14"/>
  <c r="AD327" i="14"/>
  <c r="X327" i="14"/>
  <c r="AB363" i="14"/>
  <c r="AC363" i="14"/>
  <c r="Y363" i="14"/>
  <c r="U363" i="14"/>
  <c r="AD382" i="14"/>
  <c r="AA382" i="14"/>
  <c r="U382" i="14"/>
  <c r="AE382" i="14"/>
  <c r="Y382" i="14"/>
  <c r="T382" i="14"/>
  <c r="X382" i="14"/>
  <c r="W382" i="14"/>
  <c r="Y23" i="14"/>
  <c r="T34" i="14"/>
  <c r="T44" i="14"/>
  <c r="AD51" i="14"/>
  <c r="AE59" i="14"/>
  <c r="AB77" i="14"/>
  <c r="AD111" i="14"/>
  <c r="AA111" i="14"/>
  <c r="U111" i="14"/>
  <c r="Y116" i="14"/>
  <c r="AC128" i="14"/>
  <c r="U128" i="14"/>
  <c r="R131" i="14"/>
  <c r="R134" i="14"/>
  <c r="AE134" i="14"/>
  <c r="AD139" i="14"/>
  <c r="AA139" i="14"/>
  <c r="R139" i="14"/>
  <c r="AD143" i="14"/>
  <c r="AB143" i="14"/>
  <c r="T143" i="14"/>
  <c r="R146" i="14"/>
  <c r="AB23" i="14"/>
  <c r="T25" i="14"/>
  <c r="T26" i="14"/>
  <c r="Y28" i="14"/>
  <c r="AE28" i="14"/>
  <c r="AB33" i="14"/>
  <c r="AB43" i="14"/>
  <c r="Y46" i="14"/>
  <c r="AE46" i="14"/>
  <c r="T49" i="14"/>
  <c r="Z49" i="14"/>
  <c r="AE49" i="14"/>
  <c r="T51" i="14"/>
  <c r="Z51" i="14"/>
  <c r="AE51" i="14"/>
  <c r="T53" i="14"/>
  <c r="Z53" i="14"/>
  <c r="AE53" i="14"/>
  <c r="T55" i="14"/>
  <c r="AA55" i="14"/>
  <c r="W56" i="14"/>
  <c r="AE56" i="14"/>
  <c r="X59" i="14"/>
  <c r="W60" i="14"/>
  <c r="AE60" i="14"/>
  <c r="AD66" i="14"/>
  <c r="AA66" i="14"/>
  <c r="U66" i="14"/>
  <c r="X66" i="14"/>
  <c r="AE66" i="14"/>
  <c r="U74" i="14"/>
  <c r="R76" i="14"/>
  <c r="AA76" i="14"/>
  <c r="T77" i="14"/>
  <c r="AC77" i="14"/>
  <c r="T80" i="14"/>
  <c r="AA80" i="14"/>
  <c r="U86" i="14"/>
  <c r="U94" i="14"/>
  <c r="U102" i="14"/>
  <c r="R111" i="14"/>
  <c r="Y111" i="14"/>
  <c r="AC115" i="14"/>
  <c r="AD115" i="14"/>
  <c r="X115" i="14"/>
  <c r="AA115" i="14"/>
  <c r="T116" i="14"/>
  <c r="Z116" i="14"/>
  <c r="AE120" i="14"/>
  <c r="Z122" i="14"/>
  <c r="T128" i="14"/>
  <c r="T131" i="14"/>
  <c r="AD132" i="14"/>
  <c r="AA132" i="14"/>
  <c r="U132" i="14"/>
  <c r="X132" i="14"/>
  <c r="AE132" i="14"/>
  <c r="V134" i="14"/>
  <c r="T139" i="14"/>
  <c r="AE139" i="14"/>
  <c r="W142" i="14"/>
  <c r="R143" i="14"/>
  <c r="AE143" i="14"/>
  <c r="W146" i="14"/>
  <c r="AB149" i="14"/>
  <c r="AA149" i="14"/>
  <c r="T149" i="14"/>
  <c r="Z149" i="14"/>
  <c r="T158" i="14"/>
  <c r="AD159" i="14"/>
  <c r="AA159" i="14"/>
  <c r="U159" i="14"/>
  <c r="X159" i="14"/>
  <c r="AE159" i="14"/>
  <c r="W161" i="14"/>
  <c r="AD162" i="14"/>
  <c r="AE162" i="14"/>
  <c r="Y162" i="14"/>
  <c r="T162" i="14"/>
  <c r="X162" i="14"/>
  <c r="AB163" i="14"/>
  <c r="AC163" i="14"/>
  <c r="AC167" i="14"/>
  <c r="R169" i="14"/>
  <c r="AE169" i="14"/>
  <c r="W173" i="14"/>
  <c r="AD174" i="14"/>
  <c r="AC174" i="14"/>
  <c r="X174" i="14"/>
  <c r="R174" i="14"/>
  <c r="Y174" i="14"/>
  <c r="AB175" i="14"/>
  <c r="Y175" i="14"/>
  <c r="Z176" i="14"/>
  <c r="W180" i="14"/>
  <c r="AD181" i="14"/>
  <c r="AE181" i="14"/>
  <c r="Y181" i="14"/>
  <c r="T181" i="14"/>
  <c r="X181" i="14"/>
  <c r="AB182" i="14"/>
  <c r="AC182" i="14"/>
  <c r="Z183" i="14"/>
  <c r="T185" i="14"/>
  <c r="AA185" i="14"/>
  <c r="U186" i="14"/>
  <c r="T192" i="14"/>
  <c r="AA192" i="14"/>
  <c r="U193" i="14"/>
  <c r="T195" i="14"/>
  <c r="AB196" i="14"/>
  <c r="Y196" i="14"/>
  <c r="AD198" i="14"/>
  <c r="AA198" i="14"/>
  <c r="R198" i="14"/>
  <c r="AB198" i="14"/>
  <c r="U199" i="14"/>
  <c r="AB199" i="14"/>
  <c r="AC200" i="14"/>
  <c r="U203" i="14"/>
  <c r="AC210" i="14"/>
  <c r="X216" i="14"/>
  <c r="W217" i="14"/>
  <c r="Z222" i="14"/>
  <c r="V222" i="14"/>
  <c r="X223" i="14"/>
  <c r="W224" i="14"/>
  <c r="U225" i="14"/>
  <c r="R227" i="14"/>
  <c r="R228" i="14"/>
  <c r="AC228" i="14"/>
  <c r="AC234" i="14"/>
  <c r="U234" i="14"/>
  <c r="AB234" i="14"/>
  <c r="R234" i="14"/>
  <c r="AD239" i="14"/>
  <c r="U239" i="14"/>
  <c r="AB239" i="14"/>
  <c r="T239" i="14"/>
  <c r="R240" i="14"/>
  <c r="AC240" i="14"/>
  <c r="Y242" i="14"/>
  <c r="X243" i="14"/>
  <c r="U244" i="14"/>
  <c r="AC244" i="14"/>
  <c r="W247" i="14"/>
  <c r="AB252" i="14"/>
  <c r="U252" i="14"/>
  <c r="Z252" i="14"/>
  <c r="T252" i="14"/>
  <c r="W255" i="14"/>
  <c r="R259" i="14"/>
  <c r="AC259" i="14"/>
  <c r="AD266" i="14"/>
  <c r="AE266" i="14"/>
  <c r="Y266" i="14"/>
  <c r="T266" i="14"/>
  <c r="AC266" i="14"/>
  <c r="X266" i="14"/>
  <c r="R266" i="14"/>
  <c r="AB266" i="14"/>
  <c r="R270" i="14"/>
  <c r="AC270" i="14"/>
  <c r="AC279" i="14"/>
  <c r="R284" i="14"/>
  <c r="AC284" i="14"/>
  <c r="AB289" i="14"/>
  <c r="AE291" i="14"/>
  <c r="X296" i="14"/>
  <c r="AD306" i="14"/>
  <c r="W306" i="14"/>
  <c r="AE306" i="14"/>
  <c r="AA306" i="14"/>
  <c r="Y307" i="14"/>
  <c r="AE308" i="14"/>
  <c r="R319" i="14"/>
  <c r="X320" i="14"/>
  <c r="AB330" i="14"/>
  <c r="X356" i="14"/>
  <c r="U362" i="14"/>
  <c r="X366" i="14"/>
  <c r="X370" i="14"/>
  <c r="AD375" i="14"/>
  <c r="AE375" i="14"/>
  <c r="Y375" i="14"/>
  <c r="T375" i="14"/>
  <c r="AC375" i="14"/>
  <c r="X375" i="14"/>
  <c r="R375" i="14"/>
  <c r="W375" i="14"/>
  <c r="U375" i="14"/>
  <c r="AB379" i="14"/>
  <c r="AB382" i="14"/>
  <c r="X205" i="14"/>
  <c r="AC206" i="14"/>
  <c r="X208" i="14"/>
  <c r="W209" i="14"/>
  <c r="AB209" i="14"/>
  <c r="Z236" i="14"/>
  <c r="W238" i="14"/>
  <c r="AB238" i="14"/>
  <c r="Z249" i="14"/>
  <c r="W251" i="14"/>
  <c r="AB251" i="14"/>
  <c r="AD261" i="14"/>
  <c r="AD264" i="14"/>
  <c r="Y274" i="14"/>
  <c r="AD276" i="14"/>
  <c r="Y278" i="14"/>
  <c r="AE280" i="14"/>
  <c r="W288" i="14"/>
  <c r="AB288" i="14"/>
  <c r="AD299" i="14"/>
  <c r="W299" i="14"/>
  <c r="AD300" i="14"/>
  <c r="AC300" i="14"/>
  <c r="X300" i="14"/>
  <c r="R300" i="14"/>
  <c r="Y300" i="14"/>
  <c r="AE301" i="14"/>
  <c r="AC301" i="14"/>
  <c r="U301" i="14"/>
  <c r="AB301" i="14"/>
  <c r="AD305" i="14"/>
  <c r="V305" i="14"/>
  <c r="AD313" i="14"/>
  <c r="AA313" i="14"/>
  <c r="U313" i="14"/>
  <c r="X313" i="14"/>
  <c r="AE313" i="14"/>
  <c r="AD328" i="14"/>
  <c r="W328" i="14"/>
  <c r="AD336" i="14"/>
  <c r="AE336" i="14"/>
  <c r="W336" i="14"/>
  <c r="AB336" i="14"/>
  <c r="T336" i="14"/>
  <c r="AD337" i="14"/>
  <c r="AA337" i="14"/>
  <c r="U337" i="14"/>
  <c r="AE337" i="14"/>
  <c r="Y337" i="14"/>
  <c r="T337" i="14"/>
  <c r="AB337" i="14"/>
  <c r="AD340" i="14"/>
  <c r="AB340" i="14"/>
  <c r="T340" i="14"/>
  <c r="AA340" i="14"/>
  <c r="R340" i="14"/>
  <c r="AD341" i="14"/>
  <c r="AE341" i="14"/>
  <c r="Y341" i="14"/>
  <c r="T341" i="14"/>
  <c r="AC341" i="14"/>
  <c r="X341" i="14"/>
  <c r="R341" i="14"/>
  <c r="AB341" i="14"/>
  <c r="AD347" i="14"/>
  <c r="AB347" i="14"/>
  <c r="T347" i="14"/>
  <c r="AA347" i="14"/>
  <c r="R347" i="14"/>
  <c r="AD348" i="14"/>
  <c r="AE348" i="14"/>
  <c r="Y348" i="14"/>
  <c r="T348" i="14"/>
  <c r="AC348" i="14"/>
  <c r="X348" i="14"/>
  <c r="R348" i="14"/>
  <c r="AB348" i="14"/>
  <c r="AA373" i="14"/>
  <c r="U373" i="14"/>
  <c r="Z373" i="14"/>
  <c r="R373" i="14"/>
  <c r="AE373" i="14"/>
  <c r="AA378" i="14"/>
  <c r="AE378" i="14"/>
  <c r="T378" i="14"/>
  <c r="AD378" i="14"/>
  <c r="R378" i="14"/>
  <c r="AE422" i="14"/>
  <c r="AA422" i="14"/>
  <c r="W422" i="14"/>
  <c r="R422" i="14"/>
  <c r="AD433" i="14"/>
  <c r="AA433" i="14"/>
  <c r="U433" i="14"/>
  <c r="AE433" i="14"/>
  <c r="Y433" i="14"/>
  <c r="T433" i="14"/>
  <c r="W433" i="14"/>
  <c r="AC433" i="14"/>
  <c r="R433" i="14"/>
  <c r="AD445" i="14"/>
  <c r="V445" i="14"/>
  <c r="AB445" i="14"/>
  <c r="U445" i="14"/>
  <c r="Z445" i="14"/>
  <c r="Y445" i="14"/>
  <c r="Z508" i="14"/>
  <c r="V508" i="14"/>
  <c r="AA508" i="14"/>
  <c r="W514" i="14"/>
  <c r="AE514" i="14"/>
  <c r="V514" i="14"/>
  <c r="AA514" i="14"/>
  <c r="R514" i="14"/>
  <c r="AD523" i="14"/>
  <c r="AE523" i="14"/>
  <c r="W523" i="14"/>
  <c r="AB523" i="14"/>
  <c r="T523" i="14"/>
  <c r="X523" i="14"/>
  <c r="R523" i="14"/>
  <c r="AA523" i="14"/>
  <c r="W63" i="14"/>
  <c r="AE63" i="14"/>
  <c r="W67" i="14"/>
  <c r="AE67" i="14"/>
  <c r="AA79" i="14"/>
  <c r="Y107" i="14"/>
  <c r="AD107" i="14"/>
  <c r="W121" i="14"/>
  <c r="AB121" i="14"/>
  <c r="X135" i="14"/>
  <c r="W136" i="14"/>
  <c r="AB136" i="14"/>
  <c r="Z150" i="14"/>
  <c r="X152" i="14"/>
  <c r="W153" i="14"/>
  <c r="AB153" i="14"/>
  <c r="X165" i="14"/>
  <c r="W166" i="14"/>
  <c r="AB166" i="14"/>
  <c r="X177" i="14"/>
  <c r="X188" i="14"/>
  <c r="AC189" i="14"/>
  <c r="R205" i="14"/>
  <c r="AA205" i="14"/>
  <c r="R206" i="14"/>
  <c r="Y206" i="14"/>
  <c r="AD206" i="14"/>
  <c r="R208" i="14"/>
  <c r="AA208" i="14"/>
  <c r="R209" i="14"/>
  <c r="X209" i="14"/>
  <c r="AC209" i="14"/>
  <c r="X212" i="14"/>
  <c r="W213" i="14"/>
  <c r="AB213" i="14"/>
  <c r="U214" i="14"/>
  <c r="Z215" i="14"/>
  <c r="Z233" i="14"/>
  <c r="R236" i="14"/>
  <c r="AD236" i="14"/>
  <c r="R238" i="14"/>
  <c r="X238" i="14"/>
  <c r="AC238" i="14"/>
  <c r="R249" i="14"/>
  <c r="AD249" i="14"/>
  <c r="R251" i="14"/>
  <c r="X251" i="14"/>
  <c r="AC251" i="14"/>
  <c r="Y256" i="14"/>
  <c r="AD258" i="14"/>
  <c r="Y260" i="14"/>
  <c r="U261" i="14"/>
  <c r="U264" i="14"/>
  <c r="W273" i="14"/>
  <c r="AB273" i="14"/>
  <c r="T274" i="14"/>
  <c r="AB274" i="14"/>
  <c r="R276" i="14"/>
  <c r="W277" i="14"/>
  <c r="AB277" i="14"/>
  <c r="T278" i="14"/>
  <c r="AB278" i="14"/>
  <c r="W281" i="14"/>
  <c r="AC281" i="14"/>
  <c r="Y285" i="14"/>
  <c r="V286" i="14"/>
  <c r="R288" i="14"/>
  <c r="X288" i="14"/>
  <c r="AC288" i="14"/>
  <c r="AD290" i="14"/>
  <c r="V290" i="14"/>
  <c r="V294" i="14"/>
  <c r="R299" i="14"/>
  <c r="T300" i="14"/>
  <c r="AA300" i="14"/>
  <c r="T301" i="14"/>
  <c r="AD303" i="14"/>
  <c r="AA303" i="14"/>
  <c r="U303" i="14"/>
  <c r="X303" i="14"/>
  <c r="AE303" i="14"/>
  <c r="Z305" i="14"/>
  <c r="V310" i="14"/>
  <c r="AA312" i="14"/>
  <c r="AD312" i="14"/>
  <c r="R313" i="14"/>
  <c r="Y313" i="14"/>
  <c r="AE317" i="14"/>
  <c r="U317" i="14"/>
  <c r="AD322" i="14"/>
  <c r="AA322" i="14"/>
  <c r="U322" i="14"/>
  <c r="AE322" i="14"/>
  <c r="Y322" i="14"/>
  <c r="X322" i="14"/>
  <c r="V328" i="14"/>
  <c r="AD332" i="14"/>
  <c r="AE332" i="14"/>
  <c r="W332" i="14"/>
  <c r="AB332" i="14"/>
  <c r="T332" i="14"/>
  <c r="AD333" i="14"/>
  <c r="AA333" i="14"/>
  <c r="U333" i="14"/>
  <c r="AE333" i="14"/>
  <c r="Y333" i="14"/>
  <c r="T333" i="14"/>
  <c r="AB333" i="14"/>
  <c r="R336" i="14"/>
  <c r="R337" i="14"/>
  <c r="AC337" i="14"/>
  <c r="W340" i="14"/>
  <c r="U341" i="14"/>
  <c r="AD342" i="14"/>
  <c r="Y342" i="14"/>
  <c r="W347" i="14"/>
  <c r="U348" i="14"/>
  <c r="Y349" i="14"/>
  <c r="AC349" i="14"/>
  <c r="AD358" i="14"/>
  <c r="AE358" i="14"/>
  <c r="W358" i="14"/>
  <c r="AB358" i="14"/>
  <c r="T358" i="14"/>
  <c r="AE359" i="14"/>
  <c r="U359" i="14"/>
  <c r="Y359" i="14"/>
  <c r="T359" i="14"/>
  <c r="AD364" i="14"/>
  <c r="Z364" i="14"/>
  <c r="AD371" i="14"/>
  <c r="AA371" i="14"/>
  <c r="U371" i="14"/>
  <c r="AE371" i="14"/>
  <c r="Y371" i="14"/>
  <c r="T371" i="14"/>
  <c r="AB371" i="14"/>
  <c r="AC391" i="14"/>
  <c r="W391" i="14"/>
  <c r="AD415" i="14"/>
  <c r="AA415" i="14"/>
  <c r="W415" i="14"/>
  <c r="AE415" i="14"/>
  <c r="AE420" i="14"/>
  <c r="X420" i="14"/>
  <c r="AC420" i="14"/>
  <c r="U420" i="14"/>
  <c r="AB420" i="14"/>
  <c r="Y420" i="14"/>
  <c r="U454" i="14"/>
  <c r="Z454" i="14"/>
  <c r="V454" i="14"/>
  <c r="AA454" i="14"/>
  <c r="AD470" i="14"/>
  <c r="AC470" i="14"/>
  <c r="X470" i="14"/>
  <c r="R470" i="14"/>
  <c r="AB470" i="14"/>
  <c r="U470" i="14"/>
  <c r="AA470" i="14"/>
  <c r="T470" i="14"/>
  <c r="AE470" i="14"/>
  <c r="Y470" i="14"/>
  <c r="Z480" i="14"/>
  <c r="AD485" i="14"/>
  <c r="AA485" i="14"/>
  <c r="U485" i="14"/>
  <c r="AB485" i="14"/>
  <c r="T485" i="14"/>
  <c r="Y485" i="14"/>
  <c r="R485" i="14"/>
  <c r="X485" i="14"/>
  <c r="W485" i="14"/>
  <c r="T508" i="14"/>
  <c r="AD514" i="14"/>
  <c r="V517" i="14"/>
  <c r="AD517" i="14"/>
  <c r="U517" i="14"/>
  <c r="AC517" i="14"/>
  <c r="Y517" i="14"/>
  <c r="W326" i="14"/>
  <c r="AB326" i="14"/>
  <c r="X344" i="14"/>
  <c r="W345" i="14"/>
  <c r="AB345" i="14"/>
  <c r="W368" i="14"/>
  <c r="AC368" i="14"/>
  <c r="Z384" i="14"/>
  <c r="AB387" i="14"/>
  <c r="AD393" i="14"/>
  <c r="AA393" i="14"/>
  <c r="W393" i="14"/>
  <c r="AC393" i="14"/>
  <c r="AD396" i="14"/>
  <c r="AC396" i="14"/>
  <c r="X396" i="14"/>
  <c r="R396" i="14"/>
  <c r="Y396" i="14"/>
  <c r="AE397" i="14"/>
  <c r="AC397" i="14"/>
  <c r="U397" i="14"/>
  <c r="AB397" i="14"/>
  <c r="AE401" i="14"/>
  <c r="AB401" i="14"/>
  <c r="T401" i="14"/>
  <c r="AC401" i="14"/>
  <c r="AE430" i="14"/>
  <c r="AA430" i="14"/>
  <c r="U430" i="14"/>
  <c r="Y430" i="14"/>
  <c r="T430" i="14"/>
  <c r="AB430" i="14"/>
  <c r="AD437" i="14"/>
  <c r="AA437" i="14"/>
  <c r="U437" i="14"/>
  <c r="AE437" i="14"/>
  <c r="Y437" i="14"/>
  <c r="T437" i="14"/>
  <c r="AB437" i="14"/>
  <c r="Y462" i="14"/>
  <c r="AC462" i="14"/>
  <c r="V462" i="14"/>
  <c r="AD469" i="14"/>
  <c r="W469" i="14"/>
  <c r="AA469" i="14"/>
  <c r="R469" i="14"/>
  <c r="AD473" i="14"/>
  <c r="AC473" i="14"/>
  <c r="X473" i="14"/>
  <c r="R473" i="14"/>
  <c r="AB473" i="14"/>
  <c r="U473" i="14"/>
  <c r="AA473" i="14"/>
  <c r="T473" i="14"/>
  <c r="AD474" i="14"/>
  <c r="AE474" i="14"/>
  <c r="Y474" i="14"/>
  <c r="T474" i="14"/>
  <c r="AB474" i="14"/>
  <c r="U474" i="14"/>
  <c r="AA474" i="14"/>
  <c r="R474" i="14"/>
  <c r="AE475" i="14"/>
  <c r="X475" i="14"/>
  <c r="U475" i="14"/>
  <c r="AC475" i="14"/>
  <c r="T475" i="14"/>
  <c r="AD497" i="14"/>
  <c r="AE497" i="14"/>
  <c r="Y497" i="14"/>
  <c r="T497" i="14"/>
  <c r="AC497" i="14"/>
  <c r="W497" i="14"/>
  <c r="AB497" i="14"/>
  <c r="U497" i="14"/>
  <c r="AE295" i="14"/>
  <c r="Y297" i="14"/>
  <c r="Y304" i="14"/>
  <c r="W309" i="14"/>
  <c r="AB309" i="14"/>
  <c r="W316" i="14"/>
  <c r="AB316" i="14"/>
  <c r="AE321" i="14"/>
  <c r="R326" i="14"/>
  <c r="X326" i="14"/>
  <c r="AC326" i="14"/>
  <c r="R344" i="14"/>
  <c r="AA344" i="14"/>
  <c r="R345" i="14"/>
  <c r="X345" i="14"/>
  <c r="AC345" i="14"/>
  <c r="X351" i="14"/>
  <c r="W352" i="14"/>
  <c r="AB352" i="14"/>
  <c r="U353" i="14"/>
  <c r="V354" i="14"/>
  <c r="AD357" i="14"/>
  <c r="V360" i="14"/>
  <c r="R368" i="14"/>
  <c r="X368" i="14"/>
  <c r="AD368" i="14"/>
  <c r="Z372" i="14"/>
  <c r="R384" i="14"/>
  <c r="AD384" i="14"/>
  <c r="W386" i="14"/>
  <c r="AB386" i="14"/>
  <c r="W389" i="14"/>
  <c r="AB389" i="14"/>
  <c r="Z392" i="14"/>
  <c r="R393" i="14"/>
  <c r="X393" i="14"/>
  <c r="AE393" i="14"/>
  <c r="T396" i="14"/>
  <c r="AA396" i="14"/>
  <c r="T397" i="14"/>
  <c r="U401" i="14"/>
  <c r="AD404" i="14"/>
  <c r="AE404" i="14"/>
  <c r="Y404" i="14"/>
  <c r="T404" i="14"/>
  <c r="X404" i="14"/>
  <c r="AE405" i="14"/>
  <c r="X405" i="14"/>
  <c r="AB405" i="14"/>
  <c r="AD407" i="14"/>
  <c r="W407" i="14"/>
  <c r="AD408" i="14"/>
  <c r="AC408" i="14"/>
  <c r="X408" i="14"/>
  <c r="R408" i="14"/>
  <c r="Y408" i="14"/>
  <c r="AE409" i="14"/>
  <c r="AC409" i="14"/>
  <c r="U409" i="14"/>
  <c r="AB409" i="14"/>
  <c r="AD414" i="14"/>
  <c r="Z414" i="14"/>
  <c r="V414" i="14"/>
  <c r="AD416" i="14"/>
  <c r="AE416" i="14"/>
  <c r="Y416" i="14"/>
  <c r="T416" i="14"/>
  <c r="AC416" i="14"/>
  <c r="X416" i="14"/>
  <c r="R416" i="14"/>
  <c r="AB416" i="14"/>
  <c r="AD419" i="14"/>
  <c r="AE419" i="14"/>
  <c r="Y419" i="14"/>
  <c r="T419" i="14"/>
  <c r="AC419" i="14"/>
  <c r="X419" i="14"/>
  <c r="R419" i="14"/>
  <c r="AB419" i="14"/>
  <c r="R430" i="14"/>
  <c r="R437" i="14"/>
  <c r="AC437" i="14"/>
  <c r="AD441" i="14"/>
  <c r="AA441" i="14"/>
  <c r="U441" i="14"/>
  <c r="AE441" i="14"/>
  <c r="Y441" i="14"/>
  <c r="T441" i="14"/>
  <c r="AB441" i="14"/>
  <c r="AA450" i="14"/>
  <c r="R450" i="14"/>
  <c r="AD450" i="14"/>
  <c r="AE460" i="14"/>
  <c r="AB460" i="14"/>
  <c r="T460" i="14"/>
  <c r="X460" i="14"/>
  <c r="U460" i="14"/>
  <c r="U462" i="14"/>
  <c r="AE469" i="14"/>
  <c r="W473" i="14"/>
  <c r="W474" i="14"/>
  <c r="Y475" i="14"/>
  <c r="R497" i="14"/>
  <c r="X498" i="14"/>
  <c r="AD502" i="14"/>
  <c r="Y502" i="14"/>
  <c r="T502" i="14"/>
  <c r="AC502" i="14"/>
  <c r="X502" i="14"/>
  <c r="R502" i="14"/>
  <c r="W502" i="14"/>
  <c r="U502" i="14"/>
  <c r="AE524" i="14"/>
  <c r="X524" i="14"/>
  <c r="AC524" i="14"/>
  <c r="U524" i="14"/>
  <c r="Y524" i="14"/>
  <c r="T524" i="14"/>
  <c r="W400" i="14"/>
  <c r="AB400" i="14"/>
  <c r="AE411" i="14"/>
  <c r="Y413" i="14"/>
  <c r="AE425" i="14"/>
  <c r="Y427" i="14"/>
  <c r="AD461" i="14"/>
  <c r="AD477" i="14"/>
  <c r="R477" i="14"/>
  <c r="AD481" i="14"/>
  <c r="AA481" i="14"/>
  <c r="Y482" i="14"/>
  <c r="T482" i="14"/>
  <c r="X482" i="14"/>
  <c r="Z500" i="14"/>
  <c r="R500" i="14"/>
  <c r="AE500" i="14"/>
  <c r="AA500" i="14"/>
  <c r="AD511" i="14"/>
  <c r="W511" i="14"/>
  <c r="R411" i="14"/>
  <c r="W412" i="14"/>
  <c r="AB412" i="14"/>
  <c r="T413" i="14"/>
  <c r="AB413" i="14"/>
  <c r="R425" i="14"/>
  <c r="W426" i="14"/>
  <c r="AB426" i="14"/>
  <c r="T427" i="14"/>
  <c r="AB427" i="14"/>
  <c r="AE429" i="14"/>
  <c r="AE432" i="14"/>
  <c r="Y434" i="14"/>
  <c r="AE436" i="14"/>
  <c r="Y438" i="14"/>
  <c r="AE440" i="14"/>
  <c r="Y442" i="14"/>
  <c r="AE444" i="14"/>
  <c r="W448" i="14"/>
  <c r="AB448" i="14"/>
  <c r="Z451" i="14"/>
  <c r="R451" i="14"/>
  <c r="AA451" i="14"/>
  <c r="Z453" i="14"/>
  <c r="T453" i="14"/>
  <c r="AB453" i="14"/>
  <c r="U461" i="14"/>
  <c r="AD464" i="14"/>
  <c r="AD466" i="14"/>
  <c r="AC466" i="14"/>
  <c r="X466" i="14"/>
  <c r="R466" i="14"/>
  <c r="Y466" i="14"/>
  <c r="AE467" i="14"/>
  <c r="AC467" i="14"/>
  <c r="U467" i="14"/>
  <c r="AB467" i="14"/>
  <c r="W477" i="14"/>
  <c r="AE479" i="14"/>
  <c r="AB479" i="14"/>
  <c r="T479" i="14"/>
  <c r="AC479" i="14"/>
  <c r="R481" i="14"/>
  <c r="R482" i="14"/>
  <c r="AB482" i="14"/>
  <c r="AD489" i="14"/>
  <c r="AC489" i="14"/>
  <c r="X489" i="14"/>
  <c r="R489" i="14"/>
  <c r="Y489" i="14"/>
  <c r="Z493" i="14"/>
  <c r="R493" i="14"/>
  <c r="AA493" i="14"/>
  <c r="U500" i="14"/>
  <c r="AD500" i="14"/>
  <c r="Z509" i="14"/>
  <c r="X509" i="14"/>
  <c r="AD506" i="14"/>
  <c r="W452" i="14"/>
  <c r="AB452" i="14"/>
  <c r="W459" i="14"/>
  <c r="AB459" i="14"/>
  <c r="W478" i="14"/>
  <c r="AB478" i="14"/>
  <c r="X484" i="14"/>
  <c r="W505" i="14"/>
  <c r="AB505" i="14"/>
  <c r="Y507" i="14"/>
  <c r="W512" i="14"/>
  <c r="AB512" i="14"/>
  <c r="Z513" i="14"/>
  <c r="X515" i="14"/>
  <c r="W516" i="14"/>
  <c r="AB516" i="14"/>
  <c r="X519" i="14"/>
  <c r="X520" i="14"/>
  <c r="AE522" i="14"/>
  <c r="AE528" i="15"/>
  <c r="AD112" i="15"/>
  <c r="R115" i="15"/>
  <c r="Y106" i="15"/>
  <c r="AD457" i="15"/>
  <c r="U426" i="15"/>
  <c r="R470" i="15"/>
  <c r="AC322" i="15"/>
  <c r="T524" i="15"/>
  <c r="AD132" i="15"/>
  <c r="T217" i="15"/>
  <c r="V416" i="15"/>
  <c r="U499" i="15"/>
  <c r="T512" i="15"/>
  <c r="T108" i="15"/>
  <c r="Y116" i="15"/>
  <c r="W127" i="15"/>
  <c r="AA439" i="15"/>
  <c r="R500" i="15"/>
  <c r="U512" i="15"/>
  <c r="U524" i="15"/>
  <c r="U68" i="15"/>
  <c r="V235" i="15"/>
  <c r="W251" i="15"/>
  <c r="R507" i="15"/>
  <c r="T428" i="15"/>
  <c r="W343" i="15"/>
  <c r="V353" i="15"/>
  <c r="AB367" i="15"/>
  <c r="AB68" i="15"/>
  <c r="AA85" i="15"/>
  <c r="Y92" i="15"/>
  <c r="V109" i="15"/>
  <c r="U217" i="15"/>
  <c r="T342" i="15"/>
  <c r="X351" i="15"/>
  <c r="R379" i="15"/>
  <c r="AB424" i="15"/>
  <c r="Z426" i="15"/>
  <c r="U428" i="15"/>
  <c r="AB452" i="15"/>
  <c r="X471" i="15"/>
  <c r="W497" i="15"/>
  <c r="T507" i="15"/>
  <c r="R63" i="15"/>
  <c r="AA79" i="15"/>
  <c r="AE216" i="15"/>
  <c r="Z331" i="15"/>
  <c r="U450" i="15"/>
  <c r="AD58" i="15"/>
  <c r="U61" i="15"/>
  <c r="Y81" i="15"/>
  <c r="V103" i="15"/>
  <c r="X105" i="15"/>
  <c r="AE106" i="15"/>
  <c r="Y108" i="15"/>
  <c r="AC115" i="15"/>
  <c r="AC182" i="15"/>
  <c r="R185" i="15"/>
  <c r="U223" i="15"/>
  <c r="T246" i="15"/>
  <c r="U263" i="15"/>
  <c r="X268" i="15"/>
  <c r="R293" i="15"/>
  <c r="W318" i="15"/>
  <c r="T341" i="15"/>
  <c r="U342" i="15"/>
  <c r="Z347" i="15"/>
  <c r="AC367" i="15"/>
  <c r="R378" i="15"/>
  <c r="AB404" i="15"/>
  <c r="T420" i="15"/>
  <c r="X428" i="15"/>
  <c r="X440" i="15"/>
  <c r="W507" i="15"/>
  <c r="T68" i="15"/>
  <c r="V69" i="15"/>
  <c r="R118" i="15"/>
  <c r="R149" i="15"/>
  <c r="T156" i="15"/>
  <c r="X166" i="15"/>
  <c r="T177" i="15"/>
  <c r="X199" i="15"/>
  <c r="R217" i="15"/>
  <c r="R237" i="15"/>
  <c r="W244" i="15"/>
  <c r="Y246" i="15"/>
  <c r="R322" i="15"/>
  <c r="AB341" i="15"/>
  <c r="AA350" i="15"/>
  <c r="AE355" i="15"/>
  <c r="AE394" i="15"/>
  <c r="V420" i="15"/>
  <c r="AC212" i="15"/>
  <c r="Z50" i="15"/>
  <c r="X56" i="15"/>
  <c r="AE61" i="15"/>
  <c r="W63" i="15"/>
  <c r="T102" i="15"/>
  <c r="X154" i="15"/>
  <c r="X177" i="15"/>
  <c r="X185" i="15"/>
  <c r="W200" i="15"/>
  <c r="R212" i="15"/>
  <c r="AA217" i="15"/>
  <c r="U219" i="15"/>
  <c r="X222" i="15"/>
  <c r="W223" i="15"/>
  <c r="X235" i="15"/>
  <c r="T237" i="15"/>
  <c r="W269" i="15"/>
  <c r="W280" i="15"/>
  <c r="T322" i="15"/>
  <c r="V342" i="15"/>
  <c r="V354" i="15"/>
  <c r="T378" i="15"/>
  <c r="T379" i="15"/>
  <c r="R386" i="15"/>
  <c r="R399" i="15"/>
  <c r="AC399" i="15"/>
  <c r="V415" i="15"/>
  <c r="Z416" i="15"/>
  <c r="R430" i="15"/>
  <c r="U433" i="15"/>
  <c r="Z453" i="15"/>
  <c r="X470" i="15"/>
  <c r="R481" i="15"/>
  <c r="AA492" i="15"/>
  <c r="Z499" i="15"/>
  <c r="AC507" i="15"/>
  <c r="V54" i="15"/>
  <c r="U106" i="15"/>
  <c r="V116" i="15"/>
  <c r="T199" i="15"/>
  <c r="U212" i="15"/>
  <c r="AC217" i="15"/>
  <c r="Y219" i="15"/>
  <c r="X237" i="15"/>
  <c r="U322" i="15"/>
  <c r="AD342" i="15"/>
  <c r="U353" i="15"/>
  <c r="AB378" i="15"/>
  <c r="AA379" i="15"/>
  <c r="T386" i="15"/>
  <c r="T399" i="15"/>
  <c r="V433" i="15"/>
  <c r="R450" i="15"/>
  <c r="V481" i="15"/>
  <c r="AC386" i="15"/>
  <c r="AA399" i="15"/>
  <c r="W212" i="15"/>
  <c r="AA322" i="15"/>
  <c r="AC379" i="15"/>
  <c r="W386" i="15"/>
  <c r="U399" i="15"/>
  <c r="Y433" i="15"/>
  <c r="Y265" i="15"/>
  <c r="AB265" i="15"/>
  <c r="AB490" i="15"/>
  <c r="U490" i="15"/>
  <c r="R59" i="15"/>
  <c r="AD59" i="15"/>
  <c r="V61" i="15"/>
  <c r="X63" i="15"/>
  <c r="R66" i="15"/>
  <c r="R71" i="15"/>
  <c r="V77" i="15"/>
  <c r="R79" i="15"/>
  <c r="T82" i="15"/>
  <c r="AB84" i="15"/>
  <c r="Y102" i="15"/>
  <c r="R119" i="15"/>
  <c r="V149" i="15"/>
  <c r="U188" i="15"/>
  <c r="R192" i="15"/>
  <c r="U194" i="15"/>
  <c r="Y198" i="15"/>
  <c r="R202" i="15"/>
  <c r="W208" i="15"/>
  <c r="R229" i="15"/>
  <c r="AA261" i="15"/>
  <c r="AE261" i="15"/>
  <c r="AB262" i="15"/>
  <c r="R265" i="15"/>
  <c r="AD288" i="15"/>
  <c r="W288" i="15"/>
  <c r="AE288" i="15"/>
  <c r="V294" i="15"/>
  <c r="Y294" i="15"/>
  <c r="T314" i="15"/>
  <c r="V317" i="15"/>
  <c r="AA317" i="15"/>
  <c r="AA324" i="15"/>
  <c r="U324" i="15"/>
  <c r="AD326" i="15"/>
  <c r="AA326" i="15"/>
  <c r="R326" i="15"/>
  <c r="AC326" i="15"/>
  <c r="Y336" i="15"/>
  <c r="V336" i="15"/>
  <c r="AD336" i="15"/>
  <c r="AE372" i="15"/>
  <c r="U372" i="15"/>
  <c r="AC407" i="15"/>
  <c r="AA407" i="15"/>
  <c r="X414" i="15"/>
  <c r="T414" i="15"/>
  <c r="AE441" i="15"/>
  <c r="U441" i="15"/>
  <c r="AD441" i="15"/>
  <c r="R441" i="15"/>
  <c r="T490" i="15"/>
  <c r="AA503" i="15"/>
  <c r="T503" i="15"/>
  <c r="V550" i="15"/>
  <c r="V551" i="15" s="1"/>
  <c r="AD66" i="15"/>
  <c r="Z254" i="15"/>
  <c r="X254" i="15"/>
  <c r="AA356" i="15"/>
  <c r="AE356" i="15"/>
  <c r="AB359" i="15"/>
  <c r="X359" i="15"/>
  <c r="R389" i="15"/>
  <c r="AB389" i="15"/>
  <c r="X389" i="15"/>
  <c r="AD396" i="15"/>
  <c r="Y396" i="15"/>
  <c r="V396" i="15"/>
  <c r="T59" i="15"/>
  <c r="W61" i="15"/>
  <c r="T66" i="15"/>
  <c r="AD68" i="15"/>
  <c r="W71" i="15"/>
  <c r="T79" i="15"/>
  <c r="V82" i="15"/>
  <c r="Y87" i="15"/>
  <c r="U97" i="15"/>
  <c r="U116" i="15"/>
  <c r="AC119" i="15"/>
  <c r="Y148" i="15"/>
  <c r="W155" i="15"/>
  <c r="Y170" i="15"/>
  <c r="X173" i="15"/>
  <c r="V188" i="15"/>
  <c r="Z192" i="15"/>
  <c r="V202" i="15"/>
  <c r="V210" i="15"/>
  <c r="AB212" i="15"/>
  <c r="AA223" i="15"/>
  <c r="AC223" i="15"/>
  <c r="R223" i="15"/>
  <c r="X229" i="15"/>
  <c r="V249" i="15"/>
  <c r="V252" i="15"/>
  <c r="R261" i="15"/>
  <c r="T265" i="15"/>
  <c r="AA276" i="15"/>
  <c r="R288" i="15"/>
  <c r="AC294" i="15"/>
  <c r="R306" i="15"/>
  <c r="AD312" i="15"/>
  <c r="W317" i="15"/>
  <c r="R324" i="15"/>
  <c r="T326" i="15"/>
  <c r="W330" i="15"/>
  <c r="T336" i="15"/>
  <c r="Y341" i="15"/>
  <c r="R341" i="15"/>
  <c r="AA344" i="15"/>
  <c r="V346" i="15"/>
  <c r="AA364" i="15"/>
  <c r="AA367" i="15"/>
  <c r="W367" i="15"/>
  <c r="U367" i="15"/>
  <c r="AC400" i="15"/>
  <c r="Y400" i="15"/>
  <c r="U408" i="15"/>
  <c r="AC408" i="15"/>
  <c r="AA411" i="15"/>
  <c r="Y411" i="15"/>
  <c r="Y414" i="15"/>
  <c r="V441" i="15"/>
  <c r="AB443" i="15"/>
  <c r="AE457" i="15"/>
  <c r="V457" i="15"/>
  <c r="U457" i="15"/>
  <c r="W488" i="15"/>
  <c r="Y488" i="15"/>
  <c r="AB503" i="15"/>
  <c r="AE511" i="15"/>
  <c r="X511" i="15"/>
  <c r="AA519" i="15"/>
  <c r="X519" i="15"/>
  <c r="R531" i="15"/>
  <c r="AA59" i="15"/>
  <c r="AB231" i="15"/>
  <c r="U231" i="15"/>
  <c r="V59" i="15"/>
  <c r="AC61" i="15"/>
  <c r="AA66" i="15"/>
  <c r="Y79" i="15"/>
  <c r="Y173" i="15"/>
  <c r="AE210" i="15"/>
  <c r="AD246" i="15"/>
  <c r="R246" i="15"/>
  <c r="T261" i="15"/>
  <c r="AC265" i="15"/>
  <c r="T288" i="15"/>
  <c r="X302" i="15"/>
  <c r="W302" i="15"/>
  <c r="V306" i="15"/>
  <c r="R313" i="15"/>
  <c r="Z313" i="15"/>
  <c r="AE318" i="15"/>
  <c r="AB318" i="15"/>
  <c r="Z323" i="15"/>
  <c r="U323" i="15"/>
  <c r="AE324" i="15"/>
  <c r="U326" i="15"/>
  <c r="AC330" i="15"/>
  <c r="U336" i="15"/>
  <c r="AA354" i="15"/>
  <c r="R354" i="15"/>
  <c r="W388" i="15"/>
  <c r="AD388" i="15"/>
  <c r="AA388" i="15"/>
  <c r="AA395" i="15"/>
  <c r="X395" i="15"/>
  <c r="Y408" i="15"/>
  <c r="Y415" i="15"/>
  <c r="U415" i="15"/>
  <c r="AD415" i="15"/>
  <c r="T415" i="15"/>
  <c r="W429" i="15"/>
  <c r="AA441" i="15"/>
  <c r="R457" i="15"/>
  <c r="U494" i="15"/>
  <c r="AD500" i="15"/>
  <c r="Y500" i="15"/>
  <c r="T500" i="15"/>
  <c r="AD504" i="15"/>
  <c r="V504" i="15"/>
  <c r="T504" i="15"/>
  <c r="W511" i="15"/>
  <c r="AA513" i="15"/>
  <c r="Z513" i="15"/>
  <c r="V513" i="15"/>
  <c r="AB520" i="15"/>
  <c r="U520" i="15"/>
  <c r="AD525" i="15"/>
  <c r="Y525" i="15"/>
  <c r="V525" i="15"/>
  <c r="Y217" i="15"/>
  <c r="AE237" i="15"/>
  <c r="Y322" i="15"/>
  <c r="AB342" i="15"/>
  <c r="AE378" i="15"/>
  <c r="U379" i="15"/>
  <c r="AB386" i="15"/>
  <c r="Y399" i="15"/>
  <c r="AE433" i="15"/>
  <c r="AA450" i="15"/>
  <c r="AE481" i="15"/>
  <c r="AA499" i="15"/>
  <c r="AB507" i="15"/>
  <c r="AB512" i="15"/>
  <c r="AB524" i="15"/>
  <c r="Y379" i="15"/>
  <c r="AD450" i="15"/>
  <c r="AD512" i="15"/>
  <c r="AE524" i="15"/>
  <c r="Z74" i="15"/>
  <c r="Z76" i="15"/>
  <c r="X83" i="15"/>
  <c r="AA91" i="15"/>
  <c r="AC120" i="15"/>
  <c r="U120" i="15"/>
  <c r="Z141" i="15"/>
  <c r="AD151" i="15"/>
  <c r="U151" i="15"/>
  <c r="AE151" i="15"/>
  <c r="W157" i="15"/>
  <c r="AA157" i="15"/>
  <c r="AB163" i="15"/>
  <c r="U163" i="15"/>
  <c r="AD169" i="15"/>
  <c r="AC169" i="15"/>
  <c r="U169" i="15"/>
  <c r="AE240" i="15"/>
  <c r="AD240" i="15"/>
  <c r="U240" i="15"/>
  <c r="AA240" i="15"/>
  <c r="R240" i="15"/>
  <c r="AD242" i="15"/>
  <c r="AA242" i="15"/>
  <c r="T242" i="15"/>
  <c r="Y242" i="15"/>
  <c r="R242" i="15"/>
  <c r="AE242" i="15"/>
  <c r="AB256" i="15"/>
  <c r="Y256" i="15"/>
  <c r="U256" i="15"/>
  <c r="W273" i="15"/>
  <c r="T273" i="15"/>
  <c r="AD299" i="15"/>
  <c r="AC299" i="15"/>
  <c r="U299" i="15"/>
  <c r="AA299" i="15"/>
  <c r="T299" i="15"/>
  <c r="W304" i="15"/>
  <c r="U304" i="15"/>
  <c r="AB308" i="15"/>
  <c r="W308" i="15"/>
  <c r="AE340" i="15"/>
  <c r="V340" i="15"/>
  <c r="AD340" i="15"/>
  <c r="T340" i="15"/>
  <c r="W345" i="15"/>
  <c r="AC345" i="15"/>
  <c r="U345" i="15"/>
  <c r="Z361" i="15"/>
  <c r="AD361" i="15"/>
  <c r="V361" i="15"/>
  <c r="AE383" i="15"/>
  <c r="AD383" i="15"/>
  <c r="U383" i="15"/>
  <c r="T383" i="15"/>
  <c r="AA459" i="15"/>
  <c r="T459" i="15"/>
  <c r="AE463" i="15"/>
  <c r="Y463" i="15"/>
  <c r="X463" i="15"/>
  <c r="AA477" i="15"/>
  <c r="Z477" i="15"/>
  <c r="AC537" i="15"/>
  <c r="Y537" i="15"/>
  <c r="V537" i="15"/>
  <c r="AD537" i="15"/>
  <c r="U537" i="15"/>
  <c r="T53" i="15"/>
  <c r="AC56" i="15"/>
  <c r="R74" i="15"/>
  <c r="T76" i="15"/>
  <c r="AB76" i="15"/>
  <c r="AD81" i="15"/>
  <c r="R83" i="15"/>
  <c r="U89" i="15"/>
  <c r="V90" i="15"/>
  <c r="AE91" i="15"/>
  <c r="W101" i="15"/>
  <c r="AC128" i="15"/>
  <c r="U128" i="15"/>
  <c r="AC138" i="15"/>
  <c r="T138" i="15"/>
  <c r="R141" i="15"/>
  <c r="Y146" i="15"/>
  <c r="AB146" i="15"/>
  <c r="T146" i="15"/>
  <c r="AD146" i="15"/>
  <c r="T151" i="15"/>
  <c r="T162" i="15"/>
  <c r="T163" i="15"/>
  <c r="V167" i="15"/>
  <c r="R169" i="15"/>
  <c r="AA169" i="15"/>
  <c r="R184" i="15"/>
  <c r="AD190" i="15"/>
  <c r="Y190" i="15"/>
  <c r="R190" i="15"/>
  <c r="AC196" i="15"/>
  <c r="Y218" i="15"/>
  <c r="AB234" i="15"/>
  <c r="W238" i="15"/>
  <c r="V240" i="15"/>
  <c r="U242" i="15"/>
  <c r="T256" i="15"/>
  <c r="Y260" i="15"/>
  <c r="AB273" i="15"/>
  <c r="AD277" i="15"/>
  <c r="AC277" i="15"/>
  <c r="U277" i="15"/>
  <c r="AA277" i="15"/>
  <c r="T277" i="15"/>
  <c r="AE277" i="15"/>
  <c r="AD289" i="15"/>
  <c r="AA289" i="15"/>
  <c r="T289" i="15"/>
  <c r="Y289" i="15"/>
  <c r="R289" i="15"/>
  <c r="AE289" i="15"/>
  <c r="W292" i="15"/>
  <c r="AD298" i="15"/>
  <c r="AE298" i="15"/>
  <c r="T298" i="15"/>
  <c r="AB298" i="15"/>
  <c r="R298" i="15"/>
  <c r="R299" i="15"/>
  <c r="AB304" i="15"/>
  <c r="T308" i="15"/>
  <c r="AB315" i="15"/>
  <c r="U315" i="15"/>
  <c r="T315" i="15"/>
  <c r="AE333" i="15"/>
  <c r="Y333" i="15"/>
  <c r="AB335" i="15"/>
  <c r="R340" i="15"/>
  <c r="W348" i="15"/>
  <c r="U348" i="15"/>
  <c r="AC360" i="15"/>
  <c r="T360" i="15"/>
  <c r="AB360" i="15"/>
  <c r="R360" i="15"/>
  <c r="U361" i="15"/>
  <c r="AD382" i="15"/>
  <c r="AE382" i="15"/>
  <c r="T382" i="15"/>
  <c r="AB382" i="15"/>
  <c r="R382" i="15"/>
  <c r="R383" i="15"/>
  <c r="AA384" i="15"/>
  <c r="W384" i="15"/>
  <c r="AD391" i="15"/>
  <c r="Z391" i="15"/>
  <c r="AA393" i="15"/>
  <c r="AE393" i="15"/>
  <c r="R393" i="15"/>
  <c r="AD393" i="15"/>
  <c r="Y393" i="15"/>
  <c r="V401" i="15"/>
  <c r="AC401" i="15"/>
  <c r="Y401" i="15"/>
  <c r="U401" i="15"/>
  <c r="AB421" i="15"/>
  <c r="U421" i="15"/>
  <c r="Z421" i="15"/>
  <c r="AC435" i="15"/>
  <c r="U435" i="15"/>
  <c r="AB435" i="15"/>
  <c r="R435" i="15"/>
  <c r="AA435" i="15"/>
  <c r="W435" i="15"/>
  <c r="U447" i="15"/>
  <c r="AA447" i="15"/>
  <c r="AA472" i="15"/>
  <c r="U472" i="15"/>
  <c r="X489" i="15"/>
  <c r="AE510" i="15"/>
  <c r="V510" i="15"/>
  <c r="AD510" i="15"/>
  <c r="T510" i="15"/>
  <c r="Z510" i="15"/>
  <c r="R510" i="15"/>
  <c r="Z523" i="15"/>
  <c r="V523" i="15"/>
  <c r="W538" i="15"/>
  <c r="R538" i="15"/>
  <c r="AE538" i="15"/>
  <c r="X51" i="15"/>
  <c r="W52" i="15"/>
  <c r="R56" i="15"/>
  <c r="Z59" i="15"/>
  <c r="AA61" i="15"/>
  <c r="AD65" i="15"/>
  <c r="V66" i="15"/>
  <c r="V68" i="15"/>
  <c r="X71" i="15"/>
  <c r="Z73" i="15"/>
  <c r="T74" i="15"/>
  <c r="AD74" i="15"/>
  <c r="U76" i="15"/>
  <c r="AD76" i="15"/>
  <c r="U79" i="15"/>
  <c r="AC79" i="15"/>
  <c r="R81" i="15"/>
  <c r="AE81" i="15"/>
  <c r="AA82" i="15"/>
  <c r="T83" i="15"/>
  <c r="AA83" i="15"/>
  <c r="U84" i="15"/>
  <c r="T87" i="15"/>
  <c r="AE87" i="15"/>
  <c r="Y89" i="15"/>
  <c r="X90" i="15"/>
  <c r="U91" i="15"/>
  <c r="Y94" i="15"/>
  <c r="AA114" i="15"/>
  <c r="R114" i="15"/>
  <c r="Y120" i="15"/>
  <c r="R122" i="15"/>
  <c r="V128" i="15"/>
  <c r="AC136" i="15"/>
  <c r="R138" i="15"/>
  <c r="AB142" i="15"/>
  <c r="W142" i="15"/>
  <c r="U146" i="15"/>
  <c r="AE149" i="15"/>
  <c r="AD149" i="15"/>
  <c r="U149" i="15"/>
  <c r="AA149" i="15"/>
  <c r="Y151" i="15"/>
  <c r="Z156" i="15"/>
  <c r="U158" i="15"/>
  <c r="W162" i="15"/>
  <c r="Y163" i="15"/>
  <c r="X167" i="15"/>
  <c r="T169" i="15"/>
  <c r="AE169" i="15"/>
  <c r="U171" i="15"/>
  <c r="R173" i="15"/>
  <c r="V183" i="15"/>
  <c r="T190" i="15"/>
  <c r="AC190" i="15"/>
  <c r="AC194" i="15"/>
  <c r="AE194" i="15"/>
  <c r="T194" i="15"/>
  <c r="AA199" i="15"/>
  <c r="AE199" i="15"/>
  <c r="R199" i="15"/>
  <c r="X204" i="15"/>
  <c r="AB214" i="15"/>
  <c r="V214" i="15"/>
  <c r="T216" i="15"/>
  <c r="Z240" i="15"/>
  <c r="X242" i="15"/>
  <c r="AD256" i="15"/>
  <c r="W262" i="15"/>
  <c r="U262" i="15"/>
  <c r="W268" i="15"/>
  <c r="T268" i="15"/>
  <c r="AC273" i="15"/>
  <c r="AD276" i="15"/>
  <c r="AE276" i="15"/>
  <c r="T276" i="15"/>
  <c r="AB276" i="15"/>
  <c r="R276" i="15"/>
  <c r="R277" i="15"/>
  <c r="U289" i="15"/>
  <c r="W296" i="15"/>
  <c r="W298" i="15"/>
  <c r="X299" i="15"/>
  <c r="AE304" i="15"/>
  <c r="AC308" i="15"/>
  <c r="AB314" i="15"/>
  <c r="W314" i="15"/>
  <c r="Y315" i="15"/>
  <c r="V333" i="15"/>
  <c r="Z340" i="15"/>
  <c r="AB345" i="15"/>
  <c r="AB348" i="15"/>
  <c r="W360" i="15"/>
  <c r="X365" i="15"/>
  <c r="T365" i="15"/>
  <c r="AB372" i="15"/>
  <c r="W372" i="15"/>
  <c r="W382" i="15"/>
  <c r="X383" i="15"/>
  <c r="R384" i="15"/>
  <c r="V391" i="15"/>
  <c r="U393" i="15"/>
  <c r="AD395" i="15"/>
  <c r="Y395" i="15"/>
  <c r="R395" i="15"/>
  <c r="AE395" i="15"/>
  <c r="U395" i="15"/>
  <c r="AC395" i="15"/>
  <c r="T395" i="15"/>
  <c r="V421" i="15"/>
  <c r="Z436" i="15"/>
  <c r="AB436" i="15"/>
  <c r="V436" i="15"/>
  <c r="AD472" i="15"/>
  <c r="AD494" i="15"/>
  <c r="AA494" i="15"/>
  <c r="T494" i="15"/>
  <c r="Y494" i="15"/>
  <c r="R494" i="15"/>
  <c r="AC494" i="15"/>
  <c r="X494" i="15"/>
  <c r="AA510" i="15"/>
  <c r="X538" i="15"/>
  <c r="AE83" i="15"/>
  <c r="AC124" i="15"/>
  <c r="Y124" i="15"/>
  <c r="AE141" i="15"/>
  <c r="AB141" i="15"/>
  <c r="T141" i="15"/>
  <c r="Y184" i="15"/>
  <c r="W184" i="15"/>
  <c r="U224" i="15"/>
  <c r="T224" i="15"/>
  <c r="W234" i="15"/>
  <c r="T234" i="15"/>
  <c r="AE295" i="15"/>
  <c r="W295" i="15"/>
  <c r="AE299" i="15"/>
  <c r="W335" i="15"/>
  <c r="T335" i="15"/>
  <c r="X446" i="15"/>
  <c r="R446" i="15"/>
  <c r="W482" i="15"/>
  <c r="U482" i="15"/>
  <c r="AE482" i="15"/>
  <c r="Y482" i="15"/>
  <c r="U52" i="15"/>
  <c r="AA74" i="15"/>
  <c r="Y83" i="15"/>
  <c r="AD84" i="15"/>
  <c r="AA87" i="15"/>
  <c r="T91" i="15"/>
  <c r="AC112" i="15"/>
  <c r="Y112" i="15"/>
  <c r="V120" i="15"/>
  <c r="U124" i="15"/>
  <c r="AC132" i="15"/>
  <c r="Y132" i="15"/>
  <c r="AD143" i="15"/>
  <c r="AA143" i="15"/>
  <c r="AD173" i="15"/>
  <c r="AA173" i="15"/>
  <c r="T173" i="15"/>
  <c r="AA190" i="15"/>
  <c r="Z224" i="15"/>
  <c r="AE232" i="15"/>
  <c r="Y232" i="15"/>
  <c r="Z66" i="15"/>
  <c r="Z68" i="15"/>
  <c r="V74" i="15"/>
  <c r="V76" i="15"/>
  <c r="X79" i="15"/>
  <c r="AE79" i="15"/>
  <c r="U81" i="15"/>
  <c r="AD82" i="15"/>
  <c r="U83" i="15"/>
  <c r="AC83" i="15"/>
  <c r="V84" i="15"/>
  <c r="U87" i="15"/>
  <c r="AE89" i="15"/>
  <c r="Y91" i="15"/>
  <c r="AD108" i="15"/>
  <c r="U108" i="15"/>
  <c r="AE108" i="15"/>
  <c r="V112" i="15"/>
  <c r="AD120" i="15"/>
  <c r="AB123" i="15"/>
  <c r="W123" i="15"/>
  <c r="AD124" i="15"/>
  <c r="Y128" i="15"/>
  <c r="V132" i="15"/>
  <c r="Z138" i="15"/>
  <c r="Y141" i="15"/>
  <c r="V146" i="15"/>
  <c r="AA151" i="15"/>
  <c r="AE156" i="15"/>
  <c r="AC162" i="15"/>
  <c r="AD163" i="15"/>
  <c r="X169" i="15"/>
  <c r="Y171" i="15"/>
  <c r="U173" i="15"/>
  <c r="AE173" i="15"/>
  <c r="AB183" i="15"/>
  <c r="AA185" i="15"/>
  <c r="T185" i="15"/>
  <c r="AE185" i="15"/>
  <c r="AE188" i="15"/>
  <c r="AA188" i="15"/>
  <c r="R188" i="15"/>
  <c r="AD188" i="15"/>
  <c r="U190" i="15"/>
  <c r="AE190" i="15"/>
  <c r="R198" i="15"/>
  <c r="W198" i="15"/>
  <c r="AE202" i="15"/>
  <c r="AD202" i="15"/>
  <c r="U202" i="15"/>
  <c r="AA202" i="15"/>
  <c r="Z216" i="15"/>
  <c r="AC242" i="15"/>
  <c r="Y257" i="15"/>
  <c r="V257" i="15"/>
  <c r="X277" i="15"/>
  <c r="X289" i="15"/>
  <c r="AA298" i="15"/>
  <c r="Y299" i="15"/>
  <c r="AD315" i="15"/>
  <c r="AA340" i="15"/>
  <c r="AA343" i="15"/>
  <c r="V343" i="15"/>
  <c r="AE343" i="15"/>
  <c r="U343" i="15"/>
  <c r="AE348" i="15"/>
  <c r="AE352" i="15"/>
  <c r="X352" i="15"/>
  <c r="W355" i="15"/>
  <c r="T355" i="15"/>
  <c r="Y360" i="15"/>
  <c r="Z363" i="15"/>
  <c r="AD363" i="15"/>
  <c r="AA382" i="15"/>
  <c r="Y383" i="15"/>
  <c r="X394" i="15"/>
  <c r="AD394" i="15"/>
  <c r="V394" i="15"/>
  <c r="AB407" i="15"/>
  <c r="R407" i="15"/>
  <c r="W407" i="15"/>
  <c r="U407" i="15"/>
  <c r="AB467" i="15"/>
  <c r="Z467" i="15"/>
  <c r="V467" i="15"/>
  <c r="U467" i="15"/>
  <c r="AD116" i="15"/>
  <c r="X217" i="15"/>
  <c r="AE217" i="15"/>
  <c r="Y231" i="15"/>
  <c r="AD237" i="15"/>
  <c r="U246" i="15"/>
  <c r="AC246" i="15"/>
  <c r="X261" i="15"/>
  <c r="W265" i="15"/>
  <c r="AA288" i="15"/>
  <c r="AA306" i="15"/>
  <c r="X322" i="15"/>
  <c r="AE322" i="15"/>
  <c r="Y324" i="15"/>
  <c r="X326" i="15"/>
  <c r="AE326" i="15"/>
  <c r="Z336" i="15"/>
  <c r="W341" i="15"/>
  <c r="Z342" i="15"/>
  <c r="AD353" i="15"/>
  <c r="W354" i="15"/>
  <c r="W378" i="15"/>
  <c r="X379" i="15"/>
  <c r="AE379" i="15"/>
  <c r="U403" i="15"/>
  <c r="X403" i="15"/>
  <c r="Z409" i="15"/>
  <c r="U409" i="15"/>
  <c r="AC419" i="15"/>
  <c r="Y419" i="15"/>
  <c r="AE424" i="15"/>
  <c r="R424" i="15"/>
  <c r="AA434" i="15"/>
  <c r="Z434" i="15"/>
  <c r="V434" i="15"/>
  <c r="W439" i="15"/>
  <c r="AC439" i="15"/>
  <c r="U439" i="15"/>
  <c r="AB444" i="15"/>
  <c r="Z444" i="15"/>
  <c r="AA473" i="15"/>
  <c r="V473" i="15"/>
  <c r="T473" i="15"/>
  <c r="Y485" i="15"/>
  <c r="AC485" i="15"/>
  <c r="V485" i="15"/>
  <c r="W493" i="15"/>
  <c r="V493" i="15"/>
  <c r="AB508" i="15"/>
  <c r="X508" i="15"/>
  <c r="AA527" i="15"/>
  <c r="V527" i="15"/>
  <c r="Y535" i="15"/>
  <c r="W535" i="15"/>
  <c r="W550" i="15"/>
  <c r="W551" i="15" s="1"/>
  <c r="AA550" i="15"/>
  <c r="AA551" i="15" s="1"/>
  <c r="AE550" i="15"/>
  <c r="AE551" i="15" s="1"/>
  <c r="AD231" i="15"/>
  <c r="X246" i="15"/>
  <c r="AE246" i="15"/>
  <c r="AD354" i="15"/>
  <c r="AA378" i="15"/>
  <c r="X400" i="15"/>
  <c r="T408" i="15"/>
  <c r="AA416" i="15"/>
  <c r="U416" i="15"/>
  <c r="AE420" i="15"/>
  <c r="T424" i="15"/>
  <c r="AE428" i="15"/>
  <c r="Y428" i="15"/>
  <c r="R428" i="15"/>
  <c r="AA428" i="15"/>
  <c r="AA431" i="15"/>
  <c r="T434" i="15"/>
  <c r="R439" i="15"/>
  <c r="Z458" i="15"/>
  <c r="V458" i="15"/>
  <c r="T458" i="15"/>
  <c r="AE466" i="15"/>
  <c r="X466" i="15"/>
  <c r="Z473" i="15"/>
  <c r="U485" i="15"/>
  <c r="AA493" i="15"/>
  <c r="W503" i="15"/>
  <c r="AE503" i="15"/>
  <c r="U503" i="15"/>
  <c r="R509" i="15"/>
  <c r="AD509" i="15"/>
  <c r="Y509" i="15"/>
  <c r="U515" i="15"/>
  <c r="Y528" i="15"/>
  <c r="W528" i="15"/>
  <c r="AB536" i="15"/>
  <c r="U536" i="15"/>
  <c r="X399" i="15"/>
  <c r="AE399" i="15"/>
  <c r="Z415" i="15"/>
  <c r="Z441" i="15"/>
  <c r="V450" i="15"/>
  <c r="Z457" i="15"/>
  <c r="W481" i="15"/>
  <c r="Y490" i="15"/>
  <c r="U500" i="15"/>
  <c r="AC500" i="15"/>
  <c r="Y504" i="15"/>
  <c r="V512" i="15"/>
  <c r="AE513" i="15"/>
  <c r="W524" i="15"/>
  <c r="Z450" i="15"/>
  <c r="AD481" i="15"/>
  <c r="X500" i="15"/>
  <c r="AE500" i="15"/>
  <c r="Z512" i="15"/>
  <c r="AB48" i="15"/>
  <c r="AD60" i="15"/>
  <c r="AA60" i="15"/>
  <c r="U60" i="15"/>
  <c r="AE60" i="15"/>
  <c r="Y60" i="15"/>
  <c r="T60" i="15"/>
  <c r="AB60" i="15"/>
  <c r="AD67" i="15"/>
  <c r="AA67" i="15"/>
  <c r="U67" i="15"/>
  <c r="AE67" i="15"/>
  <c r="Y67" i="15"/>
  <c r="T67" i="15"/>
  <c r="AB67" i="15"/>
  <c r="AD75" i="15"/>
  <c r="AA75" i="15"/>
  <c r="U75" i="15"/>
  <c r="AE75" i="15"/>
  <c r="Y75" i="15"/>
  <c r="T75" i="15"/>
  <c r="AB75" i="15"/>
  <c r="AD100" i="15"/>
  <c r="V100" i="15"/>
  <c r="AA100" i="15"/>
  <c r="T100" i="15"/>
  <c r="AE107" i="15"/>
  <c r="AE111" i="15"/>
  <c r="X111" i="15"/>
  <c r="AC111" i="15"/>
  <c r="AD126" i="15"/>
  <c r="AE126" i="15"/>
  <c r="W126" i="15"/>
  <c r="AB126" i="15"/>
  <c r="T126" i="15"/>
  <c r="AA126" i="15"/>
  <c r="R126" i="15"/>
  <c r="AD193" i="15"/>
  <c r="AA193" i="15"/>
  <c r="U193" i="15"/>
  <c r="AC193" i="15"/>
  <c r="W193" i="15"/>
  <c r="AB193" i="15"/>
  <c r="T193" i="15"/>
  <c r="Y193" i="15"/>
  <c r="R193" i="15"/>
  <c r="AD230" i="15"/>
  <c r="AA230" i="15"/>
  <c r="U230" i="15"/>
  <c r="AC230" i="15"/>
  <c r="W230" i="15"/>
  <c r="AB230" i="15"/>
  <c r="T230" i="15"/>
  <c r="Y230" i="15"/>
  <c r="R230" i="15"/>
  <c r="AB247" i="15"/>
  <c r="AD247" i="15"/>
  <c r="T247" i="15"/>
  <c r="Z247" i="15"/>
  <c r="Y247" i="15"/>
  <c r="U247" i="15"/>
  <c r="AD307" i="15"/>
  <c r="AE307" i="15"/>
  <c r="W307" i="15"/>
  <c r="X307" i="15"/>
  <c r="AB307" i="15"/>
  <c r="R307" i="15"/>
  <c r="T307" i="15"/>
  <c r="U48" i="15"/>
  <c r="AD51" i="15"/>
  <c r="V51" i="15"/>
  <c r="AA51" i="15"/>
  <c r="T51" i="15"/>
  <c r="AE51" i="15"/>
  <c r="Y53" i="15"/>
  <c r="AA58" i="15"/>
  <c r="Y58" i="15"/>
  <c r="AE58" i="15"/>
  <c r="U58" i="15"/>
  <c r="R60" i="15"/>
  <c r="AC60" i="15"/>
  <c r="AA65" i="15"/>
  <c r="Y65" i="15"/>
  <c r="AE65" i="15"/>
  <c r="U65" i="15"/>
  <c r="R67" i="15"/>
  <c r="AC67" i="15"/>
  <c r="AA73" i="15"/>
  <c r="Y73" i="15"/>
  <c r="AE73" i="15"/>
  <c r="U73" i="15"/>
  <c r="R75" i="15"/>
  <c r="AC75" i="15"/>
  <c r="AB92" i="15"/>
  <c r="U92" i="15"/>
  <c r="Z92" i="15"/>
  <c r="T92" i="15"/>
  <c r="AB94" i="15"/>
  <c r="U94" i="15"/>
  <c r="Z94" i="15"/>
  <c r="T94" i="15"/>
  <c r="AA95" i="15"/>
  <c r="V95" i="15"/>
  <c r="W97" i="15"/>
  <c r="AA99" i="15"/>
  <c r="AE99" i="15"/>
  <c r="U99" i="15"/>
  <c r="AD99" i="15"/>
  <c r="R99" i="15"/>
  <c r="R100" i="15"/>
  <c r="AD101" i="15"/>
  <c r="AE101" i="15"/>
  <c r="Y101" i="15"/>
  <c r="T101" i="15"/>
  <c r="AC101" i="15"/>
  <c r="X101" i="15"/>
  <c r="R101" i="15"/>
  <c r="AB101" i="15"/>
  <c r="AE105" i="15"/>
  <c r="AB105" i="15"/>
  <c r="V105" i="15"/>
  <c r="Z105" i="15"/>
  <c r="Y105" i="15"/>
  <c r="V107" i="15"/>
  <c r="Y109" i="15"/>
  <c r="R111" i="15"/>
  <c r="X114" i="15"/>
  <c r="W115" i="15"/>
  <c r="X118" i="15"/>
  <c r="W119" i="15"/>
  <c r="X122" i="15"/>
  <c r="X126" i="15"/>
  <c r="AD131" i="15"/>
  <c r="AA131" i="15"/>
  <c r="U131" i="15"/>
  <c r="AE131" i="15"/>
  <c r="Y131" i="15"/>
  <c r="T131" i="15"/>
  <c r="AC131" i="15"/>
  <c r="X131" i="15"/>
  <c r="R131" i="15"/>
  <c r="AD178" i="15"/>
  <c r="AE178" i="15"/>
  <c r="Y178" i="15"/>
  <c r="T178" i="15"/>
  <c r="AC178" i="15"/>
  <c r="W178" i="15"/>
  <c r="AB178" i="15"/>
  <c r="U178" i="15"/>
  <c r="AA178" i="15"/>
  <c r="R178" i="15"/>
  <c r="AD186" i="15"/>
  <c r="AC186" i="15"/>
  <c r="X186" i="15"/>
  <c r="R186" i="15"/>
  <c r="AE186" i="15"/>
  <c r="W186" i="15"/>
  <c r="AB186" i="15"/>
  <c r="U186" i="15"/>
  <c r="AA186" i="15"/>
  <c r="T186" i="15"/>
  <c r="X193" i="15"/>
  <c r="X230" i="15"/>
  <c r="AD248" i="15"/>
  <c r="V248" i="15"/>
  <c r="Y248" i="15"/>
  <c r="AE248" i="15"/>
  <c r="U248" i="15"/>
  <c r="AA248" i="15"/>
  <c r="R248" i="15"/>
  <c r="X255" i="15"/>
  <c r="AD281" i="15"/>
  <c r="AC281" i="15"/>
  <c r="X281" i="15"/>
  <c r="R281" i="15"/>
  <c r="AE281" i="15"/>
  <c r="W281" i="15"/>
  <c r="AB281" i="15"/>
  <c r="U281" i="15"/>
  <c r="AA281" i="15"/>
  <c r="T281" i="15"/>
  <c r="AA307" i="15"/>
  <c r="AD311" i="15"/>
  <c r="AC311" i="15"/>
  <c r="T311" i="15"/>
  <c r="X311" i="15"/>
  <c r="R311" i="15"/>
  <c r="W311" i="15"/>
  <c r="AA316" i="15"/>
  <c r="U316" i="15"/>
  <c r="Y316" i="15"/>
  <c r="AD316" i="15"/>
  <c r="R316" i="15"/>
  <c r="AE316" i="15"/>
  <c r="V316" i="15"/>
  <c r="AA321" i="15"/>
  <c r="X321" i="15"/>
  <c r="Z321" i="15"/>
  <c r="AE321" i="15"/>
  <c r="R321" i="15"/>
  <c r="T321" i="15"/>
  <c r="AE358" i="15"/>
  <c r="V358" i="15"/>
  <c r="AA358" i="15"/>
  <c r="R358" i="15"/>
  <c r="W358" i="15"/>
  <c r="AE366" i="15"/>
  <c r="AE375" i="15"/>
  <c r="AC375" i="15"/>
  <c r="T375" i="15"/>
  <c r="X375" i="15"/>
  <c r="R375" i="15"/>
  <c r="W375" i="15"/>
  <c r="AD380" i="15"/>
  <c r="U380" i="15"/>
  <c r="Y380" i="15"/>
  <c r="AC380" i="15"/>
  <c r="AB498" i="15"/>
  <c r="U498" i="15"/>
  <c r="V498" i="15"/>
  <c r="Z498" i="15"/>
  <c r="Y498" i="15"/>
  <c r="T498" i="15"/>
  <c r="AD498" i="15"/>
  <c r="AA50" i="15"/>
  <c r="AE50" i="15"/>
  <c r="U50" i="15"/>
  <c r="AD50" i="15"/>
  <c r="R50" i="15"/>
  <c r="R51" i="15"/>
  <c r="AD52" i="15"/>
  <c r="AE52" i="15"/>
  <c r="Y52" i="15"/>
  <c r="T52" i="15"/>
  <c r="AC52" i="15"/>
  <c r="X52" i="15"/>
  <c r="R52" i="15"/>
  <c r="AB52" i="15"/>
  <c r="AD56" i="15"/>
  <c r="AA56" i="15"/>
  <c r="U56" i="15"/>
  <c r="AE56" i="15"/>
  <c r="Y56" i="15"/>
  <c r="T56" i="15"/>
  <c r="AB56" i="15"/>
  <c r="R58" i="15"/>
  <c r="W60" i="15"/>
  <c r="AD63" i="15"/>
  <c r="AA63" i="15"/>
  <c r="U63" i="15"/>
  <c r="AE63" i="15"/>
  <c r="Y63" i="15"/>
  <c r="T63" i="15"/>
  <c r="AB63" i="15"/>
  <c r="R65" i="15"/>
  <c r="W67" i="15"/>
  <c r="AD71" i="15"/>
  <c r="AA71" i="15"/>
  <c r="U71" i="15"/>
  <c r="AE71" i="15"/>
  <c r="Y71" i="15"/>
  <c r="T71" i="15"/>
  <c r="AB71" i="15"/>
  <c r="R73" i="15"/>
  <c r="W75" i="15"/>
  <c r="AA90" i="15"/>
  <c r="T90" i="15"/>
  <c r="Z90" i="15"/>
  <c r="R90" i="15"/>
  <c r="AE90" i="15"/>
  <c r="V92" i="15"/>
  <c r="V94" i="15"/>
  <c r="Y99" i="15"/>
  <c r="X100" i="15"/>
  <c r="U101" i="15"/>
  <c r="AD102" i="15"/>
  <c r="V102" i="15"/>
  <c r="AB102" i="15"/>
  <c r="U102" i="15"/>
  <c r="R105" i="15"/>
  <c r="AC105" i="15"/>
  <c r="AE113" i="15"/>
  <c r="W113" i="15"/>
  <c r="AE117" i="15"/>
  <c r="W117" i="15"/>
  <c r="AE121" i="15"/>
  <c r="W121" i="15"/>
  <c r="AD127" i="15"/>
  <c r="AA127" i="15"/>
  <c r="U127" i="15"/>
  <c r="AE127" i="15"/>
  <c r="Y127" i="15"/>
  <c r="T127" i="15"/>
  <c r="AC127" i="15"/>
  <c r="X127" i="15"/>
  <c r="R127" i="15"/>
  <c r="W131" i="15"/>
  <c r="AD166" i="15"/>
  <c r="AA166" i="15"/>
  <c r="U166" i="15"/>
  <c r="AC166" i="15"/>
  <c r="W166" i="15"/>
  <c r="AB166" i="15"/>
  <c r="T166" i="15"/>
  <c r="Y166" i="15"/>
  <c r="R166" i="15"/>
  <c r="X178" i="15"/>
  <c r="Y186" i="15"/>
  <c r="AE193" i="15"/>
  <c r="AD204" i="15"/>
  <c r="AA204" i="15"/>
  <c r="U204" i="15"/>
  <c r="AC204" i="15"/>
  <c r="W204" i="15"/>
  <c r="AB204" i="15"/>
  <c r="T204" i="15"/>
  <c r="Y204" i="15"/>
  <c r="R204" i="15"/>
  <c r="AE230" i="15"/>
  <c r="Z248" i="15"/>
  <c r="X259" i="15"/>
  <c r="AC259" i="15"/>
  <c r="AD272" i="15"/>
  <c r="AE272" i="15"/>
  <c r="W272" i="15"/>
  <c r="X272" i="15"/>
  <c r="T272" i="15"/>
  <c r="AB272" i="15"/>
  <c r="R272" i="15"/>
  <c r="Y281" i="15"/>
  <c r="AD284" i="15"/>
  <c r="AE284" i="15"/>
  <c r="Y284" i="15"/>
  <c r="T284" i="15"/>
  <c r="AC284" i="15"/>
  <c r="W284" i="15"/>
  <c r="AB284" i="15"/>
  <c r="U284" i="15"/>
  <c r="AA284" i="15"/>
  <c r="R284" i="15"/>
  <c r="AB311" i="15"/>
  <c r="Z316" i="15"/>
  <c r="AD321" i="15"/>
  <c r="AA329" i="15"/>
  <c r="AD329" i="15"/>
  <c r="R329" i="15"/>
  <c r="Z329" i="15"/>
  <c r="T329" i="15"/>
  <c r="X329" i="15"/>
  <c r="AD358" i="15"/>
  <c r="X366" i="15"/>
  <c r="AD385" i="15"/>
  <c r="AE385" i="15"/>
  <c r="W385" i="15"/>
  <c r="X385" i="15"/>
  <c r="AB385" i="15"/>
  <c r="R385" i="15"/>
  <c r="T385" i="15"/>
  <c r="AD390" i="15"/>
  <c r="AA390" i="15"/>
  <c r="U390" i="15"/>
  <c r="AB390" i="15"/>
  <c r="T390" i="15"/>
  <c r="X390" i="15"/>
  <c r="AC390" i="15"/>
  <c r="R390" i="15"/>
  <c r="AE390" i="15"/>
  <c r="W390" i="15"/>
  <c r="AD48" i="15"/>
  <c r="AE48" i="15"/>
  <c r="Y48" i="15"/>
  <c r="T48" i="15"/>
  <c r="AC48" i="15"/>
  <c r="X48" i="15"/>
  <c r="R48" i="15"/>
  <c r="AE100" i="15"/>
  <c r="AA107" i="15"/>
  <c r="T107" i="15"/>
  <c r="Z107" i="15"/>
  <c r="R107" i="15"/>
  <c r="AB111" i="15"/>
  <c r="AD140" i="15"/>
  <c r="Z140" i="15"/>
  <c r="X140" i="15"/>
  <c r="AA189" i="15"/>
  <c r="W189" i="15"/>
  <c r="V189" i="15"/>
  <c r="AD255" i="15"/>
  <c r="AA255" i="15"/>
  <c r="U255" i="15"/>
  <c r="AC255" i="15"/>
  <c r="W255" i="15"/>
  <c r="AB255" i="15"/>
  <c r="T255" i="15"/>
  <c r="Y255" i="15"/>
  <c r="R255" i="15"/>
  <c r="AA264" i="15"/>
  <c r="V264" i="15"/>
  <c r="AE310" i="15"/>
  <c r="AA310" i="15"/>
  <c r="AD310" i="15"/>
  <c r="R310" i="15"/>
  <c r="V310" i="15"/>
  <c r="AB339" i="15"/>
  <c r="Y339" i="15"/>
  <c r="T339" i="15"/>
  <c r="AE339" i="15"/>
  <c r="W339" i="15"/>
  <c r="AC339" i="15"/>
  <c r="R339" i="15"/>
  <c r="AD339" i="15"/>
  <c r="U339" i="15"/>
  <c r="AD371" i="15"/>
  <c r="AA371" i="15"/>
  <c r="R371" i="15"/>
  <c r="X371" i="15"/>
  <c r="AE371" i="15"/>
  <c r="T371" i="15"/>
  <c r="W371" i="15"/>
  <c r="Z374" i="15"/>
  <c r="AE374" i="15"/>
  <c r="R374" i="15"/>
  <c r="W374" i="15"/>
  <c r="Z406" i="15"/>
  <c r="R406" i="15"/>
  <c r="AA406" i="15"/>
  <c r="V427" i="15"/>
  <c r="Z427" i="15"/>
  <c r="AE427" i="15"/>
  <c r="T427" i="15"/>
  <c r="AA427" i="15"/>
  <c r="AE456" i="15"/>
  <c r="Y456" i="15"/>
  <c r="T456" i="15"/>
  <c r="W456" i="15"/>
  <c r="AB456" i="15"/>
  <c r="U456" i="15"/>
  <c r="X456" i="15"/>
  <c r="R456" i="15"/>
  <c r="AA456" i="15"/>
  <c r="AA48" i="15"/>
  <c r="AD53" i="15"/>
  <c r="V53" i="15"/>
  <c r="AB53" i="15"/>
  <c r="U53" i="15"/>
  <c r="X60" i="15"/>
  <c r="X67" i="15"/>
  <c r="X75" i="15"/>
  <c r="AD97" i="15"/>
  <c r="AE97" i="15"/>
  <c r="Y97" i="15"/>
  <c r="T97" i="15"/>
  <c r="AC97" i="15"/>
  <c r="X97" i="15"/>
  <c r="R97" i="15"/>
  <c r="AB97" i="15"/>
  <c r="Z100" i="15"/>
  <c r="AD107" i="15"/>
  <c r="AB109" i="15"/>
  <c r="U109" i="15"/>
  <c r="Z109" i="15"/>
  <c r="T109" i="15"/>
  <c r="AD110" i="15"/>
  <c r="V110" i="15"/>
  <c r="Y111" i="15"/>
  <c r="AD114" i="15"/>
  <c r="AE114" i="15"/>
  <c r="W114" i="15"/>
  <c r="AB114" i="15"/>
  <c r="T114" i="15"/>
  <c r="AD115" i="15"/>
  <c r="AA115" i="15"/>
  <c r="U115" i="15"/>
  <c r="AE115" i="15"/>
  <c r="Y115" i="15"/>
  <c r="T115" i="15"/>
  <c r="AB115" i="15"/>
  <c r="AD118" i="15"/>
  <c r="AE118" i="15"/>
  <c r="W118" i="15"/>
  <c r="AB118" i="15"/>
  <c r="T118" i="15"/>
  <c r="AD119" i="15"/>
  <c r="AA119" i="15"/>
  <c r="U119" i="15"/>
  <c r="AE119" i="15"/>
  <c r="Y119" i="15"/>
  <c r="T119" i="15"/>
  <c r="AB119" i="15"/>
  <c r="AD122" i="15"/>
  <c r="AE122" i="15"/>
  <c r="W122" i="15"/>
  <c r="AB122" i="15"/>
  <c r="T122" i="15"/>
  <c r="AD123" i="15"/>
  <c r="AA123" i="15"/>
  <c r="U123" i="15"/>
  <c r="AE123" i="15"/>
  <c r="Y123" i="15"/>
  <c r="T123" i="15"/>
  <c r="AC123" i="15"/>
  <c r="X123" i="15"/>
  <c r="R123" i="15"/>
  <c r="AD130" i="15"/>
  <c r="AE130" i="15"/>
  <c r="W130" i="15"/>
  <c r="AB130" i="15"/>
  <c r="T130" i="15"/>
  <c r="AA130" i="15"/>
  <c r="R130" i="15"/>
  <c r="AD155" i="15"/>
  <c r="AA155" i="15"/>
  <c r="U155" i="15"/>
  <c r="AE155" i="15"/>
  <c r="Y155" i="15"/>
  <c r="T155" i="15"/>
  <c r="AC155" i="15"/>
  <c r="X155" i="15"/>
  <c r="R155" i="15"/>
  <c r="AA164" i="15"/>
  <c r="U164" i="15"/>
  <c r="Y164" i="15"/>
  <c r="AE164" i="15"/>
  <c r="V164" i="15"/>
  <c r="AD164" i="15"/>
  <c r="R164" i="15"/>
  <c r="AB175" i="15"/>
  <c r="V175" i="15"/>
  <c r="X175" i="15"/>
  <c r="AB179" i="15"/>
  <c r="Y179" i="15"/>
  <c r="Z179" i="15"/>
  <c r="U179" i="15"/>
  <c r="T179" i="15"/>
  <c r="AB187" i="15"/>
  <c r="U187" i="15"/>
  <c r="Z187" i="15"/>
  <c r="Y187" i="15"/>
  <c r="T187" i="15"/>
  <c r="AA207" i="15"/>
  <c r="AD207" i="15"/>
  <c r="R207" i="15"/>
  <c r="Z207" i="15"/>
  <c r="X207" i="15"/>
  <c r="T207" i="15"/>
  <c r="Z225" i="15"/>
  <c r="R225" i="15"/>
  <c r="Y225" i="15"/>
  <c r="AE225" i="15"/>
  <c r="V225" i="15"/>
  <c r="AD225" i="15"/>
  <c r="U225" i="15"/>
  <c r="AE303" i="15"/>
  <c r="AB303" i="15"/>
  <c r="R303" i="15"/>
  <c r="V303" i="15"/>
  <c r="AD352" i="15"/>
  <c r="AA352" i="15"/>
  <c r="U352" i="15"/>
  <c r="AC352" i="15"/>
  <c r="W352" i="15"/>
  <c r="Y352" i="15"/>
  <c r="R352" i="15"/>
  <c r="AB352" i="15"/>
  <c r="T352" i="15"/>
  <c r="W370" i="15"/>
  <c r="AE370" i="15"/>
  <c r="R370" i="15"/>
  <c r="Z370" i="15"/>
  <c r="Z475" i="15"/>
  <c r="AB475" i="15"/>
  <c r="V475" i="15"/>
  <c r="U475" i="15"/>
  <c r="AD304" i="15"/>
  <c r="AC304" i="15"/>
  <c r="X304" i="15"/>
  <c r="R304" i="15"/>
  <c r="Y304" i="15"/>
  <c r="AD308" i="15"/>
  <c r="AA308" i="15"/>
  <c r="U308" i="15"/>
  <c r="X308" i="15"/>
  <c r="AE308" i="15"/>
  <c r="R312" i="15"/>
  <c r="AD314" i="15"/>
  <c r="AA314" i="15"/>
  <c r="U314" i="15"/>
  <c r="X314" i="15"/>
  <c r="AE314" i="15"/>
  <c r="AD318" i="15"/>
  <c r="AC318" i="15"/>
  <c r="X318" i="15"/>
  <c r="R318" i="15"/>
  <c r="Y318" i="15"/>
  <c r="R330" i="15"/>
  <c r="Z333" i="15"/>
  <c r="R333" i="15"/>
  <c r="AA333" i="15"/>
  <c r="AD335" i="15"/>
  <c r="AA335" i="15"/>
  <c r="U335" i="15"/>
  <c r="X335" i="15"/>
  <c r="AE335" i="15"/>
  <c r="AE345" i="15"/>
  <c r="AD345" i="15"/>
  <c r="Y345" i="15"/>
  <c r="T345" i="15"/>
  <c r="X345" i="15"/>
  <c r="AD346" i="15"/>
  <c r="AA346" i="15"/>
  <c r="AD347" i="15"/>
  <c r="T347" i="15"/>
  <c r="AD348" i="15"/>
  <c r="AC348" i="15"/>
  <c r="X348" i="15"/>
  <c r="R348" i="15"/>
  <c r="Y348" i="15"/>
  <c r="Z349" i="15"/>
  <c r="V349" i="15"/>
  <c r="AD351" i="15"/>
  <c r="AE351" i="15"/>
  <c r="W351" i="15"/>
  <c r="AA351" i="15"/>
  <c r="T356" i="15"/>
  <c r="R359" i="15"/>
  <c r="U363" i="15"/>
  <c r="AD365" i="15"/>
  <c r="AE365" i="15"/>
  <c r="W365" i="15"/>
  <c r="AA365" i="15"/>
  <c r="AD372" i="15"/>
  <c r="AC372" i="15"/>
  <c r="X372" i="15"/>
  <c r="R372" i="15"/>
  <c r="Y372" i="15"/>
  <c r="T392" i="15"/>
  <c r="Y392" i="15"/>
  <c r="AE404" i="15"/>
  <c r="X404" i="15"/>
  <c r="Y404" i="15"/>
  <c r="U404" i="15"/>
  <c r="AD411" i="15"/>
  <c r="AC411" i="15"/>
  <c r="X411" i="15"/>
  <c r="R411" i="15"/>
  <c r="AE411" i="15"/>
  <c r="W411" i="15"/>
  <c r="AB411" i="15"/>
  <c r="T411" i="15"/>
  <c r="AE412" i="15"/>
  <c r="AC412" i="15"/>
  <c r="U412" i="15"/>
  <c r="Y412" i="15"/>
  <c r="AB412" i="15"/>
  <c r="Z442" i="15"/>
  <c r="V442" i="15"/>
  <c r="AA442" i="15"/>
  <c r="Z451" i="15"/>
  <c r="V451" i="15"/>
  <c r="AA451" i="15"/>
  <c r="V460" i="15"/>
  <c r="AB460" i="15"/>
  <c r="Z460" i="15"/>
  <c r="AE465" i="15"/>
  <c r="T465" i="15"/>
  <c r="AA465" i="15"/>
  <c r="Z465" i="15"/>
  <c r="V465" i="15"/>
  <c r="AA476" i="15"/>
  <c r="W476" i="15"/>
  <c r="X516" i="15"/>
  <c r="V532" i="15"/>
  <c r="U532" i="15"/>
  <c r="AB532" i="15"/>
  <c r="Z532" i="15"/>
  <c r="X136" i="15"/>
  <c r="Z142" i="15"/>
  <c r="W143" i="15"/>
  <c r="AB143" i="15"/>
  <c r="Z148" i="15"/>
  <c r="Z154" i="15"/>
  <c r="AD158" i="15"/>
  <c r="AB158" i="15"/>
  <c r="W158" i="15"/>
  <c r="X158" i="15"/>
  <c r="AE158" i="15"/>
  <c r="AA161" i="15"/>
  <c r="AE161" i="15"/>
  <c r="T161" i="15"/>
  <c r="AD161" i="15"/>
  <c r="Z180" i="15"/>
  <c r="R180" i="15"/>
  <c r="AA180" i="15"/>
  <c r="AD182" i="15"/>
  <c r="AA182" i="15"/>
  <c r="U182" i="15"/>
  <c r="X182" i="15"/>
  <c r="AE182" i="15"/>
  <c r="AD196" i="15"/>
  <c r="AE196" i="15"/>
  <c r="Y196" i="15"/>
  <c r="T196" i="15"/>
  <c r="X196" i="15"/>
  <c r="AD200" i="15"/>
  <c r="AC200" i="15"/>
  <c r="X200" i="15"/>
  <c r="R200" i="15"/>
  <c r="Y200" i="15"/>
  <c r="AB201" i="15"/>
  <c r="U201" i="15"/>
  <c r="AD201" i="15"/>
  <c r="AD208" i="15"/>
  <c r="AE208" i="15"/>
  <c r="Y208" i="15"/>
  <c r="T208" i="15"/>
  <c r="X208" i="15"/>
  <c r="AB209" i="15"/>
  <c r="Y209" i="15"/>
  <c r="AD209" i="15"/>
  <c r="AE227" i="15"/>
  <c r="Z227" i="15"/>
  <c r="T227" i="15"/>
  <c r="Y227" i="15"/>
  <c r="AD238" i="15"/>
  <c r="AC238" i="15"/>
  <c r="X238" i="15"/>
  <c r="R238" i="15"/>
  <c r="Y238" i="15"/>
  <c r="AB239" i="15"/>
  <c r="U239" i="15"/>
  <c r="AD239" i="15"/>
  <c r="AA245" i="15"/>
  <c r="X245" i="15"/>
  <c r="AD245" i="15"/>
  <c r="AD251" i="15"/>
  <c r="AA251" i="15"/>
  <c r="U251" i="15"/>
  <c r="X251" i="15"/>
  <c r="AE251" i="15"/>
  <c r="AD269" i="15"/>
  <c r="AC269" i="15"/>
  <c r="X269" i="15"/>
  <c r="R269" i="15"/>
  <c r="Y269" i="15"/>
  <c r="AA313" i="15"/>
  <c r="AE313" i="15"/>
  <c r="T313" i="15"/>
  <c r="AD313" i="15"/>
  <c r="AB327" i="15"/>
  <c r="V327" i="15"/>
  <c r="AD330" i="15"/>
  <c r="AE330" i="15"/>
  <c r="Y330" i="15"/>
  <c r="T330" i="15"/>
  <c r="X330" i="15"/>
  <c r="AB331" i="15"/>
  <c r="Y331" i="15"/>
  <c r="AD331" i="15"/>
  <c r="AB344" i="15"/>
  <c r="R344" i="15"/>
  <c r="AD344" i="15"/>
  <c r="AE350" i="15"/>
  <c r="V350" i="15"/>
  <c r="AD350" i="15"/>
  <c r="AD356" i="15"/>
  <c r="AC356" i="15"/>
  <c r="X356" i="15"/>
  <c r="R356" i="15"/>
  <c r="Y356" i="15"/>
  <c r="Z357" i="15"/>
  <c r="V357" i="15"/>
  <c r="AD359" i="15"/>
  <c r="AE359" i="15"/>
  <c r="W359" i="15"/>
  <c r="AA359" i="15"/>
  <c r="AE364" i="15"/>
  <c r="V364" i="15"/>
  <c r="AD364" i="15"/>
  <c r="AD366" i="15"/>
  <c r="AB366" i="15"/>
  <c r="T366" i="15"/>
  <c r="AA366" i="15"/>
  <c r="AD403" i="15"/>
  <c r="AE403" i="15"/>
  <c r="Y403" i="15"/>
  <c r="T403" i="15"/>
  <c r="AC403" i="15"/>
  <c r="AA403" i="15"/>
  <c r="R403" i="15"/>
  <c r="AB403" i="15"/>
  <c r="AD413" i="15"/>
  <c r="Z413" i="15"/>
  <c r="AE418" i="15"/>
  <c r="AD418" i="15"/>
  <c r="X418" i="15"/>
  <c r="R418" i="15"/>
  <c r="AA418" i="15"/>
  <c r="T418" i="15"/>
  <c r="U418" i="15"/>
  <c r="AD431" i="15"/>
  <c r="AE431" i="15"/>
  <c r="Y431" i="15"/>
  <c r="T431" i="15"/>
  <c r="AB431" i="15"/>
  <c r="U431" i="15"/>
  <c r="AC431" i="15"/>
  <c r="R431" i="15"/>
  <c r="AD443" i="15"/>
  <c r="AC443" i="15"/>
  <c r="X443" i="15"/>
  <c r="R443" i="15"/>
  <c r="AA443" i="15"/>
  <c r="T443" i="15"/>
  <c r="W443" i="15"/>
  <c r="AE443" i="15"/>
  <c r="W445" i="15"/>
  <c r="AA445" i="15"/>
  <c r="AD447" i="15"/>
  <c r="AC447" i="15"/>
  <c r="X447" i="15"/>
  <c r="R447" i="15"/>
  <c r="AE447" i="15"/>
  <c r="W447" i="15"/>
  <c r="AB447" i="15"/>
  <c r="T447" i="15"/>
  <c r="AD452" i="15"/>
  <c r="AC452" i="15"/>
  <c r="X452" i="15"/>
  <c r="R452" i="15"/>
  <c r="AA452" i="15"/>
  <c r="T452" i="15"/>
  <c r="W452" i="15"/>
  <c r="AE452" i="15"/>
  <c r="AD474" i="15"/>
  <c r="AE474" i="15"/>
  <c r="Y474" i="15"/>
  <c r="T474" i="15"/>
  <c r="AC474" i="15"/>
  <c r="W474" i="15"/>
  <c r="AB474" i="15"/>
  <c r="U474" i="15"/>
  <c r="AA474" i="15"/>
  <c r="AD478" i="15"/>
  <c r="AB478" i="15"/>
  <c r="W478" i="15"/>
  <c r="AC478" i="15"/>
  <c r="U478" i="15"/>
  <c r="AE478" i="15"/>
  <c r="T478" i="15"/>
  <c r="AA478" i="15"/>
  <c r="R478" i="15"/>
  <c r="X478" i="15"/>
  <c r="V505" i="15"/>
  <c r="Z505" i="15"/>
  <c r="AE505" i="15"/>
  <c r="AA505" i="15"/>
  <c r="AA518" i="15"/>
  <c r="T518" i="15"/>
  <c r="AE518" i="15"/>
  <c r="R518" i="15"/>
  <c r="X518" i="15"/>
  <c r="V518" i="15"/>
  <c r="AB529" i="15"/>
  <c r="V529" i="15"/>
  <c r="X82" i="15"/>
  <c r="AE82" i="15"/>
  <c r="Y84" i="15"/>
  <c r="W87" i="15"/>
  <c r="AB87" i="15"/>
  <c r="Z89" i="15"/>
  <c r="W91" i="15"/>
  <c r="AB91" i="15"/>
  <c r="Z106" i="15"/>
  <c r="W108" i="15"/>
  <c r="AB108" i="15"/>
  <c r="W125" i="15"/>
  <c r="W129" i="15"/>
  <c r="R136" i="15"/>
  <c r="Y136" i="15"/>
  <c r="R142" i="15"/>
  <c r="AA142" i="15"/>
  <c r="R143" i="15"/>
  <c r="X143" i="15"/>
  <c r="AC143" i="15"/>
  <c r="T148" i="15"/>
  <c r="AD148" i="15"/>
  <c r="W151" i="15"/>
  <c r="AB151" i="15"/>
  <c r="V152" i="15"/>
  <c r="R154" i="15"/>
  <c r="AD154" i="15"/>
  <c r="V157" i="15"/>
  <c r="R158" i="15"/>
  <c r="Y158" i="15"/>
  <c r="R161" i="15"/>
  <c r="AD162" i="15"/>
  <c r="AA162" i="15"/>
  <c r="U162" i="15"/>
  <c r="X162" i="15"/>
  <c r="AE162" i="15"/>
  <c r="AB170" i="15"/>
  <c r="AD170" i="15"/>
  <c r="T170" i="15"/>
  <c r="AD171" i="15"/>
  <c r="V171" i="15"/>
  <c r="Z171" i="15"/>
  <c r="U180" i="15"/>
  <c r="AD180" i="15"/>
  <c r="R182" i="15"/>
  <c r="Y182" i="15"/>
  <c r="R196" i="15"/>
  <c r="AA196" i="15"/>
  <c r="T200" i="15"/>
  <c r="AA200" i="15"/>
  <c r="T201" i="15"/>
  <c r="V203" i="15"/>
  <c r="R208" i="15"/>
  <c r="AA208" i="15"/>
  <c r="T209" i="15"/>
  <c r="Z210" i="15"/>
  <c r="R210" i="15"/>
  <c r="AA210" i="15"/>
  <c r="AB218" i="15"/>
  <c r="AD218" i="15"/>
  <c r="T218" i="15"/>
  <c r="AD219" i="15"/>
  <c r="V219" i="15"/>
  <c r="Z219" i="15"/>
  <c r="AA222" i="15"/>
  <c r="AD222" i="15"/>
  <c r="R222" i="15"/>
  <c r="AE222" i="15"/>
  <c r="R227" i="15"/>
  <c r="AB227" i="15"/>
  <c r="AA232" i="15"/>
  <c r="U232" i="15"/>
  <c r="Z232" i="15"/>
  <c r="AD234" i="15"/>
  <c r="AA234" i="15"/>
  <c r="U234" i="15"/>
  <c r="X234" i="15"/>
  <c r="AE234" i="15"/>
  <c r="T238" i="15"/>
  <c r="AA238" i="15"/>
  <c r="T239" i="15"/>
  <c r="V241" i="15"/>
  <c r="AB243" i="15"/>
  <c r="R245" i="15"/>
  <c r="AE245" i="15"/>
  <c r="R251" i="15"/>
  <c r="Y251" i="15"/>
  <c r="AC253" i="15"/>
  <c r="AA257" i="15"/>
  <c r="U257" i="15"/>
  <c r="Z257" i="15"/>
  <c r="AA260" i="15"/>
  <c r="AE260" i="15"/>
  <c r="U260" i="15"/>
  <c r="AD260" i="15"/>
  <c r="AD262" i="15"/>
  <c r="AE262" i="15"/>
  <c r="Y262" i="15"/>
  <c r="T262" i="15"/>
  <c r="X262" i="15"/>
  <c r="AD263" i="15"/>
  <c r="V263" i="15"/>
  <c r="Z263" i="15"/>
  <c r="T269" i="15"/>
  <c r="AA269" i="15"/>
  <c r="AD273" i="15"/>
  <c r="AA273" i="15"/>
  <c r="U273" i="15"/>
  <c r="X273" i="15"/>
  <c r="AE273" i="15"/>
  <c r="AD280" i="15"/>
  <c r="AA280" i="15"/>
  <c r="R280" i="15"/>
  <c r="AB280" i="15"/>
  <c r="AB292" i="15"/>
  <c r="AC292" i="15"/>
  <c r="R292" i="15"/>
  <c r="AD292" i="15"/>
  <c r="AD294" i="15"/>
  <c r="AB296" i="15"/>
  <c r="AC296" i="15"/>
  <c r="R296" i="15"/>
  <c r="AD296" i="15"/>
  <c r="X59" i="15"/>
  <c r="X66" i="15"/>
  <c r="X74" i="15"/>
  <c r="W79" i="15"/>
  <c r="AB79" i="15"/>
  <c r="Z81" i="15"/>
  <c r="R82" i="15"/>
  <c r="W83" i="15"/>
  <c r="AB83" i="15"/>
  <c r="T84" i="15"/>
  <c r="R87" i="15"/>
  <c r="X87" i="15"/>
  <c r="AC87" i="15"/>
  <c r="R89" i="15"/>
  <c r="AD89" i="15"/>
  <c r="R91" i="15"/>
  <c r="X91" i="15"/>
  <c r="AC91" i="15"/>
  <c r="R106" i="15"/>
  <c r="AD106" i="15"/>
  <c r="R108" i="15"/>
  <c r="X108" i="15"/>
  <c r="AC108" i="15"/>
  <c r="T136" i="15"/>
  <c r="AB136" i="15"/>
  <c r="AA138" i="15"/>
  <c r="X141" i="15"/>
  <c r="AC141" i="15"/>
  <c r="T143" i="15"/>
  <c r="Y143" i="15"/>
  <c r="AE143" i="15"/>
  <c r="U148" i="15"/>
  <c r="Y149" i="15"/>
  <c r="R151" i="15"/>
  <c r="X151" i="15"/>
  <c r="AC151" i="15"/>
  <c r="X152" i="15"/>
  <c r="T154" i="15"/>
  <c r="AE154" i="15"/>
  <c r="AA156" i="15"/>
  <c r="T158" i="15"/>
  <c r="AA158" i="15"/>
  <c r="X161" i="15"/>
  <c r="R162" i="15"/>
  <c r="Y162" i="15"/>
  <c r="U170" i="15"/>
  <c r="R171" i="15"/>
  <c r="AA171" i="15"/>
  <c r="AA177" i="15"/>
  <c r="AD177" i="15"/>
  <c r="R177" i="15"/>
  <c r="AE177" i="15"/>
  <c r="V180" i="15"/>
  <c r="AE180" i="15"/>
  <c r="T182" i="15"/>
  <c r="AB182" i="15"/>
  <c r="AA192" i="15"/>
  <c r="AE192" i="15"/>
  <c r="T192" i="15"/>
  <c r="AD192" i="15"/>
  <c r="AA195" i="15"/>
  <c r="V195" i="15"/>
  <c r="U196" i="15"/>
  <c r="AB196" i="15"/>
  <c r="U200" i="15"/>
  <c r="AB200" i="15"/>
  <c r="Y201" i="15"/>
  <c r="W203" i="15"/>
  <c r="U208" i="15"/>
  <c r="AB208" i="15"/>
  <c r="U209" i="15"/>
  <c r="U210" i="15"/>
  <c r="AD210" i="15"/>
  <c r="AD212" i="15"/>
  <c r="AE212" i="15"/>
  <c r="Y212" i="15"/>
  <c r="T212" i="15"/>
  <c r="X212" i="15"/>
  <c r="AA216" i="15"/>
  <c r="X216" i="15"/>
  <c r="AD216" i="15"/>
  <c r="U218" i="15"/>
  <c r="R219" i="15"/>
  <c r="AA219" i="15"/>
  <c r="T222" i="15"/>
  <c r="AD223" i="15"/>
  <c r="AE223" i="15"/>
  <c r="Y223" i="15"/>
  <c r="T223" i="15"/>
  <c r="X223" i="15"/>
  <c r="AB224" i="15"/>
  <c r="Y224" i="15"/>
  <c r="AD224" i="15"/>
  <c r="U227" i="15"/>
  <c r="AC227" i="15"/>
  <c r="AA229" i="15"/>
  <c r="AE229" i="15"/>
  <c r="T229" i="15"/>
  <c r="AD229" i="15"/>
  <c r="R232" i="15"/>
  <c r="AD232" i="15"/>
  <c r="R234" i="15"/>
  <c r="Y234" i="15"/>
  <c r="U238" i="15"/>
  <c r="AB238" i="15"/>
  <c r="Y239" i="15"/>
  <c r="T245" i="15"/>
  <c r="T251" i="15"/>
  <c r="AB251" i="15"/>
  <c r="AA254" i="15"/>
  <c r="AE254" i="15"/>
  <c r="T254" i="15"/>
  <c r="AD254" i="15"/>
  <c r="R257" i="15"/>
  <c r="AD257" i="15"/>
  <c r="AB258" i="15"/>
  <c r="R260" i="15"/>
  <c r="AD261" i="15"/>
  <c r="V261" i="15"/>
  <c r="Z261" i="15"/>
  <c r="R262" i="15"/>
  <c r="AA262" i="15"/>
  <c r="T263" i="15"/>
  <c r="AB263" i="15"/>
  <c r="AD265" i="15"/>
  <c r="AA265" i="15"/>
  <c r="U265" i="15"/>
  <c r="X265" i="15"/>
  <c r="AE265" i="15"/>
  <c r="AD268" i="15"/>
  <c r="AA268" i="15"/>
  <c r="R268" i="15"/>
  <c r="AB268" i="15"/>
  <c r="U269" i="15"/>
  <c r="AB269" i="15"/>
  <c r="R273" i="15"/>
  <c r="Y273" i="15"/>
  <c r="T280" i="15"/>
  <c r="AE280" i="15"/>
  <c r="T292" i="15"/>
  <c r="W293" i="15"/>
  <c r="V293" i="15"/>
  <c r="U294" i="15"/>
  <c r="T296" i="15"/>
  <c r="AB302" i="15"/>
  <c r="AD302" i="15"/>
  <c r="T302" i="15"/>
  <c r="AC302" i="15"/>
  <c r="T304" i="15"/>
  <c r="AA304" i="15"/>
  <c r="R308" i="15"/>
  <c r="Y308" i="15"/>
  <c r="W312" i="15"/>
  <c r="X313" i="15"/>
  <c r="R314" i="15"/>
  <c r="Y314" i="15"/>
  <c r="T318" i="15"/>
  <c r="AA318" i="15"/>
  <c r="AB323" i="15"/>
  <c r="AD323" i="15"/>
  <c r="T323" i="15"/>
  <c r="AD324" i="15"/>
  <c r="V324" i="15"/>
  <c r="Z324" i="15"/>
  <c r="U330" i="15"/>
  <c r="AB330" i="15"/>
  <c r="U331" i="15"/>
  <c r="U333" i="15"/>
  <c r="AD333" i="15"/>
  <c r="R335" i="15"/>
  <c r="Y335" i="15"/>
  <c r="AD341" i="15"/>
  <c r="AA341" i="15"/>
  <c r="U341" i="15"/>
  <c r="X341" i="15"/>
  <c r="AE341" i="15"/>
  <c r="W344" i="15"/>
  <c r="R345" i="15"/>
  <c r="R346" i="15"/>
  <c r="R347" i="15"/>
  <c r="T348" i="15"/>
  <c r="AA348" i="15"/>
  <c r="U349" i="15"/>
  <c r="W350" i="15"/>
  <c r="R351" i="15"/>
  <c r="AB351" i="15"/>
  <c r="AD355" i="15"/>
  <c r="AA355" i="15"/>
  <c r="R355" i="15"/>
  <c r="AB355" i="15"/>
  <c r="U356" i="15"/>
  <c r="AB356" i="15"/>
  <c r="AD357" i="15"/>
  <c r="T359" i="15"/>
  <c r="AD360" i="15"/>
  <c r="AA360" i="15"/>
  <c r="U360" i="15"/>
  <c r="X360" i="15"/>
  <c r="AE360" i="15"/>
  <c r="V363" i="15"/>
  <c r="W364" i="15"/>
  <c r="R365" i="15"/>
  <c r="AB365" i="15"/>
  <c r="W366" i="15"/>
  <c r="AD367" i="15"/>
  <c r="AE367" i="15"/>
  <c r="Y367" i="15"/>
  <c r="T367" i="15"/>
  <c r="X367" i="15"/>
  <c r="T372" i="15"/>
  <c r="AA372" i="15"/>
  <c r="Z373" i="15"/>
  <c r="AE384" i="15"/>
  <c r="V384" i="15"/>
  <c r="AD384" i="15"/>
  <c r="AE388" i="15"/>
  <c r="V388" i="15"/>
  <c r="R388" i="15"/>
  <c r="X392" i="15"/>
  <c r="V397" i="15"/>
  <c r="AA397" i="15"/>
  <c r="AE400" i="15"/>
  <c r="AB400" i="15"/>
  <c r="T400" i="15"/>
  <c r="U400" i="15"/>
  <c r="W403" i="15"/>
  <c r="T404" i="15"/>
  <c r="U411" i="15"/>
  <c r="T412" i="15"/>
  <c r="AD414" i="15"/>
  <c r="AA414" i="15"/>
  <c r="U414" i="15"/>
  <c r="AC414" i="15"/>
  <c r="W414" i="15"/>
  <c r="AB414" i="15"/>
  <c r="R414" i="15"/>
  <c r="AE414" i="15"/>
  <c r="Y418" i="15"/>
  <c r="AD423" i="15"/>
  <c r="AB423" i="15"/>
  <c r="X431" i="15"/>
  <c r="T442" i="15"/>
  <c r="Y443" i="15"/>
  <c r="Y447" i="15"/>
  <c r="T451" i="15"/>
  <c r="Y452" i="15"/>
  <c r="AD459" i="15"/>
  <c r="AC459" i="15"/>
  <c r="X459" i="15"/>
  <c r="R459" i="15"/>
  <c r="AE459" i="15"/>
  <c r="W459" i="15"/>
  <c r="AB459" i="15"/>
  <c r="U459" i="15"/>
  <c r="Y459" i="15"/>
  <c r="U460" i="15"/>
  <c r="AD463" i="15"/>
  <c r="AA463" i="15"/>
  <c r="U463" i="15"/>
  <c r="AC463" i="15"/>
  <c r="W463" i="15"/>
  <c r="AB463" i="15"/>
  <c r="T463" i="15"/>
  <c r="R463" i="15"/>
  <c r="AD466" i="15"/>
  <c r="AA466" i="15"/>
  <c r="U466" i="15"/>
  <c r="AC466" i="15"/>
  <c r="W466" i="15"/>
  <c r="AB466" i="15"/>
  <c r="T466" i="15"/>
  <c r="Y466" i="15"/>
  <c r="X474" i="15"/>
  <c r="AE479" i="15"/>
  <c r="AB479" i="15"/>
  <c r="T479" i="15"/>
  <c r="X479" i="15"/>
  <c r="AC479" i="15"/>
  <c r="Y479" i="15"/>
  <c r="V486" i="15"/>
  <c r="W486" i="15"/>
  <c r="AB491" i="15"/>
  <c r="U491" i="15"/>
  <c r="Y491" i="15"/>
  <c r="V491" i="15"/>
  <c r="T491" i="15"/>
  <c r="AD491" i="15"/>
  <c r="AA496" i="15"/>
  <c r="T496" i="15"/>
  <c r="AD496" i="15"/>
  <c r="R496" i="15"/>
  <c r="X496" i="15"/>
  <c r="V496" i="15"/>
  <c r="Z496" i="15"/>
  <c r="Z163" i="15"/>
  <c r="W169" i="15"/>
  <c r="AB169" i="15"/>
  <c r="W173" i="15"/>
  <c r="AB173" i="15"/>
  <c r="Z185" i="15"/>
  <c r="Y188" i="15"/>
  <c r="W190" i="15"/>
  <c r="AB190" i="15"/>
  <c r="Z194" i="15"/>
  <c r="Z199" i="15"/>
  <c r="Y202" i="15"/>
  <c r="W217" i="15"/>
  <c r="AB217" i="15"/>
  <c r="Z231" i="15"/>
  <c r="Z237" i="15"/>
  <c r="Y240" i="15"/>
  <c r="W242" i="15"/>
  <c r="AB242" i="15"/>
  <c r="W246" i="15"/>
  <c r="AB246" i="15"/>
  <c r="Z256" i="15"/>
  <c r="X276" i="15"/>
  <c r="W277" i="15"/>
  <c r="AB277" i="15"/>
  <c r="X288" i="15"/>
  <c r="W289" i="15"/>
  <c r="AB289" i="15"/>
  <c r="X298" i="15"/>
  <c r="W299" i="15"/>
  <c r="AB299" i="15"/>
  <c r="AD306" i="15"/>
  <c r="Z315" i="15"/>
  <c r="W322" i="15"/>
  <c r="AB322" i="15"/>
  <c r="W326" i="15"/>
  <c r="AB326" i="15"/>
  <c r="X340" i="15"/>
  <c r="X378" i="15"/>
  <c r="W379" i="15"/>
  <c r="AB379" i="15"/>
  <c r="X382" i="15"/>
  <c r="W383" i="15"/>
  <c r="AC383" i="15"/>
  <c r="AD386" i="15"/>
  <c r="AA386" i="15"/>
  <c r="U386" i="15"/>
  <c r="X386" i="15"/>
  <c r="AE386" i="15"/>
  <c r="AD389" i="15"/>
  <c r="AE389" i="15"/>
  <c r="W389" i="15"/>
  <c r="AA389" i="15"/>
  <c r="Z394" i="15"/>
  <c r="R394" i="15"/>
  <c r="AA394" i="15"/>
  <c r="Z396" i="15"/>
  <c r="T396" i="15"/>
  <c r="AB396" i="15"/>
  <c r="AD401" i="15"/>
  <c r="AA422" i="15"/>
  <c r="V422" i="15"/>
  <c r="AD424" i="15"/>
  <c r="AA424" i="15"/>
  <c r="U424" i="15"/>
  <c r="AC424" i="15"/>
  <c r="W424" i="15"/>
  <c r="Y424" i="15"/>
  <c r="AD426" i="15"/>
  <c r="V426" i="15"/>
  <c r="AA426" i="15"/>
  <c r="R426" i="15"/>
  <c r="AE426" i="15"/>
  <c r="X430" i="15"/>
  <c r="W430" i="15"/>
  <c r="V444" i="15"/>
  <c r="U444" i="15"/>
  <c r="W446" i="15"/>
  <c r="AD446" i="15"/>
  <c r="V453" i="15"/>
  <c r="U453" i="15"/>
  <c r="V461" i="15"/>
  <c r="AA461" i="15"/>
  <c r="AD470" i="15"/>
  <c r="AA470" i="15"/>
  <c r="U470" i="15"/>
  <c r="AC470" i="15"/>
  <c r="W470" i="15"/>
  <c r="AB470" i="15"/>
  <c r="T470" i="15"/>
  <c r="AE470" i="15"/>
  <c r="Z472" i="15"/>
  <c r="R472" i="15"/>
  <c r="Y472" i="15"/>
  <c r="AE472" i="15"/>
  <c r="V472" i="15"/>
  <c r="AE483" i="15"/>
  <c r="AC483" i="15"/>
  <c r="U483" i="15"/>
  <c r="T483" i="15"/>
  <c r="Y483" i="15"/>
  <c r="X483" i="15"/>
  <c r="R502" i="15"/>
  <c r="AC502" i="15"/>
  <c r="AD519" i="15"/>
  <c r="AE519" i="15"/>
  <c r="Y519" i="15"/>
  <c r="T519" i="15"/>
  <c r="AC519" i="15"/>
  <c r="W519" i="15"/>
  <c r="U519" i="15"/>
  <c r="AB519" i="15"/>
  <c r="R519" i="15"/>
  <c r="V526" i="15"/>
  <c r="Z526" i="15"/>
  <c r="AE526" i="15"/>
  <c r="AA526" i="15"/>
  <c r="AA531" i="15"/>
  <c r="T531" i="15"/>
  <c r="X531" i="15"/>
  <c r="Z531" i="15"/>
  <c r="V531" i="15"/>
  <c r="V533" i="15"/>
  <c r="AA533" i="15"/>
  <c r="AD407" i="15"/>
  <c r="AE407" i="15"/>
  <c r="Y407" i="15"/>
  <c r="T407" i="15"/>
  <c r="X407" i="15"/>
  <c r="AE408" i="15"/>
  <c r="X408" i="15"/>
  <c r="AB408" i="15"/>
  <c r="Z420" i="15"/>
  <c r="R420" i="15"/>
  <c r="AA420" i="15"/>
  <c r="Z433" i="15"/>
  <c r="R433" i="15"/>
  <c r="AA433" i="15"/>
  <c r="AD435" i="15"/>
  <c r="AE435" i="15"/>
  <c r="Y435" i="15"/>
  <c r="T435" i="15"/>
  <c r="X435" i="15"/>
  <c r="AD439" i="15"/>
  <c r="AE439" i="15"/>
  <c r="Y439" i="15"/>
  <c r="T439" i="15"/>
  <c r="X439" i="15"/>
  <c r="AA489" i="15"/>
  <c r="T489" i="15"/>
  <c r="AE489" i="15"/>
  <c r="V489" i="15"/>
  <c r="AD489" i="15"/>
  <c r="V492" i="15"/>
  <c r="U492" i="15"/>
  <c r="AD497" i="15"/>
  <c r="AC497" i="15"/>
  <c r="X497" i="15"/>
  <c r="R497" i="15"/>
  <c r="AB497" i="15"/>
  <c r="U497" i="15"/>
  <c r="AA497" i="15"/>
  <c r="AD511" i="15"/>
  <c r="AA511" i="15"/>
  <c r="U511" i="15"/>
  <c r="Y511" i="15"/>
  <c r="R511" i="15"/>
  <c r="AB511" i="15"/>
  <c r="AD515" i="15"/>
  <c r="AC515" i="15"/>
  <c r="X515" i="15"/>
  <c r="R515" i="15"/>
  <c r="AE515" i="15"/>
  <c r="W515" i="15"/>
  <c r="AA515" i="15"/>
  <c r="Y517" i="15"/>
  <c r="R517" i="15"/>
  <c r="AA523" i="15"/>
  <c r="T523" i="15"/>
  <c r="X523" i="15"/>
  <c r="AD523" i="15"/>
  <c r="AD535" i="15"/>
  <c r="AE535" i="15"/>
  <c r="X535" i="15"/>
  <c r="R535" i="15"/>
  <c r="AB535" i="15"/>
  <c r="U535" i="15"/>
  <c r="AA535" i="15"/>
  <c r="AE458" i="15"/>
  <c r="R477" i="15"/>
  <c r="AD482" i="15"/>
  <c r="AC482" i="15"/>
  <c r="X482" i="15"/>
  <c r="R482" i="15"/>
  <c r="AA482" i="15"/>
  <c r="T482" i="15"/>
  <c r="AB482" i="15"/>
  <c r="R489" i="15"/>
  <c r="AD490" i="15"/>
  <c r="AC490" i="15"/>
  <c r="X490" i="15"/>
  <c r="R490" i="15"/>
  <c r="AE490" i="15"/>
  <c r="W490" i="15"/>
  <c r="AA490" i="15"/>
  <c r="Z492" i="15"/>
  <c r="T497" i="15"/>
  <c r="AE497" i="15"/>
  <c r="V501" i="15"/>
  <c r="AB501" i="15"/>
  <c r="T511" i="15"/>
  <c r="AC511" i="15"/>
  <c r="T515" i="15"/>
  <c r="AB515" i="15"/>
  <c r="W517" i="15"/>
  <c r="AE520" i="15"/>
  <c r="X520" i="15"/>
  <c r="Y520" i="15"/>
  <c r="AC520" i="15"/>
  <c r="R523" i="15"/>
  <c r="AE523" i="15"/>
  <c r="AD528" i="15"/>
  <c r="AC528" i="15"/>
  <c r="X528" i="15"/>
  <c r="R528" i="15"/>
  <c r="AB528" i="15"/>
  <c r="U528" i="15"/>
  <c r="AA528" i="15"/>
  <c r="T535" i="15"/>
  <c r="AE536" i="15"/>
  <c r="X536" i="15"/>
  <c r="Y536" i="15"/>
  <c r="AC536" i="15"/>
  <c r="Z393" i="15"/>
  <c r="W395" i="15"/>
  <c r="AB395" i="15"/>
  <c r="W399" i="15"/>
  <c r="AB399" i="15"/>
  <c r="W428" i="15"/>
  <c r="Y441" i="15"/>
  <c r="Y450" i="15"/>
  <c r="Y457" i="15"/>
  <c r="AD485" i="15"/>
  <c r="AD503" i="15"/>
  <c r="AC503" i="15"/>
  <c r="X503" i="15"/>
  <c r="R503" i="15"/>
  <c r="Y503" i="15"/>
  <c r="AB504" i="15"/>
  <c r="U504" i="15"/>
  <c r="Z504" i="15"/>
  <c r="AD507" i="15"/>
  <c r="AA507" i="15"/>
  <c r="U507" i="15"/>
  <c r="X507" i="15"/>
  <c r="AE507" i="15"/>
  <c r="AD524" i="15"/>
  <c r="AC524" i="15"/>
  <c r="X524" i="15"/>
  <c r="R524" i="15"/>
  <c r="Y524" i="15"/>
  <c r="AB525" i="15"/>
  <c r="U525" i="15"/>
  <c r="Z525" i="15"/>
  <c r="AD538" i="15"/>
  <c r="AB538" i="15"/>
  <c r="T538" i="15"/>
  <c r="AA538" i="15"/>
  <c r="W494" i="15"/>
  <c r="AB494" i="15"/>
  <c r="W500" i="15"/>
  <c r="AB500" i="15"/>
  <c r="X510" i="15"/>
  <c r="AC271" i="15"/>
  <c r="Y271" i="15"/>
  <c r="U271" i="15"/>
  <c r="AB271" i="15"/>
  <c r="X271" i="15"/>
  <c r="T271" i="15"/>
  <c r="AE271" i="15"/>
  <c r="W271" i="15"/>
  <c r="AD271" i="15"/>
  <c r="V271" i="15"/>
  <c r="AA271" i="15"/>
  <c r="R271" i="15"/>
  <c r="AC286" i="15"/>
  <c r="Y286" i="15"/>
  <c r="U286" i="15"/>
  <c r="AB286" i="15"/>
  <c r="X286" i="15"/>
  <c r="T286" i="15"/>
  <c r="AE286" i="15"/>
  <c r="W286" i="15"/>
  <c r="AD286" i="15"/>
  <c r="V286" i="15"/>
  <c r="AA286" i="15"/>
  <c r="R286" i="15"/>
  <c r="AB328" i="15"/>
  <c r="X328" i="15"/>
  <c r="T328" i="15"/>
  <c r="AA328" i="15"/>
  <c r="V328" i="15"/>
  <c r="AE328" i="15"/>
  <c r="Z328" i="15"/>
  <c r="U328" i="15"/>
  <c r="Y328" i="15"/>
  <c r="W328" i="15"/>
  <c r="AD328" i="15"/>
  <c r="R328" i="15"/>
  <c r="AB337" i="15"/>
  <c r="X337" i="15"/>
  <c r="T337" i="15"/>
  <c r="AD337" i="15"/>
  <c r="Y337" i="15"/>
  <c r="R337" i="15"/>
  <c r="AE337" i="15"/>
  <c r="W337" i="15"/>
  <c r="AC337" i="15"/>
  <c r="V337" i="15"/>
  <c r="AA337" i="15"/>
  <c r="Z337" i="15"/>
  <c r="U337" i="15"/>
  <c r="AC381" i="15"/>
  <c r="Y381" i="15"/>
  <c r="U381" i="15"/>
  <c r="AB381" i="15"/>
  <c r="X381" i="15"/>
  <c r="T381" i="15"/>
  <c r="AA381" i="15"/>
  <c r="R381" i="15"/>
  <c r="AE381" i="15"/>
  <c r="W381" i="15"/>
  <c r="AD381" i="15"/>
  <c r="Z381" i="15"/>
  <c r="V381" i="15"/>
  <c r="AC47" i="15"/>
  <c r="Y47" i="15"/>
  <c r="U47" i="15"/>
  <c r="AB47" i="15"/>
  <c r="AE49" i="15"/>
  <c r="AA49" i="15"/>
  <c r="W49" i="15"/>
  <c r="R49" i="15"/>
  <c r="X49" i="15"/>
  <c r="X57" i="15"/>
  <c r="AC62" i="15"/>
  <c r="Y62" i="15"/>
  <c r="U62" i="15"/>
  <c r="W62" i="15"/>
  <c r="AB62" i="15"/>
  <c r="X64" i="15"/>
  <c r="AC70" i="15"/>
  <c r="Y70" i="15"/>
  <c r="U70" i="15"/>
  <c r="W70" i="15"/>
  <c r="AB70" i="15"/>
  <c r="AE72" i="15"/>
  <c r="AA72" i="15"/>
  <c r="W72" i="15"/>
  <c r="R72" i="15"/>
  <c r="X72" i="15"/>
  <c r="AC72" i="15"/>
  <c r="AC78" i="15"/>
  <c r="Y78" i="15"/>
  <c r="U78" i="15"/>
  <c r="W78" i="15"/>
  <c r="AB78" i="15"/>
  <c r="AE80" i="15"/>
  <c r="AA80" i="15"/>
  <c r="W80" i="15"/>
  <c r="R80" i="15"/>
  <c r="X80" i="15"/>
  <c r="AC80" i="15"/>
  <c r="AC86" i="15"/>
  <c r="Y86" i="15"/>
  <c r="U86" i="15"/>
  <c r="W86" i="15"/>
  <c r="AE88" i="15"/>
  <c r="AA88" i="15"/>
  <c r="W88" i="15"/>
  <c r="R88" i="15"/>
  <c r="X88" i="15"/>
  <c r="W96" i="15"/>
  <c r="AB96" i="15"/>
  <c r="AE98" i="15"/>
  <c r="AA98" i="15"/>
  <c r="W98" i="15"/>
  <c r="R98" i="15"/>
  <c r="W104" i="15"/>
  <c r="AC135" i="15"/>
  <c r="Y135" i="15"/>
  <c r="T135" i="15"/>
  <c r="AB135" i="15"/>
  <c r="X135" i="15"/>
  <c r="R135" i="15"/>
  <c r="AC137" i="15"/>
  <c r="Y137" i="15"/>
  <c r="T137" i="15"/>
  <c r="AB137" i="15"/>
  <c r="X137" i="15"/>
  <c r="R137" i="15"/>
  <c r="AA137" i="15"/>
  <c r="AE144" i="15"/>
  <c r="AA144" i="15"/>
  <c r="W144" i="15"/>
  <c r="R144" i="15"/>
  <c r="Z144" i="15"/>
  <c r="U144" i="15"/>
  <c r="AD144" i="15"/>
  <c r="Y144" i="15"/>
  <c r="T144" i="15"/>
  <c r="AD147" i="15"/>
  <c r="Z147" i="15"/>
  <c r="T147" i="15"/>
  <c r="AB147" i="15"/>
  <c r="W147" i="15"/>
  <c r="AA147" i="15"/>
  <c r="R147" i="15"/>
  <c r="AB153" i="15"/>
  <c r="X153" i="15"/>
  <c r="T153" i="15"/>
  <c r="AA153" i="15"/>
  <c r="V153" i="15"/>
  <c r="AE153" i="15"/>
  <c r="Z153" i="15"/>
  <c r="U153" i="15"/>
  <c r="AC153" i="15"/>
  <c r="AC159" i="15"/>
  <c r="AC168" i="15"/>
  <c r="Y168" i="15"/>
  <c r="T168" i="15"/>
  <c r="AB168" i="15"/>
  <c r="W168" i="15"/>
  <c r="AA168" i="15"/>
  <c r="U168" i="15"/>
  <c r="AD168" i="15"/>
  <c r="AB176" i="15"/>
  <c r="X176" i="15"/>
  <c r="T176" i="15"/>
  <c r="AA176" i="15"/>
  <c r="V176" i="15"/>
  <c r="AE176" i="15"/>
  <c r="Z176" i="15"/>
  <c r="U176" i="15"/>
  <c r="AC176" i="15"/>
  <c r="AC181" i="15"/>
  <c r="Y181" i="15"/>
  <c r="U181" i="15"/>
  <c r="AE181" i="15"/>
  <c r="Z181" i="15"/>
  <c r="T181" i="15"/>
  <c r="AD181" i="15"/>
  <c r="X181" i="15"/>
  <c r="R181" i="15"/>
  <c r="AB215" i="15"/>
  <c r="X215" i="15"/>
  <c r="T215" i="15"/>
  <c r="AA215" i="15"/>
  <c r="V215" i="15"/>
  <c r="AE215" i="15"/>
  <c r="Z215" i="15"/>
  <c r="U215" i="15"/>
  <c r="AC215" i="15"/>
  <c r="AD220" i="15"/>
  <c r="Z220" i="15"/>
  <c r="U220" i="15"/>
  <c r="AA220" i="15"/>
  <c r="T220" i="15"/>
  <c r="AE220" i="15"/>
  <c r="Y220" i="15"/>
  <c r="R220" i="15"/>
  <c r="AB236" i="15"/>
  <c r="X236" i="15"/>
  <c r="T236" i="15"/>
  <c r="AA236" i="15"/>
  <c r="V236" i="15"/>
  <c r="AE236" i="15"/>
  <c r="Z236" i="15"/>
  <c r="U236" i="15"/>
  <c r="AC267" i="15"/>
  <c r="Y267" i="15"/>
  <c r="U267" i="15"/>
  <c r="AB267" i="15"/>
  <c r="X267" i="15"/>
  <c r="T267" i="15"/>
  <c r="AE267" i="15"/>
  <c r="W267" i="15"/>
  <c r="AD267" i="15"/>
  <c r="V267" i="15"/>
  <c r="AA267" i="15"/>
  <c r="R267" i="15"/>
  <c r="AB309" i="15"/>
  <c r="X309" i="15"/>
  <c r="T309" i="15"/>
  <c r="AE309" i="15"/>
  <c r="AA309" i="15"/>
  <c r="W309" i="15"/>
  <c r="R309" i="15"/>
  <c r="Y309" i="15"/>
  <c r="AD309" i="15"/>
  <c r="V309" i="15"/>
  <c r="AC309" i="15"/>
  <c r="U309" i="15"/>
  <c r="AE319" i="15"/>
  <c r="AA319" i="15"/>
  <c r="W319" i="15"/>
  <c r="R319" i="15"/>
  <c r="Z319" i="15"/>
  <c r="U319" i="15"/>
  <c r="AD319" i="15"/>
  <c r="Y319" i="15"/>
  <c r="T319" i="15"/>
  <c r="AB319" i="15"/>
  <c r="X319" i="15"/>
  <c r="V319" i="15"/>
  <c r="AC334" i="15"/>
  <c r="Y334" i="15"/>
  <c r="U334" i="15"/>
  <c r="AB334" i="15"/>
  <c r="W334" i="15"/>
  <c r="AA334" i="15"/>
  <c r="T334" i="15"/>
  <c r="Z334" i="15"/>
  <c r="R334" i="15"/>
  <c r="AD334" i="15"/>
  <c r="X334" i="15"/>
  <c r="V334" i="15"/>
  <c r="R47" i="15"/>
  <c r="X47" i="15"/>
  <c r="AD47" i="15"/>
  <c r="T49" i="15"/>
  <c r="Y49" i="15"/>
  <c r="AB54" i="15"/>
  <c r="X54" i="15"/>
  <c r="T54" i="15"/>
  <c r="W54" i="15"/>
  <c r="AC54" i="15"/>
  <c r="R55" i="15"/>
  <c r="X55" i="15"/>
  <c r="AD55" i="15"/>
  <c r="T57" i="15"/>
  <c r="Y57" i="15"/>
  <c r="AD57" i="15"/>
  <c r="R62" i="15"/>
  <c r="X62" i="15"/>
  <c r="T64" i="15"/>
  <c r="Y64" i="15"/>
  <c r="AD64" i="15"/>
  <c r="AB69" i="15"/>
  <c r="X69" i="15"/>
  <c r="T69" i="15"/>
  <c r="W69" i="15"/>
  <c r="AC69" i="15"/>
  <c r="R70" i="15"/>
  <c r="X70" i="15"/>
  <c r="AD70" i="15"/>
  <c r="T72" i="15"/>
  <c r="Y72" i="15"/>
  <c r="AD72" i="15"/>
  <c r="AB77" i="15"/>
  <c r="X77" i="15"/>
  <c r="T77" i="15"/>
  <c r="W77" i="15"/>
  <c r="AC77" i="15"/>
  <c r="R78" i="15"/>
  <c r="X78" i="15"/>
  <c r="AD78" i="15"/>
  <c r="T80" i="15"/>
  <c r="Y80" i="15"/>
  <c r="AD80" i="15"/>
  <c r="AB85" i="15"/>
  <c r="X85" i="15"/>
  <c r="T85" i="15"/>
  <c r="W85" i="15"/>
  <c r="AC85" i="15"/>
  <c r="R86" i="15"/>
  <c r="X86" i="15"/>
  <c r="AD86" i="15"/>
  <c r="T88" i="15"/>
  <c r="Y88" i="15"/>
  <c r="AD88" i="15"/>
  <c r="AB95" i="15"/>
  <c r="X95" i="15"/>
  <c r="T95" i="15"/>
  <c r="W95" i="15"/>
  <c r="AC95" i="15"/>
  <c r="R96" i="15"/>
  <c r="X96" i="15"/>
  <c r="AD96" i="15"/>
  <c r="T98" i="15"/>
  <c r="Y98" i="15"/>
  <c r="AD98" i="15"/>
  <c r="AB103" i="15"/>
  <c r="X103" i="15"/>
  <c r="T103" i="15"/>
  <c r="W103" i="15"/>
  <c r="AC103" i="15"/>
  <c r="R104" i="15"/>
  <c r="X104" i="15"/>
  <c r="AD104" i="15"/>
  <c r="AC110" i="15"/>
  <c r="Y110" i="15"/>
  <c r="AB110" i="15"/>
  <c r="X110" i="15"/>
  <c r="T110" i="15"/>
  <c r="W110" i="15"/>
  <c r="AE110" i="15"/>
  <c r="AC113" i="15"/>
  <c r="Y113" i="15"/>
  <c r="U113" i="15"/>
  <c r="AB113" i="15"/>
  <c r="X113" i="15"/>
  <c r="T113" i="15"/>
  <c r="Z113" i="15"/>
  <c r="AC117" i="15"/>
  <c r="Y117" i="15"/>
  <c r="U117" i="15"/>
  <c r="AB117" i="15"/>
  <c r="X117" i="15"/>
  <c r="T117" i="15"/>
  <c r="Z117" i="15"/>
  <c r="AC121" i="15"/>
  <c r="Y121" i="15"/>
  <c r="U121" i="15"/>
  <c r="AB121" i="15"/>
  <c r="X121" i="15"/>
  <c r="T121" i="15"/>
  <c r="Z121" i="15"/>
  <c r="AC125" i="15"/>
  <c r="Y125" i="15"/>
  <c r="U125" i="15"/>
  <c r="AB125" i="15"/>
  <c r="X125" i="15"/>
  <c r="T125" i="15"/>
  <c r="Z125" i="15"/>
  <c r="AC129" i="15"/>
  <c r="Y129" i="15"/>
  <c r="U129" i="15"/>
  <c r="AB129" i="15"/>
  <c r="X129" i="15"/>
  <c r="T129" i="15"/>
  <c r="Z129" i="15"/>
  <c r="AE134" i="15"/>
  <c r="AA134" i="15"/>
  <c r="W134" i="15"/>
  <c r="AD134" i="15"/>
  <c r="Z134" i="15"/>
  <c r="T134" i="15"/>
  <c r="AB134" i="15"/>
  <c r="AD135" i="15"/>
  <c r="AD137" i="15"/>
  <c r="AD139" i="15"/>
  <c r="Z139" i="15"/>
  <c r="AE139" i="15"/>
  <c r="Y139" i="15"/>
  <c r="T139" i="15"/>
  <c r="AC139" i="15"/>
  <c r="X139" i="15"/>
  <c r="R139" i="15"/>
  <c r="AB139" i="15"/>
  <c r="V144" i="15"/>
  <c r="AD145" i="15"/>
  <c r="Z145" i="15"/>
  <c r="T145" i="15"/>
  <c r="AC145" i="15"/>
  <c r="X145" i="15"/>
  <c r="AB145" i="15"/>
  <c r="W145" i="15"/>
  <c r="AE145" i="15"/>
  <c r="X147" i="15"/>
  <c r="AC150" i="15"/>
  <c r="Y150" i="15"/>
  <c r="U150" i="15"/>
  <c r="AE150" i="15"/>
  <c r="Z150" i="15"/>
  <c r="T150" i="15"/>
  <c r="AD150" i="15"/>
  <c r="X150" i="15"/>
  <c r="R150" i="15"/>
  <c r="AB150" i="15"/>
  <c r="R153" i="15"/>
  <c r="AD153" i="15"/>
  <c r="V159" i="15"/>
  <c r="AB160" i="15"/>
  <c r="X160" i="15"/>
  <c r="T160" i="15"/>
  <c r="AA160" i="15"/>
  <c r="V160" i="15"/>
  <c r="AE160" i="15"/>
  <c r="Z160" i="15"/>
  <c r="U160" i="15"/>
  <c r="AC160" i="15"/>
  <c r="AC165" i="15"/>
  <c r="Y165" i="15"/>
  <c r="U165" i="15"/>
  <c r="AE165" i="15"/>
  <c r="Z165" i="15"/>
  <c r="T165" i="15"/>
  <c r="AD165" i="15"/>
  <c r="X165" i="15"/>
  <c r="R165" i="15"/>
  <c r="AB165" i="15"/>
  <c r="R168" i="15"/>
  <c r="AE168" i="15"/>
  <c r="AC172" i="15"/>
  <c r="Y172" i="15"/>
  <c r="U172" i="15"/>
  <c r="AE172" i="15"/>
  <c r="Z172" i="15"/>
  <c r="T172" i="15"/>
  <c r="AD172" i="15"/>
  <c r="X172" i="15"/>
  <c r="R172" i="15"/>
  <c r="AB172" i="15"/>
  <c r="R176" i="15"/>
  <c r="AD176" i="15"/>
  <c r="V181" i="15"/>
  <c r="AB191" i="15"/>
  <c r="X191" i="15"/>
  <c r="R191" i="15"/>
  <c r="AA191" i="15"/>
  <c r="U191" i="15"/>
  <c r="AE191" i="15"/>
  <c r="Z191" i="15"/>
  <c r="T191" i="15"/>
  <c r="AD191" i="15"/>
  <c r="AE197" i="15"/>
  <c r="AA197" i="15"/>
  <c r="W197" i="15"/>
  <c r="R197" i="15"/>
  <c r="Z197" i="15"/>
  <c r="U197" i="15"/>
  <c r="AD197" i="15"/>
  <c r="Y197" i="15"/>
  <c r="T197" i="15"/>
  <c r="AC197" i="15"/>
  <c r="V205" i="15"/>
  <c r="AB206" i="15"/>
  <c r="X206" i="15"/>
  <c r="T206" i="15"/>
  <c r="AA206" i="15"/>
  <c r="V206" i="15"/>
  <c r="AE206" i="15"/>
  <c r="Z206" i="15"/>
  <c r="U206" i="15"/>
  <c r="AC206" i="15"/>
  <c r="AC211" i="15"/>
  <c r="Y211" i="15"/>
  <c r="U211" i="15"/>
  <c r="AE211" i="15"/>
  <c r="Z211" i="15"/>
  <c r="T211" i="15"/>
  <c r="AD211" i="15"/>
  <c r="X211" i="15"/>
  <c r="R211" i="15"/>
  <c r="AB211" i="15"/>
  <c r="R215" i="15"/>
  <c r="AD215" i="15"/>
  <c r="V220" i="15"/>
  <c r="AB221" i="15"/>
  <c r="R221" i="15"/>
  <c r="AA221" i="15"/>
  <c r="V221" i="15"/>
  <c r="AE221" i="15"/>
  <c r="Z221" i="15"/>
  <c r="U221" i="15"/>
  <c r="AC221" i="15"/>
  <c r="AC226" i="15"/>
  <c r="Y226" i="15"/>
  <c r="U226" i="15"/>
  <c r="AE226" i="15"/>
  <c r="Z226" i="15"/>
  <c r="T226" i="15"/>
  <c r="AD226" i="15"/>
  <c r="X226" i="15"/>
  <c r="R226" i="15"/>
  <c r="AB226" i="15"/>
  <c r="AB228" i="15"/>
  <c r="X228" i="15"/>
  <c r="T228" i="15"/>
  <c r="AA228" i="15"/>
  <c r="V228" i="15"/>
  <c r="AE228" i="15"/>
  <c r="Z228" i="15"/>
  <c r="U228" i="15"/>
  <c r="AC228" i="15"/>
  <c r="AC233" i="15"/>
  <c r="Y233" i="15"/>
  <c r="U233" i="15"/>
  <c r="AE233" i="15"/>
  <c r="Z233" i="15"/>
  <c r="T233" i="15"/>
  <c r="AD233" i="15"/>
  <c r="X233" i="15"/>
  <c r="R233" i="15"/>
  <c r="AB233" i="15"/>
  <c r="R236" i="15"/>
  <c r="AD236" i="15"/>
  <c r="T47" i="15"/>
  <c r="Z47" i="15"/>
  <c r="AE47" i="15"/>
  <c r="U49" i="15"/>
  <c r="Z49" i="15"/>
  <c r="V50" i="15"/>
  <c r="AC51" i="15"/>
  <c r="Y51" i="15"/>
  <c r="U51" i="15"/>
  <c r="W51" i="15"/>
  <c r="AB51" i="15"/>
  <c r="AE53" i="15"/>
  <c r="AA53" i="15"/>
  <c r="W53" i="15"/>
  <c r="R53" i="15"/>
  <c r="X53" i="15"/>
  <c r="AC53" i="15"/>
  <c r="R54" i="15"/>
  <c r="Y54" i="15"/>
  <c r="AD54" i="15"/>
  <c r="T55" i="15"/>
  <c r="Z55" i="15"/>
  <c r="U57" i="15"/>
  <c r="V58" i="15"/>
  <c r="AC59" i="15"/>
  <c r="Y59" i="15"/>
  <c r="U59" i="15"/>
  <c r="W59" i="15"/>
  <c r="AB59" i="15"/>
  <c r="AB61" i="15"/>
  <c r="X61" i="15"/>
  <c r="R61" i="15"/>
  <c r="Y61" i="15"/>
  <c r="AD61" i="15"/>
  <c r="T62" i="15"/>
  <c r="Z62" i="15"/>
  <c r="AE62" i="15"/>
  <c r="U64" i="15"/>
  <c r="V65" i="15"/>
  <c r="AC66" i="15"/>
  <c r="Y66" i="15"/>
  <c r="U66" i="15"/>
  <c r="W66" i="15"/>
  <c r="AB66" i="15"/>
  <c r="AE68" i="15"/>
  <c r="AA68" i="15"/>
  <c r="W68" i="15"/>
  <c r="R68" i="15"/>
  <c r="X68" i="15"/>
  <c r="AC68" i="15"/>
  <c r="R69" i="15"/>
  <c r="Y69" i="15"/>
  <c r="AD69" i="15"/>
  <c r="Z70" i="15"/>
  <c r="AE70" i="15"/>
  <c r="U72" i="15"/>
  <c r="Z72" i="15"/>
  <c r="V73" i="15"/>
  <c r="AC74" i="15"/>
  <c r="Y74" i="15"/>
  <c r="U74" i="15"/>
  <c r="W74" i="15"/>
  <c r="AB74" i="15"/>
  <c r="AE76" i="15"/>
  <c r="AA76" i="15"/>
  <c r="W76" i="15"/>
  <c r="R76" i="15"/>
  <c r="X76" i="15"/>
  <c r="AC76" i="15"/>
  <c r="R77" i="15"/>
  <c r="Y77" i="15"/>
  <c r="AD77" i="15"/>
  <c r="T78" i="15"/>
  <c r="Z78" i="15"/>
  <c r="AE78" i="15"/>
  <c r="U80" i="15"/>
  <c r="Z80" i="15"/>
  <c r="V81" i="15"/>
  <c r="AC82" i="15"/>
  <c r="Y82" i="15"/>
  <c r="U82" i="15"/>
  <c r="W82" i="15"/>
  <c r="AB82" i="15"/>
  <c r="AE84" i="15"/>
  <c r="AA84" i="15"/>
  <c r="W84" i="15"/>
  <c r="R84" i="15"/>
  <c r="X84" i="15"/>
  <c r="AC84" i="15"/>
  <c r="R85" i="15"/>
  <c r="Y85" i="15"/>
  <c r="AD85" i="15"/>
  <c r="T86" i="15"/>
  <c r="Z86" i="15"/>
  <c r="AE86" i="15"/>
  <c r="U88" i="15"/>
  <c r="Z88" i="15"/>
  <c r="V89" i="15"/>
  <c r="AC90" i="15"/>
  <c r="Y90" i="15"/>
  <c r="U90" i="15"/>
  <c r="W90" i="15"/>
  <c r="AB90" i="15"/>
  <c r="AE92" i="15"/>
  <c r="AA92" i="15"/>
  <c r="W92" i="15"/>
  <c r="R92" i="15"/>
  <c r="X92" i="15"/>
  <c r="AC92" i="15"/>
  <c r="AE94" i="15"/>
  <c r="AA94" i="15"/>
  <c r="W94" i="15"/>
  <c r="R94" i="15"/>
  <c r="X94" i="15"/>
  <c r="AC94" i="15"/>
  <c r="R95" i="15"/>
  <c r="Y95" i="15"/>
  <c r="AD95" i="15"/>
  <c r="T96" i="15"/>
  <c r="Z96" i="15"/>
  <c r="U98" i="15"/>
  <c r="Z98" i="15"/>
  <c r="V99" i="15"/>
  <c r="AC100" i="15"/>
  <c r="Y100" i="15"/>
  <c r="U100" i="15"/>
  <c r="W100" i="15"/>
  <c r="AB100" i="15"/>
  <c r="AE102" i="15"/>
  <c r="AA102" i="15"/>
  <c r="W102" i="15"/>
  <c r="R102" i="15"/>
  <c r="X102" i="15"/>
  <c r="AC102" i="15"/>
  <c r="R103" i="15"/>
  <c r="Y103" i="15"/>
  <c r="AD103" i="15"/>
  <c r="T104" i="15"/>
  <c r="Z104" i="15"/>
  <c r="V106" i="15"/>
  <c r="AC107" i="15"/>
  <c r="Y107" i="15"/>
  <c r="U107" i="15"/>
  <c r="W107" i="15"/>
  <c r="AB107" i="15"/>
  <c r="AE109" i="15"/>
  <c r="AA109" i="15"/>
  <c r="W109" i="15"/>
  <c r="R109" i="15"/>
  <c r="X109" i="15"/>
  <c r="AC109" i="15"/>
  <c r="R110" i="15"/>
  <c r="Z110" i="15"/>
  <c r="AB112" i="15"/>
  <c r="X112" i="15"/>
  <c r="T112" i="15"/>
  <c r="AE112" i="15"/>
  <c r="AA112" i="15"/>
  <c r="W112" i="15"/>
  <c r="R112" i="15"/>
  <c r="Z112" i="15"/>
  <c r="R113" i="15"/>
  <c r="AA113" i="15"/>
  <c r="AB116" i="15"/>
  <c r="X116" i="15"/>
  <c r="T116" i="15"/>
  <c r="AE116" i="15"/>
  <c r="AA116" i="15"/>
  <c r="W116" i="15"/>
  <c r="R116" i="15"/>
  <c r="Z116" i="15"/>
  <c r="R117" i="15"/>
  <c r="AA117" i="15"/>
  <c r="AB120" i="15"/>
  <c r="X120" i="15"/>
  <c r="T120" i="15"/>
  <c r="AE120" i="15"/>
  <c r="AA120" i="15"/>
  <c r="W120" i="15"/>
  <c r="R120" i="15"/>
  <c r="Z120" i="15"/>
  <c r="R121" i="15"/>
  <c r="AA121" i="15"/>
  <c r="AB124" i="15"/>
  <c r="X124" i="15"/>
  <c r="T124" i="15"/>
  <c r="AE124" i="15"/>
  <c r="AA124" i="15"/>
  <c r="W124" i="15"/>
  <c r="R124" i="15"/>
  <c r="Z124" i="15"/>
  <c r="R125" i="15"/>
  <c r="AA125" i="15"/>
  <c r="AB128" i="15"/>
  <c r="X128" i="15"/>
  <c r="T128" i="15"/>
  <c r="AE128" i="15"/>
  <c r="AA128" i="15"/>
  <c r="W128" i="15"/>
  <c r="R128" i="15"/>
  <c r="Z128" i="15"/>
  <c r="R129" i="15"/>
  <c r="AA129" i="15"/>
  <c r="AB132" i="15"/>
  <c r="X132" i="15"/>
  <c r="T132" i="15"/>
  <c r="AE132" i="15"/>
  <c r="AA132" i="15"/>
  <c r="W132" i="15"/>
  <c r="R132" i="15"/>
  <c r="Z132" i="15"/>
  <c r="R134" i="15"/>
  <c r="AC134" i="15"/>
  <c r="W135" i="15"/>
  <c r="AE135" i="15"/>
  <c r="W137" i="15"/>
  <c r="AE137" i="15"/>
  <c r="X144" i="15"/>
  <c r="R145" i="15"/>
  <c r="Y147" i="15"/>
  <c r="V150" i="15"/>
  <c r="W153" i="15"/>
  <c r="AC157" i="15"/>
  <c r="Y157" i="15"/>
  <c r="U157" i="15"/>
  <c r="AE157" i="15"/>
  <c r="Z157" i="15"/>
  <c r="T157" i="15"/>
  <c r="AD157" i="15"/>
  <c r="X157" i="15"/>
  <c r="R157" i="15"/>
  <c r="AB157" i="15"/>
  <c r="R160" i="15"/>
  <c r="AD160" i="15"/>
  <c r="V165" i="15"/>
  <c r="X168" i="15"/>
  <c r="V172" i="15"/>
  <c r="W176" i="15"/>
  <c r="W181" i="15"/>
  <c r="AE183" i="15"/>
  <c r="AA183" i="15"/>
  <c r="W183" i="15"/>
  <c r="R183" i="15"/>
  <c r="Z183" i="15"/>
  <c r="U183" i="15"/>
  <c r="AD183" i="15"/>
  <c r="Y183" i="15"/>
  <c r="T183" i="15"/>
  <c r="AC183" i="15"/>
  <c r="V197" i="15"/>
  <c r="AB198" i="15"/>
  <c r="X198" i="15"/>
  <c r="T198" i="15"/>
  <c r="AA198" i="15"/>
  <c r="V198" i="15"/>
  <c r="AE198" i="15"/>
  <c r="Z198" i="15"/>
  <c r="U198" i="15"/>
  <c r="AC198" i="15"/>
  <c r="AC203" i="15"/>
  <c r="Y203" i="15"/>
  <c r="U203" i="15"/>
  <c r="AE203" i="15"/>
  <c r="Z203" i="15"/>
  <c r="T203" i="15"/>
  <c r="AD203" i="15"/>
  <c r="X203" i="15"/>
  <c r="R203" i="15"/>
  <c r="AB203" i="15"/>
  <c r="R206" i="15"/>
  <c r="AD206" i="15"/>
  <c r="V211" i="15"/>
  <c r="W215" i="15"/>
  <c r="T221" i="15"/>
  <c r="AD221" i="15"/>
  <c r="V226" i="15"/>
  <c r="R228" i="15"/>
  <c r="AD228" i="15"/>
  <c r="V233" i="15"/>
  <c r="W236" i="15"/>
  <c r="AB253" i="15"/>
  <c r="X253" i="15"/>
  <c r="T253" i="15"/>
  <c r="AA253" i="15"/>
  <c r="V253" i="15"/>
  <c r="AE253" i="15"/>
  <c r="Z253" i="15"/>
  <c r="U253" i="15"/>
  <c r="AD253" i="15"/>
  <c r="Y253" i="15"/>
  <c r="R253" i="15"/>
  <c r="AE259" i="15"/>
  <c r="AA259" i="15"/>
  <c r="W259" i="15"/>
  <c r="R259" i="15"/>
  <c r="AB259" i="15"/>
  <c r="V259" i="15"/>
  <c r="Z259" i="15"/>
  <c r="U259" i="15"/>
  <c r="AD259" i="15"/>
  <c r="Y259" i="15"/>
  <c r="T259" i="15"/>
  <c r="Z271" i="15"/>
  <c r="AC275" i="15"/>
  <c r="Y275" i="15"/>
  <c r="U275" i="15"/>
  <c r="AB275" i="15"/>
  <c r="X275" i="15"/>
  <c r="T275" i="15"/>
  <c r="AE275" i="15"/>
  <c r="W275" i="15"/>
  <c r="AD275" i="15"/>
  <c r="V275" i="15"/>
  <c r="AA275" i="15"/>
  <c r="R275" i="15"/>
  <c r="Z286" i="15"/>
  <c r="AC291" i="15"/>
  <c r="Y291" i="15"/>
  <c r="U291" i="15"/>
  <c r="AB291" i="15"/>
  <c r="X291" i="15"/>
  <c r="T291" i="15"/>
  <c r="AE291" i="15"/>
  <c r="W291" i="15"/>
  <c r="AD291" i="15"/>
  <c r="V291" i="15"/>
  <c r="AA291" i="15"/>
  <c r="R291" i="15"/>
  <c r="AB305" i="15"/>
  <c r="X305" i="15"/>
  <c r="T305" i="15"/>
  <c r="AE305" i="15"/>
  <c r="AA305" i="15"/>
  <c r="W305" i="15"/>
  <c r="R305" i="15"/>
  <c r="Y305" i="15"/>
  <c r="AD305" i="15"/>
  <c r="V305" i="15"/>
  <c r="AC305" i="15"/>
  <c r="U305" i="15"/>
  <c r="AC328" i="15"/>
  <c r="AC338" i="15"/>
  <c r="Y338" i="15"/>
  <c r="U338" i="15"/>
  <c r="AE338" i="15"/>
  <c r="Z338" i="15"/>
  <c r="T338" i="15"/>
  <c r="AD338" i="15"/>
  <c r="W338" i="15"/>
  <c r="AB338" i="15"/>
  <c r="V338" i="15"/>
  <c r="AA338" i="15"/>
  <c r="X338" i="15"/>
  <c r="R338" i="15"/>
  <c r="W47" i="15"/>
  <c r="AC49" i="15"/>
  <c r="AC55" i="15"/>
  <c r="Y55" i="15"/>
  <c r="U55" i="15"/>
  <c r="W55" i="15"/>
  <c r="AB55" i="15"/>
  <c r="AE57" i="15"/>
  <c r="AA57" i="15"/>
  <c r="W57" i="15"/>
  <c r="R57" i="15"/>
  <c r="AC57" i="15"/>
  <c r="AE64" i="15"/>
  <c r="AA64" i="15"/>
  <c r="W64" i="15"/>
  <c r="R64" i="15"/>
  <c r="AC64" i="15"/>
  <c r="AB86" i="15"/>
  <c r="AC88" i="15"/>
  <c r="AC96" i="15"/>
  <c r="Y96" i="15"/>
  <c r="U96" i="15"/>
  <c r="X98" i="15"/>
  <c r="AC98" i="15"/>
  <c r="AC104" i="15"/>
  <c r="Y104" i="15"/>
  <c r="U104" i="15"/>
  <c r="AB104" i="15"/>
  <c r="AA135" i="15"/>
  <c r="AC144" i="15"/>
  <c r="AE159" i="15"/>
  <c r="AA159" i="15"/>
  <c r="W159" i="15"/>
  <c r="R159" i="15"/>
  <c r="Z159" i="15"/>
  <c r="U159" i="15"/>
  <c r="AD159" i="15"/>
  <c r="Y159" i="15"/>
  <c r="T159" i="15"/>
  <c r="AB181" i="15"/>
  <c r="AE205" i="15"/>
  <c r="AA205" i="15"/>
  <c r="W205" i="15"/>
  <c r="R205" i="15"/>
  <c r="Z205" i="15"/>
  <c r="U205" i="15"/>
  <c r="AD205" i="15"/>
  <c r="Y205" i="15"/>
  <c r="T205" i="15"/>
  <c r="AC205" i="15"/>
  <c r="AC220" i="15"/>
  <c r="AC236" i="15"/>
  <c r="AD283" i="15"/>
  <c r="Z283" i="15"/>
  <c r="U283" i="15"/>
  <c r="AC283" i="15"/>
  <c r="T283" i="15"/>
  <c r="AE283" i="15"/>
  <c r="W283" i="15"/>
  <c r="AB283" i="15"/>
  <c r="V283" i="15"/>
  <c r="AA283" i="15"/>
  <c r="R283" i="15"/>
  <c r="AC301" i="15"/>
  <c r="Y301" i="15"/>
  <c r="U301" i="15"/>
  <c r="AB301" i="15"/>
  <c r="X301" i="15"/>
  <c r="T301" i="15"/>
  <c r="AE301" i="15"/>
  <c r="W301" i="15"/>
  <c r="AD301" i="15"/>
  <c r="V301" i="15"/>
  <c r="AA301" i="15"/>
  <c r="R301" i="15"/>
  <c r="AB530" i="15"/>
  <c r="X530" i="15"/>
  <c r="T530" i="15"/>
  <c r="AA530" i="15"/>
  <c r="V530" i="15"/>
  <c r="AE530" i="15"/>
  <c r="Z530" i="15"/>
  <c r="U530" i="15"/>
  <c r="AD530" i="15"/>
  <c r="Y530" i="15"/>
  <c r="R530" i="15"/>
  <c r="AC530" i="15"/>
  <c r="W530" i="15"/>
  <c r="V47" i="15"/>
  <c r="AA47" i="15"/>
  <c r="V49" i="15"/>
  <c r="AB49" i="15"/>
  <c r="AB50" i="15"/>
  <c r="X50" i="15"/>
  <c r="T50" i="15"/>
  <c r="W50" i="15"/>
  <c r="AC50" i="15"/>
  <c r="U54" i="15"/>
  <c r="Z54" i="15"/>
  <c r="AE54" i="15"/>
  <c r="V55" i="15"/>
  <c r="AA55" i="15"/>
  <c r="V57" i="15"/>
  <c r="AB57" i="15"/>
  <c r="AB58" i="15"/>
  <c r="X58" i="15"/>
  <c r="T58" i="15"/>
  <c r="W58" i="15"/>
  <c r="AC58" i="15"/>
  <c r="V62" i="15"/>
  <c r="AA62" i="15"/>
  <c r="V64" i="15"/>
  <c r="AB64" i="15"/>
  <c r="AB65" i="15"/>
  <c r="X65" i="15"/>
  <c r="T65" i="15"/>
  <c r="W65" i="15"/>
  <c r="AC65" i="15"/>
  <c r="U69" i="15"/>
  <c r="Z69" i="15"/>
  <c r="AE69" i="15"/>
  <c r="V70" i="15"/>
  <c r="AA70" i="15"/>
  <c r="V72" i="15"/>
  <c r="AB72" i="15"/>
  <c r="AB73" i="15"/>
  <c r="X73" i="15"/>
  <c r="T73" i="15"/>
  <c r="W73" i="15"/>
  <c r="AC73" i="15"/>
  <c r="U77" i="15"/>
  <c r="Z77" i="15"/>
  <c r="AE77" i="15"/>
  <c r="V78" i="15"/>
  <c r="AA78" i="15"/>
  <c r="V80" i="15"/>
  <c r="AB80" i="15"/>
  <c r="AB81" i="15"/>
  <c r="X81" i="15"/>
  <c r="T81" i="15"/>
  <c r="W81" i="15"/>
  <c r="AC81" i="15"/>
  <c r="U85" i="15"/>
  <c r="Z85" i="15"/>
  <c r="AE85" i="15"/>
  <c r="V86" i="15"/>
  <c r="AA86" i="15"/>
  <c r="V88" i="15"/>
  <c r="AB88" i="15"/>
  <c r="AB89" i="15"/>
  <c r="X89" i="15"/>
  <c r="T89" i="15"/>
  <c r="W89" i="15"/>
  <c r="AC89" i="15"/>
  <c r="U95" i="15"/>
  <c r="Z95" i="15"/>
  <c r="AE95" i="15"/>
  <c r="V96" i="15"/>
  <c r="AA96" i="15"/>
  <c r="V98" i="15"/>
  <c r="AB98" i="15"/>
  <c r="AB99" i="15"/>
  <c r="X99" i="15"/>
  <c r="T99" i="15"/>
  <c r="W99" i="15"/>
  <c r="AC99" i="15"/>
  <c r="U103" i="15"/>
  <c r="Z103" i="15"/>
  <c r="AE103" i="15"/>
  <c r="V104" i="15"/>
  <c r="AA104" i="15"/>
  <c r="AB106" i="15"/>
  <c r="X106" i="15"/>
  <c r="T106" i="15"/>
  <c r="W106" i="15"/>
  <c r="AC106" i="15"/>
  <c r="U110" i="15"/>
  <c r="AA110" i="15"/>
  <c r="V113" i="15"/>
  <c r="AD113" i="15"/>
  <c r="V117" i="15"/>
  <c r="AD117" i="15"/>
  <c r="V121" i="15"/>
  <c r="AD121" i="15"/>
  <c r="V125" i="15"/>
  <c r="AD125" i="15"/>
  <c r="V129" i="15"/>
  <c r="AD129" i="15"/>
  <c r="X134" i="15"/>
  <c r="Z135" i="15"/>
  <c r="Z137" i="15"/>
  <c r="W139" i="15"/>
  <c r="AC140" i="15"/>
  <c r="Y140" i="15"/>
  <c r="R140" i="15"/>
  <c r="AB140" i="15"/>
  <c r="W140" i="15"/>
  <c r="AA140" i="15"/>
  <c r="T140" i="15"/>
  <c r="AE140" i="15"/>
  <c r="AB144" i="15"/>
  <c r="Y145" i="15"/>
  <c r="AC147" i="15"/>
  <c r="W150" i="15"/>
  <c r="AE152" i="15"/>
  <c r="AA152" i="15"/>
  <c r="W152" i="15"/>
  <c r="R152" i="15"/>
  <c r="Z152" i="15"/>
  <c r="U152" i="15"/>
  <c r="AD152" i="15"/>
  <c r="Y152" i="15"/>
  <c r="T152" i="15"/>
  <c r="AC152" i="15"/>
  <c r="Y153" i="15"/>
  <c r="AB159" i="15"/>
  <c r="W160" i="15"/>
  <c r="W165" i="15"/>
  <c r="AE167" i="15"/>
  <c r="AA167" i="15"/>
  <c r="W167" i="15"/>
  <c r="R167" i="15"/>
  <c r="Z167" i="15"/>
  <c r="U167" i="15"/>
  <c r="AD167" i="15"/>
  <c r="Y167" i="15"/>
  <c r="T167" i="15"/>
  <c r="AC167" i="15"/>
  <c r="Z168" i="15"/>
  <c r="W172" i="15"/>
  <c r="AE175" i="15"/>
  <c r="AA175" i="15"/>
  <c r="W175" i="15"/>
  <c r="R175" i="15"/>
  <c r="Z175" i="15"/>
  <c r="U175" i="15"/>
  <c r="AD175" i="15"/>
  <c r="Y175" i="15"/>
  <c r="T175" i="15"/>
  <c r="AC175" i="15"/>
  <c r="Y176" i="15"/>
  <c r="AA181" i="15"/>
  <c r="AB184" i="15"/>
  <c r="X184" i="15"/>
  <c r="T184" i="15"/>
  <c r="AA184" i="15"/>
  <c r="V184" i="15"/>
  <c r="AE184" i="15"/>
  <c r="Z184" i="15"/>
  <c r="U184" i="15"/>
  <c r="AC184" i="15"/>
  <c r="AC189" i="15"/>
  <c r="Y189" i="15"/>
  <c r="U189" i="15"/>
  <c r="AE189" i="15"/>
  <c r="Z189" i="15"/>
  <c r="T189" i="15"/>
  <c r="AD189" i="15"/>
  <c r="X189" i="15"/>
  <c r="R189" i="15"/>
  <c r="AB189" i="15"/>
  <c r="Y191" i="15"/>
  <c r="AC195" i="15"/>
  <c r="Y195" i="15"/>
  <c r="U195" i="15"/>
  <c r="AE195" i="15"/>
  <c r="Z195" i="15"/>
  <c r="T195" i="15"/>
  <c r="AD195" i="15"/>
  <c r="X195" i="15"/>
  <c r="R195" i="15"/>
  <c r="AB195" i="15"/>
  <c r="X197" i="15"/>
  <c r="AB205" i="15"/>
  <c r="W206" i="15"/>
  <c r="W211" i="15"/>
  <c r="AE214" i="15"/>
  <c r="AA214" i="15"/>
  <c r="W214" i="15"/>
  <c r="R214" i="15"/>
  <c r="Z214" i="15"/>
  <c r="U214" i="15"/>
  <c r="AD214" i="15"/>
  <c r="Y214" i="15"/>
  <c r="T214" i="15"/>
  <c r="AC214" i="15"/>
  <c r="Y215" i="15"/>
  <c r="AB220" i="15"/>
  <c r="W226" i="15"/>
  <c r="W228" i="15"/>
  <c r="W233" i="15"/>
  <c r="AE235" i="15"/>
  <c r="AA235" i="15"/>
  <c r="W235" i="15"/>
  <c r="R235" i="15"/>
  <c r="Z235" i="15"/>
  <c r="U235" i="15"/>
  <c r="AD235" i="15"/>
  <c r="Y235" i="15"/>
  <c r="T235" i="15"/>
  <c r="AC235" i="15"/>
  <c r="Y236" i="15"/>
  <c r="AB244" i="15"/>
  <c r="X244" i="15"/>
  <c r="T244" i="15"/>
  <c r="AA244" i="15"/>
  <c r="V244" i="15"/>
  <c r="AE244" i="15"/>
  <c r="Z244" i="15"/>
  <c r="U244" i="15"/>
  <c r="AD244" i="15"/>
  <c r="Y244" i="15"/>
  <c r="R244" i="15"/>
  <c r="AC279" i="15"/>
  <c r="Y279" i="15"/>
  <c r="U279" i="15"/>
  <c r="AB279" i="15"/>
  <c r="X279" i="15"/>
  <c r="T279" i="15"/>
  <c r="AE279" i="15"/>
  <c r="W279" i="15"/>
  <c r="AD279" i="15"/>
  <c r="V279" i="15"/>
  <c r="AA279" i="15"/>
  <c r="R279" i="15"/>
  <c r="AC297" i="15"/>
  <c r="Y297" i="15"/>
  <c r="U297" i="15"/>
  <c r="AB297" i="15"/>
  <c r="X297" i="15"/>
  <c r="T297" i="15"/>
  <c r="AE297" i="15"/>
  <c r="W297" i="15"/>
  <c r="AD297" i="15"/>
  <c r="V297" i="15"/>
  <c r="AA297" i="15"/>
  <c r="R297" i="15"/>
  <c r="AB290" i="15"/>
  <c r="X290" i="15"/>
  <c r="T290" i="15"/>
  <c r="AE290" i="15"/>
  <c r="AA290" i="15"/>
  <c r="W290" i="15"/>
  <c r="R290" i="15"/>
  <c r="Z290" i="15"/>
  <c r="AC295" i="15"/>
  <c r="Y295" i="15"/>
  <c r="U295" i="15"/>
  <c r="AB295" i="15"/>
  <c r="X295" i="15"/>
  <c r="T295" i="15"/>
  <c r="Z295" i="15"/>
  <c r="AB300" i="15"/>
  <c r="X300" i="15"/>
  <c r="T300" i="15"/>
  <c r="AE300" i="15"/>
  <c r="AA300" i="15"/>
  <c r="W300" i="15"/>
  <c r="R300" i="15"/>
  <c r="Z300" i="15"/>
  <c r="AB320" i="15"/>
  <c r="X320" i="15"/>
  <c r="T320" i="15"/>
  <c r="AA320" i="15"/>
  <c r="V320" i="15"/>
  <c r="AE320" i="15"/>
  <c r="Z320" i="15"/>
  <c r="U320" i="15"/>
  <c r="AC320" i="15"/>
  <c r="AC325" i="15"/>
  <c r="Y325" i="15"/>
  <c r="U325" i="15"/>
  <c r="AE325" i="15"/>
  <c r="Z325" i="15"/>
  <c r="T325" i="15"/>
  <c r="AD325" i="15"/>
  <c r="X325" i="15"/>
  <c r="R325" i="15"/>
  <c r="AB325" i="15"/>
  <c r="AB368" i="15"/>
  <c r="X368" i="15"/>
  <c r="T368" i="15"/>
  <c r="AE368" i="15"/>
  <c r="AA368" i="15"/>
  <c r="W368" i="15"/>
  <c r="R368" i="15"/>
  <c r="AC368" i="15"/>
  <c r="U368" i="15"/>
  <c r="Y368" i="15"/>
  <c r="V368" i="15"/>
  <c r="AB376" i="15"/>
  <c r="X376" i="15"/>
  <c r="T376" i="15"/>
  <c r="AE376" i="15"/>
  <c r="AA376" i="15"/>
  <c r="W376" i="15"/>
  <c r="R376" i="15"/>
  <c r="AD376" i="15"/>
  <c r="V376" i="15"/>
  <c r="Z376" i="15"/>
  <c r="Y376" i="15"/>
  <c r="U376" i="15"/>
  <c r="AC398" i="15"/>
  <c r="Y398" i="15"/>
  <c r="U398" i="15"/>
  <c r="AB398" i="15"/>
  <c r="AA398" i="15"/>
  <c r="V398" i="15"/>
  <c r="Z398" i="15"/>
  <c r="T398" i="15"/>
  <c r="AE398" i="15"/>
  <c r="R398" i="15"/>
  <c r="X398" i="15"/>
  <c r="AD398" i="15"/>
  <c r="W398" i="15"/>
  <c r="AC241" i="15"/>
  <c r="Y241" i="15"/>
  <c r="U241" i="15"/>
  <c r="W241" i="15"/>
  <c r="AB241" i="15"/>
  <c r="AE243" i="15"/>
  <c r="AA243" i="15"/>
  <c r="W243" i="15"/>
  <c r="R243" i="15"/>
  <c r="X243" i="15"/>
  <c r="AC243" i="15"/>
  <c r="AC249" i="15"/>
  <c r="Y249" i="15"/>
  <c r="U249" i="15"/>
  <c r="W249" i="15"/>
  <c r="AB249" i="15"/>
  <c r="AE252" i="15"/>
  <c r="AA252" i="15"/>
  <c r="W252" i="15"/>
  <c r="R252" i="15"/>
  <c r="X252" i="15"/>
  <c r="AC252" i="15"/>
  <c r="AD258" i="15"/>
  <c r="Z258" i="15"/>
  <c r="U258" i="15"/>
  <c r="W258" i="15"/>
  <c r="AC258" i="15"/>
  <c r="AC264" i="15"/>
  <c r="T264" i="15"/>
  <c r="W264" i="15"/>
  <c r="AB264" i="15"/>
  <c r="AB266" i="15"/>
  <c r="X266" i="15"/>
  <c r="T266" i="15"/>
  <c r="AE266" i="15"/>
  <c r="AA266" i="15"/>
  <c r="W266" i="15"/>
  <c r="R266" i="15"/>
  <c r="Z266" i="15"/>
  <c r="AB270" i="15"/>
  <c r="X270" i="15"/>
  <c r="T270" i="15"/>
  <c r="AE270" i="15"/>
  <c r="AA270" i="15"/>
  <c r="W270" i="15"/>
  <c r="R270" i="15"/>
  <c r="Z270" i="15"/>
  <c r="AB274" i="15"/>
  <c r="X274" i="15"/>
  <c r="T274" i="15"/>
  <c r="AE274" i="15"/>
  <c r="AA274" i="15"/>
  <c r="W274" i="15"/>
  <c r="R274" i="15"/>
  <c r="Z274" i="15"/>
  <c r="AB278" i="15"/>
  <c r="X278" i="15"/>
  <c r="T278" i="15"/>
  <c r="AE278" i="15"/>
  <c r="AA278" i="15"/>
  <c r="W278" i="15"/>
  <c r="R278" i="15"/>
  <c r="Z278" i="15"/>
  <c r="AB282" i="15"/>
  <c r="X282" i="15"/>
  <c r="T282" i="15"/>
  <c r="AE282" i="15"/>
  <c r="AA282" i="15"/>
  <c r="W282" i="15"/>
  <c r="R282" i="15"/>
  <c r="Z282" i="15"/>
  <c r="AB285" i="15"/>
  <c r="X285" i="15"/>
  <c r="T285" i="15"/>
  <c r="AE285" i="15"/>
  <c r="AA285" i="15"/>
  <c r="W285" i="15"/>
  <c r="R285" i="15"/>
  <c r="Z285" i="15"/>
  <c r="V48" i="15"/>
  <c r="Z48" i="15"/>
  <c r="V52" i="15"/>
  <c r="Z52" i="15"/>
  <c r="V56" i="15"/>
  <c r="Z56" i="15"/>
  <c r="V60" i="15"/>
  <c r="Z60" i="15"/>
  <c r="V63" i="15"/>
  <c r="Z63" i="15"/>
  <c r="V67" i="15"/>
  <c r="Z67" i="15"/>
  <c r="V71" i="15"/>
  <c r="Z71" i="15"/>
  <c r="V75" i="15"/>
  <c r="Z75" i="15"/>
  <c r="V79" i="15"/>
  <c r="Z79" i="15"/>
  <c r="V83" i="15"/>
  <c r="Z83" i="15"/>
  <c r="V87" i="15"/>
  <c r="Z87" i="15"/>
  <c r="V91" i="15"/>
  <c r="Z91" i="15"/>
  <c r="V97" i="15"/>
  <c r="Z97" i="15"/>
  <c r="V101" i="15"/>
  <c r="Z101" i="15"/>
  <c r="W105" i="15"/>
  <c r="AA105" i="15"/>
  <c r="V108" i="15"/>
  <c r="Z108" i="15"/>
  <c r="V111" i="15"/>
  <c r="Z111" i="15"/>
  <c r="AD111" i="15"/>
  <c r="U114" i="15"/>
  <c r="Y114" i="15"/>
  <c r="AC114" i="15"/>
  <c r="V115" i="15"/>
  <c r="Z115" i="15"/>
  <c r="U118" i="15"/>
  <c r="Y118" i="15"/>
  <c r="AC118" i="15"/>
  <c r="V119" i="15"/>
  <c r="Z119" i="15"/>
  <c r="U122" i="15"/>
  <c r="Y122" i="15"/>
  <c r="AC122" i="15"/>
  <c r="V123" i="15"/>
  <c r="Z123" i="15"/>
  <c r="U126" i="15"/>
  <c r="Y126" i="15"/>
  <c r="AC126" i="15"/>
  <c r="V127" i="15"/>
  <c r="Z127" i="15"/>
  <c r="U130" i="15"/>
  <c r="Y130" i="15"/>
  <c r="AC130" i="15"/>
  <c r="V131" i="15"/>
  <c r="Z131" i="15"/>
  <c r="Z136" i="15"/>
  <c r="AD136" i="15"/>
  <c r="W138" i="15"/>
  <c r="AC142" i="15"/>
  <c r="Y142" i="15"/>
  <c r="T142" i="15"/>
  <c r="X142" i="15"/>
  <c r="AD142" i="15"/>
  <c r="AE146" i="15"/>
  <c r="AA146" i="15"/>
  <c r="W146" i="15"/>
  <c r="R146" i="15"/>
  <c r="X146" i="15"/>
  <c r="AC146" i="15"/>
  <c r="V148" i="15"/>
  <c r="AB149" i="15"/>
  <c r="X149" i="15"/>
  <c r="T149" i="15"/>
  <c r="W149" i="15"/>
  <c r="AC149" i="15"/>
  <c r="V154" i="15"/>
  <c r="W156" i="15"/>
  <c r="V161" i="15"/>
  <c r="V163" i="15"/>
  <c r="AB164" i="15"/>
  <c r="X164" i="15"/>
  <c r="T164" i="15"/>
  <c r="W164" i="15"/>
  <c r="AC164" i="15"/>
  <c r="V170" i="15"/>
  <c r="AB171" i="15"/>
  <c r="X171" i="15"/>
  <c r="T171" i="15"/>
  <c r="W171" i="15"/>
  <c r="AC171" i="15"/>
  <c r="V177" i="15"/>
  <c r="V179" i="15"/>
  <c r="AB180" i="15"/>
  <c r="X180" i="15"/>
  <c r="T180" i="15"/>
  <c r="W180" i="15"/>
  <c r="AC180" i="15"/>
  <c r="V185" i="15"/>
  <c r="V187" i="15"/>
  <c r="AB188" i="15"/>
  <c r="X188" i="15"/>
  <c r="T188" i="15"/>
  <c r="W188" i="15"/>
  <c r="AC188" i="15"/>
  <c r="V192" i="15"/>
  <c r="V199" i="15"/>
  <c r="V201" i="15"/>
  <c r="AB202" i="15"/>
  <c r="X202" i="15"/>
  <c r="T202" i="15"/>
  <c r="W202" i="15"/>
  <c r="AC202" i="15"/>
  <c r="V207" i="15"/>
  <c r="V209" i="15"/>
  <c r="AB210" i="15"/>
  <c r="X210" i="15"/>
  <c r="T210" i="15"/>
  <c r="W210" i="15"/>
  <c r="AC210" i="15"/>
  <c r="V216" i="15"/>
  <c r="V218" i="15"/>
  <c r="AB219" i="15"/>
  <c r="X219" i="15"/>
  <c r="T219" i="15"/>
  <c r="W219" i="15"/>
  <c r="AC219" i="15"/>
  <c r="V222" i="15"/>
  <c r="V224" i="15"/>
  <c r="AB225" i="15"/>
  <c r="X225" i="15"/>
  <c r="T225" i="15"/>
  <c r="W225" i="15"/>
  <c r="AC225" i="15"/>
  <c r="V229" i="15"/>
  <c r="V231" i="15"/>
  <c r="AB232" i="15"/>
  <c r="X232" i="15"/>
  <c r="T232" i="15"/>
  <c r="W232" i="15"/>
  <c r="AC232" i="15"/>
  <c r="V237" i="15"/>
  <c r="V239" i="15"/>
  <c r="AB240" i="15"/>
  <c r="X240" i="15"/>
  <c r="T240" i="15"/>
  <c r="W240" i="15"/>
  <c r="AC240" i="15"/>
  <c r="R241" i="15"/>
  <c r="X241" i="15"/>
  <c r="AD241" i="15"/>
  <c r="T243" i="15"/>
  <c r="Y243" i="15"/>
  <c r="AD243" i="15"/>
  <c r="V245" i="15"/>
  <c r="V247" i="15"/>
  <c r="AB248" i="15"/>
  <c r="X248" i="15"/>
  <c r="T248" i="15"/>
  <c r="W248" i="15"/>
  <c r="AC248" i="15"/>
  <c r="R249" i="15"/>
  <c r="X249" i="15"/>
  <c r="AD249" i="15"/>
  <c r="T252" i="15"/>
  <c r="Y252" i="15"/>
  <c r="AD252" i="15"/>
  <c r="V254" i="15"/>
  <c r="V256" i="15"/>
  <c r="AB257" i="15"/>
  <c r="X257" i="15"/>
  <c r="T257" i="15"/>
  <c r="W257" i="15"/>
  <c r="AC257" i="15"/>
  <c r="R258" i="15"/>
  <c r="AE258" i="15"/>
  <c r="V260" i="15"/>
  <c r="AC261" i="15"/>
  <c r="Y261" i="15"/>
  <c r="U261" i="15"/>
  <c r="W261" i="15"/>
  <c r="AB261" i="15"/>
  <c r="AE263" i="15"/>
  <c r="AA263" i="15"/>
  <c r="W263" i="15"/>
  <c r="R263" i="15"/>
  <c r="X263" i="15"/>
  <c r="AC263" i="15"/>
  <c r="R264" i="15"/>
  <c r="AD264" i="15"/>
  <c r="U266" i="15"/>
  <c r="AC266" i="15"/>
  <c r="U270" i="15"/>
  <c r="AC270" i="15"/>
  <c r="U274" i="15"/>
  <c r="AC274" i="15"/>
  <c r="U278" i="15"/>
  <c r="AC278" i="15"/>
  <c r="U282" i="15"/>
  <c r="AC282" i="15"/>
  <c r="U285" i="15"/>
  <c r="AC285" i="15"/>
  <c r="U290" i="15"/>
  <c r="AC290" i="15"/>
  <c r="AB294" i="15"/>
  <c r="X294" i="15"/>
  <c r="T294" i="15"/>
  <c r="AE294" i="15"/>
  <c r="AA294" i="15"/>
  <c r="W294" i="15"/>
  <c r="R294" i="15"/>
  <c r="Z294" i="15"/>
  <c r="R295" i="15"/>
  <c r="AA295" i="15"/>
  <c r="U300" i="15"/>
  <c r="AC300" i="15"/>
  <c r="W303" i="15"/>
  <c r="W306" i="15"/>
  <c r="W310" i="15"/>
  <c r="AB312" i="15"/>
  <c r="X312" i="15"/>
  <c r="T312" i="15"/>
  <c r="AA312" i="15"/>
  <c r="V312" i="15"/>
  <c r="AE312" i="15"/>
  <c r="Z312" i="15"/>
  <c r="U312" i="15"/>
  <c r="AC312" i="15"/>
  <c r="AC317" i="15"/>
  <c r="Y317" i="15"/>
  <c r="U317" i="15"/>
  <c r="AE317" i="15"/>
  <c r="Z317" i="15"/>
  <c r="T317" i="15"/>
  <c r="AD317" i="15"/>
  <c r="X317" i="15"/>
  <c r="R317" i="15"/>
  <c r="AB317" i="15"/>
  <c r="R320" i="15"/>
  <c r="AD320" i="15"/>
  <c r="V325" i="15"/>
  <c r="Z368" i="15"/>
  <c r="AB373" i="15"/>
  <c r="X373" i="15"/>
  <c r="T373" i="15"/>
  <c r="AE373" i="15"/>
  <c r="AA373" i="15"/>
  <c r="W373" i="15"/>
  <c r="R373" i="15"/>
  <c r="AC373" i="15"/>
  <c r="U373" i="15"/>
  <c r="Y373" i="15"/>
  <c r="V373" i="15"/>
  <c r="AC376" i="15"/>
  <c r="AE425" i="15"/>
  <c r="AA425" i="15"/>
  <c r="W425" i="15"/>
  <c r="R425" i="15"/>
  <c r="AB425" i="15"/>
  <c r="V425" i="15"/>
  <c r="Z425" i="15"/>
  <c r="U425" i="15"/>
  <c r="X425" i="15"/>
  <c r="AD425" i="15"/>
  <c r="T425" i="15"/>
  <c r="Y425" i="15"/>
  <c r="AC425" i="15"/>
  <c r="W111" i="15"/>
  <c r="AA111" i="15"/>
  <c r="V114" i="15"/>
  <c r="Z114" i="15"/>
  <c r="V118" i="15"/>
  <c r="Z118" i="15"/>
  <c r="V122" i="15"/>
  <c r="Z122" i="15"/>
  <c r="V126" i="15"/>
  <c r="Z126" i="15"/>
  <c r="V130" i="15"/>
  <c r="Z130" i="15"/>
  <c r="W136" i="15"/>
  <c r="AA136" i="15"/>
  <c r="AB138" i="15"/>
  <c r="X138" i="15"/>
  <c r="Y138" i="15"/>
  <c r="AD138" i="15"/>
  <c r="AE148" i="15"/>
  <c r="AA148" i="15"/>
  <c r="W148" i="15"/>
  <c r="R148" i="15"/>
  <c r="X148" i="15"/>
  <c r="AC148" i="15"/>
  <c r="AC154" i="15"/>
  <c r="Y154" i="15"/>
  <c r="U154" i="15"/>
  <c r="W154" i="15"/>
  <c r="AB154" i="15"/>
  <c r="AB156" i="15"/>
  <c r="X156" i="15"/>
  <c r="R156" i="15"/>
  <c r="Y156" i="15"/>
  <c r="AD156" i="15"/>
  <c r="AC161" i="15"/>
  <c r="Y161" i="15"/>
  <c r="U161" i="15"/>
  <c r="W161" i="15"/>
  <c r="AB161" i="15"/>
  <c r="AE163" i="15"/>
  <c r="AA163" i="15"/>
  <c r="W163" i="15"/>
  <c r="R163" i="15"/>
  <c r="X163" i="15"/>
  <c r="AC163" i="15"/>
  <c r="AE170" i="15"/>
  <c r="AA170" i="15"/>
  <c r="W170" i="15"/>
  <c r="R170" i="15"/>
  <c r="X170" i="15"/>
  <c r="AC170" i="15"/>
  <c r="AC177" i="15"/>
  <c r="Y177" i="15"/>
  <c r="U177" i="15"/>
  <c r="W177" i="15"/>
  <c r="AB177" i="15"/>
  <c r="AE179" i="15"/>
  <c r="AA179" i="15"/>
  <c r="W179" i="15"/>
  <c r="R179" i="15"/>
  <c r="X179" i="15"/>
  <c r="AC179" i="15"/>
  <c r="AC185" i="15"/>
  <c r="Y185" i="15"/>
  <c r="U185" i="15"/>
  <c r="W185" i="15"/>
  <c r="AB185" i="15"/>
  <c r="AE187" i="15"/>
  <c r="AA187" i="15"/>
  <c r="W187" i="15"/>
  <c r="R187" i="15"/>
  <c r="X187" i="15"/>
  <c r="AC187" i="15"/>
  <c r="AC192" i="15"/>
  <c r="Y192" i="15"/>
  <c r="U192" i="15"/>
  <c r="W192" i="15"/>
  <c r="AB192" i="15"/>
  <c r="AB194" i="15"/>
  <c r="X194" i="15"/>
  <c r="R194" i="15"/>
  <c r="Y194" i="15"/>
  <c r="AD194" i="15"/>
  <c r="AC199" i="15"/>
  <c r="Y199" i="15"/>
  <c r="U199" i="15"/>
  <c r="W199" i="15"/>
  <c r="AB199" i="15"/>
  <c r="AE201" i="15"/>
  <c r="AA201" i="15"/>
  <c r="W201" i="15"/>
  <c r="R201" i="15"/>
  <c r="X201" i="15"/>
  <c r="AC201" i="15"/>
  <c r="AC207" i="15"/>
  <c r="Y207" i="15"/>
  <c r="U207" i="15"/>
  <c r="W207" i="15"/>
  <c r="AB207" i="15"/>
  <c r="AE209" i="15"/>
  <c r="AA209" i="15"/>
  <c r="W209" i="15"/>
  <c r="R209" i="15"/>
  <c r="X209" i="15"/>
  <c r="AC209" i="15"/>
  <c r="AC216" i="15"/>
  <c r="Y216" i="15"/>
  <c r="U216" i="15"/>
  <c r="W216" i="15"/>
  <c r="AB216" i="15"/>
  <c r="AE218" i="15"/>
  <c r="AA218" i="15"/>
  <c r="W218" i="15"/>
  <c r="R218" i="15"/>
  <c r="X218" i="15"/>
  <c r="AC218" i="15"/>
  <c r="AC222" i="15"/>
  <c r="Y222" i="15"/>
  <c r="U222" i="15"/>
  <c r="W222" i="15"/>
  <c r="AB222" i="15"/>
  <c r="AE224" i="15"/>
  <c r="AA224" i="15"/>
  <c r="W224" i="15"/>
  <c r="R224" i="15"/>
  <c r="X224" i="15"/>
  <c r="AC224" i="15"/>
  <c r="AC229" i="15"/>
  <c r="Y229" i="15"/>
  <c r="U229" i="15"/>
  <c r="W229" i="15"/>
  <c r="AB229" i="15"/>
  <c r="AE231" i="15"/>
  <c r="AA231" i="15"/>
  <c r="W231" i="15"/>
  <c r="R231" i="15"/>
  <c r="X231" i="15"/>
  <c r="AC231" i="15"/>
  <c r="AC237" i="15"/>
  <c r="Y237" i="15"/>
  <c r="U237" i="15"/>
  <c r="W237" i="15"/>
  <c r="AB237" i="15"/>
  <c r="AE239" i="15"/>
  <c r="AA239" i="15"/>
  <c r="W239" i="15"/>
  <c r="R239" i="15"/>
  <c r="X239" i="15"/>
  <c r="AC239" i="15"/>
  <c r="T241" i="15"/>
  <c r="Z241" i="15"/>
  <c r="AE241" i="15"/>
  <c r="U243" i="15"/>
  <c r="Z243" i="15"/>
  <c r="AC245" i="15"/>
  <c r="Y245" i="15"/>
  <c r="U245" i="15"/>
  <c r="W245" i="15"/>
  <c r="AB245" i="15"/>
  <c r="AE247" i="15"/>
  <c r="AA247" i="15"/>
  <c r="W247" i="15"/>
  <c r="R247" i="15"/>
  <c r="X247" i="15"/>
  <c r="AC247" i="15"/>
  <c r="T249" i="15"/>
  <c r="Z249" i="15"/>
  <c r="AE249" i="15"/>
  <c r="U252" i="15"/>
  <c r="Z252" i="15"/>
  <c r="AC254" i="15"/>
  <c r="Y254" i="15"/>
  <c r="U254" i="15"/>
  <c r="W254" i="15"/>
  <c r="AB254" i="15"/>
  <c r="AE256" i="15"/>
  <c r="AA256" i="15"/>
  <c r="W256" i="15"/>
  <c r="R256" i="15"/>
  <c r="X256" i="15"/>
  <c r="AC256" i="15"/>
  <c r="T258" i="15"/>
  <c r="AA258" i="15"/>
  <c r="AB260" i="15"/>
  <c r="X260" i="15"/>
  <c r="T260" i="15"/>
  <c r="W260" i="15"/>
  <c r="AC260" i="15"/>
  <c r="U264" i="15"/>
  <c r="Z264" i="15"/>
  <c r="AE264" i="15"/>
  <c r="V266" i="15"/>
  <c r="AD266" i="15"/>
  <c r="V270" i="15"/>
  <c r="AD270" i="15"/>
  <c r="V274" i="15"/>
  <c r="AD274" i="15"/>
  <c r="V278" i="15"/>
  <c r="AD278" i="15"/>
  <c r="V282" i="15"/>
  <c r="AD282" i="15"/>
  <c r="V285" i="15"/>
  <c r="AD285" i="15"/>
  <c r="V290" i="15"/>
  <c r="AD290" i="15"/>
  <c r="AE293" i="15"/>
  <c r="AA293" i="15"/>
  <c r="U293" i="15"/>
  <c r="AD293" i="15"/>
  <c r="X293" i="15"/>
  <c r="T293" i="15"/>
  <c r="AB293" i="15"/>
  <c r="V295" i="15"/>
  <c r="AD295" i="15"/>
  <c r="V300" i="15"/>
  <c r="AD300" i="15"/>
  <c r="AD303" i="15"/>
  <c r="U303" i="15"/>
  <c r="AC303" i="15"/>
  <c r="X303" i="15"/>
  <c r="T303" i="15"/>
  <c r="AC306" i="15"/>
  <c r="Y306" i="15"/>
  <c r="U306" i="15"/>
  <c r="AB306" i="15"/>
  <c r="X306" i="15"/>
  <c r="T306" i="15"/>
  <c r="Z306" i="15"/>
  <c r="AC310" i="15"/>
  <c r="Y310" i="15"/>
  <c r="U310" i="15"/>
  <c r="AB310" i="15"/>
  <c r="X310" i="15"/>
  <c r="T310" i="15"/>
  <c r="Z310" i="15"/>
  <c r="W320" i="15"/>
  <c r="W325" i="15"/>
  <c r="AE327" i="15"/>
  <c r="AA327" i="15"/>
  <c r="W327" i="15"/>
  <c r="R327" i="15"/>
  <c r="Z327" i="15"/>
  <c r="U327" i="15"/>
  <c r="AD327" i="15"/>
  <c r="Y327" i="15"/>
  <c r="T327" i="15"/>
  <c r="AC327" i="15"/>
  <c r="AD368" i="15"/>
  <c r="AC377" i="15"/>
  <c r="Y377" i="15"/>
  <c r="U377" i="15"/>
  <c r="AB377" i="15"/>
  <c r="X377" i="15"/>
  <c r="T377" i="15"/>
  <c r="AE377" i="15"/>
  <c r="W377" i="15"/>
  <c r="AA377" i="15"/>
  <c r="AB387" i="15"/>
  <c r="X387" i="15"/>
  <c r="T387" i="15"/>
  <c r="AE387" i="15"/>
  <c r="AA387" i="15"/>
  <c r="W387" i="15"/>
  <c r="R387" i="15"/>
  <c r="AC387" i="15"/>
  <c r="U387" i="15"/>
  <c r="Y387" i="15"/>
  <c r="AC417" i="15"/>
  <c r="Y417" i="15"/>
  <c r="U417" i="15"/>
  <c r="AE417" i="15"/>
  <c r="Z417" i="15"/>
  <c r="T417" i="15"/>
  <c r="AD417" i="15"/>
  <c r="X417" i="15"/>
  <c r="R417" i="15"/>
  <c r="W417" i="15"/>
  <c r="V417" i="15"/>
  <c r="AA417" i="15"/>
  <c r="AB454" i="15"/>
  <c r="X454" i="15"/>
  <c r="T454" i="15"/>
  <c r="AE454" i="15"/>
  <c r="Z454" i="15"/>
  <c r="U454" i="15"/>
  <c r="AD454" i="15"/>
  <c r="Y454" i="15"/>
  <c r="R454" i="15"/>
  <c r="AA454" i="15"/>
  <c r="W454" i="15"/>
  <c r="V454" i="15"/>
  <c r="AC454" i="15"/>
  <c r="W141" i="15"/>
  <c r="AA141" i="15"/>
  <c r="V143" i="15"/>
  <c r="Z143" i="15"/>
  <c r="V151" i="15"/>
  <c r="Z151" i="15"/>
  <c r="V155" i="15"/>
  <c r="Z155" i="15"/>
  <c r="V158" i="15"/>
  <c r="Z158" i="15"/>
  <c r="V162" i="15"/>
  <c r="Z162" i="15"/>
  <c r="V166" i="15"/>
  <c r="Z166" i="15"/>
  <c r="V169" i="15"/>
  <c r="Z169" i="15"/>
  <c r="V173" i="15"/>
  <c r="Z173" i="15"/>
  <c r="V178" i="15"/>
  <c r="Z178" i="15"/>
  <c r="V182" i="15"/>
  <c r="Z182" i="15"/>
  <c r="V186" i="15"/>
  <c r="Z186" i="15"/>
  <c r="V190" i="15"/>
  <c r="Z190" i="15"/>
  <c r="V193" i="15"/>
  <c r="Z193" i="15"/>
  <c r="V196" i="15"/>
  <c r="Z196" i="15"/>
  <c r="V200" i="15"/>
  <c r="Z200" i="15"/>
  <c r="V204" i="15"/>
  <c r="Z204" i="15"/>
  <c r="V208" i="15"/>
  <c r="Z208" i="15"/>
  <c r="V212" i="15"/>
  <c r="Z212" i="15"/>
  <c r="V217" i="15"/>
  <c r="Z217" i="15"/>
  <c r="V223" i="15"/>
  <c r="Z223" i="15"/>
  <c r="V227" i="15"/>
  <c r="AA227" i="15"/>
  <c r="V230" i="15"/>
  <c r="Z230" i="15"/>
  <c r="V234" i="15"/>
  <c r="Z234" i="15"/>
  <c r="V238" i="15"/>
  <c r="Z238" i="15"/>
  <c r="V242" i="15"/>
  <c r="Z242" i="15"/>
  <c r="V246" i="15"/>
  <c r="Z246" i="15"/>
  <c r="V251" i="15"/>
  <c r="Z251" i="15"/>
  <c r="V255" i="15"/>
  <c r="Z255" i="15"/>
  <c r="V262" i="15"/>
  <c r="Z262" i="15"/>
  <c r="V265" i="15"/>
  <c r="Z265" i="15"/>
  <c r="U268" i="15"/>
  <c r="Y268" i="15"/>
  <c r="AC268" i="15"/>
  <c r="V269" i="15"/>
  <c r="Z269" i="15"/>
  <c r="U272" i="15"/>
  <c r="Y272" i="15"/>
  <c r="AC272" i="15"/>
  <c r="V273" i="15"/>
  <c r="Z273" i="15"/>
  <c r="U276" i="15"/>
  <c r="Y276" i="15"/>
  <c r="AC276" i="15"/>
  <c r="V277" i="15"/>
  <c r="Z277" i="15"/>
  <c r="U280" i="15"/>
  <c r="Y280" i="15"/>
  <c r="AC280" i="15"/>
  <c r="V281" i="15"/>
  <c r="Z281" i="15"/>
  <c r="V284" i="15"/>
  <c r="Z284" i="15"/>
  <c r="U288" i="15"/>
  <c r="Y288" i="15"/>
  <c r="AC288" i="15"/>
  <c r="V289" i="15"/>
  <c r="Z289" i="15"/>
  <c r="U292" i="15"/>
  <c r="AA292" i="15"/>
  <c r="AE292" i="15"/>
  <c r="U296" i="15"/>
  <c r="AA296" i="15"/>
  <c r="AE296" i="15"/>
  <c r="U298" i="15"/>
  <c r="Y298" i="15"/>
  <c r="AC298" i="15"/>
  <c r="V299" i="15"/>
  <c r="Z299" i="15"/>
  <c r="U302" i="15"/>
  <c r="AA302" i="15"/>
  <c r="AE302" i="15"/>
  <c r="V304" i="15"/>
  <c r="Z304" i="15"/>
  <c r="U307" i="15"/>
  <c r="Y307" i="15"/>
  <c r="AC307" i="15"/>
  <c r="V308" i="15"/>
  <c r="Z308" i="15"/>
  <c r="U311" i="15"/>
  <c r="Y311" i="15"/>
  <c r="V313" i="15"/>
  <c r="V315" i="15"/>
  <c r="AB316" i="15"/>
  <c r="X316" i="15"/>
  <c r="T316" i="15"/>
  <c r="W316" i="15"/>
  <c r="AC316" i="15"/>
  <c r="V321" i="15"/>
  <c r="V323" i="15"/>
  <c r="AB324" i="15"/>
  <c r="X324" i="15"/>
  <c r="T324" i="15"/>
  <c r="W324" i="15"/>
  <c r="AC324" i="15"/>
  <c r="V329" i="15"/>
  <c r="V331" i="15"/>
  <c r="AB333" i="15"/>
  <c r="X333" i="15"/>
  <c r="T333" i="15"/>
  <c r="W333" i="15"/>
  <c r="AC333" i="15"/>
  <c r="AB343" i="15"/>
  <c r="X343" i="15"/>
  <c r="T343" i="15"/>
  <c r="AD343" i="15"/>
  <c r="Y343" i="15"/>
  <c r="R343" i="15"/>
  <c r="Z343" i="15"/>
  <c r="AC344" i="15"/>
  <c r="Y344" i="15"/>
  <c r="U344" i="15"/>
  <c r="AE344" i="15"/>
  <c r="Z344" i="15"/>
  <c r="T344" i="15"/>
  <c r="X344" i="15"/>
  <c r="W346" i="15"/>
  <c r="W347" i="15"/>
  <c r="AB363" i="15"/>
  <c r="X363" i="15"/>
  <c r="T363" i="15"/>
  <c r="AE363" i="15"/>
  <c r="AA363" i="15"/>
  <c r="W363" i="15"/>
  <c r="R363" i="15"/>
  <c r="Y363" i="15"/>
  <c r="AC363" i="15"/>
  <c r="AC370" i="15"/>
  <c r="Y370" i="15"/>
  <c r="U370" i="15"/>
  <c r="AB370" i="15"/>
  <c r="X370" i="15"/>
  <c r="T370" i="15"/>
  <c r="AD370" i="15"/>
  <c r="V370" i="15"/>
  <c r="AA370" i="15"/>
  <c r="AC374" i="15"/>
  <c r="Y374" i="15"/>
  <c r="U374" i="15"/>
  <c r="AB374" i="15"/>
  <c r="X374" i="15"/>
  <c r="T374" i="15"/>
  <c r="AD374" i="15"/>
  <c r="V374" i="15"/>
  <c r="AA374" i="15"/>
  <c r="R377" i="15"/>
  <c r="AD377" i="15"/>
  <c r="V387" i="15"/>
  <c r="AB417" i="15"/>
  <c r="V268" i="15"/>
  <c r="Z268" i="15"/>
  <c r="V272" i="15"/>
  <c r="Z272" i="15"/>
  <c r="V276" i="15"/>
  <c r="Z276" i="15"/>
  <c r="V280" i="15"/>
  <c r="Z280" i="15"/>
  <c r="V288" i="15"/>
  <c r="Z288" i="15"/>
  <c r="V292" i="15"/>
  <c r="V296" i="15"/>
  <c r="V298" i="15"/>
  <c r="Z298" i="15"/>
  <c r="V302" i="15"/>
  <c r="V307" i="15"/>
  <c r="Z307" i="15"/>
  <c r="AE311" i="15"/>
  <c r="AA311" i="15"/>
  <c r="V311" i="15"/>
  <c r="Z311" i="15"/>
  <c r="AC313" i="15"/>
  <c r="Y313" i="15"/>
  <c r="U313" i="15"/>
  <c r="W313" i="15"/>
  <c r="AB313" i="15"/>
  <c r="AE315" i="15"/>
  <c r="AA315" i="15"/>
  <c r="W315" i="15"/>
  <c r="R315" i="15"/>
  <c r="X315" i="15"/>
  <c r="AC315" i="15"/>
  <c r="AC321" i="15"/>
  <c r="Y321" i="15"/>
  <c r="U321" i="15"/>
  <c r="W321" i="15"/>
  <c r="AB321" i="15"/>
  <c r="AE323" i="15"/>
  <c r="AA323" i="15"/>
  <c r="W323" i="15"/>
  <c r="R323" i="15"/>
  <c r="X323" i="15"/>
  <c r="AC323" i="15"/>
  <c r="AC329" i="15"/>
  <c r="Y329" i="15"/>
  <c r="U329" i="15"/>
  <c r="W329" i="15"/>
  <c r="AB329" i="15"/>
  <c r="AE331" i="15"/>
  <c r="AA331" i="15"/>
  <c r="W331" i="15"/>
  <c r="R331" i="15"/>
  <c r="X331" i="15"/>
  <c r="AC331" i="15"/>
  <c r="AB346" i="15"/>
  <c r="X346" i="15"/>
  <c r="T346" i="15"/>
  <c r="AE346" i="15"/>
  <c r="Z346" i="15"/>
  <c r="U346" i="15"/>
  <c r="Y346" i="15"/>
  <c r="AC347" i="15"/>
  <c r="Y347" i="15"/>
  <c r="U347" i="15"/>
  <c r="AA347" i="15"/>
  <c r="V347" i="15"/>
  <c r="X347" i="15"/>
  <c r="AE347" i="15"/>
  <c r="AB349" i="15"/>
  <c r="X349" i="15"/>
  <c r="T349" i="15"/>
  <c r="AE349" i="15"/>
  <c r="AA349" i="15"/>
  <c r="W349" i="15"/>
  <c r="R349" i="15"/>
  <c r="Y349" i="15"/>
  <c r="AC349" i="15"/>
  <c r="AB353" i="15"/>
  <c r="X353" i="15"/>
  <c r="T353" i="15"/>
  <c r="AE353" i="15"/>
  <c r="AA353" i="15"/>
  <c r="W353" i="15"/>
  <c r="R353" i="15"/>
  <c r="Y353" i="15"/>
  <c r="AC353" i="15"/>
  <c r="AB357" i="15"/>
  <c r="X357" i="15"/>
  <c r="T357" i="15"/>
  <c r="AE357" i="15"/>
  <c r="AA357" i="15"/>
  <c r="W357" i="15"/>
  <c r="R357" i="15"/>
  <c r="Y357" i="15"/>
  <c r="AC357" i="15"/>
  <c r="AB361" i="15"/>
  <c r="X361" i="15"/>
  <c r="T361" i="15"/>
  <c r="AE361" i="15"/>
  <c r="AA361" i="15"/>
  <c r="W361" i="15"/>
  <c r="R361" i="15"/>
  <c r="Y361" i="15"/>
  <c r="AC361" i="15"/>
  <c r="V377" i="15"/>
  <c r="Z387" i="15"/>
  <c r="AB391" i="15"/>
  <c r="X391" i="15"/>
  <c r="T391" i="15"/>
  <c r="AE391" i="15"/>
  <c r="AA391" i="15"/>
  <c r="W391" i="15"/>
  <c r="R391" i="15"/>
  <c r="AC391" i="15"/>
  <c r="U391" i="15"/>
  <c r="Y391" i="15"/>
  <c r="AC402" i="15"/>
  <c r="Y402" i="15"/>
  <c r="U402" i="15"/>
  <c r="AB402" i="15"/>
  <c r="X402" i="15"/>
  <c r="T402" i="15"/>
  <c r="AD402" i="15"/>
  <c r="V402" i="15"/>
  <c r="AA402" i="15"/>
  <c r="R402" i="15"/>
  <c r="W402" i="15"/>
  <c r="AE402" i="15"/>
  <c r="AB405" i="15"/>
  <c r="X405" i="15"/>
  <c r="T405" i="15"/>
  <c r="AE405" i="15"/>
  <c r="AA405" i="15"/>
  <c r="W405" i="15"/>
  <c r="R405" i="15"/>
  <c r="AD405" i="15"/>
  <c r="V405" i="15"/>
  <c r="AC405" i="15"/>
  <c r="U405" i="15"/>
  <c r="Y405" i="15"/>
  <c r="AE432" i="15"/>
  <c r="AA432" i="15"/>
  <c r="W432" i="15"/>
  <c r="R432" i="15"/>
  <c r="AB432" i="15"/>
  <c r="V432" i="15"/>
  <c r="Z432" i="15"/>
  <c r="U432" i="15"/>
  <c r="Y432" i="15"/>
  <c r="X432" i="15"/>
  <c r="AD432" i="15"/>
  <c r="T432" i="15"/>
  <c r="AE336" i="15"/>
  <c r="AA336" i="15"/>
  <c r="W336" i="15"/>
  <c r="R336" i="15"/>
  <c r="X336" i="15"/>
  <c r="AC336" i="15"/>
  <c r="AC340" i="15"/>
  <c r="Y340" i="15"/>
  <c r="U340" i="15"/>
  <c r="W340" i="15"/>
  <c r="AB340" i="15"/>
  <c r="AE342" i="15"/>
  <c r="AA342" i="15"/>
  <c r="W342" i="15"/>
  <c r="R342" i="15"/>
  <c r="X342" i="15"/>
  <c r="AC342" i="15"/>
  <c r="AC350" i="15"/>
  <c r="Y350" i="15"/>
  <c r="U350" i="15"/>
  <c r="AB350" i="15"/>
  <c r="X350" i="15"/>
  <c r="T350" i="15"/>
  <c r="Z350" i="15"/>
  <c r="AC354" i="15"/>
  <c r="Y354" i="15"/>
  <c r="U354" i="15"/>
  <c r="AB354" i="15"/>
  <c r="X354" i="15"/>
  <c r="T354" i="15"/>
  <c r="Z354" i="15"/>
  <c r="AC358" i="15"/>
  <c r="Y358" i="15"/>
  <c r="U358" i="15"/>
  <c r="AB358" i="15"/>
  <c r="X358" i="15"/>
  <c r="T358" i="15"/>
  <c r="Z358" i="15"/>
  <c r="AC364" i="15"/>
  <c r="Y364" i="15"/>
  <c r="U364" i="15"/>
  <c r="AB364" i="15"/>
  <c r="X364" i="15"/>
  <c r="T364" i="15"/>
  <c r="Z364" i="15"/>
  <c r="V380" i="15"/>
  <c r="AC384" i="15"/>
  <c r="Y384" i="15"/>
  <c r="U384" i="15"/>
  <c r="AB384" i="15"/>
  <c r="X384" i="15"/>
  <c r="T384" i="15"/>
  <c r="Z384" i="15"/>
  <c r="AC388" i="15"/>
  <c r="Y388" i="15"/>
  <c r="U388" i="15"/>
  <c r="AB388" i="15"/>
  <c r="X388" i="15"/>
  <c r="T388" i="15"/>
  <c r="Z388" i="15"/>
  <c r="AE392" i="15"/>
  <c r="AA392" i="15"/>
  <c r="W392" i="15"/>
  <c r="R392" i="15"/>
  <c r="AB392" i="15"/>
  <c r="V392" i="15"/>
  <c r="Z392" i="15"/>
  <c r="U392" i="15"/>
  <c r="AC392" i="15"/>
  <c r="AB397" i="15"/>
  <c r="X397" i="15"/>
  <c r="T397" i="15"/>
  <c r="AE397" i="15"/>
  <c r="Z397" i="15"/>
  <c r="U397" i="15"/>
  <c r="AD397" i="15"/>
  <c r="Y397" i="15"/>
  <c r="R397" i="15"/>
  <c r="AC397" i="15"/>
  <c r="AC406" i="15"/>
  <c r="Y406" i="15"/>
  <c r="U406" i="15"/>
  <c r="AB406" i="15"/>
  <c r="X406" i="15"/>
  <c r="T406" i="15"/>
  <c r="AE406" i="15"/>
  <c r="W406" i="15"/>
  <c r="AD406" i="15"/>
  <c r="V406" i="15"/>
  <c r="AC413" i="15"/>
  <c r="AB413" i="15"/>
  <c r="X413" i="15"/>
  <c r="T413" i="15"/>
  <c r="AA413" i="15"/>
  <c r="W413" i="15"/>
  <c r="R413" i="15"/>
  <c r="Y413" i="15"/>
  <c r="AE413" i="15"/>
  <c r="V413" i="15"/>
  <c r="AC423" i="15"/>
  <c r="Y423" i="15"/>
  <c r="U423" i="15"/>
  <c r="AA423" i="15"/>
  <c r="V423" i="15"/>
  <c r="AE423" i="15"/>
  <c r="Z423" i="15"/>
  <c r="T423" i="15"/>
  <c r="X423" i="15"/>
  <c r="W423" i="15"/>
  <c r="AB437" i="15"/>
  <c r="X437" i="15"/>
  <c r="T437" i="15"/>
  <c r="AE437" i="15"/>
  <c r="Z437" i="15"/>
  <c r="U437" i="15"/>
  <c r="AD437" i="15"/>
  <c r="Y437" i="15"/>
  <c r="R437" i="15"/>
  <c r="AA437" i="15"/>
  <c r="W437" i="15"/>
  <c r="V437" i="15"/>
  <c r="AE449" i="15"/>
  <c r="AA449" i="15"/>
  <c r="W449" i="15"/>
  <c r="R449" i="15"/>
  <c r="AB449" i="15"/>
  <c r="V449" i="15"/>
  <c r="Z449" i="15"/>
  <c r="U449" i="15"/>
  <c r="Y449" i="15"/>
  <c r="X449" i="15"/>
  <c r="AD449" i="15"/>
  <c r="T449" i="15"/>
  <c r="AC462" i="15"/>
  <c r="Y462" i="15"/>
  <c r="U462" i="15"/>
  <c r="AA462" i="15"/>
  <c r="V462" i="15"/>
  <c r="AE462" i="15"/>
  <c r="Z462" i="15"/>
  <c r="T462" i="15"/>
  <c r="X462" i="15"/>
  <c r="W462" i="15"/>
  <c r="AD462" i="15"/>
  <c r="R462" i="15"/>
  <c r="AE487" i="15"/>
  <c r="AA487" i="15"/>
  <c r="W487" i="15"/>
  <c r="R487" i="15"/>
  <c r="Z487" i="15"/>
  <c r="U487" i="15"/>
  <c r="AD487" i="15"/>
  <c r="Y487" i="15"/>
  <c r="T487" i="15"/>
  <c r="X487" i="15"/>
  <c r="V487" i="15"/>
  <c r="AC487" i="15"/>
  <c r="AB487" i="15"/>
  <c r="AB521" i="15"/>
  <c r="X521" i="15"/>
  <c r="T521" i="15"/>
  <c r="AE521" i="15"/>
  <c r="AA521" i="15"/>
  <c r="W521" i="15"/>
  <c r="R521" i="15"/>
  <c r="AD521" i="15"/>
  <c r="V521" i="15"/>
  <c r="AC521" i="15"/>
  <c r="U521" i="15"/>
  <c r="Z521" i="15"/>
  <c r="Y521" i="15"/>
  <c r="AB380" i="15"/>
  <c r="X380" i="15"/>
  <c r="T380" i="15"/>
  <c r="AE380" i="15"/>
  <c r="AA380" i="15"/>
  <c r="W380" i="15"/>
  <c r="R380" i="15"/>
  <c r="Z380" i="15"/>
  <c r="X409" i="15"/>
  <c r="T409" i="15"/>
  <c r="AA409" i="15"/>
  <c r="W409" i="15"/>
  <c r="R409" i="15"/>
  <c r="AE409" i="15"/>
  <c r="Y409" i="15"/>
  <c r="AD409" i="15"/>
  <c r="V409" i="15"/>
  <c r="AB419" i="15"/>
  <c r="X419" i="15"/>
  <c r="T419" i="15"/>
  <c r="AA419" i="15"/>
  <c r="V419" i="15"/>
  <c r="AE419" i="15"/>
  <c r="Z419" i="15"/>
  <c r="U419" i="15"/>
  <c r="W419" i="15"/>
  <c r="AD419" i="15"/>
  <c r="R419" i="15"/>
  <c r="AB468" i="15"/>
  <c r="X468" i="15"/>
  <c r="T468" i="15"/>
  <c r="AE468" i="15"/>
  <c r="Z468" i="15"/>
  <c r="U468" i="15"/>
  <c r="AD468" i="15"/>
  <c r="Y468" i="15"/>
  <c r="R468" i="15"/>
  <c r="AA468" i="15"/>
  <c r="W468" i="15"/>
  <c r="V468" i="15"/>
  <c r="AC514" i="15"/>
  <c r="Y514" i="15"/>
  <c r="U514" i="15"/>
  <c r="AE514" i="15"/>
  <c r="Z514" i="15"/>
  <c r="T514" i="15"/>
  <c r="AD514" i="15"/>
  <c r="X514" i="15"/>
  <c r="R514" i="15"/>
  <c r="AA514" i="15"/>
  <c r="W514" i="15"/>
  <c r="AB514" i="15"/>
  <c r="V514" i="15"/>
  <c r="AC438" i="15"/>
  <c r="Y438" i="15"/>
  <c r="U438" i="15"/>
  <c r="AA438" i="15"/>
  <c r="V438" i="15"/>
  <c r="AE438" i="15"/>
  <c r="Z438" i="15"/>
  <c r="T438" i="15"/>
  <c r="AB438" i="15"/>
  <c r="AC455" i="15"/>
  <c r="Y455" i="15"/>
  <c r="U455" i="15"/>
  <c r="AA455" i="15"/>
  <c r="V455" i="15"/>
  <c r="AE455" i="15"/>
  <c r="Z455" i="15"/>
  <c r="T455" i="15"/>
  <c r="AB455" i="15"/>
  <c r="AA464" i="15"/>
  <c r="W464" i="15"/>
  <c r="R464" i="15"/>
  <c r="AB464" i="15"/>
  <c r="V464" i="15"/>
  <c r="Z464" i="15"/>
  <c r="U464" i="15"/>
  <c r="AC469" i="15"/>
  <c r="Y469" i="15"/>
  <c r="U469" i="15"/>
  <c r="AA469" i="15"/>
  <c r="V469" i="15"/>
  <c r="AE469" i="15"/>
  <c r="Z469" i="15"/>
  <c r="T469" i="15"/>
  <c r="AB469" i="15"/>
  <c r="AB480" i="15"/>
  <c r="X480" i="15"/>
  <c r="T480" i="15"/>
  <c r="AE480" i="15"/>
  <c r="AA480" i="15"/>
  <c r="W480" i="15"/>
  <c r="R480" i="15"/>
  <c r="Y480" i="15"/>
  <c r="AD480" i="15"/>
  <c r="V480" i="15"/>
  <c r="AC506" i="15"/>
  <c r="Y506" i="15"/>
  <c r="U506" i="15"/>
  <c r="AE506" i="15"/>
  <c r="Z506" i="15"/>
  <c r="T506" i="15"/>
  <c r="AD506" i="15"/>
  <c r="X506" i="15"/>
  <c r="R506" i="15"/>
  <c r="AA506" i="15"/>
  <c r="W506" i="15"/>
  <c r="AB522" i="15"/>
  <c r="X522" i="15"/>
  <c r="T522" i="15"/>
  <c r="AA522" i="15"/>
  <c r="V522" i="15"/>
  <c r="AE522" i="15"/>
  <c r="Z522" i="15"/>
  <c r="U522" i="15"/>
  <c r="Y522" i="15"/>
  <c r="W522" i="15"/>
  <c r="AD522" i="15"/>
  <c r="AC522" i="15"/>
  <c r="V314" i="15"/>
  <c r="Z314" i="15"/>
  <c r="V318" i="15"/>
  <c r="Z318" i="15"/>
  <c r="V322" i="15"/>
  <c r="Z322" i="15"/>
  <c r="V326" i="15"/>
  <c r="Z326" i="15"/>
  <c r="V330" i="15"/>
  <c r="Z330" i="15"/>
  <c r="V335" i="15"/>
  <c r="Z335" i="15"/>
  <c r="V339" i="15"/>
  <c r="V341" i="15"/>
  <c r="Z341" i="15"/>
  <c r="V345" i="15"/>
  <c r="V348" i="15"/>
  <c r="Z348" i="15"/>
  <c r="U351" i="15"/>
  <c r="Y351" i="15"/>
  <c r="AC351" i="15"/>
  <c r="V352" i="15"/>
  <c r="Z352" i="15"/>
  <c r="U355" i="15"/>
  <c r="Y355" i="15"/>
  <c r="AC355" i="15"/>
  <c r="V356" i="15"/>
  <c r="Z356" i="15"/>
  <c r="U359" i="15"/>
  <c r="Y359" i="15"/>
  <c r="AC359" i="15"/>
  <c r="V360" i="15"/>
  <c r="Z360" i="15"/>
  <c r="U365" i="15"/>
  <c r="Y365" i="15"/>
  <c r="AC365" i="15"/>
  <c r="U366" i="15"/>
  <c r="Y366" i="15"/>
  <c r="AC366" i="15"/>
  <c r="V367" i="15"/>
  <c r="Z367" i="15"/>
  <c r="U371" i="15"/>
  <c r="Y371" i="15"/>
  <c r="AC371" i="15"/>
  <c r="V372" i="15"/>
  <c r="Z372" i="15"/>
  <c r="U375" i="15"/>
  <c r="Y375" i="15"/>
  <c r="AD375" i="15"/>
  <c r="U378" i="15"/>
  <c r="Y378" i="15"/>
  <c r="AC378" i="15"/>
  <c r="V379" i="15"/>
  <c r="Z379" i="15"/>
  <c r="U382" i="15"/>
  <c r="Y382" i="15"/>
  <c r="AC382" i="15"/>
  <c r="V383" i="15"/>
  <c r="Z383" i="15"/>
  <c r="U385" i="15"/>
  <c r="Y385" i="15"/>
  <c r="AC385" i="15"/>
  <c r="V386" i="15"/>
  <c r="Z386" i="15"/>
  <c r="U389" i="15"/>
  <c r="Y389" i="15"/>
  <c r="AC389" i="15"/>
  <c r="V390" i="15"/>
  <c r="Z390" i="15"/>
  <c r="V393" i="15"/>
  <c r="AC394" i="15"/>
  <c r="Y394" i="15"/>
  <c r="U394" i="15"/>
  <c r="W394" i="15"/>
  <c r="AB394" i="15"/>
  <c r="AE396" i="15"/>
  <c r="AA396" i="15"/>
  <c r="W396" i="15"/>
  <c r="R396" i="15"/>
  <c r="X396" i="15"/>
  <c r="AC396" i="15"/>
  <c r="AB401" i="15"/>
  <c r="X401" i="15"/>
  <c r="T401" i="15"/>
  <c r="AE401" i="15"/>
  <c r="AA401" i="15"/>
  <c r="W401" i="15"/>
  <c r="R401" i="15"/>
  <c r="Z401" i="15"/>
  <c r="AB429" i="15"/>
  <c r="X429" i="15"/>
  <c r="T429" i="15"/>
  <c r="AE429" i="15"/>
  <c r="Z429" i="15"/>
  <c r="U429" i="15"/>
  <c r="AD429" i="15"/>
  <c r="Y429" i="15"/>
  <c r="R429" i="15"/>
  <c r="AC429" i="15"/>
  <c r="R438" i="15"/>
  <c r="AD438" i="15"/>
  <c r="AE440" i="15"/>
  <c r="AA440" i="15"/>
  <c r="W440" i="15"/>
  <c r="R440" i="15"/>
  <c r="AB440" i="15"/>
  <c r="V440" i="15"/>
  <c r="Z440" i="15"/>
  <c r="U440" i="15"/>
  <c r="AC440" i="15"/>
  <c r="AB445" i="15"/>
  <c r="X445" i="15"/>
  <c r="T445" i="15"/>
  <c r="AE445" i="15"/>
  <c r="Z445" i="15"/>
  <c r="U445" i="15"/>
  <c r="AD445" i="15"/>
  <c r="Y445" i="15"/>
  <c r="R445" i="15"/>
  <c r="AC445" i="15"/>
  <c r="R455" i="15"/>
  <c r="AD455" i="15"/>
  <c r="T464" i="15"/>
  <c r="AE464" i="15"/>
  <c r="R469" i="15"/>
  <c r="AD469" i="15"/>
  <c r="AE471" i="15"/>
  <c r="AA471" i="15"/>
  <c r="W471" i="15"/>
  <c r="R471" i="15"/>
  <c r="AB471" i="15"/>
  <c r="V471" i="15"/>
  <c r="Z471" i="15"/>
  <c r="U471" i="15"/>
  <c r="AC471" i="15"/>
  <c r="AB476" i="15"/>
  <c r="X476" i="15"/>
  <c r="T476" i="15"/>
  <c r="AE476" i="15"/>
  <c r="Z476" i="15"/>
  <c r="U476" i="15"/>
  <c r="AD476" i="15"/>
  <c r="Y476" i="15"/>
  <c r="R476" i="15"/>
  <c r="AC476" i="15"/>
  <c r="U480" i="15"/>
  <c r="AA495" i="15"/>
  <c r="W495" i="15"/>
  <c r="R495" i="15"/>
  <c r="Z495" i="15"/>
  <c r="U495" i="15"/>
  <c r="Y495" i="15"/>
  <c r="T495" i="15"/>
  <c r="X495" i="15"/>
  <c r="V495" i="15"/>
  <c r="V506" i="15"/>
  <c r="R522" i="15"/>
  <c r="AC534" i="15"/>
  <c r="Y534" i="15"/>
  <c r="U534" i="15"/>
  <c r="AA534" i="15"/>
  <c r="V534" i="15"/>
  <c r="AE534" i="15"/>
  <c r="Z534" i="15"/>
  <c r="T534" i="15"/>
  <c r="AD534" i="15"/>
  <c r="X534" i="15"/>
  <c r="R534" i="15"/>
  <c r="AB534" i="15"/>
  <c r="V351" i="15"/>
  <c r="Z351" i="15"/>
  <c r="V355" i="15"/>
  <c r="Z355" i="15"/>
  <c r="V359" i="15"/>
  <c r="Z359" i="15"/>
  <c r="V365" i="15"/>
  <c r="Z365" i="15"/>
  <c r="V366" i="15"/>
  <c r="Z366" i="15"/>
  <c r="V371" i="15"/>
  <c r="Z371" i="15"/>
  <c r="V375" i="15"/>
  <c r="Z375" i="15"/>
  <c r="V378" i="15"/>
  <c r="Z378" i="15"/>
  <c r="V382" i="15"/>
  <c r="Z382" i="15"/>
  <c r="V385" i="15"/>
  <c r="Z385" i="15"/>
  <c r="V389" i="15"/>
  <c r="Z389" i="15"/>
  <c r="AB393" i="15"/>
  <c r="X393" i="15"/>
  <c r="T393" i="15"/>
  <c r="W393" i="15"/>
  <c r="AC393" i="15"/>
  <c r="AB422" i="15"/>
  <c r="X422" i="15"/>
  <c r="T422" i="15"/>
  <c r="AE422" i="15"/>
  <c r="Z422" i="15"/>
  <c r="U422" i="15"/>
  <c r="AD422" i="15"/>
  <c r="Y422" i="15"/>
  <c r="R422" i="15"/>
  <c r="AC422" i="15"/>
  <c r="V429" i="15"/>
  <c r="AC430" i="15"/>
  <c r="Y430" i="15"/>
  <c r="U430" i="15"/>
  <c r="AA430" i="15"/>
  <c r="V430" i="15"/>
  <c r="AE430" i="15"/>
  <c r="Z430" i="15"/>
  <c r="T430" i="15"/>
  <c r="AB430" i="15"/>
  <c r="W438" i="15"/>
  <c r="T440" i="15"/>
  <c r="AD440" i="15"/>
  <c r="V445" i="15"/>
  <c r="AC446" i="15"/>
  <c r="Y446" i="15"/>
  <c r="U446" i="15"/>
  <c r="AA446" i="15"/>
  <c r="V446" i="15"/>
  <c r="AE446" i="15"/>
  <c r="Z446" i="15"/>
  <c r="T446" i="15"/>
  <c r="AB446" i="15"/>
  <c r="W455" i="15"/>
  <c r="AB461" i="15"/>
  <c r="X461" i="15"/>
  <c r="T461" i="15"/>
  <c r="AE461" i="15"/>
  <c r="Z461" i="15"/>
  <c r="U461" i="15"/>
  <c r="AD461" i="15"/>
  <c r="Y461" i="15"/>
  <c r="R461" i="15"/>
  <c r="AC461" i="15"/>
  <c r="X464" i="15"/>
  <c r="W469" i="15"/>
  <c r="T471" i="15"/>
  <c r="AD471" i="15"/>
  <c r="V476" i="15"/>
  <c r="AC477" i="15"/>
  <c r="Y477" i="15"/>
  <c r="U477" i="15"/>
  <c r="AB477" i="15"/>
  <c r="X477" i="15"/>
  <c r="T477" i="15"/>
  <c r="AE477" i="15"/>
  <c r="W477" i="15"/>
  <c r="AD477" i="15"/>
  <c r="V477" i="15"/>
  <c r="Z480" i="15"/>
  <c r="AB495" i="15"/>
  <c r="AB502" i="15"/>
  <c r="X502" i="15"/>
  <c r="T502" i="15"/>
  <c r="AA502" i="15"/>
  <c r="V502" i="15"/>
  <c r="Z502" i="15"/>
  <c r="U502" i="15"/>
  <c r="Y502" i="15"/>
  <c r="W502" i="15"/>
  <c r="AB506" i="15"/>
  <c r="W534" i="15"/>
  <c r="V400" i="15"/>
  <c r="Z400" i="15"/>
  <c r="AD400" i="15"/>
  <c r="V404" i="15"/>
  <c r="Z404" i="15"/>
  <c r="AD404" i="15"/>
  <c r="V408" i="15"/>
  <c r="Z408" i="15"/>
  <c r="AD408" i="15"/>
  <c r="V412" i="15"/>
  <c r="Z412" i="15"/>
  <c r="AD412" i="15"/>
  <c r="AB416" i="15"/>
  <c r="X416" i="15"/>
  <c r="T416" i="15"/>
  <c r="W416" i="15"/>
  <c r="AC416" i="15"/>
  <c r="AE421" i="15"/>
  <c r="AA421" i="15"/>
  <c r="W421" i="15"/>
  <c r="R421" i="15"/>
  <c r="X421" i="15"/>
  <c r="AC421" i="15"/>
  <c r="AC427" i="15"/>
  <c r="Y427" i="15"/>
  <c r="U427" i="15"/>
  <c r="W427" i="15"/>
  <c r="AB427" i="15"/>
  <c r="AC434" i="15"/>
  <c r="Y434" i="15"/>
  <c r="U434" i="15"/>
  <c r="W434" i="15"/>
  <c r="AB434" i="15"/>
  <c r="AE436" i="15"/>
  <c r="AA436" i="15"/>
  <c r="W436" i="15"/>
  <c r="R436" i="15"/>
  <c r="X436" i="15"/>
  <c r="AC436" i="15"/>
  <c r="AC442" i="15"/>
  <c r="Y442" i="15"/>
  <c r="U442" i="15"/>
  <c r="W442" i="15"/>
  <c r="AB442" i="15"/>
  <c r="AE444" i="15"/>
  <c r="AA444" i="15"/>
  <c r="W444" i="15"/>
  <c r="R444" i="15"/>
  <c r="X444" i="15"/>
  <c r="AC444" i="15"/>
  <c r="AC451" i="15"/>
  <c r="Y451" i="15"/>
  <c r="U451" i="15"/>
  <c r="W451" i="15"/>
  <c r="AB451" i="15"/>
  <c r="AE453" i="15"/>
  <c r="AA453" i="15"/>
  <c r="W453" i="15"/>
  <c r="R453" i="15"/>
  <c r="X453" i="15"/>
  <c r="AC453" i="15"/>
  <c r="AC458" i="15"/>
  <c r="Y458" i="15"/>
  <c r="U458" i="15"/>
  <c r="W458" i="15"/>
  <c r="AB458" i="15"/>
  <c r="AE460" i="15"/>
  <c r="AA460" i="15"/>
  <c r="W460" i="15"/>
  <c r="R460" i="15"/>
  <c r="X460" i="15"/>
  <c r="AC460" i="15"/>
  <c r="AC465" i="15"/>
  <c r="Y465" i="15"/>
  <c r="U465" i="15"/>
  <c r="W465" i="15"/>
  <c r="AB465" i="15"/>
  <c r="AE467" i="15"/>
  <c r="AA467" i="15"/>
  <c r="W467" i="15"/>
  <c r="R467" i="15"/>
  <c r="X467" i="15"/>
  <c r="AC467" i="15"/>
  <c r="AC473" i="15"/>
  <c r="Y473" i="15"/>
  <c r="U473" i="15"/>
  <c r="W473" i="15"/>
  <c r="AB473" i="15"/>
  <c r="AE475" i="15"/>
  <c r="AA475" i="15"/>
  <c r="W475" i="15"/>
  <c r="R475" i="15"/>
  <c r="X475" i="15"/>
  <c r="AC475" i="15"/>
  <c r="AD486" i="15"/>
  <c r="Z486" i="15"/>
  <c r="AE486" i="15"/>
  <c r="Y486" i="15"/>
  <c r="U486" i="15"/>
  <c r="AC486" i="15"/>
  <c r="X486" i="15"/>
  <c r="T486" i="15"/>
  <c r="AA486" i="15"/>
  <c r="AB488" i="15"/>
  <c r="X488" i="15"/>
  <c r="T488" i="15"/>
  <c r="AA488" i="15"/>
  <c r="V488" i="15"/>
  <c r="AE488" i="15"/>
  <c r="Z488" i="15"/>
  <c r="U488" i="15"/>
  <c r="AC488" i="15"/>
  <c r="AE508" i="15"/>
  <c r="AA508" i="15"/>
  <c r="W508" i="15"/>
  <c r="R508" i="15"/>
  <c r="Z508" i="15"/>
  <c r="U508" i="15"/>
  <c r="AD508" i="15"/>
  <c r="Y508" i="15"/>
  <c r="T508" i="15"/>
  <c r="AC508" i="15"/>
  <c r="AE516" i="15"/>
  <c r="AA516" i="15"/>
  <c r="W516" i="15"/>
  <c r="R516" i="15"/>
  <c r="Z516" i="15"/>
  <c r="U516" i="15"/>
  <c r="AD516" i="15"/>
  <c r="Y516" i="15"/>
  <c r="T516" i="15"/>
  <c r="AC516" i="15"/>
  <c r="V395" i="15"/>
  <c r="Z395" i="15"/>
  <c r="V399" i="15"/>
  <c r="Z399" i="15"/>
  <c r="R400" i="15"/>
  <c r="W400" i="15"/>
  <c r="AA400" i="15"/>
  <c r="V403" i="15"/>
  <c r="Z403" i="15"/>
  <c r="R404" i="15"/>
  <c r="W404" i="15"/>
  <c r="AA404" i="15"/>
  <c r="V407" i="15"/>
  <c r="Z407" i="15"/>
  <c r="R408" i="15"/>
  <c r="W408" i="15"/>
  <c r="AA408" i="15"/>
  <c r="V411" i="15"/>
  <c r="Z411" i="15"/>
  <c r="R412" i="15"/>
  <c r="W412" i="15"/>
  <c r="AA412" i="15"/>
  <c r="AE415" i="15"/>
  <c r="AA415" i="15"/>
  <c r="W415" i="15"/>
  <c r="R415" i="15"/>
  <c r="X415" i="15"/>
  <c r="AC415" i="15"/>
  <c r="R416" i="15"/>
  <c r="Y416" i="15"/>
  <c r="AD416" i="15"/>
  <c r="AD420" i="15"/>
  <c r="Y420" i="15"/>
  <c r="U420" i="15"/>
  <c r="W420" i="15"/>
  <c r="T421" i="15"/>
  <c r="Y421" i="15"/>
  <c r="AD421" i="15"/>
  <c r="AB426" i="15"/>
  <c r="X426" i="15"/>
  <c r="T426" i="15"/>
  <c r="W426" i="15"/>
  <c r="AC426" i="15"/>
  <c r="R427" i="15"/>
  <c r="X427" i="15"/>
  <c r="AD427" i="15"/>
  <c r="AB433" i="15"/>
  <c r="X433" i="15"/>
  <c r="T433" i="15"/>
  <c r="W433" i="15"/>
  <c r="AC433" i="15"/>
  <c r="R434" i="15"/>
  <c r="X434" i="15"/>
  <c r="AD434" i="15"/>
  <c r="T436" i="15"/>
  <c r="Y436" i="15"/>
  <c r="AD436" i="15"/>
  <c r="AB441" i="15"/>
  <c r="X441" i="15"/>
  <c r="T441" i="15"/>
  <c r="W441" i="15"/>
  <c r="AC441" i="15"/>
  <c r="R442" i="15"/>
  <c r="X442" i="15"/>
  <c r="AD442" i="15"/>
  <c r="T444" i="15"/>
  <c r="Y444" i="15"/>
  <c r="AD444" i="15"/>
  <c r="AB450" i="15"/>
  <c r="X450" i="15"/>
  <c r="T450" i="15"/>
  <c r="W450" i="15"/>
  <c r="AC450" i="15"/>
  <c r="R451" i="15"/>
  <c r="X451" i="15"/>
  <c r="AD451" i="15"/>
  <c r="T453" i="15"/>
  <c r="Y453" i="15"/>
  <c r="AD453" i="15"/>
  <c r="AB457" i="15"/>
  <c r="X457" i="15"/>
  <c r="T457" i="15"/>
  <c r="W457" i="15"/>
  <c r="AC457" i="15"/>
  <c r="R458" i="15"/>
  <c r="X458" i="15"/>
  <c r="AD458" i="15"/>
  <c r="T460" i="15"/>
  <c r="Y460" i="15"/>
  <c r="AD460" i="15"/>
  <c r="R465" i="15"/>
  <c r="X465" i="15"/>
  <c r="AD465" i="15"/>
  <c r="T467" i="15"/>
  <c r="Y467" i="15"/>
  <c r="AD467" i="15"/>
  <c r="AB472" i="15"/>
  <c r="X472" i="15"/>
  <c r="T472" i="15"/>
  <c r="W472" i="15"/>
  <c r="AC472" i="15"/>
  <c r="R473" i="15"/>
  <c r="X473" i="15"/>
  <c r="AD473" i="15"/>
  <c r="T475" i="15"/>
  <c r="Y475" i="15"/>
  <c r="AD475" i="15"/>
  <c r="AC481" i="15"/>
  <c r="Y481" i="15"/>
  <c r="U481" i="15"/>
  <c r="AB481" i="15"/>
  <c r="X481" i="15"/>
  <c r="T481" i="15"/>
  <c r="Z481" i="15"/>
  <c r="AB485" i="15"/>
  <c r="X485" i="15"/>
  <c r="T485" i="15"/>
  <c r="AE485" i="15"/>
  <c r="AA485" i="15"/>
  <c r="W485" i="15"/>
  <c r="R485" i="15"/>
  <c r="Z485" i="15"/>
  <c r="R486" i="15"/>
  <c r="AB486" i="15"/>
  <c r="R488" i="15"/>
  <c r="AD488" i="15"/>
  <c r="AC493" i="15"/>
  <c r="Y493" i="15"/>
  <c r="U493" i="15"/>
  <c r="AE493" i="15"/>
  <c r="Z493" i="15"/>
  <c r="T493" i="15"/>
  <c r="AD493" i="15"/>
  <c r="X493" i="15"/>
  <c r="R493" i="15"/>
  <c r="AB493" i="15"/>
  <c r="AE501" i="15"/>
  <c r="AA501" i="15"/>
  <c r="W501" i="15"/>
  <c r="R501" i="15"/>
  <c r="Z501" i="15"/>
  <c r="U501" i="15"/>
  <c r="AD501" i="15"/>
  <c r="Y501" i="15"/>
  <c r="T501" i="15"/>
  <c r="AC501" i="15"/>
  <c r="V508" i="15"/>
  <c r="AB509" i="15"/>
  <c r="X509" i="15"/>
  <c r="T509" i="15"/>
  <c r="AA509" i="15"/>
  <c r="V509" i="15"/>
  <c r="AE509" i="15"/>
  <c r="Z509" i="15"/>
  <c r="U509" i="15"/>
  <c r="AC509" i="15"/>
  <c r="V516" i="15"/>
  <c r="AB517" i="15"/>
  <c r="X517" i="15"/>
  <c r="T517" i="15"/>
  <c r="AA517" i="15"/>
  <c r="V517" i="15"/>
  <c r="AE517" i="15"/>
  <c r="Z517" i="15"/>
  <c r="U517" i="15"/>
  <c r="AC517" i="15"/>
  <c r="V479" i="15"/>
  <c r="Z479" i="15"/>
  <c r="AD479" i="15"/>
  <c r="V483" i="15"/>
  <c r="Z483" i="15"/>
  <c r="AD483" i="15"/>
  <c r="AB492" i="15"/>
  <c r="X492" i="15"/>
  <c r="T492" i="15"/>
  <c r="W492" i="15"/>
  <c r="AC492" i="15"/>
  <c r="AB499" i="15"/>
  <c r="X499" i="15"/>
  <c r="T499" i="15"/>
  <c r="W499" i="15"/>
  <c r="AC499" i="15"/>
  <c r="AB505" i="15"/>
  <c r="X505" i="15"/>
  <c r="T505" i="15"/>
  <c r="W505" i="15"/>
  <c r="AC505" i="15"/>
  <c r="AB513" i="15"/>
  <c r="X513" i="15"/>
  <c r="T513" i="15"/>
  <c r="W513" i="15"/>
  <c r="AC513" i="15"/>
  <c r="V414" i="15"/>
  <c r="Z414" i="15"/>
  <c r="V418" i="15"/>
  <c r="Z418" i="15"/>
  <c r="V424" i="15"/>
  <c r="Z424" i="15"/>
  <c r="V428" i="15"/>
  <c r="Z428" i="15"/>
  <c r="V431" i="15"/>
  <c r="Z431" i="15"/>
  <c r="V435" i="15"/>
  <c r="Z435" i="15"/>
  <c r="V439" i="15"/>
  <c r="Z439" i="15"/>
  <c r="V443" i="15"/>
  <c r="Z443" i="15"/>
  <c r="V447" i="15"/>
  <c r="Z447" i="15"/>
  <c r="V452" i="15"/>
  <c r="Z452" i="15"/>
  <c r="V456" i="15"/>
  <c r="Z456" i="15"/>
  <c r="V459" i="15"/>
  <c r="Z459" i="15"/>
  <c r="V463" i="15"/>
  <c r="Z463" i="15"/>
  <c r="V466" i="15"/>
  <c r="Z466" i="15"/>
  <c r="V470" i="15"/>
  <c r="Z470" i="15"/>
  <c r="V474" i="15"/>
  <c r="Z474" i="15"/>
  <c r="V478" i="15"/>
  <c r="Z478" i="15"/>
  <c r="R479" i="15"/>
  <c r="W479" i="15"/>
  <c r="AA479" i="15"/>
  <c r="V482" i="15"/>
  <c r="Z482" i="15"/>
  <c r="R483" i="15"/>
  <c r="W483" i="15"/>
  <c r="AA483" i="15"/>
  <c r="AC489" i="15"/>
  <c r="Y489" i="15"/>
  <c r="U489" i="15"/>
  <c r="W489" i="15"/>
  <c r="AB489" i="15"/>
  <c r="AE491" i="15"/>
  <c r="AA491" i="15"/>
  <c r="W491" i="15"/>
  <c r="R491" i="15"/>
  <c r="X491" i="15"/>
  <c r="AC491" i="15"/>
  <c r="R492" i="15"/>
  <c r="Y492" i="15"/>
  <c r="AD492" i="15"/>
  <c r="AC496" i="15"/>
  <c r="Y496" i="15"/>
  <c r="U496" i="15"/>
  <c r="W496" i="15"/>
  <c r="AB496" i="15"/>
  <c r="AE498" i="15"/>
  <c r="AA498" i="15"/>
  <c r="W498" i="15"/>
  <c r="R498" i="15"/>
  <c r="X498" i="15"/>
  <c r="AC498" i="15"/>
  <c r="R499" i="15"/>
  <c r="Y499" i="15"/>
  <c r="AE504" i="15"/>
  <c r="AA504" i="15"/>
  <c r="W504" i="15"/>
  <c r="R504" i="15"/>
  <c r="X504" i="15"/>
  <c r="AC504" i="15"/>
  <c r="R505" i="15"/>
  <c r="Y505" i="15"/>
  <c r="AD505" i="15"/>
  <c r="AC510" i="15"/>
  <c r="Y510" i="15"/>
  <c r="U510" i="15"/>
  <c r="W510" i="15"/>
  <c r="AB510" i="15"/>
  <c r="AE512" i="15"/>
  <c r="AA512" i="15"/>
  <c r="W512" i="15"/>
  <c r="R512" i="15"/>
  <c r="X512" i="15"/>
  <c r="AC512" i="15"/>
  <c r="R513" i="15"/>
  <c r="Y513" i="15"/>
  <c r="AD513" i="15"/>
  <c r="AC518" i="15"/>
  <c r="Y518" i="15"/>
  <c r="U518" i="15"/>
  <c r="AB518" i="15"/>
  <c r="W518" i="15"/>
  <c r="AD518" i="15"/>
  <c r="U550" i="15"/>
  <c r="U551" i="15" s="1"/>
  <c r="Z550" i="15"/>
  <c r="Z551" i="15" s="1"/>
  <c r="Y550" i="15"/>
  <c r="Y551" i="15" s="1"/>
  <c r="AC550" i="15"/>
  <c r="AC551" i="15" s="1"/>
  <c r="AD550" i="15"/>
  <c r="AD551" i="15" s="1"/>
  <c r="AC527" i="15"/>
  <c r="Y527" i="15"/>
  <c r="U527" i="15"/>
  <c r="W527" i="15"/>
  <c r="AB527" i="15"/>
  <c r="AE529" i="15"/>
  <c r="AA529" i="15"/>
  <c r="W529" i="15"/>
  <c r="R529" i="15"/>
  <c r="X529" i="15"/>
  <c r="AC529" i="15"/>
  <c r="AB533" i="15"/>
  <c r="X533" i="15"/>
  <c r="T533" i="15"/>
  <c r="W533" i="15"/>
  <c r="AC533" i="15"/>
  <c r="V520" i="15"/>
  <c r="Z520" i="15"/>
  <c r="AD520" i="15"/>
  <c r="AB526" i="15"/>
  <c r="X526" i="15"/>
  <c r="T526" i="15"/>
  <c r="W526" i="15"/>
  <c r="AC526" i="15"/>
  <c r="R527" i="15"/>
  <c r="X527" i="15"/>
  <c r="AD527" i="15"/>
  <c r="T529" i="15"/>
  <c r="Y529" i="15"/>
  <c r="AD529" i="15"/>
  <c r="AE532" i="15"/>
  <c r="AA532" i="15"/>
  <c r="W532" i="15"/>
  <c r="R532" i="15"/>
  <c r="X532" i="15"/>
  <c r="AC532" i="15"/>
  <c r="R533" i="15"/>
  <c r="Y533" i="15"/>
  <c r="AD533" i="15"/>
  <c r="V490" i="15"/>
  <c r="Z490" i="15"/>
  <c r="V494" i="15"/>
  <c r="Z494" i="15"/>
  <c r="V497" i="15"/>
  <c r="Z497" i="15"/>
  <c r="V500" i="15"/>
  <c r="Z500" i="15"/>
  <c r="V503" i="15"/>
  <c r="Z503" i="15"/>
  <c r="V507" i="15"/>
  <c r="Z507" i="15"/>
  <c r="V511" i="15"/>
  <c r="Z511" i="15"/>
  <c r="V515" i="15"/>
  <c r="Z515" i="15"/>
  <c r="V519" i="15"/>
  <c r="Z519" i="15"/>
  <c r="R520" i="15"/>
  <c r="W520" i="15"/>
  <c r="AA520" i="15"/>
  <c r="AC523" i="15"/>
  <c r="Y523" i="15"/>
  <c r="U523" i="15"/>
  <c r="W523" i="15"/>
  <c r="AB523" i="15"/>
  <c r="AE525" i="15"/>
  <c r="AA525" i="15"/>
  <c r="W525" i="15"/>
  <c r="R525" i="15"/>
  <c r="X525" i="15"/>
  <c r="AC525" i="15"/>
  <c r="R526" i="15"/>
  <c r="Y526" i="15"/>
  <c r="AD526" i="15"/>
  <c r="T527" i="15"/>
  <c r="Z527" i="15"/>
  <c r="AE527" i="15"/>
  <c r="U529" i="15"/>
  <c r="Z529" i="15"/>
  <c r="AC531" i="15"/>
  <c r="Y531" i="15"/>
  <c r="U531" i="15"/>
  <c r="W531" i="15"/>
  <c r="AB531" i="15"/>
  <c r="T532" i="15"/>
  <c r="Y532" i="15"/>
  <c r="AD532" i="15"/>
  <c r="U533" i="15"/>
  <c r="Z533" i="15"/>
  <c r="AE533" i="15"/>
  <c r="AB537" i="15"/>
  <c r="X537" i="15"/>
  <c r="T537" i="15"/>
  <c r="AA537" i="15"/>
  <c r="W537" i="15"/>
  <c r="R537" i="15"/>
  <c r="Z537" i="15"/>
  <c r="X550" i="15"/>
  <c r="X551" i="15" s="1"/>
  <c r="AB550" i="15"/>
  <c r="AB551" i="15" s="1"/>
  <c r="AC535" i="15"/>
  <c r="V536" i="15"/>
  <c r="Z536" i="15"/>
  <c r="AD536" i="15"/>
  <c r="U538" i="15"/>
  <c r="Y538" i="15"/>
  <c r="AC538" i="15"/>
  <c r="V524" i="15"/>
  <c r="Z524" i="15"/>
  <c r="V528" i="15"/>
  <c r="Z528" i="15"/>
  <c r="V535" i="15"/>
  <c r="Z535" i="15"/>
  <c r="R536" i="15"/>
  <c r="W536" i="15"/>
  <c r="AA536" i="15"/>
  <c r="V538" i="15"/>
  <c r="Z538" i="15"/>
  <c r="Z26" i="14"/>
  <c r="Z27" i="14"/>
  <c r="Z35" i="14"/>
  <c r="Z38" i="14"/>
  <c r="AA42" i="14"/>
  <c r="V45" i="14"/>
  <c r="Z65" i="14"/>
  <c r="Z71" i="14"/>
  <c r="Z75" i="14"/>
  <c r="AC82" i="14"/>
  <c r="AB98" i="14"/>
  <c r="X98" i="14"/>
  <c r="T98" i="14"/>
  <c r="AC98" i="14"/>
  <c r="Y108" i="14"/>
  <c r="AD108" i="14"/>
  <c r="AC110" i="14"/>
  <c r="Y110" i="14"/>
  <c r="R110" i="14"/>
  <c r="AE110" i="14"/>
  <c r="AC114" i="14"/>
  <c r="Y114" i="14"/>
  <c r="U114" i="14"/>
  <c r="AB117" i="14"/>
  <c r="AB133" i="14"/>
  <c r="X133" i="14"/>
  <c r="T133" i="14"/>
  <c r="AE133" i="14"/>
  <c r="AA133" i="14"/>
  <c r="W133" i="14"/>
  <c r="R133" i="14"/>
  <c r="AB141" i="14"/>
  <c r="X141" i="14"/>
  <c r="T141" i="14"/>
  <c r="AE141" i="14"/>
  <c r="AA141" i="14"/>
  <c r="W141" i="14"/>
  <c r="R141" i="14"/>
  <c r="Z141" i="14"/>
  <c r="Z145" i="14"/>
  <c r="AD148" i="14"/>
  <c r="Z148" i="14"/>
  <c r="T148" i="14"/>
  <c r="AC148" i="14"/>
  <c r="Y148" i="14"/>
  <c r="R148" i="14"/>
  <c r="AC151" i="14"/>
  <c r="Y151" i="14"/>
  <c r="U151" i="14"/>
  <c r="AB151" i="14"/>
  <c r="X151" i="14"/>
  <c r="T151" i="14"/>
  <c r="Z151" i="14"/>
  <c r="AB155" i="14"/>
  <c r="AC190" i="14"/>
  <c r="Y190" i="14"/>
  <c r="U190" i="14"/>
  <c r="AB190" i="14"/>
  <c r="X190" i="14"/>
  <c r="T190" i="14"/>
  <c r="AE190" i="14"/>
  <c r="AA190" i="14"/>
  <c r="W190" i="14"/>
  <c r="R190" i="14"/>
  <c r="AC194" i="14"/>
  <c r="Y194" i="14"/>
  <c r="U194" i="14"/>
  <c r="AB194" i="14"/>
  <c r="X194" i="14"/>
  <c r="T194" i="14"/>
  <c r="AE194" i="14"/>
  <c r="AA194" i="14"/>
  <c r="W194" i="14"/>
  <c r="R194" i="14"/>
  <c r="AC204" i="14"/>
  <c r="Y204" i="14"/>
  <c r="U204" i="14"/>
  <c r="AB204" i="14"/>
  <c r="X204" i="14"/>
  <c r="T204" i="14"/>
  <c r="AE204" i="14"/>
  <c r="AA204" i="14"/>
  <c r="W204" i="14"/>
  <c r="R204" i="14"/>
  <c r="AC283" i="14"/>
  <c r="Y283" i="14"/>
  <c r="U283" i="14"/>
  <c r="AB283" i="14"/>
  <c r="X283" i="14"/>
  <c r="T283" i="14"/>
  <c r="AE283" i="14"/>
  <c r="W283" i="14"/>
  <c r="AD283" i="14"/>
  <c r="V283" i="14"/>
  <c r="AA283" i="14"/>
  <c r="R283" i="14"/>
  <c r="AC488" i="14"/>
  <c r="Y488" i="14"/>
  <c r="U488" i="14"/>
  <c r="AA488" i="14"/>
  <c r="V488" i="14"/>
  <c r="AE488" i="14"/>
  <c r="Z488" i="14"/>
  <c r="T488" i="14"/>
  <c r="AD488" i="14"/>
  <c r="X488" i="14"/>
  <c r="R488" i="14"/>
  <c r="AB488" i="14"/>
  <c r="W488" i="14"/>
  <c r="Z24" i="14"/>
  <c r="V25" i="14"/>
  <c r="AD25" i="14"/>
  <c r="AA26" i="14"/>
  <c r="W27" i="14"/>
  <c r="AE27" i="14"/>
  <c r="AE35" i="14"/>
  <c r="AD41" i="14"/>
  <c r="AB42" i="14"/>
  <c r="Z44" i="14"/>
  <c r="W45" i="14"/>
  <c r="R48" i="14"/>
  <c r="R52" i="14"/>
  <c r="R65" i="14"/>
  <c r="W65" i="14"/>
  <c r="AA65" i="14"/>
  <c r="AE65" i="14"/>
  <c r="V70" i="14"/>
  <c r="Z70" i="14"/>
  <c r="AD70" i="14"/>
  <c r="R71" i="14"/>
  <c r="W71" i="14"/>
  <c r="AA71" i="14"/>
  <c r="AE71" i="14"/>
  <c r="R73" i="14"/>
  <c r="Y73" i="14"/>
  <c r="AC73" i="14"/>
  <c r="V74" i="14"/>
  <c r="Z74" i="14"/>
  <c r="AD74" i="14"/>
  <c r="R75" i="14"/>
  <c r="W75" i="14"/>
  <c r="AA75" i="14"/>
  <c r="AE75" i="14"/>
  <c r="X78" i="14"/>
  <c r="AB78" i="14"/>
  <c r="AE81" i="14"/>
  <c r="AA81" i="14"/>
  <c r="W81" i="14"/>
  <c r="R81" i="14"/>
  <c r="X81" i="14"/>
  <c r="AC81" i="14"/>
  <c r="R82" i="14"/>
  <c r="Y82" i="14"/>
  <c r="AD82" i="14"/>
  <c r="AC87" i="14"/>
  <c r="Y87" i="14"/>
  <c r="U87" i="14"/>
  <c r="W87" i="14"/>
  <c r="AB87" i="14"/>
  <c r="AE89" i="14"/>
  <c r="AA89" i="14"/>
  <c r="W89" i="14"/>
  <c r="R89" i="14"/>
  <c r="X89" i="14"/>
  <c r="AC89" i="14"/>
  <c r="R90" i="14"/>
  <c r="Y90" i="14"/>
  <c r="AC95" i="14"/>
  <c r="Y95" i="14"/>
  <c r="U95" i="14"/>
  <c r="W95" i="14"/>
  <c r="AB95" i="14"/>
  <c r="AE97" i="14"/>
  <c r="AA97" i="14"/>
  <c r="W97" i="14"/>
  <c r="R97" i="14"/>
  <c r="X97" i="14"/>
  <c r="AC97" i="14"/>
  <c r="R98" i="14"/>
  <c r="Y98" i="14"/>
  <c r="AD98" i="14"/>
  <c r="AC103" i="14"/>
  <c r="Y103" i="14"/>
  <c r="U103" i="14"/>
  <c r="W103" i="14"/>
  <c r="AB103" i="14"/>
  <c r="AE105" i="14"/>
  <c r="AA105" i="14"/>
  <c r="W105" i="14"/>
  <c r="R105" i="14"/>
  <c r="X105" i="14"/>
  <c r="AC105" i="14"/>
  <c r="R108" i="14"/>
  <c r="T110" i="14"/>
  <c r="AA110" i="14"/>
  <c r="AB113" i="14"/>
  <c r="X113" i="14"/>
  <c r="T113" i="14"/>
  <c r="W113" i="14"/>
  <c r="AC113" i="14"/>
  <c r="R114" i="14"/>
  <c r="X114" i="14"/>
  <c r="AD114" i="14"/>
  <c r="R117" i="14"/>
  <c r="X117" i="14"/>
  <c r="T119" i="14"/>
  <c r="Z119" i="14"/>
  <c r="AC123" i="14"/>
  <c r="Y123" i="14"/>
  <c r="U123" i="14"/>
  <c r="X123" i="14"/>
  <c r="AD123" i="14"/>
  <c r="AE126" i="14"/>
  <c r="AA126" i="14"/>
  <c r="W126" i="14"/>
  <c r="R126" i="14"/>
  <c r="X126" i="14"/>
  <c r="AC126" i="14"/>
  <c r="R127" i="14"/>
  <c r="Y127" i="14"/>
  <c r="U129" i="14"/>
  <c r="U133" i="14"/>
  <c r="AC133" i="14"/>
  <c r="U137" i="14"/>
  <c r="U141" i="14"/>
  <c r="AC141" i="14"/>
  <c r="U145" i="14"/>
  <c r="U148" i="14"/>
  <c r="AE148" i="14"/>
  <c r="R151" i="14"/>
  <c r="AA151" i="14"/>
  <c r="AB154" i="14"/>
  <c r="X154" i="14"/>
  <c r="T154" i="14"/>
  <c r="AE154" i="14"/>
  <c r="AA154" i="14"/>
  <c r="W154" i="14"/>
  <c r="R154" i="14"/>
  <c r="Z154" i="14"/>
  <c r="R155" i="14"/>
  <c r="V190" i="14"/>
  <c r="V194" i="14"/>
  <c r="V197" i="14"/>
  <c r="V201" i="14"/>
  <c r="V204" i="14"/>
  <c r="AE248" i="14"/>
  <c r="AA248" i="14"/>
  <c r="W248" i="14"/>
  <c r="R248" i="14"/>
  <c r="AB248" i="14"/>
  <c r="V248" i="14"/>
  <c r="Z248" i="14"/>
  <c r="U248" i="14"/>
  <c r="AD248" i="14"/>
  <c r="Y248" i="14"/>
  <c r="T248" i="14"/>
  <c r="Z283" i="14"/>
  <c r="AD26" i="14"/>
  <c r="V27" i="14"/>
  <c r="Z31" i="14"/>
  <c r="AD35" i="14"/>
  <c r="V38" i="14"/>
  <c r="AD38" i="14"/>
  <c r="W42" i="14"/>
  <c r="AE42" i="14"/>
  <c r="Z45" i="14"/>
  <c r="AD71" i="14"/>
  <c r="X73" i="14"/>
  <c r="AB73" i="14"/>
  <c r="V75" i="14"/>
  <c r="W82" i="14"/>
  <c r="AB90" i="14"/>
  <c r="X90" i="14"/>
  <c r="T90" i="14"/>
  <c r="W90" i="14"/>
  <c r="AC90" i="14"/>
  <c r="W98" i="14"/>
  <c r="AE108" i="14"/>
  <c r="AA108" i="14"/>
  <c r="W108" i="14"/>
  <c r="W114" i="14"/>
  <c r="AC117" i="14"/>
  <c r="Y117" i="14"/>
  <c r="U117" i="14"/>
  <c r="AB119" i="14"/>
  <c r="X119" i="14"/>
  <c r="R119" i="14"/>
  <c r="AD119" i="14"/>
  <c r="AB127" i="14"/>
  <c r="X127" i="14"/>
  <c r="T127" i="14"/>
  <c r="W127" i="14"/>
  <c r="AC127" i="14"/>
  <c r="AB129" i="14"/>
  <c r="X129" i="14"/>
  <c r="T129" i="14"/>
  <c r="AE129" i="14"/>
  <c r="AA129" i="14"/>
  <c r="W129" i="14"/>
  <c r="R129" i="14"/>
  <c r="Z129" i="14"/>
  <c r="Z133" i="14"/>
  <c r="AB137" i="14"/>
  <c r="X137" i="14"/>
  <c r="T137" i="14"/>
  <c r="AE137" i="14"/>
  <c r="AA137" i="14"/>
  <c r="W137" i="14"/>
  <c r="R137" i="14"/>
  <c r="Z137" i="14"/>
  <c r="AB145" i="14"/>
  <c r="X145" i="14"/>
  <c r="T145" i="14"/>
  <c r="AE145" i="14"/>
  <c r="AA145" i="14"/>
  <c r="W145" i="14"/>
  <c r="R145" i="14"/>
  <c r="AB148" i="14"/>
  <c r="AE155" i="14"/>
  <c r="AA155" i="14"/>
  <c r="U155" i="14"/>
  <c r="AD155" i="14"/>
  <c r="Z155" i="14"/>
  <c r="T155" i="14"/>
  <c r="AC272" i="14"/>
  <c r="Y272" i="14"/>
  <c r="U272" i="14"/>
  <c r="AB272" i="14"/>
  <c r="X272" i="14"/>
  <c r="T272" i="14"/>
  <c r="AE272" i="14"/>
  <c r="W272" i="14"/>
  <c r="AD272" i="14"/>
  <c r="V272" i="14"/>
  <c r="AA272" i="14"/>
  <c r="R272" i="14"/>
  <c r="AB275" i="14"/>
  <c r="X275" i="14"/>
  <c r="T275" i="14"/>
  <c r="AE275" i="14"/>
  <c r="AA275" i="14"/>
  <c r="W275" i="14"/>
  <c r="R275" i="14"/>
  <c r="Y275" i="14"/>
  <c r="AD275" i="14"/>
  <c r="V275" i="14"/>
  <c r="AC275" i="14"/>
  <c r="U275" i="14"/>
  <c r="V24" i="14"/>
  <c r="Z25" i="14"/>
  <c r="W26" i="14"/>
  <c r="AA27" i="14"/>
  <c r="V30" i="14"/>
  <c r="AD30" i="14"/>
  <c r="AA31" i="14"/>
  <c r="V34" i="14"/>
  <c r="Z34" i="14"/>
  <c r="W35" i="14"/>
  <c r="Z37" i="14"/>
  <c r="AD37" i="14"/>
  <c r="AA38" i="14"/>
  <c r="AE38" i="14"/>
  <c r="V41" i="14"/>
  <c r="AE45" i="14"/>
  <c r="R49" i="14"/>
  <c r="R51" i="14"/>
  <c r="R53" i="14"/>
  <c r="R54" i="14"/>
  <c r="Z23" i="14"/>
  <c r="AD23" i="14"/>
  <c r="AA24" i="14"/>
  <c r="AA25" i="14"/>
  <c r="AB26" i="14"/>
  <c r="AB27" i="14"/>
  <c r="V29" i="14"/>
  <c r="AA30" i="14"/>
  <c r="AB31" i="14"/>
  <c r="V33" i="14"/>
  <c r="Z33" i="14"/>
  <c r="W34" i="14"/>
  <c r="AA34" i="14"/>
  <c r="AE34" i="14"/>
  <c r="X35" i="14"/>
  <c r="AB35" i="14"/>
  <c r="W37" i="14"/>
  <c r="AA37" i="14"/>
  <c r="AE37" i="14"/>
  <c r="X38" i="14"/>
  <c r="AB38" i="14"/>
  <c r="V40" i="14"/>
  <c r="Z40" i="14"/>
  <c r="AD40" i="14"/>
  <c r="W41" i="14"/>
  <c r="AA41" i="14"/>
  <c r="AE41" i="14"/>
  <c r="Y42" i="14"/>
  <c r="AC42" i="14"/>
  <c r="V43" i="14"/>
  <c r="Z43" i="14"/>
  <c r="AD43" i="14"/>
  <c r="W44" i="14"/>
  <c r="AA44" i="14"/>
  <c r="AE44" i="14"/>
  <c r="X45" i="14"/>
  <c r="AB45" i="14"/>
  <c r="X47" i="14"/>
  <c r="AB47" i="14"/>
  <c r="T50" i="14"/>
  <c r="U56" i="14"/>
  <c r="Y56" i="14"/>
  <c r="AC56" i="14"/>
  <c r="U57" i="14"/>
  <c r="Y57" i="14"/>
  <c r="AC57" i="14"/>
  <c r="U58" i="14"/>
  <c r="Y58" i="14"/>
  <c r="AC58" i="14"/>
  <c r="U59" i="14"/>
  <c r="Y59" i="14"/>
  <c r="AC59" i="14"/>
  <c r="U60" i="14"/>
  <c r="Y60" i="14"/>
  <c r="AC60" i="14"/>
  <c r="U61" i="14"/>
  <c r="Y61" i="14"/>
  <c r="AC61" i="14"/>
  <c r="U62" i="14"/>
  <c r="Y62" i="14"/>
  <c r="AC62" i="14"/>
  <c r="U63" i="14"/>
  <c r="Y63" i="14"/>
  <c r="AC63" i="14"/>
  <c r="W64" i="14"/>
  <c r="AA64" i="14"/>
  <c r="AE64" i="14"/>
  <c r="T65" i="14"/>
  <c r="X65" i="14"/>
  <c r="AB65" i="14"/>
  <c r="U67" i="14"/>
  <c r="Y67" i="14"/>
  <c r="AC67" i="14"/>
  <c r="V69" i="14"/>
  <c r="Z69" i="14"/>
  <c r="AD69" i="14"/>
  <c r="R70" i="14"/>
  <c r="W70" i="14"/>
  <c r="AA70" i="14"/>
  <c r="AE70" i="14"/>
  <c r="T71" i="14"/>
  <c r="X71" i="14"/>
  <c r="AB71" i="14"/>
  <c r="V73" i="14"/>
  <c r="Z73" i="14"/>
  <c r="AD73" i="14"/>
  <c r="R74" i="14"/>
  <c r="W74" i="14"/>
  <c r="AA74" i="14"/>
  <c r="AE74" i="14"/>
  <c r="T75" i="14"/>
  <c r="X75" i="14"/>
  <c r="AB75" i="14"/>
  <c r="V77" i="14"/>
  <c r="Z77" i="14"/>
  <c r="AD77" i="14"/>
  <c r="Y78" i="14"/>
  <c r="AC78" i="14"/>
  <c r="X79" i="14"/>
  <c r="AB79" i="14"/>
  <c r="T81" i="14"/>
  <c r="Y81" i="14"/>
  <c r="AD81" i="14"/>
  <c r="U82" i="14"/>
  <c r="Z82" i="14"/>
  <c r="AB86" i="14"/>
  <c r="X86" i="14"/>
  <c r="T86" i="14"/>
  <c r="W86" i="14"/>
  <c r="AC86" i="14"/>
  <c r="R87" i="14"/>
  <c r="X87" i="14"/>
  <c r="AD87" i="14"/>
  <c r="T89" i="14"/>
  <c r="Y89" i="14"/>
  <c r="AD89" i="14"/>
  <c r="U90" i="14"/>
  <c r="Z90" i="14"/>
  <c r="AE90" i="14"/>
  <c r="AB94" i="14"/>
  <c r="X94" i="14"/>
  <c r="T94" i="14"/>
  <c r="W94" i="14"/>
  <c r="AC94" i="14"/>
  <c r="R95" i="14"/>
  <c r="X95" i="14"/>
  <c r="AD95" i="14"/>
  <c r="T97" i="14"/>
  <c r="Y97" i="14"/>
  <c r="AD97" i="14"/>
  <c r="U98" i="14"/>
  <c r="Z98" i="14"/>
  <c r="AE98" i="14"/>
  <c r="AB102" i="14"/>
  <c r="X102" i="14"/>
  <c r="T102" i="14"/>
  <c r="W102" i="14"/>
  <c r="AC102" i="14"/>
  <c r="R103" i="14"/>
  <c r="X103" i="14"/>
  <c r="AD103" i="14"/>
  <c r="T105" i="14"/>
  <c r="Y105" i="14"/>
  <c r="AD105" i="14"/>
  <c r="T108" i="14"/>
  <c r="AB108" i="14"/>
  <c r="AD109" i="14"/>
  <c r="Z109" i="14"/>
  <c r="T109" i="14"/>
  <c r="Y109" i="14"/>
  <c r="AE109" i="14"/>
  <c r="W110" i="14"/>
  <c r="AB110" i="14"/>
  <c r="AE112" i="14"/>
  <c r="AA112" i="14"/>
  <c r="W112" i="14"/>
  <c r="R112" i="14"/>
  <c r="X112" i="14"/>
  <c r="AC112" i="14"/>
  <c r="R113" i="14"/>
  <c r="Y113" i="14"/>
  <c r="AD113" i="14"/>
  <c r="T114" i="14"/>
  <c r="Z114" i="14"/>
  <c r="AE114" i="14"/>
  <c r="T117" i="14"/>
  <c r="Z117" i="14"/>
  <c r="AE117" i="14"/>
  <c r="AA119" i="14"/>
  <c r="AC120" i="14"/>
  <c r="Y120" i="14"/>
  <c r="U120" i="14"/>
  <c r="W120" i="14"/>
  <c r="AB120" i="14"/>
  <c r="AE122" i="14"/>
  <c r="AA122" i="14"/>
  <c r="W122" i="14"/>
  <c r="R122" i="14"/>
  <c r="X122" i="14"/>
  <c r="AC122" i="14"/>
  <c r="T123" i="14"/>
  <c r="Z123" i="14"/>
  <c r="AE123" i="14"/>
  <c r="AD125" i="14"/>
  <c r="Z125" i="14"/>
  <c r="V125" i="14"/>
  <c r="X125" i="14"/>
  <c r="AC125" i="14"/>
  <c r="T126" i="14"/>
  <c r="Y126" i="14"/>
  <c r="AD126" i="14"/>
  <c r="U127" i="14"/>
  <c r="Z127" i="14"/>
  <c r="AE127" i="14"/>
  <c r="V129" i="14"/>
  <c r="AD129" i="14"/>
  <c r="V133" i="14"/>
  <c r="AD133" i="14"/>
  <c r="V137" i="14"/>
  <c r="AD137" i="14"/>
  <c r="V141" i="14"/>
  <c r="AD141" i="14"/>
  <c r="V145" i="14"/>
  <c r="AD145" i="14"/>
  <c r="X148" i="14"/>
  <c r="V151" i="14"/>
  <c r="AD151" i="14"/>
  <c r="U154" i="14"/>
  <c r="AC154" i="14"/>
  <c r="X155" i="14"/>
  <c r="AC157" i="14"/>
  <c r="Y157" i="14"/>
  <c r="U157" i="14"/>
  <c r="AB157" i="14"/>
  <c r="X157" i="14"/>
  <c r="T157" i="14"/>
  <c r="Z157" i="14"/>
  <c r="AC164" i="14"/>
  <c r="Y164" i="14"/>
  <c r="U164" i="14"/>
  <c r="AB164" i="14"/>
  <c r="X164" i="14"/>
  <c r="T164" i="14"/>
  <c r="AE164" i="14"/>
  <c r="AA164" i="14"/>
  <c r="W164" i="14"/>
  <c r="R164" i="14"/>
  <c r="AC168" i="14"/>
  <c r="Y168" i="14"/>
  <c r="U168" i="14"/>
  <c r="AB168" i="14"/>
  <c r="X168" i="14"/>
  <c r="T168" i="14"/>
  <c r="AE168" i="14"/>
  <c r="AA168" i="14"/>
  <c r="W168" i="14"/>
  <c r="R168" i="14"/>
  <c r="AC172" i="14"/>
  <c r="Y172" i="14"/>
  <c r="U172" i="14"/>
  <c r="AB172" i="14"/>
  <c r="X172" i="14"/>
  <c r="T172" i="14"/>
  <c r="AE172" i="14"/>
  <c r="AA172" i="14"/>
  <c r="W172" i="14"/>
  <c r="R172" i="14"/>
  <c r="AC176" i="14"/>
  <c r="Y176" i="14"/>
  <c r="U176" i="14"/>
  <c r="AB176" i="14"/>
  <c r="X176" i="14"/>
  <c r="T176" i="14"/>
  <c r="AE176" i="14"/>
  <c r="AA176" i="14"/>
  <c r="W176" i="14"/>
  <c r="R176" i="14"/>
  <c r="AC179" i="14"/>
  <c r="Y179" i="14"/>
  <c r="U179" i="14"/>
  <c r="AB179" i="14"/>
  <c r="X179" i="14"/>
  <c r="T179" i="14"/>
  <c r="AE179" i="14"/>
  <c r="AA179" i="14"/>
  <c r="W179" i="14"/>
  <c r="R179" i="14"/>
  <c r="AC183" i="14"/>
  <c r="Y183" i="14"/>
  <c r="U183" i="14"/>
  <c r="AB183" i="14"/>
  <c r="X183" i="14"/>
  <c r="T183" i="14"/>
  <c r="AE183" i="14"/>
  <c r="AA183" i="14"/>
  <c r="W183" i="14"/>
  <c r="R183" i="14"/>
  <c r="AC187" i="14"/>
  <c r="Y187" i="14"/>
  <c r="U187" i="14"/>
  <c r="AB187" i="14"/>
  <c r="X187" i="14"/>
  <c r="T187" i="14"/>
  <c r="AE187" i="14"/>
  <c r="AA187" i="14"/>
  <c r="W187" i="14"/>
  <c r="R187" i="14"/>
  <c r="Z190" i="14"/>
  <c r="Z194" i="14"/>
  <c r="Z204" i="14"/>
  <c r="AC207" i="14"/>
  <c r="Y207" i="14"/>
  <c r="U207" i="14"/>
  <c r="AB207" i="14"/>
  <c r="X207" i="14"/>
  <c r="T207" i="14"/>
  <c r="AE207" i="14"/>
  <c r="AA207" i="14"/>
  <c r="W207" i="14"/>
  <c r="R207" i="14"/>
  <c r="AC211" i="14"/>
  <c r="Y211" i="14"/>
  <c r="U211" i="14"/>
  <c r="AB211" i="14"/>
  <c r="X211" i="14"/>
  <c r="T211" i="14"/>
  <c r="AE211" i="14"/>
  <c r="AA211" i="14"/>
  <c r="W211" i="14"/>
  <c r="R211" i="14"/>
  <c r="AC215" i="14"/>
  <c r="Y215" i="14"/>
  <c r="U215" i="14"/>
  <c r="AB215" i="14"/>
  <c r="X215" i="14"/>
  <c r="T215" i="14"/>
  <c r="AE215" i="14"/>
  <c r="AA215" i="14"/>
  <c r="W215" i="14"/>
  <c r="R215" i="14"/>
  <c r="AC219" i="14"/>
  <c r="Y219" i="14"/>
  <c r="U219" i="14"/>
  <c r="AB219" i="14"/>
  <c r="X219" i="14"/>
  <c r="T219" i="14"/>
  <c r="AE219" i="14"/>
  <c r="AA219" i="14"/>
  <c r="W219" i="14"/>
  <c r="R219" i="14"/>
  <c r="AD230" i="14"/>
  <c r="Z230" i="14"/>
  <c r="T230" i="14"/>
  <c r="AC230" i="14"/>
  <c r="V230" i="14"/>
  <c r="AB230" i="14"/>
  <c r="U230" i="14"/>
  <c r="AA230" i="14"/>
  <c r="R230" i="14"/>
  <c r="AE235" i="14"/>
  <c r="AA235" i="14"/>
  <c r="W235" i="14"/>
  <c r="R235" i="14"/>
  <c r="AB235" i="14"/>
  <c r="V235" i="14"/>
  <c r="Z235" i="14"/>
  <c r="U235" i="14"/>
  <c r="AD235" i="14"/>
  <c r="Y235" i="14"/>
  <c r="T235" i="14"/>
  <c r="AE241" i="14"/>
  <c r="AA241" i="14"/>
  <c r="W241" i="14"/>
  <c r="R241" i="14"/>
  <c r="AB241" i="14"/>
  <c r="V241" i="14"/>
  <c r="Z241" i="14"/>
  <c r="U241" i="14"/>
  <c r="AD241" i="14"/>
  <c r="Y241" i="14"/>
  <c r="T241" i="14"/>
  <c r="AC254" i="14"/>
  <c r="Y254" i="14"/>
  <c r="U254" i="14"/>
  <c r="AB254" i="14"/>
  <c r="X254" i="14"/>
  <c r="T254" i="14"/>
  <c r="AE254" i="14"/>
  <c r="W254" i="14"/>
  <c r="AD254" i="14"/>
  <c r="V254" i="14"/>
  <c r="AA254" i="14"/>
  <c r="R254" i="14"/>
  <c r="AB257" i="14"/>
  <c r="X257" i="14"/>
  <c r="T257" i="14"/>
  <c r="AE257" i="14"/>
  <c r="AA257" i="14"/>
  <c r="W257" i="14"/>
  <c r="R257" i="14"/>
  <c r="Y257" i="14"/>
  <c r="AD257" i="14"/>
  <c r="V257" i="14"/>
  <c r="AC257" i="14"/>
  <c r="U257" i="14"/>
  <c r="AB369" i="14"/>
  <c r="X369" i="14"/>
  <c r="T369" i="14"/>
  <c r="AA369" i="14"/>
  <c r="V369" i="14"/>
  <c r="AE369" i="14"/>
  <c r="Z369" i="14"/>
  <c r="U369" i="14"/>
  <c r="AD369" i="14"/>
  <c r="Y369" i="14"/>
  <c r="R369" i="14"/>
  <c r="AC369" i="14"/>
  <c r="W369" i="14"/>
  <c r="V26" i="14"/>
  <c r="AD27" i="14"/>
  <c r="V31" i="14"/>
  <c r="AD31" i="14"/>
  <c r="V35" i="14"/>
  <c r="AD45" i="14"/>
  <c r="V65" i="14"/>
  <c r="AD65" i="14"/>
  <c r="V71" i="14"/>
  <c r="AD75" i="14"/>
  <c r="AB82" i="14"/>
  <c r="X82" i="14"/>
  <c r="T82" i="14"/>
  <c r="Z110" i="14"/>
  <c r="AB114" i="14"/>
  <c r="W117" i="14"/>
  <c r="Y119" i="14"/>
  <c r="AC197" i="14"/>
  <c r="Y197" i="14"/>
  <c r="U197" i="14"/>
  <c r="AB197" i="14"/>
  <c r="X197" i="14"/>
  <c r="T197" i="14"/>
  <c r="AE197" i="14"/>
  <c r="AA197" i="14"/>
  <c r="W197" i="14"/>
  <c r="R197" i="14"/>
  <c r="AC201" i="14"/>
  <c r="Y201" i="14"/>
  <c r="U201" i="14"/>
  <c r="AB201" i="14"/>
  <c r="X201" i="14"/>
  <c r="T201" i="14"/>
  <c r="AE201" i="14"/>
  <c r="AA201" i="14"/>
  <c r="W201" i="14"/>
  <c r="R201" i="14"/>
  <c r="AD24" i="14"/>
  <c r="AE26" i="14"/>
  <c r="Z30" i="14"/>
  <c r="W31" i="14"/>
  <c r="AE31" i="14"/>
  <c r="AD34" i="14"/>
  <c r="AA35" i="14"/>
  <c r="V37" i="14"/>
  <c r="W38" i="14"/>
  <c r="Z41" i="14"/>
  <c r="X42" i="14"/>
  <c r="V44" i="14"/>
  <c r="AD44" i="14"/>
  <c r="AA45" i="14"/>
  <c r="V23" i="14"/>
  <c r="W24" i="14"/>
  <c r="AE24" i="14"/>
  <c r="W25" i="14"/>
  <c r="AE25" i="14"/>
  <c r="X26" i="14"/>
  <c r="X27" i="14"/>
  <c r="Z29" i="14"/>
  <c r="AD29" i="14"/>
  <c r="W30" i="14"/>
  <c r="AE30" i="14"/>
  <c r="X31" i="14"/>
  <c r="AD33" i="14"/>
  <c r="F527" i="14"/>
  <c r="W23" i="14"/>
  <c r="AA23" i="14"/>
  <c r="X24" i="14"/>
  <c r="X25" i="14"/>
  <c r="Y26" i="14"/>
  <c r="Y27" i="14"/>
  <c r="V28" i="14"/>
  <c r="Z28" i="14"/>
  <c r="W29" i="14"/>
  <c r="AA29" i="14"/>
  <c r="X30" i="14"/>
  <c r="Y31" i="14"/>
  <c r="V32" i="14"/>
  <c r="Z32" i="14"/>
  <c r="W33" i="14"/>
  <c r="AA33" i="14"/>
  <c r="X34" i="14"/>
  <c r="Y35" i="14"/>
  <c r="X37" i="14"/>
  <c r="Y38" i="14"/>
  <c r="V39" i="14"/>
  <c r="Z39" i="14"/>
  <c r="W40" i="14"/>
  <c r="AA40" i="14"/>
  <c r="X41" i="14"/>
  <c r="V42" i="14"/>
  <c r="Z42" i="14"/>
  <c r="W43" i="14"/>
  <c r="AA43" i="14"/>
  <c r="X44" i="14"/>
  <c r="Y45" i="14"/>
  <c r="V46" i="14"/>
  <c r="Z46" i="14"/>
  <c r="Y47" i="14"/>
  <c r="Y48" i="14"/>
  <c r="Y49" i="14"/>
  <c r="Y50" i="14"/>
  <c r="Y51" i="14"/>
  <c r="Y52" i="14"/>
  <c r="Y53" i="14"/>
  <c r="Y54" i="14"/>
  <c r="V55" i="14"/>
  <c r="Z55" i="14"/>
  <c r="V56" i="14"/>
  <c r="Z56" i="14"/>
  <c r="V57" i="14"/>
  <c r="Z57" i="14"/>
  <c r="V58" i="14"/>
  <c r="Z58" i="14"/>
  <c r="V59" i="14"/>
  <c r="Z59" i="14"/>
  <c r="V60" i="14"/>
  <c r="Z60" i="14"/>
  <c r="V61" i="14"/>
  <c r="Z61" i="14"/>
  <c r="V62" i="14"/>
  <c r="Z62" i="14"/>
  <c r="V63" i="14"/>
  <c r="Z63" i="14"/>
  <c r="T64" i="14"/>
  <c r="X64" i="14"/>
  <c r="U65" i="14"/>
  <c r="Y65" i="14"/>
  <c r="V66" i="14"/>
  <c r="Z66" i="14"/>
  <c r="V67" i="14"/>
  <c r="Z67" i="14"/>
  <c r="R69" i="14"/>
  <c r="W69" i="14"/>
  <c r="AA69" i="14"/>
  <c r="T70" i="14"/>
  <c r="X70" i="14"/>
  <c r="U71" i="14"/>
  <c r="Y71" i="14"/>
  <c r="X72" i="14"/>
  <c r="W73" i="14"/>
  <c r="AA73" i="14"/>
  <c r="T74" i="14"/>
  <c r="X74" i="14"/>
  <c r="U75" i="14"/>
  <c r="Y75" i="14"/>
  <c r="V76" i="14"/>
  <c r="Z76" i="14"/>
  <c r="R77" i="14"/>
  <c r="W77" i="14"/>
  <c r="AA77" i="14"/>
  <c r="V78" i="14"/>
  <c r="Z78" i="14"/>
  <c r="R79" i="14"/>
  <c r="Y79" i="14"/>
  <c r="V80" i="14"/>
  <c r="Z80" i="14"/>
  <c r="AE80" i="14"/>
  <c r="U81" i="14"/>
  <c r="Z81" i="14"/>
  <c r="V82" i="14"/>
  <c r="AA82" i="14"/>
  <c r="AC83" i="14"/>
  <c r="Y83" i="14"/>
  <c r="U83" i="14"/>
  <c r="W83" i="14"/>
  <c r="AB83" i="14"/>
  <c r="AE85" i="14"/>
  <c r="AA85" i="14"/>
  <c r="W85" i="14"/>
  <c r="R85" i="14"/>
  <c r="X85" i="14"/>
  <c r="AC85" i="14"/>
  <c r="R86" i="14"/>
  <c r="Y86" i="14"/>
  <c r="AD86" i="14"/>
  <c r="T87" i="14"/>
  <c r="Z87" i="14"/>
  <c r="AE87" i="14"/>
  <c r="U89" i="14"/>
  <c r="Z89" i="14"/>
  <c r="V90" i="14"/>
  <c r="AA90" i="14"/>
  <c r="AC91" i="14"/>
  <c r="Y91" i="14"/>
  <c r="U91" i="14"/>
  <c r="W91" i="14"/>
  <c r="AB91" i="14"/>
  <c r="AE93" i="14"/>
  <c r="AA93" i="14"/>
  <c r="W93" i="14"/>
  <c r="R93" i="14"/>
  <c r="X93" i="14"/>
  <c r="AC93" i="14"/>
  <c r="R94" i="14"/>
  <c r="Y94" i="14"/>
  <c r="AD94" i="14"/>
  <c r="T95" i="14"/>
  <c r="Z95" i="14"/>
  <c r="AE95" i="14"/>
  <c r="U97" i="14"/>
  <c r="Z97" i="14"/>
  <c r="V98" i="14"/>
  <c r="AA98" i="14"/>
  <c r="AC99" i="14"/>
  <c r="Y99" i="14"/>
  <c r="U99" i="14"/>
  <c r="W99" i="14"/>
  <c r="AB99" i="14"/>
  <c r="AE101" i="14"/>
  <c r="AA101" i="14"/>
  <c r="W101" i="14"/>
  <c r="R101" i="14"/>
  <c r="X101" i="14"/>
  <c r="AC101" i="14"/>
  <c r="R102" i="14"/>
  <c r="Y102" i="14"/>
  <c r="AD102" i="14"/>
  <c r="T103" i="14"/>
  <c r="Z103" i="14"/>
  <c r="AE103" i="14"/>
  <c r="U105" i="14"/>
  <c r="Z105" i="14"/>
  <c r="X108" i="14"/>
  <c r="AC108" i="14"/>
  <c r="R109" i="14"/>
  <c r="AA109" i="14"/>
  <c r="X110" i="14"/>
  <c r="AD110" i="14"/>
  <c r="T112" i="14"/>
  <c r="Y112" i="14"/>
  <c r="AD112" i="14"/>
  <c r="U113" i="14"/>
  <c r="Z113" i="14"/>
  <c r="AE113" i="14"/>
  <c r="V114" i="14"/>
  <c r="AA114" i="14"/>
  <c r="V117" i="14"/>
  <c r="AA117" i="14"/>
  <c r="W119" i="14"/>
  <c r="AC119" i="14"/>
  <c r="R120" i="14"/>
  <c r="X120" i="14"/>
  <c r="AD120" i="14"/>
  <c r="T122" i="14"/>
  <c r="Y122" i="14"/>
  <c r="AD122" i="14"/>
  <c r="V123" i="14"/>
  <c r="AA123" i="14"/>
  <c r="T125" i="14"/>
  <c r="Y125" i="14"/>
  <c r="AE125" i="14"/>
  <c r="U126" i="14"/>
  <c r="Z126" i="14"/>
  <c r="V127" i="14"/>
  <c r="AA127" i="14"/>
  <c r="AE128" i="14"/>
  <c r="AA128" i="14"/>
  <c r="AD128" i="14"/>
  <c r="Z128" i="14"/>
  <c r="V128" i="14"/>
  <c r="X128" i="14"/>
  <c r="Y129" i="14"/>
  <c r="AC130" i="14"/>
  <c r="Y130" i="14"/>
  <c r="U130" i="14"/>
  <c r="AB130" i="14"/>
  <c r="X130" i="14"/>
  <c r="T130" i="14"/>
  <c r="Z130" i="14"/>
  <c r="Y133" i="14"/>
  <c r="AC134" i="14"/>
  <c r="Y134" i="14"/>
  <c r="U134" i="14"/>
  <c r="AB134" i="14"/>
  <c r="X134" i="14"/>
  <c r="T134" i="14"/>
  <c r="Z134" i="14"/>
  <c r="Y137" i="14"/>
  <c r="AC138" i="14"/>
  <c r="Y138" i="14"/>
  <c r="U138" i="14"/>
  <c r="AB138" i="14"/>
  <c r="X138" i="14"/>
  <c r="T138" i="14"/>
  <c r="Z138" i="14"/>
  <c r="Y141" i="14"/>
  <c r="AC142" i="14"/>
  <c r="Y142" i="14"/>
  <c r="U142" i="14"/>
  <c r="AB142" i="14"/>
  <c r="X142" i="14"/>
  <c r="T142" i="14"/>
  <c r="Z142" i="14"/>
  <c r="Y145" i="14"/>
  <c r="AC146" i="14"/>
  <c r="Y146" i="14"/>
  <c r="U146" i="14"/>
  <c r="AB146" i="14"/>
  <c r="X146" i="14"/>
  <c r="T146" i="14"/>
  <c r="Z146" i="14"/>
  <c r="AA148" i="14"/>
  <c r="W151" i="14"/>
  <c r="AE151" i="14"/>
  <c r="V154" i="14"/>
  <c r="AD154" i="14"/>
  <c r="Y155" i="14"/>
  <c r="AB156" i="14"/>
  <c r="X156" i="14"/>
  <c r="T156" i="14"/>
  <c r="AE156" i="14"/>
  <c r="AA156" i="14"/>
  <c r="W156" i="14"/>
  <c r="R156" i="14"/>
  <c r="Z156" i="14"/>
  <c r="R157" i="14"/>
  <c r="AA157" i="14"/>
  <c r="AC160" i="14"/>
  <c r="Y160" i="14"/>
  <c r="T160" i="14"/>
  <c r="AB160" i="14"/>
  <c r="X160" i="14"/>
  <c r="R160" i="14"/>
  <c r="AA160" i="14"/>
  <c r="V164" i="14"/>
  <c r="V168" i="14"/>
  <c r="V172" i="14"/>
  <c r="V176" i="14"/>
  <c r="V179" i="14"/>
  <c r="V183" i="14"/>
  <c r="V187" i="14"/>
  <c r="AD190" i="14"/>
  <c r="AD194" i="14"/>
  <c r="AD197" i="14"/>
  <c r="AD201" i="14"/>
  <c r="AD204" i="14"/>
  <c r="V207" i="14"/>
  <c r="V211" i="14"/>
  <c r="V215" i="14"/>
  <c r="V219" i="14"/>
  <c r="AC222" i="14"/>
  <c r="Y222" i="14"/>
  <c r="U222" i="14"/>
  <c r="AB222" i="14"/>
  <c r="X222" i="14"/>
  <c r="T222" i="14"/>
  <c r="AE222" i="14"/>
  <c r="AA222" i="14"/>
  <c r="W222" i="14"/>
  <c r="R222" i="14"/>
  <c r="AC226" i="14"/>
  <c r="Y226" i="14"/>
  <c r="U226" i="14"/>
  <c r="AB226" i="14"/>
  <c r="X226" i="14"/>
  <c r="T226" i="14"/>
  <c r="AE226" i="14"/>
  <c r="AA226" i="14"/>
  <c r="W226" i="14"/>
  <c r="R226" i="14"/>
  <c r="W230" i="14"/>
  <c r="X235" i="14"/>
  <c r="X241" i="14"/>
  <c r="AC246" i="14"/>
  <c r="Y246" i="14"/>
  <c r="U246" i="14"/>
  <c r="AA246" i="14"/>
  <c r="V246" i="14"/>
  <c r="AE246" i="14"/>
  <c r="Z246" i="14"/>
  <c r="T246" i="14"/>
  <c r="AD246" i="14"/>
  <c r="X246" i="14"/>
  <c r="R246" i="14"/>
  <c r="AC248" i="14"/>
  <c r="Z254" i="14"/>
  <c r="Z257" i="14"/>
  <c r="AB311" i="14"/>
  <c r="X311" i="14"/>
  <c r="T311" i="14"/>
  <c r="AA311" i="14"/>
  <c r="V311" i="14"/>
  <c r="AE311" i="14"/>
  <c r="Z311" i="14"/>
  <c r="U311" i="14"/>
  <c r="AD311" i="14"/>
  <c r="Y311" i="14"/>
  <c r="R311" i="14"/>
  <c r="AC311" i="14"/>
  <c r="W311" i="14"/>
  <c r="AC335" i="14"/>
  <c r="Y335" i="14"/>
  <c r="U335" i="14"/>
  <c r="AB335" i="14"/>
  <c r="X335" i="14"/>
  <c r="T335" i="14"/>
  <c r="AE335" i="14"/>
  <c r="W335" i="14"/>
  <c r="AD335" i="14"/>
  <c r="V335" i="14"/>
  <c r="AA335" i="14"/>
  <c r="R335" i="14"/>
  <c r="Z335" i="14"/>
  <c r="V163" i="14"/>
  <c r="Z163" i="14"/>
  <c r="AD163" i="14"/>
  <c r="V167" i="14"/>
  <c r="Z167" i="14"/>
  <c r="AD167" i="14"/>
  <c r="V171" i="14"/>
  <c r="Z171" i="14"/>
  <c r="AD171" i="14"/>
  <c r="V175" i="14"/>
  <c r="Z175" i="14"/>
  <c r="AD175" i="14"/>
  <c r="V182" i="14"/>
  <c r="Z182" i="14"/>
  <c r="AD182" i="14"/>
  <c r="V186" i="14"/>
  <c r="Z186" i="14"/>
  <c r="AD186" i="14"/>
  <c r="V193" i="14"/>
  <c r="Z193" i="14"/>
  <c r="AD193" i="14"/>
  <c r="V196" i="14"/>
  <c r="Z196" i="14"/>
  <c r="AD196" i="14"/>
  <c r="V200" i="14"/>
  <c r="Z200" i="14"/>
  <c r="AD200" i="14"/>
  <c r="V203" i="14"/>
  <c r="Z203" i="14"/>
  <c r="AD203" i="14"/>
  <c r="V210" i="14"/>
  <c r="Z210" i="14"/>
  <c r="AD210" i="14"/>
  <c r="V214" i="14"/>
  <c r="Z214" i="14"/>
  <c r="AD214" i="14"/>
  <c r="V218" i="14"/>
  <c r="Z218" i="14"/>
  <c r="AD218" i="14"/>
  <c r="V221" i="14"/>
  <c r="Z221" i="14"/>
  <c r="AD221" i="14"/>
  <c r="V225" i="14"/>
  <c r="Z225" i="14"/>
  <c r="AD225" i="14"/>
  <c r="AE229" i="14"/>
  <c r="AA229" i="14"/>
  <c r="W229" i="14"/>
  <c r="R229" i="14"/>
  <c r="X229" i="14"/>
  <c r="AC229" i="14"/>
  <c r="AD232" i="14"/>
  <c r="Z232" i="14"/>
  <c r="T232" i="14"/>
  <c r="W232" i="14"/>
  <c r="AE232" i="14"/>
  <c r="AB245" i="14"/>
  <c r="X245" i="14"/>
  <c r="T245" i="14"/>
  <c r="W245" i="14"/>
  <c r="AC245" i="14"/>
  <c r="AB253" i="14"/>
  <c r="X253" i="14"/>
  <c r="T253" i="14"/>
  <c r="AE253" i="14"/>
  <c r="AA253" i="14"/>
  <c r="W253" i="14"/>
  <c r="R253" i="14"/>
  <c r="Z253" i="14"/>
  <c r="AC269" i="14"/>
  <c r="Y269" i="14"/>
  <c r="U269" i="14"/>
  <c r="AB269" i="14"/>
  <c r="X269" i="14"/>
  <c r="T269" i="14"/>
  <c r="Z269" i="14"/>
  <c r="AB282" i="14"/>
  <c r="X282" i="14"/>
  <c r="T282" i="14"/>
  <c r="AE282" i="14"/>
  <c r="AA282" i="14"/>
  <c r="W282" i="14"/>
  <c r="R282" i="14"/>
  <c r="Z282" i="14"/>
  <c r="AC318" i="14"/>
  <c r="Y318" i="14"/>
  <c r="U318" i="14"/>
  <c r="AA318" i="14"/>
  <c r="V318" i="14"/>
  <c r="AE318" i="14"/>
  <c r="Z318" i="14"/>
  <c r="T318" i="14"/>
  <c r="AD318" i="14"/>
  <c r="X318" i="14"/>
  <c r="R318" i="14"/>
  <c r="AC325" i="14"/>
  <c r="Y325" i="14"/>
  <c r="U325" i="14"/>
  <c r="AA325" i="14"/>
  <c r="V325" i="14"/>
  <c r="AE325" i="14"/>
  <c r="Z325" i="14"/>
  <c r="T325" i="14"/>
  <c r="AD325" i="14"/>
  <c r="X325" i="14"/>
  <c r="R325" i="14"/>
  <c r="AC331" i="14"/>
  <c r="Y331" i="14"/>
  <c r="U331" i="14"/>
  <c r="AB331" i="14"/>
  <c r="X331" i="14"/>
  <c r="T331" i="14"/>
  <c r="AE331" i="14"/>
  <c r="W331" i="14"/>
  <c r="AD331" i="14"/>
  <c r="V331" i="14"/>
  <c r="AA331" i="14"/>
  <c r="R331" i="14"/>
  <c r="V84" i="14"/>
  <c r="Z84" i="14"/>
  <c r="V88" i="14"/>
  <c r="Z88" i="14"/>
  <c r="V92" i="14"/>
  <c r="Z92" i="14"/>
  <c r="V96" i="14"/>
  <c r="Z96" i="14"/>
  <c r="V100" i="14"/>
  <c r="Z100" i="14"/>
  <c r="V104" i="14"/>
  <c r="Z104" i="14"/>
  <c r="X107" i="14"/>
  <c r="V111" i="14"/>
  <c r="Z111" i="14"/>
  <c r="Y115" i="14"/>
  <c r="X116" i="14"/>
  <c r="V118" i="14"/>
  <c r="Z118" i="14"/>
  <c r="V121" i="14"/>
  <c r="Z121" i="14"/>
  <c r="X124" i="14"/>
  <c r="U131" i="14"/>
  <c r="Y131" i="14"/>
  <c r="AC131" i="14"/>
  <c r="V132" i="14"/>
  <c r="Z132" i="14"/>
  <c r="U135" i="14"/>
  <c r="Y135" i="14"/>
  <c r="AC135" i="14"/>
  <c r="V136" i="14"/>
  <c r="Z136" i="14"/>
  <c r="U139" i="14"/>
  <c r="Y139" i="14"/>
  <c r="AC139" i="14"/>
  <c r="V140" i="14"/>
  <c r="Z140" i="14"/>
  <c r="U143" i="14"/>
  <c r="Y143" i="14"/>
  <c r="AC143" i="14"/>
  <c r="V144" i="14"/>
  <c r="Z144" i="14"/>
  <c r="X149" i="14"/>
  <c r="U150" i="14"/>
  <c r="AA150" i="14"/>
  <c r="AE150" i="14"/>
  <c r="U152" i="14"/>
  <c r="Y152" i="14"/>
  <c r="AC152" i="14"/>
  <c r="V153" i="14"/>
  <c r="Z153" i="14"/>
  <c r="U158" i="14"/>
  <c r="Y158" i="14"/>
  <c r="AC158" i="14"/>
  <c r="V159" i="14"/>
  <c r="Z159" i="14"/>
  <c r="U161" i="14"/>
  <c r="Y161" i="14"/>
  <c r="AC161" i="14"/>
  <c r="V162" i="14"/>
  <c r="Z162" i="14"/>
  <c r="R163" i="14"/>
  <c r="W163" i="14"/>
  <c r="AA163" i="14"/>
  <c r="AE163" i="14"/>
  <c r="U165" i="14"/>
  <c r="Y165" i="14"/>
  <c r="AC165" i="14"/>
  <c r="V166" i="14"/>
  <c r="Z166" i="14"/>
  <c r="R167" i="14"/>
  <c r="W167" i="14"/>
  <c r="AA167" i="14"/>
  <c r="AE167" i="14"/>
  <c r="U169" i="14"/>
  <c r="Y169" i="14"/>
  <c r="AC169" i="14"/>
  <c r="V170" i="14"/>
  <c r="Z170" i="14"/>
  <c r="R171" i="14"/>
  <c r="W171" i="14"/>
  <c r="AA171" i="14"/>
  <c r="AE171" i="14"/>
  <c r="U173" i="14"/>
  <c r="Y173" i="14"/>
  <c r="AC173" i="14"/>
  <c r="V174" i="14"/>
  <c r="Z174" i="14"/>
  <c r="R175" i="14"/>
  <c r="W175" i="14"/>
  <c r="AA175" i="14"/>
  <c r="AE175" i="14"/>
  <c r="U177" i="14"/>
  <c r="Y177" i="14"/>
  <c r="AC177" i="14"/>
  <c r="U180" i="14"/>
  <c r="Y180" i="14"/>
  <c r="AC180" i="14"/>
  <c r="V181" i="14"/>
  <c r="Z181" i="14"/>
  <c r="R182" i="14"/>
  <c r="W182" i="14"/>
  <c r="AA182" i="14"/>
  <c r="AE182" i="14"/>
  <c r="U184" i="14"/>
  <c r="Y184" i="14"/>
  <c r="AC184" i="14"/>
  <c r="V185" i="14"/>
  <c r="Z185" i="14"/>
  <c r="R186" i="14"/>
  <c r="W186" i="14"/>
  <c r="AA186" i="14"/>
  <c r="AE186" i="14"/>
  <c r="U188" i="14"/>
  <c r="Y188" i="14"/>
  <c r="AC188" i="14"/>
  <c r="V189" i="14"/>
  <c r="AA189" i="14"/>
  <c r="U191" i="14"/>
  <c r="Y191" i="14"/>
  <c r="AC191" i="14"/>
  <c r="V192" i="14"/>
  <c r="Z192" i="14"/>
  <c r="R193" i="14"/>
  <c r="W193" i="14"/>
  <c r="AA193" i="14"/>
  <c r="AE193" i="14"/>
  <c r="U195" i="14"/>
  <c r="Z195" i="14"/>
  <c r="AD195" i="14"/>
  <c r="R196" i="14"/>
  <c r="W196" i="14"/>
  <c r="AA196" i="14"/>
  <c r="AE196" i="14"/>
  <c r="U198" i="14"/>
  <c r="Y198" i="14"/>
  <c r="AC198" i="14"/>
  <c r="V199" i="14"/>
  <c r="Z199" i="14"/>
  <c r="R200" i="14"/>
  <c r="W200" i="14"/>
  <c r="AA200" i="14"/>
  <c r="AE200" i="14"/>
  <c r="U202" i="14"/>
  <c r="Z202" i="14"/>
  <c r="AD202" i="14"/>
  <c r="R203" i="14"/>
  <c r="W203" i="14"/>
  <c r="AA203" i="14"/>
  <c r="AE203" i="14"/>
  <c r="U205" i="14"/>
  <c r="Y205" i="14"/>
  <c r="AC205" i="14"/>
  <c r="V206" i="14"/>
  <c r="AA206" i="14"/>
  <c r="U208" i="14"/>
  <c r="Y208" i="14"/>
  <c r="AC208" i="14"/>
  <c r="V209" i="14"/>
  <c r="Z209" i="14"/>
  <c r="R210" i="14"/>
  <c r="W210" i="14"/>
  <c r="AA210" i="14"/>
  <c r="AE210" i="14"/>
  <c r="U212" i="14"/>
  <c r="Y212" i="14"/>
  <c r="AC212" i="14"/>
  <c r="V213" i="14"/>
  <c r="Z213" i="14"/>
  <c r="R214" i="14"/>
  <c r="W214" i="14"/>
  <c r="AA214" i="14"/>
  <c r="AE214" i="14"/>
  <c r="U216" i="14"/>
  <c r="Y216" i="14"/>
  <c r="AC216" i="14"/>
  <c r="V217" i="14"/>
  <c r="Z217" i="14"/>
  <c r="R218" i="14"/>
  <c r="W218" i="14"/>
  <c r="AA218" i="14"/>
  <c r="AE218" i="14"/>
  <c r="R221" i="14"/>
  <c r="W221" i="14"/>
  <c r="AA221" i="14"/>
  <c r="AE221" i="14"/>
  <c r="U223" i="14"/>
  <c r="Y223" i="14"/>
  <c r="AC223" i="14"/>
  <c r="V224" i="14"/>
  <c r="Z224" i="14"/>
  <c r="R225" i="14"/>
  <c r="W225" i="14"/>
  <c r="AA225" i="14"/>
  <c r="AE225" i="14"/>
  <c r="U227" i="14"/>
  <c r="Y227" i="14"/>
  <c r="AC227" i="14"/>
  <c r="V228" i="14"/>
  <c r="Z228" i="14"/>
  <c r="T229" i="14"/>
  <c r="Y229" i="14"/>
  <c r="AD229" i="14"/>
  <c r="AE231" i="14"/>
  <c r="AA231" i="14"/>
  <c r="W231" i="14"/>
  <c r="R231" i="14"/>
  <c r="X231" i="14"/>
  <c r="AC231" i="14"/>
  <c r="R232" i="14"/>
  <c r="AA232" i="14"/>
  <c r="V233" i="14"/>
  <c r="AD234" i="14"/>
  <c r="Z234" i="14"/>
  <c r="T234" i="14"/>
  <c r="W234" i="14"/>
  <c r="AE234" i="14"/>
  <c r="V236" i="14"/>
  <c r="AC237" i="14"/>
  <c r="Y237" i="14"/>
  <c r="U237" i="14"/>
  <c r="W237" i="14"/>
  <c r="AB237" i="14"/>
  <c r="AC239" i="14"/>
  <c r="W239" i="14"/>
  <c r="R239" i="14"/>
  <c r="Z239" i="14"/>
  <c r="AE239" i="14"/>
  <c r="V242" i="14"/>
  <c r="AC243" i="14"/>
  <c r="Y243" i="14"/>
  <c r="U243" i="14"/>
  <c r="W243" i="14"/>
  <c r="AB243" i="14"/>
  <c r="R245" i="14"/>
  <c r="Y245" i="14"/>
  <c r="AD245" i="14"/>
  <c r="V249" i="14"/>
  <c r="AC250" i="14"/>
  <c r="Y250" i="14"/>
  <c r="U250" i="14"/>
  <c r="W250" i="14"/>
  <c r="AB250" i="14"/>
  <c r="AE252" i="14"/>
  <c r="AA252" i="14"/>
  <c r="W252" i="14"/>
  <c r="R252" i="14"/>
  <c r="X252" i="14"/>
  <c r="AC252" i="14"/>
  <c r="U253" i="14"/>
  <c r="AC253" i="14"/>
  <c r="W258" i="14"/>
  <c r="AC262" i="14"/>
  <c r="Y262" i="14"/>
  <c r="U262" i="14"/>
  <c r="AB262" i="14"/>
  <c r="X262" i="14"/>
  <c r="T262" i="14"/>
  <c r="Z262" i="14"/>
  <c r="AC265" i="14"/>
  <c r="Y265" i="14"/>
  <c r="U265" i="14"/>
  <c r="AB265" i="14"/>
  <c r="X265" i="14"/>
  <c r="T265" i="14"/>
  <c r="Z265" i="14"/>
  <c r="AB268" i="14"/>
  <c r="X268" i="14"/>
  <c r="T268" i="14"/>
  <c r="AE268" i="14"/>
  <c r="AA268" i="14"/>
  <c r="W268" i="14"/>
  <c r="R268" i="14"/>
  <c r="Z268" i="14"/>
  <c r="R269" i="14"/>
  <c r="AA269" i="14"/>
  <c r="W276" i="14"/>
  <c r="AC280" i="14"/>
  <c r="Y280" i="14"/>
  <c r="U280" i="14"/>
  <c r="AB280" i="14"/>
  <c r="X280" i="14"/>
  <c r="T280" i="14"/>
  <c r="Z280" i="14"/>
  <c r="U282" i="14"/>
  <c r="AC282" i="14"/>
  <c r="W318" i="14"/>
  <c r="W325" i="14"/>
  <c r="Z331" i="14"/>
  <c r="AC343" i="14"/>
  <c r="Y343" i="14"/>
  <c r="U343" i="14"/>
  <c r="AB343" i="14"/>
  <c r="X343" i="14"/>
  <c r="T343" i="14"/>
  <c r="AE343" i="14"/>
  <c r="W343" i="14"/>
  <c r="AD343" i="14"/>
  <c r="V343" i="14"/>
  <c r="AA343" i="14"/>
  <c r="R343" i="14"/>
  <c r="V131" i="14"/>
  <c r="Z131" i="14"/>
  <c r="V135" i="14"/>
  <c r="Z135" i="14"/>
  <c r="V139" i="14"/>
  <c r="Z139" i="14"/>
  <c r="V143" i="14"/>
  <c r="Z143" i="14"/>
  <c r="X150" i="14"/>
  <c r="V152" i="14"/>
  <c r="Z152" i="14"/>
  <c r="V158" i="14"/>
  <c r="Z158" i="14"/>
  <c r="V161" i="14"/>
  <c r="Z161" i="14"/>
  <c r="T163" i="14"/>
  <c r="X163" i="14"/>
  <c r="V165" i="14"/>
  <c r="Z165" i="14"/>
  <c r="T167" i="14"/>
  <c r="X167" i="14"/>
  <c r="V169" i="14"/>
  <c r="Z169" i="14"/>
  <c r="T171" i="14"/>
  <c r="X171" i="14"/>
  <c r="V173" i="14"/>
  <c r="Z173" i="14"/>
  <c r="T175" i="14"/>
  <c r="X175" i="14"/>
  <c r="V177" i="14"/>
  <c r="Z177" i="14"/>
  <c r="V180" i="14"/>
  <c r="Z180" i="14"/>
  <c r="T182" i="14"/>
  <c r="X182" i="14"/>
  <c r="V184" i="14"/>
  <c r="Z184" i="14"/>
  <c r="T186" i="14"/>
  <c r="X186" i="14"/>
  <c r="V188" i="14"/>
  <c r="Z188" i="14"/>
  <c r="V191" i="14"/>
  <c r="Z191" i="14"/>
  <c r="T193" i="14"/>
  <c r="X193" i="14"/>
  <c r="V195" i="14"/>
  <c r="AA195" i="14"/>
  <c r="T196" i="14"/>
  <c r="X196" i="14"/>
  <c r="V198" i="14"/>
  <c r="Z198" i="14"/>
  <c r="T200" i="14"/>
  <c r="X200" i="14"/>
  <c r="V202" i="14"/>
  <c r="AA202" i="14"/>
  <c r="T203" i="14"/>
  <c r="X203" i="14"/>
  <c r="V205" i="14"/>
  <c r="Z205" i="14"/>
  <c r="V208" i="14"/>
  <c r="Z208" i="14"/>
  <c r="T210" i="14"/>
  <c r="X210" i="14"/>
  <c r="V212" i="14"/>
  <c r="Z212" i="14"/>
  <c r="T214" i="14"/>
  <c r="X214" i="14"/>
  <c r="V216" i="14"/>
  <c r="Z216" i="14"/>
  <c r="T218" i="14"/>
  <c r="X218" i="14"/>
  <c r="T221" i="14"/>
  <c r="X221" i="14"/>
  <c r="V223" i="14"/>
  <c r="Z223" i="14"/>
  <c r="T225" i="14"/>
  <c r="X225" i="14"/>
  <c r="V227" i="14"/>
  <c r="Z227" i="14"/>
  <c r="U229" i="14"/>
  <c r="Z229" i="14"/>
  <c r="U232" i="14"/>
  <c r="AB232" i="14"/>
  <c r="AE233" i="14"/>
  <c r="AA233" i="14"/>
  <c r="W233" i="14"/>
  <c r="R233" i="14"/>
  <c r="X233" i="14"/>
  <c r="AC233" i="14"/>
  <c r="AB236" i="14"/>
  <c r="X236" i="14"/>
  <c r="T236" i="14"/>
  <c r="W236" i="14"/>
  <c r="AC236" i="14"/>
  <c r="AB242" i="14"/>
  <c r="X242" i="14"/>
  <c r="T242" i="14"/>
  <c r="W242" i="14"/>
  <c r="AC242" i="14"/>
  <c r="U245" i="14"/>
  <c r="Z245" i="14"/>
  <c r="AE245" i="14"/>
  <c r="AB249" i="14"/>
  <c r="X249" i="14"/>
  <c r="T249" i="14"/>
  <c r="W249" i="14"/>
  <c r="AC249" i="14"/>
  <c r="V253" i="14"/>
  <c r="AD253" i="14"/>
  <c r="AC258" i="14"/>
  <c r="Y258" i="14"/>
  <c r="U258" i="14"/>
  <c r="AB258" i="14"/>
  <c r="X258" i="14"/>
  <c r="T258" i="14"/>
  <c r="Z258" i="14"/>
  <c r="AB261" i="14"/>
  <c r="X261" i="14"/>
  <c r="T261" i="14"/>
  <c r="AE261" i="14"/>
  <c r="AA261" i="14"/>
  <c r="W261" i="14"/>
  <c r="R261" i="14"/>
  <c r="Z261" i="14"/>
  <c r="AB264" i="14"/>
  <c r="X264" i="14"/>
  <c r="T264" i="14"/>
  <c r="AE264" i="14"/>
  <c r="AA264" i="14"/>
  <c r="W264" i="14"/>
  <c r="R264" i="14"/>
  <c r="Z264" i="14"/>
  <c r="AA265" i="14"/>
  <c r="V269" i="14"/>
  <c r="AD269" i="14"/>
  <c r="AC276" i="14"/>
  <c r="Y276" i="14"/>
  <c r="U276" i="14"/>
  <c r="AB276" i="14"/>
  <c r="X276" i="14"/>
  <c r="T276" i="14"/>
  <c r="Z276" i="14"/>
  <c r="AB279" i="14"/>
  <c r="X279" i="14"/>
  <c r="T279" i="14"/>
  <c r="AE279" i="14"/>
  <c r="AA279" i="14"/>
  <c r="W279" i="14"/>
  <c r="R279" i="14"/>
  <c r="Z279" i="14"/>
  <c r="R280" i="14"/>
  <c r="AA280" i="14"/>
  <c r="V282" i="14"/>
  <c r="AD282" i="14"/>
  <c r="AC286" i="14"/>
  <c r="Y286" i="14"/>
  <c r="U286" i="14"/>
  <c r="AB286" i="14"/>
  <c r="X286" i="14"/>
  <c r="T286" i="14"/>
  <c r="AE286" i="14"/>
  <c r="AA286" i="14"/>
  <c r="W286" i="14"/>
  <c r="R286" i="14"/>
  <c r="AC290" i="14"/>
  <c r="Y290" i="14"/>
  <c r="U290" i="14"/>
  <c r="AB290" i="14"/>
  <c r="X290" i="14"/>
  <c r="T290" i="14"/>
  <c r="AE290" i="14"/>
  <c r="AA290" i="14"/>
  <c r="W290" i="14"/>
  <c r="R290" i="14"/>
  <c r="AC294" i="14"/>
  <c r="Y294" i="14"/>
  <c r="U294" i="14"/>
  <c r="AB294" i="14"/>
  <c r="X294" i="14"/>
  <c r="T294" i="14"/>
  <c r="AE294" i="14"/>
  <c r="AA294" i="14"/>
  <c r="W294" i="14"/>
  <c r="R294" i="14"/>
  <c r="AC298" i="14"/>
  <c r="Y298" i="14"/>
  <c r="U298" i="14"/>
  <c r="AB298" i="14"/>
  <c r="X298" i="14"/>
  <c r="T298" i="14"/>
  <c r="AE298" i="14"/>
  <c r="AA298" i="14"/>
  <c r="W298" i="14"/>
  <c r="R298" i="14"/>
  <c r="AC305" i="14"/>
  <c r="Y305" i="14"/>
  <c r="U305" i="14"/>
  <c r="AB305" i="14"/>
  <c r="X305" i="14"/>
  <c r="T305" i="14"/>
  <c r="AE305" i="14"/>
  <c r="AA305" i="14"/>
  <c r="W305" i="14"/>
  <c r="R305" i="14"/>
  <c r="AB318" i="14"/>
  <c r="AE320" i="14"/>
  <c r="AA320" i="14"/>
  <c r="W320" i="14"/>
  <c r="R320" i="14"/>
  <c r="AB320" i="14"/>
  <c r="V320" i="14"/>
  <c r="Z320" i="14"/>
  <c r="U320" i="14"/>
  <c r="AD320" i="14"/>
  <c r="Y320" i="14"/>
  <c r="T320" i="14"/>
  <c r="AB325" i="14"/>
  <c r="AB327" i="14"/>
  <c r="AE327" i="14"/>
  <c r="AA327" i="14"/>
  <c r="W327" i="14"/>
  <c r="R327" i="14"/>
  <c r="AC327" i="14"/>
  <c r="V327" i="14"/>
  <c r="Z327" i="14"/>
  <c r="U327" i="14"/>
  <c r="Y327" i="14"/>
  <c r="T327" i="14"/>
  <c r="AC339" i="14"/>
  <c r="Y339" i="14"/>
  <c r="U339" i="14"/>
  <c r="AB339" i="14"/>
  <c r="X339" i="14"/>
  <c r="T339" i="14"/>
  <c r="AE339" i="14"/>
  <c r="W339" i="14"/>
  <c r="AD339" i="14"/>
  <c r="V339" i="14"/>
  <c r="AA339" i="14"/>
  <c r="R339" i="14"/>
  <c r="AC381" i="14"/>
  <c r="Y381" i="14"/>
  <c r="U381" i="14"/>
  <c r="AA381" i="14"/>
  <c r="V381" i="14"/>
  <c r="AE381" i="14"/>
  <c r="Z381" i="14"/>
  <c r="T381" i="14"/>
  <c r="AD381" i="14"/>
  <c r="X381" i="14"/>
  <c r="R381" i="14"/>
  <c r="AB381" i="14"/>
  <c r="W381" i="14"/>
  <c r="AC421" i="14"/>
  <c r="Y421" i="14"/>
  <c r="U421" i="14"/>
  <c r="AB421" i="14"/>
  <c r="X421" i="14"/>
  <c r="T421" i="14"/>
  <c r="AE421" i="14"/>
  <c r="AA421" i="14"/>
  <c r="W421" i="14"/>
  <c r="R421" i="14"/>
  <c r="AD421" i="14"/>
  <c r="Z421" i="14"/>
  <c r="V421" i="14"/>
  <c r="AC435" i="14"/>
  <c r="Y435" i="14"/>
  <c r="U435" i="14"/>
  <c r="AB435" i="14"/>
  <c r="X435" i="14"/>
  <c r="T435" i="14"/>
  <c r="AE435" i="14"/>
  <c r="AA435" i="14"/>
  <c r="W435" i="14"/>
  <c r="R435" i="14"/>
  <c r="AD435" i="14"/>
  <c r="Z435" i="14"/>
  <c r="V435" i="14"/>
  <c r="V256" i="14"/>
  <c r="Z256" i="14"/>
  <c r="AD256" i="14"/>
  <c r="V260" i="14"/>
  <c r="Z260" i="14"/>
  <c r="AD260" i="14"/>
  <c r="V267" i="14"/>
  <c r="Z267" i="14"/>
  <c r="AD267" i="14"/>
  <c r="V271" i="14"/>
  <c r="AA271" i="14"/>
  <c r="AE271" i="14"/>
  <c r="V274" i="14"/>
  <c r="Z274" i="14"/>
  <c r="AD274" i="14"/>
  <c r="V278" i="14"/>
  <c r="Z278" i="14"/>
  <c r="AD278" i="14"/>
  <c r="V285" i="14"/>
  <c r="Z285" i="14"/>
  <c r="AD285" i="14"/>
  <c r="T287" i="14"/>
  <c r="X287" i="14"/>
  <c r="AB287" i="14"/>
  <c r="V289" i="14"/>
  <c r="Z289" i="14"/>
  <c r="AD289" i="14"/>
  <c r="T291" i="14"/>
  <c r="X291" i="14"/>
  <c r="AB291" i="14"/>
  <c r="V293" i="14"/>
  <c r="Z293" i="14"/>
  <c r="AD293" i="14"/>
  <c r="T295" i="14"/>
  <c r="X295" i="14"/>
  <c r="AB295" i="14"/>
  <c r="V297" i="14"/>
  <c r="Z297" i="14"/>
  <c r="AD297" i="14"/>
  <c r="T299" i="14"/>
  <c r="X299" i="14"/>
  <c r="AB299" i="14"/>
  <c r="V301" i="14"/>
  <c r="Z301" i="14"/>
  <c r="AD301" i="14"/>
  <c r="V304" i="14"/>
  <c r="Z304" i="14"/>
  <c r="AD304" i="14"/>
  <c r="T306" i="14"/>
  <c r="X306" i="14"/>
  <c r="AB306" i="14"/>
  <c r="AC308" i="14"/>
  <c r="Y308" i="14"/>
  <c r="U308" i="14"/>
  <c r="W308" i="14"/>
  <c r="AB308" i="14"/>
  <c r="AE310" i="14"/>
  <c r="AA310" i="14"/>
  <c r="W310" i="14"/>
  <c r="R310" i="14"/>
  <c r="X310" i="14"/>
  <c r="AC310" i="14"/>
  <c r="T312" i="14"/>
  <c r="Z312" i="14"/>
  <c r="AE312" i="14"/>
  <c r="U314" i="14"/>
  <c r="Z314" i="14"/>
  <c r="AB317" i="14"/>
  <c r="X317" i="14"/>
  <c r="T317" i="14"/>
  <c r="W317" i="14"/>
  <c r="AC317" i="14"/>
  <c r="U321" i="14"/>
  <c r="AB324" i="14"/>
  <c r="X324" i="14"/>
  <c r="T324" i="14"/>
  <c r="W324" i="14"/>
  <c r="AC324" i="14"/>
  <c r="AC328" i="14"/>
  <c r="Y328" i="14"/>
  <c r="U328" i="14"/>
  <c r="AB328" i="14"/>
  <c r="X328" i="14"/>
  <c r="T328" i="14"/>
  <c r="Z328" i="14"/>
  <c r="AB334" i="14"/>
  <c r="X334" i="14"/>
  <c r="T334" i="14"/>
  <c r="AE334" i="14"/>
  <c r="AA334" i="14"/>
  <c r="W334" i="14"/>
  <c r="R334" i="14"/>
  <c r="Z334" i="14"/>
  <c r="AB338" i="14"/>
  <c r="X338" i="14"/>
  <c r="T338" i="14"/>
  <c r="AE338" i="14"/>
  <c r="AA338" i="14"/>
  <c r="W338" i="14"/>
  <c r="R338" i="14"/>
  <c r="Z338" i="14"/>
  <c r="AB342" i="14"/>
  <c r="X342" i="14"/>
  <c r="T342" i="14"/>
  <c r="AE342" i="14"/>
  <c r="AA342" i="14"/>
  <c r="W342" i="14"/>
  <c r="R342" i="14"/>
  <c r="Z342" i="14"/>
  <c r="V349" i="14"/>
  <c r="AD349" i="14"/>
  <c r="Z354" i="14"/>
  <c r="AC439" i="14"/>
  <c r="Y439" i="14"/>
  <c r="U439" i="14"/>
  <c r="AB439" i="14"/>
  <c r="X439" i="14"/>
  <c r="T439" i="14"/>
  <c r="AE439" i="14"/>
  <c r="AA439" i="14"/>
  <c r="W439" i="14"/>
  <c r="R439" i="14"/>
  <c r="AD439" i="14"/>
  <c r="Z439" i="14"/>
  <c r="V439" i="14"/>
  <c r="AC458" i="14"/>
  <c r="Y458" i="14"/>
  <c r="U458" i="14"/>
  <c r="AB458" i="14"/>
  <c r="AA458" i="14"/>
  <c r="V458" i="14"/>
  <c r="Z458" i="14"/>
  <c r="T458" i="14"/>
  <c r="AE458" i="14"/>
  <c r="X458" i="14"/>
  <c r="R458" i="14"/>
  <c r="AD458" i="14"/>
  <c r="W458" i="14"/>
  <c r="V238" i="14"/>
  <c r="Z238" i="14"/>
  <c r="V240" i="14"/>
  <c r="Z240" i="14"/>
  <c r="V244" i="14"/>
  <c r="AA244" i="14"/>
  <c r="V247" i="14"/>
  <c r="Z247" i="14"/>
  <c r="V251" i="14"/>
  <c r="Z251" i="14"/>
  <c r="V255" i="14"/>
  <c r="Z255" i="14"/>
  <c r="R256" i="14"/>
  <c r="W256" i="14"/>
  <c r="AA256" i="14"/>
  <c r="V259" i="14"/>
  <c r="Z259" i="14"/>
  <c r="R260" i="14"/>
  <c r="W260" i="14"/>
  <c r="AA260" i="14"/>
  <c r="V266" i="14"/>
  <c r="Z266" i="14"/>
  <c r="R267" i="14"/>
  <c r="W267" i="14"/>
  <c r="AA267" i="14"/>
  <c r="V270" i="14"/>
  <c r="Z270" i="14"/>
  <c r="R271" i="14"/>
  <c r="W271" i="14"/>
  <c r="V273" i="14"/>
  <c r="Z273" i="14"/>
  <c r="R274" i="14"/>
  <c r="W274" i="14"/>
  <c r="AA274" i="14"/>
  <c r="V277" i="14"/>
  <c r="Z277" i="14"/>
  <c r="R278" i="14"/>
  <c r="W278" i="14"/>
  <c r="AA278" i="14"/>
  <c r="V281" i="14"/>
  <c r="AA281" i="14"/>
  <c r="V284" i="14"/>
  <c r="Z284" i="14"/>
  <c r="R285" i="14"/>
  <c r="W285" i="14"/>
  <c r="AA285" i="14"/>
  <c r="U287" i="14"/>
  <c r="Y287" i="14"/>
  <c r="AC287" i="14"/>
  <c r="V288" i="14"/>
  <c r="Z288" i="14"/>
  <c r="R289" i="14"/>
  <c r="W289" i="14"/>
  <c r="AA289" i="14"/>
  <c r="U291" i="14"/>
  <c r="Y291" i="14"/>
  <c r="AC291" i="14"/>
  <c r="V292" i="14"/>
  <c r="Z292" i="14"/>
  <c r="R293" i="14"/>
  <c r="W293" i="14"/>
  <c r="AA293" i="14"/>
  <c r="U295" i="14"/>
  <c r="Y295" i="14"/>
  <c r="AC295" i="14"/>
  <c r="V296" i="14"/>
  <c r="Z296" i="14"/>
  <c r="R297" i="14"/>
  <c r="W297" i="14"/>
  <c r="AA297" i="14"/>
  <c r="U299" i="14"/>
  <c r="Y299" i="14"/>
  <c r="AC299" i="14"/>
  <c r="V300" i="14"/>
  <c r="Z300" i="14"/>
  <c r="R301" i="14"/>
  <c r="W301" i="14"/>
  <c r="AA301" i="14"/>
  <c r="V303" i="14"/>
  <c r="Z303" i="14"/>
  <c r="R304" i="14"/>
  <c r="W304" i="14"/>
  <c r="AA304" i="14"/>
  <c r="U306" i="14"/>
  <c r="Y306" i="14"/>
  <c r="AC306" i="14"/>
  <c r="V307" i="14"/>
  <c r="Z307" i="14"/>
  <c r="R308" i="14"/>
  <c r="X308" i="14"/>
  <c r="AD308" i="14"/>
  <c r="T310" i="14"/>
  <c r="Y310" i="14"/>
  <c r="AD310" i="14"/>
  <c r="V312" i="14"/>
  <c r="V314" i="14"/>
  <c r="AC315" i="14"/>
  <c r="X315" i="14"/>
  <c r="T315" i="14"/>
  <c r="W315" i="14"/>
  <c r="AD315" i="14"/>
  <c r="R317" i="14"/>
  <c r="Y317" i="14"/>
  <c r="AD317" i="14"/>
  <c r="V321" i="14"/>
  <c r="AE323" i="14"/>
  <c r="AA323" i="14"/>
  <c r="W323" i="14"/>
  <c r="R323" i="14"/>
  <c r="X323" i="14"/>
  <c r="AC323" i="14"/>
  <c r="R324" i="14"/>
  <c r="Y324" i="14"/>
  <c r="AD324" i="14"/>
  <c r="R328" i="14"/>
  <c r="AA328" i="14"/>
  <c r="U334" i="14"/>
  <c r="AC334" i="14"/>
  <c r="U338" i="14"/>
  <c r="AC338" i="14"/>
  <c r="U342" i="14"/>
  <c r="AC342" i="14"/>
  <c r="AC350" i="14"/>
  <c r="Y350" i="14"/>
  <c r="U350" i="14"/>
  <c r="AB350" i="14"/>
  <c r="X350" i="14"/>
  <c r="T350" i="14"/>
  <c r="AE350" i="14"/>
  <c r="AA350" i="14"/>
  <c r="W350" i="14"/>
  <c r="AD350" i="14"/>
  <c r="AC360" i="14"/>
  <c r="Y360" i="14"/>
  <c r="U360" i="14"/>
  <c r="AB360" i="14"/>
  <c r="X360" i="14"/>
  <c r="T360" i="14"/>
  <c r="AE360" i="14"/>
  <c r="AA360" i="14"/>
  <c r="W360" i="14"/>
  <c r="R360" i="14"/>
  <c r="AC364" i="14"/>
  <c r="Y364" i="14"/>
  <c r="U364" i="14"/>
  <c r="AB364" i="14"/>
  <c r="X364" i="14"/>
  <c r="T364" i="14"/>
  <c r="AE364" i="14"/>
  <c r="AA364" i="14"/>
  <c r="W364" i="14"/>
  <c r="R364" i="14"/>
  <c r="AE383" i="14"/>
  <c r="AA383" i="14"/>
  <c r="W383" i="14"/>
  <c r="R383" i="14"/>
  <c r="AB383" i="14"/>
  <c r="V383" i="14"/>
  <c r="Z383" i="14"/>
  <c r="U383" i="14"/>
  <c r="AD383" i="14"/>
  <c r="Y383" i="14"/>
  <c r="T383" i="14"/>
  <c r="AC403" i="14"/>
  <c r="Y403" i="14"/>
  <c r="U403" i="14"/>
  <c r="AB403" i="14"/>
  <c r="X403" i="14"/>
  <c r="T403" i="14"/>
  <c r="AE403" i="14"/>
  <c r="W403" i="14"/>
  <c r="AD403" i="14"/>
  <c r="V403" i="14"/>
  <c r="AA403" i="14"/>
  <c r="R403" i="14"/>
  <c r="AB406" i="14"/>
  <c r="X406" i="14"/>
  <c r="T406" i="14"/>
  <c r="AE406" i="14"/>
  <c r="AA406" i="14"/>
  <c r="W406" i="14"/>
  <c r="R406" i="14"/>
  <c r="Y406" i="14"/>
  <c r="AD406" i="14"/>
  <c r="V406" i="14"/>
  <c r="AC406" i="14"/>
  <c r="U406" i="14"/>
  <c r="AC443" i="14"/>
  <c r="Y443" i="14"/>
  <c r="U443" i="14"/>
  <c r="AB443" i="14"/>
  <c r="X443" i="14"/>
  <c r="T443" i="14"/>
  <c r="AE443" i="14"/>
  <c r="AA443" i="14"/>
  <c r="W443" i="14"/>
  <c r="R443" i="14"/>
  <c r="AD443" i="14"/>
  <c r="Z443" i="14"/>
  <c r="V443" i="14"/>
  <c r="AC447" i="14"/>
  <c r="Y447" i="14"/>
  <c r="U447" i="14"/>
  <c r="AA447" i="14"/>
  <c r="V447" i="14"/>
  <c r="AE447" i="14"/>
  <c r="Z447" i="14"/>
  <c r="T447" i="14"/>
  <c r="AD447" i="14"/>
  <c r="X447" i="14"/>
  <c r="R447" i="14"/>
  <c r="AB447" i="14"/>
  <c r="W447" i="14"/>
  <c r="V287" i="14"/>
  <c r="Z287" i="14"/>
  <c r="V291" i="14"/>
  <c r="Z291" i="14"/>
  <c r="V295" i="14"/>
  <c r="Z295" i="14"/>
  <c r="V299" i="14"/>
  <c r="Z299" i="14"/>
  <c r="V306" i="14"/>
  <c r="Z306" i="14"/>
  <c r="AC312" i="14"/>
  <c r="Y312" i="14"/>
  <c r="U312" i="14"/>
  <c r="W312" i="14"/>
  <c r="AB312" i="14"/>
  <c r="AE314" i="14"/>
  <c r="AA314" i="14"/>
  <c r="W314" i="14"/>
  <c r="R314" i="14"/>
  <c r="X314" i="14"/>
  <c r="AC314" i="14"/>
  <c r="AC321" i="14"/>
  <c r="X321" i="14"/>
  <c r="T321" i="14"/>
  <c r="W321" i="14"/>
  <c r="AD321" i="14"/>
  <c r="AB349" i="14"/>
  <c r="X349" i="14"/>
  <c r="T349" i="14"/>
  <c r="AE349" i="14"/>
  <c r="AA349" i="14"/>
  <c r="W349" i="14"/>
  <c r="R349" i="14"/>
  <c r="Z349" i="14"/>
  <c r="AC354" i="14"/>
  <c r="Y354" i="14"/>
  <c r="U354" i="14"/>
  <c r="AB354" i="14"/>
  <c r="X354" i="14"/>
  <c r="T354" i="14"/>
  <c r="AE354" i="14"/>
  <c r="AA354" i="14"/>
  <c r="W354" i="14"/>
  <c r="R354" i="14"/>
  <c r="AB377" i="14"/>
  <c r="X377" i="14"/>
  <c r="T377" i="14"/>
  <c r="AA377" i="14"/>
  <c r="V377" i="14"/>
  <c r="AE377" i="14"/>
  <c r="Z377" i="14"/>
  <c r="U377" i="14"/>
  <c r="AD377" i="14"/>
  <c r="Y377" i="14"/>
  <c r="R377" i="14"/>
  <c r="AB391" i="14"/>
  <c r="X391" i="14"/>
  <c r="T391" i="14"/>
  <c r="AA391" i="14"/>
  <c r="V391" i="14"/>
  <c r="AE391" i="14"/>
  <c r="Z391" i="14"/>
  <c r="U391" i="14"/>
  <c r="AD391" i="14"/>
  <c r="Y391" i="14"/>
  <c r="R391" i="14"/>
  <c r="AC431" i="14"/>
  <c r="Y431" i="14"/>
  <c r="U431" i="14"/>
  <c r="AB431" i="14"/>
  <c r="X431" i="14"/>
  <c r="T431" i="14"/>
  <c r="AE431" i="14"/>
  <c r="AA431" i="14"/>
  <c r="W431" i="14"/>
  <c r="R431" i="14"/>
  <c r="AD431" i="14"/>
  <c r="Z431" i="14"/>
  <c r="V431" i="14"/>
  <c r="V353" i="14"/>
  <c r="Z353" i="14"/>
  <c r="AD353" i="14"/>
  <c r="V357" i="14"/>
  <c r="Z357" i="14"/>
  <c r="AE357" i="14"/>
  <c r="V363" i="14"/>
  <c r="Z363" i="14"/>
  <c r="AD363" i="14"/>
  <c r="AC367" i="14"/>
  <c r="Y367" i="14"/>
  <c r="U367" i="14"/>
  <c r="W367" i="14"/>
  <c r="AB367" i="14"/>
  <c r="AC374" i="14"/>
  <c r="Y374" i="14"/>
  <c r="U374" i="14"/>
  <c r="W374" i="14"/>
  <c r="AB374" i="14"/>
  <c r="AE376" i="14"/>
  <c r="AA376" i="14"/>
  <c r="W376" i="14"/>
  <c r="R376" i="14"/>
  <c r="X376" i="14"/>
  <c r="AC376" i="14"/>
  <c r="X388" i="14"/>
  <c r="T388" i="14"/>
  <c r="W388" i="14"/>
  <c r="AE390" i="14"/>
  <c r="AA390" i="14"/>
  <c r="W390" i="14"/>
  <c r="R390" i="14"/>
  <c r="X390" i="14"/>
  <c r="AC390" i="14"/>
  <c r="AC395" i="14"/>
  <c r="Y395" i="14"/>
  <c r="U395" i="14"/>
  <c r="AB395" i="14"/>
  <c r="X395" i="14"/>
  <c r="W395" i="14"/>
  <c r="AE395" i="14"/>
  <c r="AC399" i="14"/>
  <c r="Y399" i="14"/>
  <c r="U399" i="14"/>
  <c r="AB399" i="14"/>
  <c r="X399" i="14"/>
  <c r="T399" i="14"/>
  <c r="Z399" i="14"/>
  <c r="AB402" i="14"/>
  <c r="X402" i="14"/>
  <c r="T402" i="14"/>
  <c r="AE402" i="14"/>
  <c r="AA402" i="14"/>
  <c r="W402" i="14"/>
  <c r="R402" i="14"/>
  <c r="Z402" i="14"/>
  <c r="AC424" i="14"/>
  <c r="Y424" i="14"/>
  <c r="U424" i="14"/>
  <c r="AB424" i="14"/>
  <c r="X424" i="14"/>
  <c r="T424" i="14"/>
  <c r="AE424" i="14"/>
  <c r="AA424" i="14"/>
  <c r="W424" i="14"/>
  <c r="R424" i="14"/>
  <c r="AC428" i="14"/>
  <c r="Y428" i="14"/>
  <c r="U428" i="14"/>
  <c r="AB428" i="14"/>
  <c r="X428" i="14"/>
  <c r="T428" i="14"/>
  <c r="AE428" i="14"/>
  <c r="AA428" i="14"/>
  <c r="W428" i="14"/>
  <c r="R428" i="14"/>
  <c r="AC468" i="14"/>
  <c r="Y468" i="14"/>
  <c r="U468" i="14"/>
  <c r="AB468" i="14"/>
  <c r="X468" i="14"/>
  <c r="T468" i="14"/>
  <c r="AE468" i="14"/>
  <c r="AA468" i="14"/>
  <c r="W468" i="14"/>
  <c r="R468" i="14"/>
  <c r="AD468" i="14"/>
  <c r="Z468" i="14"/>
  <c r="V468" i="14"/>
  <c r="AE494" i="14"/>
  <c r="AA494" i="14"/>
  <c r="W494" i="14"/>
  <c r="R494" i="14"/>
  <c r="AD494" i="14"/>
  <c r="Y494" i="14"/>
  <c r="T494" i="14"/>
  <c r="X494" i="14"/>
  <c r="AC494" i="14"/>
  <c r="V494" i="14"/>
  <c r="AB494" i="14"/>
  <c r="U494" i="14"/>
  <c r="Z494" i="14"/>
  <c r="V309" i="14"/>
  <c r="Z309" i="14"/>
  <c r="V313" i="14"/>
  <c r="Z313" i="14"/>
  <c r="V316" i="14"/>
  <c r="V319" i="14"/>
  <c r="Z319" i="14"/>
  <c r="V322" i="14"/>
  <c r="Z322" i="14"/>
  <c r="V326" i="14"/>
  <c r="Z326" i="14"/>
  <c r="U329" i="14"/>
  <c r="Y329" i="14"/>
  <c r="AC329" i="14"/>
  <c r="V330" i="14"/>
  <c r="Z330" i="14"/>
  <c r="U332" i="14"/>
  <c r="Y332" i="14"/>
  <c r="AC332" i="14"/>
  <c r="V333" i="14"/>
  <c r="Z333" i="14"/>
  <c r="U336" i="14"/>
  <c r="Y336" i="14"/>
  <c r="AC336" i="14"/>
  <c r="V337" i="14"/>
  <c r="Z337" i="14"/>
  <c r="U340" i="14"/>
  <c r="Y340" i="14"/>
  <c r="AC340" i="14"/>
  <c r="V341" i="14"/>
  <c r="Z341" i="14"/>
  <c r="U344" i="14"/>
  <c r="Y344" i="14"/>
  <c r="AC344" i="14"/>
  <c r="V345" i="14"/>
  <c r="Z345" i="14"/>
  <c r="U347" i="14"/>
  <c r="Y347" i="14"/>
  <c r="AC347" i="14"/>
  <c r="V348" i="14"/>
  <c r="Z348" i="14"/>
  <c r="U351" i="14"/>
  <c r="Y351" i="14"/>
  <c r="AC351" i="14"/>
  <c r="V352" i="14"/>
  <c r="Z352" i="14"/>
  <c r="R353" i="14"/>
  <c r="W353" i="14"/>
  <c r="AA353" i="14"/>
  <c r="AE353" i="14"/>
  <c r="U355" i="14"/>
  <c r="Y355" i="14"/>
  <c r="AC355" i="14"/>
  <c r="V356" i="14"/>
  <c r="Z356" i="14"/>
  <c r="R357" i="14"/>
  <c r="W357" i="14"/>
  <c r="U358" i="14"/>
  <c r="Y358" i="14"/>
  <c r="AC358" i="14"/>
  <c r="V359" i="14"/>
  <c r="Z359" i="14"/>
  <c r="U361" i="14"/>
  <c r="Y361" i="14"/>
  <c r="AC361" i="14"/>
  <c r="V362" i="14"/>
  <c r="Z362" i="14"/>
  <c r="R363" i="14"/>
  <c r="W363" i="14"/>
  <c r="AA363" i="14"/>
  <c r="AE363" i="14"/>
  <c r="U365" i="14"/>
  <c r="Y365" i="14"/>
  <c r="AC365" i="14"/>
  <c r="V366" i="14"/>
  <c r="Z366" i="14"/>
  <c r="R367" i="14"/>
  <c r="X367" i="14"/>
  <c r="AD367" i="14"/>
  <c r="V370" i="14"/>
  <c r="V372" i="14"/>
  <c r="AB373" i="14"/>
  <c r="X373" i="14"/>
  <c r="T373" i="14"/>
  <c r="W373" i="14"/>
  <c r="AC373" i="14"/>
  <c r="R374" i="14"/>
  <c r="X374" i="14"/>
  <c r="AD374" i="14"/>
  <c r="T376" i="14"/>
  <c r="Y376" i="14"/>
  <c r="AD376" i="14"/>
  <c r="V378" i="14"/>
  <c r="V384" i="14"/>
  <c r="AC385" i="14"/>
  <c r="Y385" i="14"/>
  <c r="U385" i="14"/>
  <c r="W385" i="14"/>
  <c r="AB385" i="14"/>
  <c r="AE387" i="14"/>
  <c r="AA387" i="14"/>
  <c r="W387" i="14"/>
  <c r="R387" i="14"/>
  <c r="X387" i="14"/>
  <c r="AC387" i="14"/>
  <c r="R388" i="14"/>
  <c r="Y388" i="14"/>
  <c r="AD388" i="14"/>
  <c r="T390" i="14"/>
  <c r="Y390" i="14"/>
  <c r="AD390" i="14"/>
  <c r="V392" i="14"/>
  <c r="R395" i="14"/>
  <c r="Z395" i="14"/>
  <c r="AB398" i="14"/>
  <c r="X398" i="14"/>
  <c r="T398" i="14"/>
  <c r="AE398" i="14"/>
  <c r="AA398" i="14"/>
  <c r="W398" i="14"/>
  <c r="R398" i="14"/>
  <c r="Z398" i="14"/>
  <c r="R399" i="14"/>
  <c r="AA399" i="14"/>
  <c r="U402" i="14"/>
  <c r="AC402" i="14"/>
  <c r="V424" i="14"/>
  <c r="V428" i="14"/>
  <c r="AE449" i="14"/>
  <c r="AA449" i="14"/>
  <c r="W449" i="14"/>
  <c r="R449" i="14"/>
  <c r="AB449" i="14"/>
  <c r="V449" i="14"/>
  <c r="Z449" i="14"/>
  <c r="U449" i="14"/>
  <c r="AD449" i="14"/>
  <c r="Y449" i="14"/>
  <c r="T449" i="14"/>
  <c r="V329" i="14"/>
  <c r="Z329" i="14"/>
  <c r="V332" i="14"/>
  <c r="Z332" i="14"/>
  <c r="V336" i="14"/>
  <c r="Z336" i="14"/>
  <c r="V340" i="14"/>
  <c r="Z340" i="14"/>
  <c r="V344" i="14"/>
  <c r="Z344" i="14"/>
  <c r="V347" i="14"/>
  <c r="Z347" i="14"/>
  <c r="V351" i="14"/>
  <c r="Z351" i="14"/>
  <c r="T353" i="14"/>
  <c r="X353" i="14"/>
  <c r="V355" i="14"/>
  <c r="Z355" i="14"/>
  <c r="T357" i="14"/>
  <c r="X357" i="14"/>
  <c r="V358" i="14"/>
  <c r="Z358" i="14"/>
  <c r="V361" i="14"/>
  <c r="Z361" i="14"/>
  <c r="T363" i="14"/>
  <c r="X363" i="14"/>
  <c r="V365" i="14"/>
  <c r="Z365" i="14"/>
  <c r="T367" i="14"/>
  <c r="Z367" i="14"/>
  <c r="AE367" i="14"/>
  <c r="AC370" i="14"/>
  <c r="Y370" i="14"/>
  <c r="U370" i="14"/>
  <c r="W370" i="14"/>
  <c r="AB370" i="14"/>
  <c r="AE372" i="14"/>
  <c r="AA372" i="14"/>
  <c r="W372" i="14"/>
  <c r="R372" i="14"/>
  <c r="X372" i="14"/>
  <c r="AC372" i="14"/>
  <c r="T374" i="14"/>
  <c r="Z374" i="14"/>
  <c r="AE374" i="14"/>
  <c r="U376" i="14"/>
  <c r="Z376" i="14"/>
  <c r="AC378" i="14"/>
  <c r="Y378" i="14"/>
  <c r="U378" i="14"/>
  <c r="W378" i="14"/>
  <c r="AB378" i="14"/>
  <c r="AB384" i="14"/>
  <c r="X384" i="14"/>
  <c r="T384" i="14"/>
  <c r="W384" i="14"/>
  <c r="AC384" i="14"/>
  <c r="R385" i="14"/>
  <c r="X385" i="14"/>
  <c r="AD385" i="14"/>
  <c r="T387" i="14"/>
  <c r="Y387" i="14"/>
  <c r="AD387" i="14"/>
  <c r="U388" i="14"/>
  <c r="Z388" i="14"/>
  <c r="AE388" i="14"/>
  <c r="U390" i="14"/>
  <c r="Z390" i="14"/>
  <c r="AC392" i="14"/>
  <c r="Y392" i="14"/>
  <c r="U392" i="14"/>
  <c r="W392" i="14"/>
  <c r="AB392" i="14"/>
  <c r="AA394" i="14"/>
  <c r="W394" i="14"/>
  <c r="R394" i="14"/>
  <c r="X394" i="14"/>
  <c r="AD394" i="14"/>
  <c r="T395" i="14"/>
  <c r="AA395" i="14"/>
  <c r="U398" i="14"/>
  <c r="AC398" i="14"/>
  <c r="V399" i="14"/>
  <c r="AD399" i="14"/>
  <c r="V402" i="14"/>
  <c r="AD402" i="14"/>
  <c r="AC410" i="14"/>
  <c r="Y410" i="14"/>
  <c r="U410" i="14"/>
  <c r="AB410" i="14"/>
  <c r="X410" i="14"/>
  <c r="T410" i="14"/>
  <c r="AE410" i="14"/>
  <c r="AA410" i="14"/>
  <c r="W410" i="14"/>
  <c r="R410" i="14"/>
  <c r="AC414" i="14"/>
  <c r="Y414" i="14"/>
  <c r="U414" i="14"/>
  <c r="AB414" i="14"/>
  <c r="X414" i="14"/>
  <c r="T414" i="14"/>
  <c r="AE414" i="14"/>
  <c r="AA414" i="14"/>
  <c r="W414" i="14"/>
  <c r="R414" i="14"/>
  <c r="Z424" i="14"/>
  <c r="Z428" i="14"/>
  <c r="X449" i="14"/>
  <c r="AC496" i="14"/>
  <c r="Y496" i="14"/>
  <c r="U496" i="14"/>
  <c r="AA496" i="14"/>
  <c r="V496" i="14"/>
  <c r="AE496" i="14"/>
  <c r="Z496" i="14"/>
  <c r="T496" i="14"/>
  <c r="X496" i="14"/>
  <c r="W496" i="14"/>
  <c r="AD496" i="14"/>
  <c r="R496" i="14"/>
  <c r="AB496" i="14"/>
  <c r="V397" i="14"/>
  <c r="Z397" i="14"/>
  <c r="AD397" i="14"/>
  <c r="V401" i="14"/>
  <c r="Z401" i="14"/>
  <c r="AD401" i="14"/>
  <c r="V405" i="14"/>
  <c r="Z405" i="14"/>
  <c r="AD405" i="14"/>
  <c r="T407" i="14"/>
  <c r="X407" i="14"/>
  <c r="AB407" i="14"/>
  <c r="V409" i="14"/>
  <c r="Z409" i="14"/>
  <c r="AD409" i="14"/>
  <c r="T411" i="14"/>
  <c r="X411" i="14"/>
  <c r="AB411" i="14"/>
  <c r="V413" i="14"/>
  <c r="Z413" i="14"/>
  <c r="AD413" i="14"/>
  <c r="T415" i="14"/>
  <c r="X415" i="14"/>
  <c r="AB415" i="14"/>
  <c r="T418" i="14"/>
  <c r="X418" i="14"/>
  <c r="AB418" i="14"/>
  <c r="V420" i="14"/>
  <c r="Z420" i="14"/>
  <c r="AD420" i="14"/>
  <c r="T422" i="14"/>
  <c r="X422" i="14"/>
  <c r="AB422" i="14"/>
  <c r="V423" i="14"/>
  <c r="Z423" i="14"/>
  <c r="AD423" i="14"/>
  <c r="T425" i="14"/>
  <c r="X425" i="14"/>
  <c r="AB425" i="14"/>
  <c r="V427" i="14"/>
  <c r="Z427" i="14"/>
  <c r="AD427" i="14"/>
  <c r="T429" i="14"/>
  <c r="X429" i="14"/>
  <c r="AB429" i="14"/>
  <c r="T432" i="14"/>
  <c r="X432" i="14"/>
  <c r="AB432" i="14"/>
  <c r="V434" i="14"/>
  <c r="Z434" i="14"/>
  <c r="AD434" i="14"/>
  <c r="T436" i="14"/>
  <c r="X436" i="14"/>
  <c r="AB436" i="14"/>
  <c r="V438" i="14"/>
  <c r="Z438" i="14"/>
  <c r="AD438" i="14"/>
  <c r="T440" i="14"/>
  <c r="X440" i="14"/>
  <c r="AB440" i="14"/>
  <c r="V442" i="14"/>
  <c r="Z442" i="14"/>
  <c r="AD442" i="14"/>
  <c r="T444" i="14"/>
  <c r="X444" i="14"/>
  <c r="AB444" i="14"/>
  <c r="AB446" i="14"/>
  <c r="X446" i="14"/>
  <c r="T446" i="14"/>
  <c r="W446" i="14"/>
  <c r="AC446" i="14"/>
  <c r="U450" i="14"/>
  <c r="Z450" i="14"/>
  <c r="AE450" i="14"/>
  <c r="AB454" i="14"/>
  <c r="X454" i="14"/>
  <c r="T454" i="14"/>
  <c r="W454" i="14"/>
  <c r="AC454" i="14"/>
  <c r="AB457" i="14"/>
  <c r="X457" i="14"/>
  <c r="T457" i="14"/>
  <c r="W457" i="14"/>
  <c r="AC457" i="14"/>
  <c r="AC465" i="14"/>
  <c r="Y465" i="14"/>
  <c r="U465" i="14"/>
  <c r="AB465" i="14"/>
  <c r="X465" i="14"/>
  <c r="T465" i="14"/>
  <c r="Z465" i="14"/>
  <c r="AB503" i="14"/>
  <c r="X503" i="14"/>
  <c r="T503" i="14"/>
  <c r="AE503" i="14"/>
  <c r="Z503" i="14"/>
  <c r="U503" i="14"/>
  <c r="AD503" i="14"/>
  <c r="Y503" i="14"/>
  <c r="R503" i="14"/>
  <c r="AA503" i="14"/>
  <c r="W503" i="14"/>
  <c r="V503" i="14"/>
  <c r="V368" i="14"/>
  <c r="Z368" i="14"/>
  <c r="V371" i="14"/>
  <c r="Z371" i="14"/>
  <c r="V375" i="14"/>
  <c r="Z375" i="14"/>
  <c r="V379" i="14"/>
  <c r="Z379" i="14"/>
  <c r="V382" i="14"/>
  <c r="Z382" i="14"/>
  <c r="V386" i="14"/>
  <c r="Z386" i="14"/>
  <c r="V389" i="14"/>
  <c r="Z389" i="14"/>
  <c r="V393" i="14"/>
  <c r="Z393" i="14"/>
  <c r="V396" i="14"/>
  <c r="Z396" i="14"/>
  <c r="R397" i="14"/>
  <c r="W397" i="14"/>
  <c r="AA397" i="14"/>
  <c r="V400" i="14"/>
  <c r="Z400" i="14"/>
  <c r="R401" i="14"/>
  <c r="W401" i="14"/>
  <c r="AA401" i="14"/>
  <c r="V404" i="14"/>
  <c r="Z404" i="14"/>
  <c r="R405" i="14"/>
  <c r="W405" i="14"/>
  <c r="AA405" i="14"/>
  <c r="U407" i="14"/>
  <c r="Y407" i="14"/>
  <c r="AC407" i="14"/>
  <c r="V408" i="14"/>
  <c r="Z408" i="14"/>
  <c r="R409" i="14"/>
  <c r="W409" i="14"/>
  <c r="AA409" i="14"/>
  <c r="U411" i="14"/>
  <c r="Y411" i="14"/>
  <c r="AC411" i="14"/>
  <c r="V412" i="14"/>
  <c r="Z412" i="14"/>
  <c r="R413" i="14"/>
  <c r="W413" i="14"/>
  <c r="AA413" i="14"/>
  <c r="U415" i="14"/>
  <c r="Y415" i="14"/>
  <c r="AC415" i="14"/>
  <c r="V416" i="14"/>
  <c r="Z416" i="14"/>
  <c r="U418" i="14"/>
  <c r="Y418" i="14"/>
  <c r="AC418" i="14"/>
  <c r="V419" i="14"/>
  <c r="Z419" i="14"/>
  <c r="R420" i="14"/>
  <c r="W420" i="14"/>
  <c r="AA420" i="14"/>
  <c r="U422" i="14"/>
  <c r="Y422" i="14"/>
  <c r="R423" i="14"/>
  <c r="W423" i="14"/>
  <c r="AA423" i="14"/>
  <c r="U425" i="14"/>
  <c r="Y425" i="14"/>
  <c r="AC425" i="14"/>
  <c r="V426" i="14"/>
  <c r="Z426" i="14"/>
  <c r="R427" i="14"/>
  <c r="W427" i="14"/>
  <c r="AA427" i="14"/>
  <c r="U429" i="14"/>
  <c r="Y429" i="14"/>
  <c r="AC429" i="14"/>
  <c r="V430" i="14"/>
  <c r="Z430" i="14"/>
  <c r="U432" i="14"/>
  <c r="Y432" i="14"/>
  <c r="AC432" i="14"/>
  <c r="V433" i="14"/>
  <c r="Z433" i="14"/>
  <c r="R434" i="14"/>
  <c r="W434" i="14"/>
  <c r="AA434" i="14"/>
  <c r="U436" i="14"/>
  <c r="Y436" i="14"/>
  <c r="AC436" i="14"/>
  <c r="V437" i="14"/>
  <c r="Z437" i="14"/>
  <c r="R438" i="14"/>
  <c r="W438" i="14"/>
  <c r="AA438" i="14"/>
  <c r="U440" i="14"/>
  <c r="Y440" i="14"/>
  <c r="AC440" i="14"/>
  <c r="V441" i="14"/>
  <c r="Z441" i="14"/>
  <c r="R442" i="14"/>
  <c r="W442" i="14"/>
  <c r="AA442" i="14"/>
  <c r="U444" i="14"/>
  <c r="Y444" i="14"/>
  <c r="AC444" i="14"/>
  <c r="AE445" i="14"/>
  <c r="AA445" i="14"/>
  <c r="W445" i="14"/>
  <c r="R445" i="14"/>
  <c r="X445" i="14"/>
  <c r="AC445" i="14"/>
  <c r="R446" i="14"/>
  <c r="Y446" i="14"/>
  <c r="AD446" i="14"/>
  <c r="V450" i="14"/>
  <c r="AC451" i="14"/>
  <c r="Y451" i="14"/>
  <c r="U451" i="14"/>
  <c r="W451" i="14"/>
  <c r="AB451" i="14"/>
  <c r="AE453" i="14"/>
  <c r="AA453" i="14"/>
  <c r="W453" i="14"/>
  <c r="R453" i="14"/>
  <c r="X453" i="14"/>
  <c r="AC453" i="14"/>
  <c r="R454" i="14"/>
  <c r="Y454" i="14"/>
  <c r="AD454" i="14"/>
  <c r="AE456" i="14"/>
  <c r="AA456" i="14"/>
  <c r="W456" i="14"/>
  <c r="R456" i="14"/>
  <c r="X456" i="14"/>
  <c r="AC456" i="14"/>
  <c r="R457" i="14"/>
  <c r="Y457" i="14"/>
  <c r="AD457" i="14"/>
  <c r="AB461" i="14"/>
  <c r="X461" i="14"/>
  <c r="T461" i="14"/>
  <c r="AE461" i="14"/>
  <c r="AA461" i="14"/>
  <c r="W461" i="14"/>
  <c r="R461" i="14"/>
  <c r="Z461" i="14"/>
  <c r="AB462" i="14"/>
  <c r="X462" i="14"/>
  <c r="T462" i="14"/>
  <c r="AE462" i="14"/>
  <c r="AA462" i="14"/>
  <c r="W462" i="14"/>
  <c r="R462" i="14"/>
  <c r="Z462" i="14"/>
  <c r="AB463" i="14"/>
  <c r="X463" i="14"/>
  <c r="T463" i="14"/>
  <c r="AA463" i="14"/>
  <c r="W463" i="14"/>
  <c r="R463" i="14"/>
  <c r="Z463" i="14"/>
  <c r="AB464" i="14"/>
  <c r="X464" i="14"/>
  <c r="T464" i="14"/>
  <c r="AE464" i="14"/>
  <c r="AA464" i="14"/>
  <c r="W464" i="14"/>
  <c r="R464" i="14"/>
  <c r="Z464" i="14"/>
  <c r="R465" i="14"/>
  <c r="AA465" i="14"/>
  <c r="AC476" i="14"/>
  <c r="Y476" i="14"/>
  <c r="U476" i="14"/>
  <c r="AB476" i="14"/>
  <c r="X476" i="14"/>
  <c r="T476" i="14"/>
  <c r="AE476" i="14"/>
  <c r="AA476" i="14"/>
  <c r="W476" i="14"/>
  <c r="R476" i="14"/>
  <c r="AC480" i="14"/>
  <c r="Y480" i="14"/>
  <c r="U480" i="14"/>
  <c r="AB480" i="14"/>
  <c r="X480" i="14"/>
  <c r="T480" i="14"/>
  <c r="AE480" i="14"/>
  <c r="AA480" i="14"/>
  <c r="W480" i="14"/>
  <c r="R480" i="14"/>
  <c r="AE490" i="14"/>
  <c r="AA490" i="14"/>
  <c r="W490" i="14"/>
  <c r="R490" i="14"/>
  <c r="AB490" i="14"/>
  <c r="V490" i="14"/>
  <c r="Z490" i="14"/>
  <c r="U490" i="14"/>
  <c r="AD490" i="14"/>
  <c r="Y490" i="14"/>
  <c r="T490" i="14"/>
  <c r="AB495" i="14"/>
  <c r="X495" i="14"/>
  <c r="T495" i="14"/>
  <c r="AE495" i="14"/>
  <c r="Z495" i="14"/>
  <c r="U495" i="14"/>
  <c r="AD495" i="14"/>
  <c r="W495" i="14"/>
  <c r="AC495" i="14"/>
  <c r="V495" i="14"/>
  <c r="AA495" i="14"/>
  <c r="R495" i="14"/>
  <c r="AC503" i="14"/>
  <c r="V407" i="14"/>
  <c r="Z407" i="14"/>
  <c r="V411" i="14"/>
  <c r="Z411" i="14"/>
  <c r="V415" i="14"/>
  <c r="Z415" i="14"/>
  <c r="V418" i="14"/>
  <c r="Z418" i="14"/>
  <c r="V422" i="14"/>
  <c r="Z422" i="14"/>
  <c r="V425" i="14"/>
  <c r="Z425" i="14"/>
  <c r="V429" i="14"/>
  <c r="Z429" i="14"/>
  <c r="V432" i="14"/>
  <c r="Z432" i="14"/>
  <c r="V436" i="14"/>
  <c r="Z436" i="14"/>
  <c r="V440" i="14"/>
  <c r="Z440" i="14"/>
  <c r="V444" i="14"/>
  <c r="Z444" i="14"/>
  <c r="AB450" i="14"/>
  <c r="X450" i="14"/>
  <c r="T450" i="14"/>
  <c r="W450" i="14"/>
  <c r="AC450" i="14"/>
  <c r="AE454" i="14"/>
  <c r="U457" i="14"/>
  <c r="Z457" i="14"/>
  <c r="AE457" i="14"/>
  <c r="V465" i="14"/>
  <c r="AD465" i="14"/>
  <c r="V476" i="14"/>
  <c r="V480" i="14"/>
  <c r="X490" i="14"/>
  <c r="Y495" i="14"/>
  <c r="V460" i="14"/>
  <c r="Z460" i="14"/>
  <c r="AD460" i="14"/>
  <c r="V467" i="14"/>
  <c r="Z467" i="14"/>
  <c r="AD467" i="14"/>
  <c r="T469" i="14"/>
  <c r="X469" i="14"/>
  <c r="AB469" i="14"/>
  <c r="T471" i="14"/>
  <c r="X471" i="14"/>
  <c r="AB471" i="14"/>
  <c r="T472" i="14"/>
  <c r="X472" i="14"/>
  <c r="AB472" i="14"/>
  <c r="V475" i="14"/>
  <c r="Z475" i="14"/>
  <c r="AD475" i="14"/>
  <c r="T477" i="14"/>
  <c r="X477" i="14"/>
  <c r="AB477" i="14"/>
  <c r="V479" i="14"/>
  <c r="Z479" i="14"/>
  <c r="AD479" i="14"/>
  <c r="T481" i="14"/>
  <c r="X481" i="14"/>
  <c r="AB481" i="14"/>
  <c r="U483" i="14"/>
  <c r="Z483" i="14"/>
  <c r="AE483" i="14"/>
  <c r="AB487" i="14"/>
  <c r="X487" i="14"/>
  <c r="T487" i="14"/>
  <c r="W487" i="14"/>
  <c r="AC487" i="14"/>
  <c r="U491" i="14"/>
  <c r="Z491" i="14"/>
  <c r="AE491" i="14"/>
  <c r="AE498" i="14"/>
  <c r="AA498" i="14"/>
  <c r="W498" i="14"/>
  <c r="R498" i="14"/>
  <c r="AB498" i="14"/>
  <c r="V498" i="14"/>
  <c r="Z498" i="14"/>
  <c r="U498" i="14"/>
  <c r="AC498" i="14"/>
  <c r="X499" i="14"/>
  <c r="AC504" i="14"/>
  <c r="Y504" i="14"/>
  <c r="U504" i="14"/>
  <c r="AA504" i="14"/>
  <c r="V504" i="14"/>
  <c r="AE504" i="14"/>
  <c r="Z504" i="14"/>
  <c r="T504" i="14"/>
  <c r="AB504" i="14"/>
  <c r="Y510" i="14"/>
  <c r="X511" i="14"/>
  <c r="V448" i="14"/>
  <c r="Z448" i="14"/>
  <c r="V452" i="14"/>
  <c r="Z452" i="14"/>
  <c r="V459" i="14"/>
  <c r="Z459" i="14"/>
  <c r="R460" i="14"/>
  <c r="W460" i="14"/>
  <c r="AA460" i="14"/>
  <c r="V466" i="14"/>
  <c r="Z466" i="14"/>
  <c r="R467" i="14"/>
  <c r="W467" i="14"/>
  <c r="AA467" i="14"/>
  <c r="U469" i="14"/>
  <c r="Y469" i="14"/>
  <c r="AC469" i="14"/>
  <c r="V470" i="14"/>
  <c r="Z470" i="14"/>
  <c r="U471" i="14"/>
  <c r="Y471" i="14"/>
  <c r="AC471" i="14"/>
  <c r="U472" i="14"/>
  <c r="Y472" i="14"/>
  <c r="AC472" i="14"/>
  <c r="V473" i="14"/>
  <c r="Z473" i="14"/>
  <c r="V474" i="14"/>
  <c r="Z474" i="14"/>
  <c r="R475" i="14"/>
  <c r="W475" i="14"/>
  <c r="AA475" i="14"/>
  <c r="U477" i="14"/>
  <c r="Y477" i="14"/>
  <c r="AC477" i="14"/>
  <c r="V478" i="14"/>
  <c r="Z478" i="14"/>
  <c r="R479" i="14"/>
  <c r="W479" i="14"/>
  <c r="AA479" i="14"/>
  <c r="U481" i="14"/>
  <c r="Y481" i="14"/>
  <c r="AC481" i="14"/>
  <c r="AE482" i="14"/>
  <c r="AA482" i="14"/>
  <c r="V482" i="14"/>
  <c r="Z482" i="14"/>
  <c r="V483" i="14"/>
  <c r="AC484" i="14"/>
  <c r="Y484" i="14"/>
  <c r="U484" i="14"/>
  <c r="W484" i="14"/>
  <c r="AB484" i="14"/>
  <c r="AE486" i="14"/>
  <c r="AA486" i="14"/>
  <c r="W486" i="14"/>
  <c r="R486" i="14"/>
  <c r="X486" i="14"/>
  <c r="AC486" i="14"/>
  <c r="R487" i="14"/>
  <c r="Y487" i="14"/>
  <c r="AD487" i="14"/>
  <c r="V491" i="14"/>
  <c r="AB492" i="14"/>
  <c r="X492" i="14"/>
  <c r="T492" i="14"/>
  <c r="AA492" i="14"/>
  <c r="V492" i="14"/>
  <c r="Y492" i="14"/>
  <c r="AE492" i="14"/>
  <c r="T498" i="14"/>
  <c r="AD498" i="14"/>
  <c r="R504" i="14"/>
  <c r="AD504" i="14"/>
  <c r="AE506" i="14"/>
  <c r="AA506" i="14"/>
  <c r="W506" i="14"/>
  <c r="R506" i="14"/>
  <c r="AB506" i="14"/>
  <c r="V506" i="14"/>
  <c r="Z506" i="14"/>
  <c r="U506" i="14"/>
  <c r="AC506" i="14"/>
  <c r="V469" i="14"/>
  <c r="Z469" i="14"/>
  <c r="V471" i="14"/>
  <c r="V472" i="14"/>
  <c r="Z472" i="14"/>
  <c r="V477" i="14"/>
  <c r="Z477" i="14"/>
  <c r="V481" i="14"/>
  <c r="Z481" i="14"/>
  <c r="AB483" i="14"/>
  <c r="X483" i="14"/>
  <c r="T483" i="14"/>
  <c r="W483" i="14"/>
  <c r="AC483" i="14"/>
  <c r="AB491" i="14"/>
  <c r="X491" i="14"/>
  <c r="T491" i="14"/>
  <c r="W491" i="14"/>
  <c r="AC491" i="14"/>
  <c r="AE499" i="14"/>
  <c r="AA499" i="14"/>
  <c r="W499" i="14"/>
  <c r="R499" i="14"/>
  <c r="AB499" i="14"/>
  <c r="V499" i="14"/>
  <c r="Z499" i="14"/>
  <c r="U499" i="14"/>
  <c r="AC499" i="14"/>
  <c r="AE509" i="14"/>
  <c r="AA509" i="14"/>
  <c r="W509" i="14"/>
  <c r="R509" i="14"/>
  <c r="AD509" i="14"/>
  <c r="Y509" i="14"/>
  <c r="T509" i="14"/>
  <c r="AC509" i="14"/>
  <c r="V509" i="14"/>
  <c r="AB509" i="14"/>
  <c r="U509" i="14"/>
  <c r="AB510" i="14"/>
  <c r="X510" i="14"/>
  <c r="T510" i="14"/>
  <c r="AE510" i="14"/>
  <c r="Z510" i="14"/>
  <c r="U510" i="14"/>
  <c r="AC510" i="14"/>
  <c r="V510" i="14"/>
  <c r="AA510" i="14"/>
  <c r="R510" i="14"/>
  <c r="AC511" i="14"/>
  <c r="Y511" i="14"/>
  <c r="U511" i="14"/>
  <c r="AA511" i="14"/>
  <c r="V511" i="14"/>
  <c r="AB511" i="14"/>
  <c r="T511" i="14"/>
  <c r="Z511" i="14"/>
  <c r="R511" i="14"/>
  <c r="AE511" i="14"/>
  <c r="AB513" i="14"/>
  <c r="X513" i="14"/>
  <c r="T513" i="14"/>
  <c r="AE513" i="14"/>
  <c r="AA513" i="14"/>
  <c r="W513" i="14"/>
  <c r="R513" i="14"/>
  <c r="Y513" i="14"/>
  <c r="V513" i="14"/>
  <c r="AD513" i="14"/>
  <c r="U513" i="14"/>
  <c r="AC501" i="14"/>
  <c r="Y501" i="14"/>
  <c r="U501" i="14"/>
  <c r="W501" i="14"/>
  <c r="AB501" i="14"/>
  <c r="AD508" i="14"/>
  <c r="AC508" i="14"/>
  <c r="Y508" i="14"/>
  <c r="U508" i="14"/>
  <c r="W508" i="14"/>
  <c r="AB508" i="14"/>
  <c r="V485" i="14"/>
  <c r="Z485" i="14"/>
  <c r="V489" i="14"/>
  <c r="Z489" i="14"/>
  <c r="AC493" i="14"/>
  <c r="Y493" i="14"/>
  <c r="U493" i="14"/>
  <c r="W493" i="14"/>
  <c r="AB493" i="14"/>
  <c r="AB500" i="14"/>
  <c r="X500" i="14"/>
  <c r="T500" i="14"/>
  <c r="W500" i="14"/>
  <c r="AC500" i="14"/>
  <c r="R501" i="14"/>
  <c r="X501" i="14"/>
  <c r="AD501" i="14"/>
  <c r="AB507" i="14"/>
  <c r="X507" i="14"/>
  <c r="T507" i="14"/>
  <c r="W507" i="14"/>
  <c r="AC507" i="14"/>
  <c r="R508" i="14"/>
  <c r="X508" i="14"/>
  <c r="AE508" i="14"/>
  <c r="AC518" i="14"/>
  <c r="Y518" i="14"/>
  <c r="U518" i="14"/>
  <c r="AB518" i="14"/>
  <c r="X518" i="14"/>
  <c r="T518" i="14"/>
  <c r="AD518" i="14"/>
  <c r="V518" i="14"/>
  <c r="AA518" i="14"/>
  <c r="R518" i="14"/>
  <c r="V497" i="14"/>
  <c r="Z497" i="14"/>
  <c r="V502" i="14"/>
  <c r="Z502" i="14"/>
  <c r="V505" i="14"/>
  <c r="Z505" i="14"/>
  <c r="AC514" i="14"/>
  <c r="Y514" i="14"/>
  <c r="U514" i="14"/>
  <c r="AB514" i="14"/>
  <c r="X514" i="14"/>
  <c r="T514" i="14"/>
  <c r="Z514" i="14"/>
  <c r="AB517" i="14"/>
  <c r="X517" i="14"/>
  <c r="T517" i="14"/>
  <c r="AE517" i="14"/>
  <c r="AA517" i="14"/>
  <c r="W517" i="14"/>
  <c r="R517" i="14"/>
  <c r="Z517" i="14"/>
  <c r="AC521" i="14"/>
  <c r="Y521" i="14"/>
  <c r="U521" i="14"/>
  <c r="AB521" i="14"/>
  <c r="X521" i="14"/>
  <c r="T521" i="14"/>
  <c r="AE521" i="14"/>
  <c r="AA521" i="14"/>
  <c r="W521" i="14"/>
  <c r="R521" i="14"/>
  <c r="X537" i="14"/>
  <c r="X538" i="14" s="1"/>
  <c r="AB537" i="14"/>
  <c r="AB538" i="14" s="1"/>
  <c r="U537" i="14"/>
  <c r="U538" i="14" s="1"/>
  <c r="Y537" i="14"/>
  <c r="Y538" i="14" s="1"/>
  <c r="V512" i="14"/>
  <c r="Z512" i="14"/>
  <c r="U515" i="14"/>
  <c r="Y515" i="14"/>
  <c r="AC515" i="14"/>
  <c r="V516" i="14"/>
  <c r="Z516" i="14"/>
  <c r="AD516" i="14"/>
  <c r="U519" i="14"/>
  <c r="Y519" i="14"/>
  <c r="AC519" i="14"/>
  <c r="V520" i="14"/>
  <c r="Z520" i="14"/>
  <c r="AD520" i="14"/>
  <c r="T522" i="14"/>
  <c r="X522" i="14"/>
  <c r="AB522" i="14"/>
  <c r="U523" i="14"/>
  <c r="Y523" i="14"/>
  <c r="AC523" i="14"/>
  <c r="V524" i="14"/>
  <c r="Z524" i="14"/>
  <c r="AD524" i="14"/>
  <c r="V515" i="14"/>
  <c r="Z515" i="14"/>
  <c r="V519" i="14"/>
  <c r="Z519" i="14"/>
  <c r="W520" i="14"/>
  <c r="AA520" i="14"/>
  <c r="U522" i="14"/>
  <c r="Y522" i="14"/>
  <c r="AC522" i="14"/>
  <c r="V523" i="14"/>
  <c r="Z523" i="14"/>
  <c r="R524" i="14"/>
  <c r="W524" i="14"/>
  <c r="AA524" i="14"/>
  <c r="V522" i="14"/>
  <c r="Z522" i="14"/>
  <c r="U540" i="14" l="1"/>
  <c r="U541" i="14" s="1"/>
  <c r="V540" i="14"/>
  <c r="V541" i="14" s="1"/>
  <c r="AC540" i="14"/>
  <c r="AC541" i="14" s="1"/>
  <c r="T540" i="14"/>
  <c r="T541" i="14" s="1"/>
  <c r="Z540" i="14"/>
  <c r="Z541" i="14" s="1"/>
  <c r="AE540" i="14"/>
  <c r="AE541" i="14" s="1"/>
  <c r="AB540" i="14"/>
  <c r="AB541" i="14" s="1"/>
  <c r="W540" i="14"/>
  <c r="W541" i="14" s="1"/>
  <c r="AD540" i="14"/>
  <c r="AD541" i="14" s="1"/>
  <c r="AA540" i="14"/>
  <c r="AA541" i="14" s="1"/>
  <c r="X540" i="14"/>
  <c r="X541" i="14" s="1"/>
  <c r="Y540" i="14"/>
  <c r="Y541" i="14" s="1"/>
  <c r="AC527" i="14"/>
  <c r="AC554" i="14" s="1"/>
  <c r="AC556" i="14" s="1"/>
  <c r="AC560" i="14" s="1"/>
  <c r="AB527" i="14"/>
  <c r="AB554" i="14" s="1"/>
  <c r="AB556" i="14" s="1"/>
  <c r="AB560" i="14" s="1"/>
  <c r="AD566" i="14"/>
  <c r="AD569" i="14" s="1"/>
  <c r="X527" i="14"/>
  <c r="X554" i="14" s="1"/>
  <c r="X556" i="14" s="1"/>
  <c r="X560" i="14" s="1"/>
  <c r="AE527" i="14"/>
  <c r="AE554" i="14" s="1"/>
  <c r="AE556" i="14" s="1"/>
  <c r="AE560" i="14" s="1"/>
  <c r="Y527" i="14"/>
  <c r="Y554" i="14" s="1"/>
  <c r="Y556" i="14" s="1"/>
  <c r="Y560" i="14" s="1"/>
  <c r="Y553" i="15"/>
  <c r="Y554" i="15" s="1"/>
  <c r="AA553" i="15"/>
  <c r="AA554" i="15" s="1"/>
  <c r="AB553" i="15"/>
  <c r="AB554" i="15" s="1"/>
  <c r="AD553" i="15"/>
  <c r="AD554" i="15" s="1"/>
  <c r="AC553" i="15"/>
  <c r="AC554" i="15" s="1"/>
  <c r="Z553" i="15"/>
  <c r="Z554" i="15" s="1"/>
  <c r="AE553" i="15"/>
  <c r="AE554" i="15" s="1"/>
  <c r="T553" i="15"/>
  <c r="T554" i="15" s="1"/>
  <c r="W553" i="15"/>
  <c r="W554" i="15" s="1"/>
  <c r="X553" i="15"/>
  <c r="X554" i="15" s="1"/>
  <c r="U553" i="15"/>
  <c r="U554" i="15" s="1"/>
  <c r="V553" i="15"/>
  <c r="V554" i="15" s="1"/>
  <c r="V540" i="15"/>
  <c r="AD540" i="15"/>
  <c r="AC540" i="15"/>
  <c r="AE540" i="15"/>
  <c r="X540" i="15"/>
  <c r="AB540" i="15"/>
  <c r="Z540" i="15"/>
  <c r="U540" i="15"/>
  <c r="AA540" i="15"/>
  <c r="W540" i="15"/>
  <c r="T540" i="15"/>
  <c r="Y540" i="15"/>
  <c r="T527" i="14"/>
  <c r="W527" i="14"/>
  <c r="Z527" i="14"/>
  <c r="AA527" i="14"/>
  <c r="U527" i="14"/>
  <c r="AE566" i="14"/>
  <c r="AE569" i="14" s="1"/>
  <c r="AD527" i="14"/>
  <c r="V527" i="14"/>
  <c r="AE543" i="14" l="1"/>
  <c r="AE546" i="14" s="1"/>
  <c r="AE571" i="14"/>
  <c r="AE528" i="14"/>
  <c r="AE529" i="14" s="1"/>
  <c r="Y528" i="14"/>
  <c r="Y529" i="14" s="1"/>
  <c r="AC528" i="14"/>
  <c r="AC529" i="14" s="1"/>
  <c r="AB528" i="14"/>
  <c r="AB529" i="14" s="1"/>
  <c r="AE556" i="15"/>
  <c r="AE559" i="15" s="1"/>
  <c r="Z541" i="15"/>
  <c r="Z542" i="15" s="1"/>
  <c r="AB541" i="15"/>
  <c r="AB542" i="15" s="1"/>
  <c r="X541" i="15"/>
  <c r="X542" i="15" s="1"/>
  <c r="AC541" i="15"/>
  <c r="AC542" i="15" s="1"/>
  <c r="AD541" i="15"/>
  <c r="AD542" i="15" s="1"/>
  <c r="U541" i="15"/>
  <c r="U542" i="15" s="1"/>
  <c r="Y541" i="15"/>
  <c r="Y542" i="15" s="1"/>
  <c r="W541" i="15"/>
  <c r="W542" i="15" s="1"/>
  <c r="AA541" i="15"/>
  <c r="AA542" i="15" s="1"/>
  <c r="AE541" i="15"/>
  <c r="AE542" i="15" s="1"/>
  <c r="V541" i="15"/>
  <c r="V542" i="15" s="1"/>
  <c r="U528" i="14"/>
  <c r="U529" i="14" s="1"/>
  <c r="U554" i="14"/>
  <c r="U556" i="14" s="1"/>
  <c r="U560" i="14" s="1"/>
  <c r="Z528" i="14"/>
  <c r="Z529" i="14" s="1"/>
  <c r="Z554" i="14"/>
  <c r="Z556" i="14" s="1"/>
  <c r="Z560" i="14" s="1"/>
  <c r="V528" i="14"/>
  <c r="V529" i="14" s="1"/>
  <c r="V554" i="14"/>
  <c r="V556" i="14" s="1"/>
  <c r="V560" i="14" s="1"/>
  <c r="T554" i="14"/>
  <c r="AD528" i="14"/>
  <c r="AD529" i="14" s="1"/>
  <c r="AD554" i="14"/>
  <c r="AD556" i="14" s="1"/>
  <c r="AD560" i="14" s="1"/>
  <c r="AA528" i="14"/>
  <c r="AA529" i="14" s="1"/>
  <c r="AA554" i="14"/>
  <c r="AA556" i="14" s="1"/>
  <c r="AA560" i="14" s="1"/>
  <c r="W528" i="14"/>
  <c r="W529" i="14" s="1"/>
  <c r="W554" i="14"/>
  <c r="W556" i="14" s="1"/>
  <c r="W560" i="14" s="1"/>
  <c r="X528" i="14"/>
  <c r="X529" i="14" s="1"/>
  <c r="T556" i="14" l="1"/>
  <c r="T560" i="14" l="1"/>
  <c r="AE511" i="13" l="1"/>
  <c r="AD511" i="13"/>
  <c r="AE512" i="13" s="1"/>
  <c r="AE513" i="13" s="1"/>
  <c r="AC511" i="13"/>
  <c r="AD512" i="13" s="1"/>
  <c r="AD513" i="13" s="1"/>
  <c r="AB511" i="13"/>
  <c r="AA511" i="13"/>
  <c r="Z511" i="13"/>
  <c r="AA512" i="13" s="1"/>
  <c r="AA513" i="13" s="1"/>
  <c r="Y511" i="13"/>
  <c r="Z512" i="13" s="1"/>
  <c r="Z513" i="13" s="1"/>
  <c r="X511" i="13"/>
  <c r="X512" i="13" s="1"/>
  <c r="X513" i="13" s="1"/>
  <c r="W511" i="13"/>
  <c r="V511" i="13"/>
  <c r="W512" i="13" s="1"/>
  <c r="W513" i="13" s="1"/>
  <c r="U511" i="13"/>
  <c r="V512" i="13" s="1"/>
  <c r="V513" i="13" s="1"/>
  <c r="T511" i="13"/>
  <c r="U512" i="13" s="1"/>
  <c r="U513" i="13" s="1"/>
  <c r="R502" i="13"/>
  <c r="Q502" i="13"/>
  <c r="P502" i="13"/>
  <c r="O502" i="13"/>
  <c r="N502" i="13"/>
  <c r="M502" i="13"/>
  <c r="L502" i="13"/>
  <c r="K502" i="13"/>
  <c r="J502" i="13"/>
  <c r="I502" i="13"/>
  <c r="H502" i="13"/>
  <c r="G502" i="13"/>
  <c r="U500" i="13"/>
  <c r="T500" i="13"/>
  <c r="C500" i="13"/>
  <c r="AE500" i="13" s="1"/>
  <c r="C499" i="13"/>
  <c r="AE499" i="13" s="1"/>
  <c r="AB498" i="13"/>
  <c r="T498" i="13"/>
  <c r="C498" i="13"/>
  <c r="AE498" i="13" s="1"/>
  <c r="C497" i="13"/>
  <c r="AE497" i="13" s="1"/>
  <c r="AC496" i="13"/>
  <c r="AA496" i="13"/>
  <c r="X496" i="13"/>
  <c r="U496" i="13"/>
  <c r="S496" i="13"/>
  <c r="C496" i="13"/>
  <c r="AD496" i="13" s="1"/>
  <c r="W495" i="13"/>
  <c r="C495" i="13"/>
  <c r="V495" i="13" s="1"/>
  <c r="AC494" i="13"/>
  <c r="AA494" i="13"/>
  <c r="X494" i="13"/>
  <c r="U494" i="13"/>
  <c r="S494" i="13"/>
  <c r="C494" i="13"/>
  <c r="AD494" i="13" s="1"/>
  <c r="C493" i="13"/>
  <c r="W493" i="13" s="1"/>
  <c r="AE492" i="13"/>
  <c r="AC492" i="13"/>
  <c r="AA492" i="13"/>
  <c r="Y492" i="13"/>
  <c r="X492" i="13"/>
  <c r="U492" i="13"/>
  <c r="T492" i="13"/>
  <c r="S492" i="13"/>
  <c r="C492" i="13"/>
  <c r="AD492" i="13" s="1"/>
  <c r="C491" i="13"/>
  <c r="AE490" i="13"/>
  <c r="AC490" i="13"/>
  <c r="AA490" i="13"/>
  <c r="Y490" i="13"/>
  <c r="X490" i="13"/>
  <c r="U490" i="13"/>
  <c r="T490" i="13"/>
  <c r="S490" i="13"/>
  <c r="C490" i="13"/>
  <c r="AD490" i="13" s="1"/>
  <c r="C489" i="13"/>
  <c r="AD489" i="13" s="1"/>
  <c r="AE488" i="13"/>
  <c r="AC488" i="13"/>
  <c r="AA488" i="13"/>
  <c r="Y488" i="13"/>
  <c r="X488" i="13"/>
  <c r="U488" i="13"/>
  <c r="T488" i="13"/>
  <c r="S488" i="13"/>
  <c r="C488" i="13"/>
  <c r="AD488" i="13" s="1"/>
  <c r="C487" i="13"/>
  <c r="W487" i="13" s="1"/>
  <c r="U486" i="13"/>
  <c r="C486" i="13"/>
  <c r="AD486" i="13" s="1"/>
  <c r="C485" i="13"/>
  <c r="Z485" i="13" s="1"/>
  <c r="U484" i="13"/>
  <c r="C484" i="13"/>
  <c r="AD484" i="13" s="1"/>
  <c r="AD483" i="13"/>
  <c r="W483" i="13"/>
  <c r="V483" i="13"/>
  <c r="C483" i="13"/>
  <c r="AC483" i="13" s="1"/>
  <c r="AE482" i="13"/>
  <c r="AC482" i="13"/>
  <c r="AA482" i="13"/>
  <c r="Y482" i="13"/>
  <c r="X482" i="13"/>
  <c r="U482" i="13"/>
  <c r="T482" i="13"/>
  <c r="S482" i="13"/>
  <c r="C482" i="13"/>
  <c r="AD482" i="13" s="1"/>
  <c r="AD481" i="13"/>
  <c r="AA481" i="13"/>
  <c r="V481" i="13"/>
  <c r="U481" i="13"/>
  <c r="C481" i="13"/>
  <c r="Z481" i="13" s="1"/>
  <c r="C480" i="13"/>
  <c r="AE480" i="13" s="1"/>
  <c r="C479" i="13"/>
  <c r="AA479" i="13" s="1"/>
  <c r="AE478" i="13"/>
  <c r="AA478" i="13"/>
  <c r="Y478" i="13"/>
  <c r="U478" i="13"/>
  <c r="T478" i="13"/>
  <c r="C478" i="13"/>
  <c r="AD478" i="13" s="1"/>
  <c r="AE477" i="13"/>
  <c r="AD477" i="13"/>
  <c r="Y477" i="13"/>
  <c r="U477" i="13"/>
  <c r="S477" i="13"/>
  <c r="C477" i="13"/>
  <c r="AA477" i="13" s="1"/>
  <c r="C476" i="13"/>
  <c r="AD476" i="13" s="1"/>
  <c r="AA475" i="13"/>
  <c r="Y475" i="13"/>
  <c r="U475" i="13"/>
  <c r="T475" i="13"/>
  <c r="C475" i="13"/>
  <c r="Z475" i="13" s="1"/>
  <c r="AE474" i="13"/>
  <c r="AD474" i="13"/>
  <c r="Y474" i="13"/>
  <c r="U474" i="13"/>
  <c r="S474" i="13"/>
  <c r="C474" i="13"/>
  <c r="AA474" i="13" s="1"/>
  <c r="C473" i="13"/>
  <c r="AD473" i="13" s="1"/>
  <c r="C472" i="13"/>
  <c r="AA472" i="13" s="1"/>
  <c r="AE471" i="13"/>
  <c r="AA471" i="13"/>
  <c r="Y471" i="13"/>
  <c r="U471" i="13"/>
  <c r="T471" i="13"/>
  <c r="C471" i="13"/>
  <c r="AD471" i="13" s="1"/>
  <c r="AE470" i="13"/>
  <c r="AD470" i="13"/>
  <c r="Y470" i="13"/>
  <c r="U470" i="13"/>
  <c r="S470" i="13"/>
  <c r="C470" i="13"/>
  <c r="AA470" i="13" s="1"/>
  <c r="W469" i="13"/>
  <c r="C469" i="13"/>
  <c r="C468" i="13"/>
  <c r="V468" i="13" s="1"/>
  <c r="AE467" i="13"/>
  <c r="AC467" i="13"/>
  <c r="AA467" i="13"/>
  <c r="Y467" i="13"/>
  <c r="X467" i="13"/>
  <c r="U467" i="13"/>
  <c r="T467" i="13"/>
  <c r="S467" i="13"/>
  <c r="C467" i="13"/>
  <c r="AD467" i="13" s="1"/>
  <c r="AE466" i="13"/>
  <c r="AD466" i="13"/>
  <c r="Z466" i="13"/>
  <c r="V466" i="13"/>
  <c r="U466" i="13"/>
  <c r="S466" i="13"/>
  <c r="C466" i="13"/>
  <c r="AA466" i="13" s="1"/>
  <c r="X465" i="13"/>
  <c r="W465" i="13"/>
  <c r="C465" i="13"/>
  <c r="C464" i="13"/>
  <c r="AE463" i="13"/>
  <c r="AA463" i="13"/>
  <c r="Y463" i="13"/>
  <c r="U463" i="13"/>
  <c r="T463" i="13"/>
  <c r="C463" i="13"/>
  <c r="AD463" i="13" s="1"/>
  <c r="C462" i="13"/>
  <c r="C461" i="13"/>
  <c r="C460" i="13"/>
  <c r="AE459" i="13"/>
  <c r="AB459" i="13"/>
  <c r="AA459" i="13"/>
  <c r="W459" i="13"/>
  <c r="U459" i="13"/>
  <c r="T459" i="13"/>
  <c r="C459" i="13"/>
  <c r="V458" i="13"/>
  <c r="C458" i="13"/>
  <c r="Y458" i="13" s="1"/>
  <c r="AB457" i="13"/>
  <c r="U457" i="13"/>
  <c r="C457" i="13"/>
  <c r="AC457" i="13" s="1"/>
  <c r="C456" i="13"/>
  <c r="AC455" i="13"/>
  <c r="W455" i="13"/>
  <c r="S455" i="13"/>
  <c r="C455" i="13"/>
  <c r="C454" i="13"/>
  <c r="AC454" i="13" s="1"/>
  <c r="AC453" i="13"/>
  <c r="AA453" i="13"/>
  <c r="X453" i="13"/>
  <c r="U453" i="13"/>
  <c r="S453" i="13"/>
  <c r="C453" i="13"/>
  <c r="AD453" i="13" s="1"/>
  <c r="Z452" i="13"/>
  <c r="C452" i="13"/>
  <c r="Y452" i="13" s="1"/>
  <c r="AE450" i="13"/>
  <c r="AC450" i="13"/>
  <c r="AA450" i="13"/>
  <c r="Y450" i="13"/>
  <c r="X450" i="13"/>
  <c r="U450" i="13"/>
  <c r="T450" i="13"/>
  <c r="S450" i="13"/>
  <c r="C450" i="13"/>
  <c r="AD450" i="13" s="1"/>
  <c r="Y449" i="13"/>
  <c r="C449" i="13"/>
  <c r="V449" i="13" s="1"/>
  <c r="AE448" i="13"/>
  <c r="Y448" i="13"/>
  <c r="T448" i="13"/>
  <c r="C448" i="13"/>
  <c r="AD448" i="13" s="1"/>
  <c r="Z447" i="13"/>
  <c r="Y447" i="13"/>
  <c r="C447" i="13"/>
  <c r="C446" i="13"/>
  <c r="AD446" i="13" s="1"/>
  <c r="V445" i="13"/>
  <c r="C445" i="13"/>
  <c r="AD445" i="13" s="1"/>
  <c r="AE444" i="13"/>
  <c r="AC444" i="13"/>
  <c r="AA444" i="13"/>
  <c r="Y444" i="13"/>
  <c r="X444" i="13"/>
  <c r="U444" i="13"/>
  <c r="T444" i="13"/>
  <c r="S444" i="13"/>
  <c r="C444" i="13"/>
  <c r="AD444" i="13" s="1"/>
  <c r="C443" i="13"/>
  <c r="AE442" i="13"/>
  <c r="AC442" i="13"/>
  <c r="AA442" i="13"/>
  <c r="Y442" i="13"/>
  <c r="X442" i="13"/>
  <c r="U442" i="13"/>
  <c r="T442" i="13"/>
  <c r="S442" i="13"/>
  <c r="C442" i="13"/>
  <c r="AD442" i="13" s="1"/>
  <c r="Y441" i="13"/>
  <c r="C441" i="13"/>
  <c r="V441" i="13" s="1"/>
  <c r="AE440" i="13"/>
  <c r="Y440" i="13"/>
  <c r="U440" i="13"/>
  <c r="T440" i="13"/>
  <c r="C440" i="13"/>
  <c r="AD440" i="13" s="1"/>
  <c r="C439" i="13"/>
  <c r="AE438" i="13"/>
  <c r="Y438" i="13"/>
  <c r="T438" i="13"/>
  <c r="C438" i="13"/>
  <c r="AD438" i="13" s="1"/>
  <c r="C437" i="13"/>
  <c r="Y437" i="13" s="1"/>
  <c r="AA436" i="13"/>
  <c r="X436" i="13"/>
  <c r="U436" i="13"/>
  <c r="S436" i="13"/>
  <c r="C436" i="13"/>
  <c r="AD436" i="13" s="1"/>
  <c r="Z435" i="13"/>
  <c r="C435" i="13"/>
  <c r="Y435" i="13" s="1"/>
  <c r="AE434" i="13"/>
  <c r="AC434" i="13"/>
  <c r="AA434" i="13"/>
  <c r="Y434" i="13"/>
  <c r="X434" i="13"/>
  <c r="U434" i="13"/>
  <c r="T434" i="13"/>
  <c r="S434" i="13"/>
  <c r="C434" i="13"/>
  <c r="AD434" i="13" s="1"/>
  <c r="Y433" i="13"/>
  <c r="C433" i="13"/>
  <c r="V433" i="13" s="1"/>
  <c r="Z432" i="13"/>
  <c r="C432" i="13"/>
  <c r="Y432" i="13" s="1"/>
  <c r="AE431" i="13"/>
  <c r="AC431" i="13"/>
  <c r="AA431" i="13"/>
  <c r="Y431" i="13"/>
  <c r="X431" i="13"/>
  <c r="U431" i="13"/>
  <c r="T431" i="13"/>
  <c r="S431" i="13"/>
  <c r="C431" i="13"/>
  <c r="AD431" i="13" s="1"/>
  <c r="C430" i="13"/>
  <c r="AC430" i="13" s="1"/>
  <c r="AA429" i="13"/>
  <c r="U429" i="13"/>
  <c r="C429" i="13"/>
  <c r="AD429" i="13" s="1"/>
  <c r="AE428" i="13"/>
  <c r="Z428" i="13"/>
  <c r="V428" i="13"/>
  <c r="U428" i="13"/>
  <c r="C428" i="13"/>
  <c r="AA428" i="13" s="1"/>
  <c r="C427" i="13"/>
  <c r="AD427" i="13" s="1"/>
  <c r="C426" i="13"/>
  <c r="Y426" i="13" s="1"/>
  <c r="AA425" i="13"/>
  <c r="U425" i="13"/>
  <c r="C425" i="13"/>
  <c r="AD425" i="13" s="1"/>
  <c r="AE424" i="13"/>
  <c r="Z424" i="13"/>
  <c r="V424" i="13"/>
  <c r="U424" i="13"/>
  <c r="C424" i="13"/>
  <c r="AA424" i="13" s="1"/>
  <c r="C423" i="13"/>
  <c r="AD423" i="13" s="1"/>
  <c r="W421" i="13"/>
  <c r="C421" i="13"/>
  <c r="AD421" i="13" s="1"/>
  <c r="AE420" i="13"/>
  <c r="AA420" i="13"/>
  <c r="Y420" i="13"/>
  <c r="U420" i="13"/>
  <c r="T420" i="13"/>
  <c r="C420" i="13"/>
  <c r="AD420" i="13" s="1"/>
  <c r="AA419" i="13"/>
  <c r="C419" i="13"/>
  <c r="AE419" i="13" s="1"/>
  <c r="AE418" i="13"/>
  <c r="AA418" i="13"/>
  <c r="Y418" i="13"/>
  <c r="U418" i="13"/>
  <c r="T418" i="13"/>
  <c r="C418" i="13"/>
  <c r="AD418" i="13" s="1"/>
  <c r="AE417" i="13"/>
  <c r="AC417" i="13"/>
  <c r="V417" i="13"/>
  <c r="U417" i="13"/>
  <c r="C417" i="13"/>
  <c r="Z417" i="13" s="1"/>
  <c r="AE416" i="13"/>
  <c r="AD416" i="13"/>
  <c r="X416" i="13"/>
  <c r="T416" i="13"/>
  <c r="S416" i="13"/>
  <c r="C416" i="13"/>
  <c r="AA416" i="13" s="1"/>
  <c r="C415" i="13"/>
  <c r="AD414" i="13"/>
  <c r="V414" i="13"/>
  <c r="C414" i="13"/>
  <c r="AA414" i="13" s="1"/>
  <c r="Y413" i="13"/>
  <c r="C413" i="13"/>
  <c r="C412" i="13"/>
  <c r="Z411" i="13"/>
  <c r="C411" i="13"/>
  <c r="C410" i="13"/>
  <c r="AD409" i="13"/>
  <c r="AB409" i="13"/>
  <c r="Z409" i="13"/>
  <c r="V409" i="13"/>
  <c r="U409" i="13"/>
  <c r="T409" i="13"/>
  <c r="C409" i="13"/>
  <c r="Y409" i="13" s="1"/>
  <c r="AD408" i="13"/>
  <c r="Z408" i="13"/>
  <c r="S408" i="13"/>
  <c r="C408" i="13"/>
  <c r="C407" i="13"/>
  <c r="AC407" i="13" s="1"/>
  <c r="AE406" i="13"/>
  <c r="AD406" i="13"/>
  <c r="X406" i="13"/>
  <c r="V406" i="13"/>
  <c r="S406" i="13"/>
  <c r="C406" i="13"/>
  <c r="AC405" i="13"/>
  <c r="V405" i="13"/>
  <c r="T405" i="13"/>
  <c r="C405" i="13"/>
  <c r="AA404" i="13"/>
  <c r="V404" i="13"/>
  <c r="T404" i="13"/>
  <c r="C404" i="13"/>
  <c r="AE404" i="13" s="1"/>
  <c r="AC403" i="13"/>
  <c r="Z403" i="13"/>
  <c r="U403" i="13"/>
  <c r="C403" i="13"/>
  <c r="V402" i="13"/>
  <c r="C402" i="13"/>
  <c r="AD402" i="13" s="1"/>
  <c r="AB401" i="13"/>
  <c r="U401" i="13"/>
  <c r="C401" i="13"/>
  <c r="Y401" i="13" s="1"/>
  <c r="AD400" i="13"/>
  <c r="AB400" i="13"/>
  <c r="W400" i="13"/>
  <c r="T400" i="13"/>
  <c r="S400" i="13"/>
  <c r="C400" i="13"/>
  <c r="Z400" i="13" s="1"/>
  <c r="V399" i="13"/>
  <c r="C399" i="13"/>
  <c r="X399" i="13" s="1"/>
  <c r="AD398" i="13"/>
  <c r="V398" i="13"/>
  <c r="C398" i="13"/>
  <c r="Z398" i="13" s="1"/>
  <c r="C397" i="13"/>
  <c r="W397" i="13" s="1"/>
  <c r="Z396" i="13"/>
  <c r="U396" i="13"/>
  <c r="T396" i="13"/>
  <c r="C396" i="13"/>
  <c r="AD396" i="13" s="1"/>
  <c r="V395" i="13"/>
  <c r="C395" i="13"/>
  <c r="AD395" i="13" s="1"/>
  <c r="AB394" i="13"/>
  <c r="U394" i="13"/>
  <c r="C394" i="13"/>
  <c r="Y394" i="13" s="1"/>
  <c r="AD393" i="13"/>
  <c r="AB393" i="13"/>
  <c r="W393" i="13"/>
  <c r="T393" i="13"/>
  <c r="S393" i="13"/>
  <c r="C393" i="13"/>
  <c r="Z393" i="13" s="1"/>
  <c r="AB392" i="13"/>
  <c r="V392" i="13"/>
  <c r="C392" i="13"/>
  <c r="X392" i="13" s="1"/>
  <c r="AD391" i="13"/>
  <c r="V391" i="13"/>
  <c r="C391" i="13"/>
  <c r="Z391" i="13" s="1"/>
  <c r="AD390" i="13"/>
  <c r="X390" i="13"/>
  <c r="V390" i="13"/>
  <c r="C390" i="13"/>
  <c r="AB390" i="13" s="1"/>
  <c r="AE389" i="13"/>
  <c r="AB389" i="13"/>
  <c r="W389" i="13"/>
  <c r="V389" i="13"/>
  <c r="T389" i="13"/>
  <c r="C389" i="13"/>
  <c r="AA389" i="13" s="1"/>
  <c r="C387" i="13"/>
  <c r="AD387" i="13" s="1"/>
  <c r="W386" i="13"/>
  <c r="C386" i="13"/>
  <c r="AB386" i="13" s="1"/>
  <c r="AD385" i="13"/>
  <c r="V385" i="13"/>
  <c r="C385" i="13"/>
  <c r="Z385" i="13" s="1"/>
  <c r="C384" i="13"/>
  <c r="X383" i="13"/>
  <c r="V383" i="13"/>
  <c r="C383" i="13"/>
  <c r="AB383" i="13" s="1"/>
  <c r="AD382" i="13"/>
  <c r="V382" i="13"/>
  <c r="C382" i="13"/>
  <c r="Z382" i="13" s="1"/>
  <c r="C381" i="13"/>
  <c r="C380" i="13"/>
  <c r="AE380" i="13" s="1"/>
  <c r="AD379" i="13"/>
  <c r="V379" i="13"/>
  <c r="C379" i="13"/>
  <c r="Z379" i="13" s="1"/>
  <c r="Y378" i="13"/>
  <c r="C378" i="13"/>
  <c r="X378" i="13" s="1"/>
  <c r="AB377" i="13"/>
  <c r="AA377" i="13"/>
  <c r="C377" i="13"/>
  <c r="Y376" i="13"/>
  <c r="C376" i="13"/>
  <c r="AB376" i="13" s="1"/>
  <c r="AB375" i="13"/>
  <c r="C375" i="13"/>
  <c r="X375" i="13" s="1"/>
  <c r="AD374" i="13"/>
  <c r="AB374" i="13"/>
  <c r="V374" i="13"/>
  <c r="U374" i="13"/>
  <c r="C374" i="13"/>
  <c r="Y374" i="13" s="1"/>
  <c r="AE373" i="13"/>
  <c r="AD373" i="13"/>
  <c r="X373" i="13"/>
  <c r="T373" i="13"/>
  <c r="S373" i="13"/>
  <c r="C373" i="13"/>
  <c r="AA373" i="13" s="1"/>
  <c r="C372" i="13"/>
  <c r="AB372" i="13" s="1"/>
  <c r="C371" i="13"/>
  <c r="AA371" i="13" s="1"/>
  <c r="C370" i="13"/>
  <c r="X370" i="13" s="1"/>
  <c r="C369" i="13"/>
  <c r="Y368" i="13"/>
  <c r="U368" i="13"/>
  <c r="C368" i="13"/>
  <c r="AB368" i="13" s="1"/>
  <c r="C367" i="13"/>
  <c r="AD366" i="13"/>
  <c r="V366" i="13"/>
  <c r="C366" i="13"/>
  <c r="Z366" i="13" s="1"/>
  <c r="AE365" i="13"/>
  <c r="X365" i="13"/>
  <c r="T365" i="13"/>
  <c r="C365" i="13"/>
  <c r="AA365" i="13" s="1"/>
  <c r="AC364" i="13"/>
  <c r="AB364" i="13"/>
  <c r="C364" i="13"/>
  <c r="AD363" i="13"/>
  <c r="AA363" i="13"/>
  <c r="V363" i="13"/>
  <c r="T363" i="13"/>
  <c r="C363" i="13"/>
  <c r="AE363" i="13" s="1"/>
  <c r="Y362" i="13"/>
  <c r="C362" i="13"/>
  <c r="T362" i="13" s="1"/>
  <c r="C361" i="13"/>
  <c r="W360" i="13"/>
  <c r="V360" i="13"/>
  <c r="C360" i="13"/>
  <c r="AA360" i="13" s="1"/>
  <c r="AE359" i="13"/>
  <c r="AC359" i="13"/>
  <c r="AA359" i="13"/>
  <c r="Y359" i="13"/>
  <c r="X359" i="13"/>
  <c r="U359" i="13"/>
  <c r="T359" i="13"/>
  <c r="S359" i="13"/>
  <c r="C359" i="13"/>
  <c r="AD359" i="13" s="1"/>
  <c r="AC358" i="13"/>
  <c r="U358" i="13"/>
  <c r="C358" i="13"/>
  <c r="Z358" i="13" s="1"/>
  <c r="AE357" i="13"/>
  <c r="C357" i="13"/>
  <c r="W357" i="13" s="1"/>
  <c r="AE356" i="13"/>
  <c r="AA356" i="13"/>
  <c r="Y356" i="13"/>
  <c r="U356" i="13"/>
  <c r="T356" i="13"/>
  <c r="C356" i="13"/>
  <c r="AD356" i="13" s="1"/>
  <c r="AE355" i="13"/>
  <c r="AD355" i="13"/>
  <c r="W355" i="13"/>
  <c r="V355" i="13"/>
  <c r="S355" i="13"/>
  <c r="C355" i="13"/>
  <c r="AA355" i="13" s="1"/>
  <c r="C354" i="13"/>
  <c r="X354" i="13" s="1"/>
  <c r="AA353" i="13"/>
  <c r="V353" i="13"/>
  <c r="S353" i="13"/>
  <c r="C353" i="13"/>
  <c r="AE353" i="13" s="1"/>
  <c r="C352" i="13"/>
  <c r="C351" i="13"/>
  <c r="AA351" i="13" s="1"/>
  <c r="AE350" i="13"/>
  <c r="AC350" i="13"/>
  <c r="AA350" i="13"/>
  <c r="Y350" i="13"/>
  <c r="X350" i="13"/>
  <c r="U350" i="13"/>
  <c r="T350" i="13"/>
  <c r="S350" i="13"/>
  <c r="C350" i="13"/>
  <c r="AD350" i="13" s="1"/>
  <c r="AE349" i="13"/>
  <c r="Z349" i="13"/>
  <c r="W349" i="13"/>
  <c r="C349" i="13"/>
  <c r="X348" i="13"/>
  <c r="C348" i="13"/>
  <c r="AA346" i="13"/>
  <c r="W346" i="13"/>
  <c r="C346" i="13"/>
  <c r="AA345" i="13"/>
  <c r="U345" i="13"/>
  <c r="T345" i="13"/>
  <c r="C345" i="13"/>
  <c r="W345" i="13" s="1"/>
  <c r="AA344" i="13"/>
  <c r="S344" i="13"/>
  <c r="C344" i="13"/>
  <c r="AD344" i="13" s="1"/>
  <c r="AB343" i="13"/>
  <c r="AA343" i="13"/>
  <c r="U343" i="13"/>
  <c r="T343" i="13"/>
  <c r="C343" i="13"/>
  <c r="AE343" i="13" s="1"/>
  <c r="C342" i="13"/>
  <c r="AE341" i="13"/>
  <c r="AB341" i="13"/>
  <c r="AA341" i="13"/>
  <c r="W341" i="13"/>
  <c r="U341" i="13"/>
  <c r="T341" i="13"/>
  <c r="C341" i="13"/>
  <c r="AE340" i="13"/>
  <c r="Z340" i="13"/>
  <c r="W340" i="13"/>
  <c r="C340" i="13"/>
  <c r="AE339" i="13"/>
  <c r="AC339" i="13"/>
  <c r="Y339" i="13"/>
  <c r="X339" i="13"/>
  <c r="T339" i="13"/>
  <c r="S339" i="13"/>
  <c r="C339" i="13"/>
  <c r="AD339" i="13" s="1"/>
  <c r="C338" i="13"/>
  <c r="AA338" i="13" s="1"/>
  <c r="AA337" i="13"/>
  <c r="U337" i="13"/>
  <c r="C337" i="13"/>
  <c r="AD337" i="13" s="1"/>
  <c r="C336" i="13"/>
  <c r="AE336" i="13" s="1"/>
  <c r="AA335" i="13"/>
  <c r="U335" i="13"/>
  <c r="C335" i="13"/>
  <c r="AD335" i="13" s="1"/>
  <c r="AA334" i="13"/>
  <c r="C334" i="13"/>
  <c r="C333" i="13"/>
  <c r="AD333" i="13" s="1"/>
  <c r="C332" i="13"/>
  <c r="AE332" i="13" s="1"/>
  <c r="AE331" i="13"/>
  <c r="AC331" i="13"/>
  <c r="AA331" i="13"/>
  <c r="Y331" i="13"/>
  <c r="X331" i="13"/>
  <c r="U331" i="13"/>
  <c r="T331" i="13"/>
  <c r="S331" i="13"/>
  <c r="C331" i="13"/>
  <c r="AD331" i="13" s="1"/>
  <c r="AE330" i="13"/>
  <c r="AD330" i="13"/>
  <c r="U330" i="13"/>
  <c r="S330" i="13"/>
  <c r="C330" i="13"/>
  <c r="AA330" i="13" s="1"/>
  <c r="C329" i="13"/>
  <c r="AD329" i="13" s="1"/>
  <c r="C328" i="13"/>
  <c r="C327" i="13"/>
  <c r="AD327" i="13" s="1"/>
  <c r="Y326" i="13"/>
  <c r="C326" i="13"/>
  <c r="AA326" i="13" s="1"/>
  <c r="AE325" i="13"/>
  <c r="AC325" i="13"/>
  <c r="AA325" i="13"/>
  <c r="Y325" i="13"/>
  <c r="X325" i="13"/>
  <c r="U325" i="13"/>
  <c r="T325" i="13"/>
  <c r="S325" i="13"/>
  <c r="C325" i="13"/>
  <c r="AD325" i="13" s="1"/>
  <c r="AA324" i="13"/>
  <c r="W324" i="13"/>
  <c r="C324" i="13"/>
  <c r="C323" i="13"/>
  <c r="AD323" i="13" s="1"/>
  <c r="Y322" i="13"/>
  <c r="C322" i="13"/>
  <c r="AA322" i="13" s="1"/>
  <c r="AC321" i="13"/>
  <c r="AB321" i="13"/>
  <c r="V321" i="13"/>
  <c r="U321" i="13"/>
  <c r="S321" i="13"/>
  <c r="C321" i="13"/>
  <c r="Y321" i="13" s="1"/>
  <c r="AE320" i="13"/>
  <c r="AC320" i="13"/>
  <c r="Y320" i="13"/>
  <c r="X320" i="13"/>
  <c r="T320" i="13"/>
  <c r="S320" i="13"/>
  <c r="C320" i="13"/>
  <c r="AD320" i="13" s="1"/>
  <c r="C319" i="13"/>
  <c r="AD319" i="13" s="1"/>
  <c r="AE318" i="13"/>
  <c r="AC318" i="13"/>
  <c r="AA318" i="13"/>
  <c r="Y318" i="13"/>
  <c r="X318" i="13"/>
  <c r="U318" i="13"/>
  <c r="T318" i="13"/>
  <c r="S318" i="13"/>
  <c r="C318" i="13"/>
  <c r="AD318" i="13" s="1"/>
  <c r="AD317" i="13"/>
  <c r="V317" i="13"/>
  <c r="C317" i="13"/>
  <c r="AA317" i="13" s="1"/>
  <c r="AE316" i="13"/>
  <c r="AC316" i="13"/>
  <c r="AA316" i="13"/>
  <c r="Y316" i="13"/>
  <c r="X316" i="13"/>
  <c r="U316" i="13"/>
  <c r="T316" i="13"/>
  <c r="S316" i="13"/>
  <c r="C316" i="13"/>
  <c r="AD316" i="13" s="1"/>
  <c r="Y315" i="13"/>
  <c r="C315" i="13"/>
  <c r="W315" i="13" s="1"/>
  <c r="AE313" i="13"/>
  <c r="AC313" i="13"/>
  <c r="AA313" i="13"/>
  <c r="Y313" i="13"/>
  <c r="X313" i="13"/>
  <c r="U313" i="13"/>
  <c r="T313" i="13"/>
  <c r="S313" i="13"/>
  <c r="C313" i="13"/>
  <c r="AD313" i="13" s="1"/>
  <c r="AD312" i="13"/>
  <c r="V312" i="13"/>
  <c r="C312" i="13"/>
  <c r="AA312" i="13" s="1"/>
  <c r="AE311" i="13"/>
  <c r="AC311" i="13"/>
  <c r="AA311" i="13"/>
  <c r="Y311" i="13"/>
  <c r="X311" i="13"/>
  <c r="U311" i="13"/>
  <c r="T311" i="13"/>
  <c r="S311" i="13"/>
  <c r="C311" i="13"/>
  <c r="AD311" i="13" s="1"/>
  <c r="Y310" i="13"/>
  <c r="W310" i="13"/>
  <c r="C310" i="13"/>
  <c r="C309" i="13"/>
  <c r="AD309" i="13" s="1"/>
  <c r="AA308" i="13"/>
  <c r="Z308" i="13"/>
  <c r="U308" i="13"/>
  <c r="S308" i="13"/>
  <c r="C308" i="13"/>
  <c r="AE308" i="13" s="1"/>
  <c r="C307" i="13"/>
  <c r="AD307" i="13" s="1"/>
  <c r="C306" i="13"/>
  <c r="C305" i="13"/>
  <c r="AD305" i="13" s="1"/>
  <c r="AA304" i="13"/>
  <c r="Z304" i="13"/>
  <c r="U304" i="13"/>
  <c r="S304" i="13"/>
  <c r="C304" i="13"/>
  <c r="AE304" i="13" s="1"/>
  <c r="C303" i="13"/>
  <c r="AD303" i="13" s="1"/>
  <c r="C302" i="13"/>
  <c r="AD302" i="13" s="1"/>
  <c r="AE301" i="13"/>
  <c r="AC301" i="13"/>
  <c r="AA301" i="13"/>
  <c r="Y301" i="13"/>
  <c r="X301" i="13"/>
  <c r="U301" i="13"/>
  <c r="T301" i="13"/>
  <c r="S301" i="13"/>
  <c r="C301" i="13"/>
  <c r="AD301" i="13" s="1"/>
  <c r="AD300" i="13"/>
  <c r="V300" i="13"/>
  <c r="C300" i="13"/>
  <c r="AA300" i="13" s="1"/>
  <c r="AE299" i="13"/>
  <c r="AC299" i="13"/>
  <c r="AA299" i="13"/>
  <c r="Y299" i="13"/>
  <c r="X299" i="13"/>
  <c r="U299" i="13"/>
  <c r="T299" i="13"/>
  <c r="S299" i="13"/>
  <c r="C299" i="13"/>
  <c r="AD299" i="13" s="1"/>
  <c r="Y298" i="13"/>
  <c r="C298" i="13"/>
  <c r="W298" i="13" s="1"/>
  <c r="AE297" i="13"/>
  <c r="AC297" i="13"/>
  <c r="AA297" i="13"/>
  <c r="Y297" i="13"/>
  <c r="X297" i="13"/>
  <c r="U297" i="13"/>
  <c r="T297" i="13"/>
  <c r="S297" i="13"/>
  <c r="C297" i="13"/>
  <c r="AD297" i="13" s="1"/>
  <c r="AD296" i="13"/>
  <c r="V296" i="13"/>
  <c r="C296" i="13"/>
  <c r="AA296" i="13" s="1"/>
  <c r="AE295" i="13"/>
  <c r="AC295" i="13"/>
  <c r="AA295" i="13"/>
  <c r="Y295" i="13"/>
  <c r="X295" i="13"/>
  <c r="U295" i="13"/>
  <c r="T295" i="13"/>
  <c r="S295" i="13"/>
  <c r="C295" i="13"/>
  <c r="AD295" i="13" s="1"/>
  <c r="Y294" i="13"/>
  <c r="W294" i="13"/>
  <c r="C294" i="13"/>
  <c r="C293" i="13"/>
  <c r="AB293" i="13" s="1"/>
  <c r="AA292" i="13"/>
  <c r="Z292" i="13"/>
  <c r="U292" i="13"/>
  <c r="S292" i="13"/>
  <c r="C292" i="13"/>
  <c r="AE292" i="13" s="1"/>
  <c r="C291" i="13"/>
  <c r="AB291" i="13" s="1"/>
  <c r="C290" i="13"/>
  <c r="AC290" i="13" s="1"/>
  <c r="AE289" i="13"/>
  <c r="AC289" i="13"/>
  <c r="Y289" i="13"/>
  <c r="X289" i="13"/>
  <c r="T289" i="13"/>
  <c r="S289" i="13"/>
  <c r="C289" i="13"/>
  <c r="AD289" i="13" s="1"/>
  <c r="AD288" i="13"/>
  <c r="AA288" i="13"/>
  <c r="V288" i="13"/>
  <c r="U288" i="13"/>
  <c r="S288" i="13"/>
  <c r="C288" i="13"/>
  <c r="Z288" i="13" s="1"/>
  <c r="AE287" i="13"/>
  <c r="AC287" i="13"/>
  <c r="Y287" i="13"/>
  <c r="X287" i="13"/>
  <c r="T287" i="13"/>
  <c r="S287" i="13"/>
  <c r="C287" i="13"/>
  <c r="AD287" i="13" s="1"/>
  <c r="AC286" i="13"/>
  <c r="S286" i="13"/>
  <c r="C286" i="13"/>
  <c r="AD286" i="13" s="1"/>
  <c r="C285" i="13"/>
  <c r="X285" i="13" s="1"/>
  <c r="AC284" i="13"/>
  <c r="AA284" i="13"/>
  <c r="U284" i="13"/>
  <c r="T284" i="13"/>
  <c r="C284" i="13"/>
  <c r="AB284" i="13" s="1"/>
  <c r="AC283" i="13"/>
  <c r="Y283" i="13"/>
  <c r="C283" i="13"/>
  <c r="C282" i="13"/>
  <c r="X282" i="13" s="1"/>
  <c r="AA281" i="13"/>
  <c r="Z281" i="13"/>
  <c r="V281" i="13"/>
  <c r="U281" i="13"/>
  <c r="S281" i="13"/>
  <c r="C281" i="13"/>
  <c r="AE281" i="13" s="1"/>
  <c r="W280" i="13"/>
  <c r="C280" i="13"/>
  <c r="X280" i="13" s="1"/>
  <c r="C279" i="13"/>
  <c r="S279" i="13" s="1"/>
  <c r="AC278" i="13"/>
  <c r="X278" i="13"/>
  <c r="S278" i="13"/>
  <c r="C278" i="13"/>
  <c r="AA277" i="13"/>
  <c r="Z277" i="13"/>
  <c r="V277" i="13"/>
  <c r="U277" i="13"/>
  <c r="S277" i="13"/>
  <c r="C277" i="13"/>
  <c r="AE277" i="13" s="1"/>
  <c r="AC276" i="13"/>
  <c r="X276" i="13"/>
  <c r="S276" i="13"/>
  <c r="C276" i="13"/>
  <c r="C275" i="13"/>
  <c r="AC273" i="13"/>
  <c r="AA273" i="13"/>
  <c r="X273" i="13"/>
  <c r="U273" i="13"/>
  <c r="T273" i="13"/>
  <c r="S273" i="13"/>
  <c r="C273" i="13"/>
  <c r="AD273" i="13" s="1"/>
  <c r="C272" i="13"/>
  <c r="V272" i="13" s="1"/>
  <c r="C271" i="13"/>
  <c r="AD271" i="13" s="1"/>
  <c r="AC270" i="13"/>
  <c r="U270" i="13"/>
  <c r="C270" i="13"/>
  <c r="Y270" i="13" s="1"/>
  <c r="AE269" i="13"/>
  <c r="AA269" i="13"/>
  <c r="W269" i="13"/>
  <c r="S269" i="13"/>
  <c r="C269" i="13"/>
  <c r="AD269" i="13" s="1"/>
  <c r="C268" i="13"/>
  <c r="U268" i="13" s="1"/>
  <c r="C267" i="13"/>
  <c r="AD267" i="13" s="1"/>
  <c r="C266" i="13"/>
  <c r="AE265" i="13"/>
  <c r="AB265" i="13"/>
  <c r="AA265" i="13"/>
  <c r="W265" i="13"/>
  <c r="T265" i="13"/>
  <c r="S265" i="13"/>
  <c r="C265" i="13"/>
  <c r="AD265" i="13" s="1"/>
  <c r="AD264" i="13"/>
  <c r="Y264" i="13"/>
  <c r="U264" i="13"/>
  <c r="C264" i="13"/>
  <c r="V264" i="13" s="1"/>
  <c r="AE263" i="13"/>
  <c r="AA263" i="13"/>
  <c r="W263" i="13"/>
  <c r="S263" i="13"/>
  <c r="C263" i="13"/>
  <c r="AD263" i="13" s="1"/>
  <c r="C262" i="13"/>
  <c r="Y262" i="13" s="1"/>
  <c r="C261" i="13"/>
  <c r="AD261" i="13" s="1"/>
  <c r="Z260" i="13"/>
  <c r="C260" i="13"/>
  <c r="AC260" i="13" s="1"/>
  <c r="AE259" i="13"/>
  <c r="AA259" i="13"/>
  <c r="W259" i="13"/>
  <c r="S259" i="13"/>
  <c r="C259" i="13"/>
  <c r="AD259" i="13" s="1"/>
  <c r="Z258" i="13"/>
  <c r="C258" i="13"/>
  <c r="Y258" i="13" s="1"/>
  <c r="AB257" i="13"/>
  <c r="T257" i="13"/>
  <c r="C257" i="13"/>
  <c r="AD257" i="13" s="1"/>
  <c r="C256" i="13"/>
  <c r="AC256" i="13" s="1"/>
  <c r="C255" i="13"/>
  <c r="AD255" i="13" s="1"/>
  <c r="AC254" i="13"/>
  <c r="V254" i="13"/>
  <c r="U254" i="13"/>
  <c r="C254" i="13"/>
  <c r="Y254" i="13" s="1"/>
  <c r="AE253" i="13"/>
  <c r="AA253" i="13"/>
  <c r="W253" i="13"/>
  <c r="T253" i="13"/>
  <c r="S253" i="13"/>
  <c r="C253" i="13"/>
  <c r="AD253" i="13" s="1"/>
  <c r="C252" i="13"/>
  <c r="Z252" i="13" s="1"/>
  <c r="AB251" i="13"/>
  <c r="T251" i="13"/>
  <c r="C251" i="13"/>
  <c r="AD251" i="13" s="1"/>
  <c r="C250" i="13"/>
  <c r="AE249" i="13"/>
  <c r="AA249" i="13"/>
  <c r="W249" i="13"/>
  <c r="S249" i="13"/>
  <c r="C249" i="13"/>
  <c r="AD249" i="13" s="1"/>
  <c r="AD248" i="13"/>
  <c r="Y248" i="13"/>
  <c r="U248" i="13"/>
  <c r="C248" i="13"/>
  <c r="AC248" i="13" s="1"/>
  <c r="AE247" i="13"/>
  <c r="AA247" i="13"/>
  <c r="W247" i="13"/>
  <c r="T247" i="13"/>
  <c r="S247" i="13"/>
  <c r="C247" i="13"/>
  <c r="AD247" i="13" s="1"/>
  <c r="V246" i="13"/>
  <c r="C246" i="13"/>
  <c r="Y246" i="13" s="1"/>
  <c r="T245" i="13"/>
  <c r="C245" i="13"/>
  <c r="AD245" i="13" s="1"/>
  <c r="AC244" i="13"/>
  <c r="Z244" i="13"/>
  <c r="C244" i="13"/>
  <c r="AE243" i="13"/>
  <c r="AB243" i="13"/>
  <c r="AA243" i="13"/>
  <c r="W243" i="13"/>
  <c r="T243" i="13"/>
  <c r="S243" i="13"/>
  <c r="C243" i="13"/>
  <c r="AD243" i="13" s="1"/>
  <c r="C242" i="13"/>
  <c r="Z242" i="13" s="1"/>
  <c r="C241" i="13"/>
  <c r="AA241" i="13" s="1"/>
  <c r="C240" i="13"/>
  <c r="AD240" i="13" s="1"/>
  <c r="C239" i="13"/>
  <c r="AC239" i="13" s="1"/>
  <c r="C238" i="13"/>
  <c r="AD238" i="13" s="1"/>
  <c r="C237" i="13"/>
  <c r="AE236" i="13"/>
  <c r="AA236" i="13"/>
  <c r="W236" i="13"/>
  <c r="T236" i="13"/>
  <c r="S236" i="13"/>
  <c r="C236" i="13"/>
  <c r="AD236" i="13" s="1"/>
  <c r="AD235" i="13"/>
  <c r="Y235" i="13"/>
  <c r="U235" i="13"/>
  <c r="C235" i="13"/>
  <c r="V235" i="13" s="1"/>
  <c r="AE234" i="13"/>
  <c r="AA234" i="13"/>
  <c r="W234" i="13"/>
  <c r="S234" i="13"/>
  <c r="C234" i="13"/>
  <c r="AD234" i="13" s="1"/>
  <c r="C233" i="13"/>
  <c r="Y233" i="13" s="1"/>
  <c r="C232" i="13"/>
  <c r="AD232" i="13" s="1"/>
  <c r="C231" i="13"/>
  <c r="AC231" i="13" s="1"/>
  <c r="AB229" i="13"/>
  <c r="T229" i="13"/>
  <c r="C229" i="13"/>
  <c r="AD229" i="13" s="1"/>
  <c r="C228" i="13"/>
  <c r="Z228" i="13" s="1"/>
  <c r="C227" i="13"/>
  <c r="AD227" i="13" s="1"/>
  <c r="V226" i="13"/>
  <c r="C226" i="13"/>
  <c r="AD226" i="13" s="1"/>
  <c r="AB225" i="13"/>
  <c r="T225" i="13"/>
  <c r="C225" i="13"/>
  <c r="AD225" i="13" s="1"/>
  <c r="AC224" i="13"/>
  <c r="U224" i="13"/>
  <c r="C224" i="13"/>
  <c r="Y224" i="13" s="1"/>
  <c r="AE223" i="13"/>
  <c r="AA223" i="13"/>
  <c r="W223" i="13"/>
  <c r="S223" i="13"/>
  <c r="C223" i="13"/>
  <c r="AD223" i="13" s="1"/>
  <c r="AC222" i="13"/>
  <c r="U222" i="13"/>
  <c r="C222" i="13"/>
  <c r="Z222" i="13" s="1"/>
  <c r="AE221" i="13"/>
  <c r="AA221" i="13"/>
  <c r="W221" i="13"/>
  <c r="S221" i="13"/>
  <c r="C221" i="13"/>
  <c r="AD221" i="13" s="1"/>
  <c r="C220" i="13"/>
  <c r="Z220" i="13" s="1"/>
  <c r="C219" i="13"/>
  <c r="AD219" i="13" s="1"/>
  <c r="V218" i="13"/>
  <c r="C218" i="13"/>
  <c r="AD218" i="13" s="1"/>
  <c r="AB217" i="13"/>
  <c r="T217" i="13"/>
  <c r="C217" i="13"/>
  <c r="AD217" i="13" s="1"/>
  <c r="AC216" i="13"/>
  <c r="U216" i="13"/>
  <c r="C216" i="13"/>
  <c r="Y216" i="13" s="1"/>
  <c r="AE215" i="13"/>
  <c r="AA215" i="13"/>
  <c r="W215" i="13"/>
  <c r="S215" i="13"/>
  <c r="C215" i="13"/>
  <c r="AD215" i="13" s="1"/>
  <c r="AC214" i="13"/>
  <c r="C214" i="13"/>
  <c r="AE213" i="13"/>
  <c r="AB213" i="13"/>
  <c r="AA213" i="13"/>
  <c r="W213" i="13"/>
  <c r="T213" i="13"/>
  <c r="S213" i="13"/>
  <c r="C213" i="13"/>
  <c r="AD213" i="13" s="1"/>
  <c r="C212" i="13"/>
  <c r="Z212" i="13" s="1"/>
  <c r="C211" i="13"/>
  <c r="AD211" i="13" s="1"/>
  <c r="V210" i="13"/>
  <c r="C210" i="13"/>
  <c r="AD210" i="13" s="1"/>
  <c r="AB209" i="13"/>
  <c r="T209" i="13"/>
  <c r="C209" i="13"/>
  <c r="AD209" i="13" s="1"/>
  <c r="AC208" i="13"/>
  <c r="U208" i="13"/>
  <c r="C208" i="13"/>
  <c r="Y208" i="13" s="1"/>
  <c r="AE207" i="13"/>
  <c r="AA207" i="13"/>
  <c r="W207" i="13"/>
  <c r="S207" i="13"/>
  <c r="C207" i="13"/>
  <c r="AD207" i="13" s="1"/>
  <c r="Z206" i="13"/>
  <c r="C206" i="13"/>
  <c r="AC206" i="13" s="1"/>
  <c r="X205" i="13"/>
  <c r="S205" i="13"/>
  <c r="C205" i="13"/>
  <c r="AB205" i="13" s="1"/>
  <c r="AB204" i="13"/>
  <c r="C204" i="13"/>
  <c r="AA203" i="13"/>
  <c r="T203" i="13"/>
  <c r="C203" i="13"/>
  <c r="Z203" i="13" s="1"/>
  <c r="Y202" i="13"/>
  <c r="X202" i="13"/>
  <c r="C202" i="13"/>
  <c r="AA201" i="13"/>
  <c r="C201" i="13"/>
  <c r="AD200" i="13"/>
  <c r="Y200" i="13"/>
  <c r="U200" i="13"/>
  <c r="T200" i="13"/>
  <c r="C200" i="13"/>
  <c r="AB200" i="13" s="1"/>
  <c r="C199" i="13"/>
  <c r="AA199" i="13" s="1"/>
  <c r="AD198" i="13"/>
  <c r="X198" i="13"/>
  <c r="S198" i="13"/>
  <c r="C198" i="13"/>
  <c r="AA198" i="13" s="1"/>
  <c r="C197" i="13"/>
  <c r="X197" i="13" s="1"/>
  <c r="AD196" i="13"/>
  <c r="AA196" i="13"/>
  <c r="Z196" i="13"/>
  <c r="V196" i="13"/>
  <c r="T196" i="13"/>
  <c r="S196" i="13"/>
  <c r="C196" i="13"/>
  <c r="AE196" i="13" s="1"/>
  <c r="Y195" i="13"/>
  <c r="C195" i="13"/>
  <c r="C194" i="13"/>
  <c r="U193" i="13"/>
  <c r="C193" i="13"/>
  <c r="AB193" i="13" s="1"/>
  <c r="C192" i="13"/>
  <c r="AD191" i="13"/>
  <c r="Z191" i="13"/>
  <c r="V191" i="13"/>
  <c r="T191" i="13"/>
  <c r="C191" i="13"/>
  <c r="AB191" i="13" s="1"/>
  <c r="AE190" i="13"/>
  <c r="T190" i="13"/>
  <c r="C190" i="13"/>
  <c r="AA190" i="13" s="1"/>
  <c r="C188" i="13"/>
  <c r="C187" i="13"/>
  <c r="AE187" i="13" s="1"/>
  <c r="C186" i="13"/>
  <c r="Y186" i="13" s="1"/>
  <c r="C185" i="13"/>
  <c r="W185" i="13" s="1"/>
  <c r="AD184" i="13"/>
  <c r="Y184" i="13"/>
  <c r="U184" i="13"/>
  <c r="T184" i="13"/>
  <c r="C184" i="13"/>
  <c r="AB184" i="13" s="1"/>
  <c r="C183" i="13"/>
  <c r="W183" i="13" s="1"/>
  <c r="AB182" i="13"/>
  <c r="U182" i="13"/>
  <c r="C182" i="13"/>
  <c r="Z182" i="13" s="1"/>
  <c r="AD181" i="13"/>
  <c r="X181" i="13"/>
  <c r="S181" i="13"/>
  <c r="C181" i="13"/>
  <c r="AA181" i="13" s="1"/>
  <c r="C180" i="13"/>
  <c r="AD179" i="13"/>
  <c r="Z179" i="13"/>
  <c r="V179" i="13"/>
  <c r="T179" i="13"/>
  <c r="S179" i="13"/>
  <c r="C179" i="13"/>
  <c r="AA179" i="13" s="1"/>
  <c r="Y178" i="13"/>
  <c r="C178" i="13"/>
  <c r="AD178" i="13" s="1"/>
  <c r="C177" i="13"/>
  <c r="W177" i="13" s="1"/>
  <c r="C176" i="13"/>
  <c r="AB176" i="13" s="1"/>
  <c r="C175" i="13"/>
  <c r="W175" i="13" s="1"/>
  <c r="AD174" i="13"/>
  <c r="Z174" i="13"/>
  <c r="V174" i="13"/>
  <c r="T174" i="13"/>
  <c r="C174" i="13"/>
  <c r="Y174" i="13" s="1"/>
  <c r="C173" i="13"/>
  <c r="C172" i="13"/>
  <c r="AA171" i="13"/>
  <c r="T171" i="13"/>
  <c r="C171" i="13"/>
  <c r="Z171" i="13" s="1"/>
  <c r="C170" i="13"/>
  <c r="Y170" i="13" s="1"/>
  <c r="C169" i="13"/>
  <c r="W169" i="13" s="1"/>
  <c r="AD168" i="13"/>
  <c r="Y168" i="13"/>
  <c r="U168" i="13"/>
  <c r="T168" i="13"/>
  <c r="C168" i="13"/>
  <c r="AB168" i="13" s="1"/>
  <c r="C167" i="13"/>
  <c r="W167" i="13" s="1"/>
  <c r="C166" i="13"/>
  <c r="AB166" i="13" s="1"/>
  <c r="AD165" i="13"/>
  <c r="X165" i="13"/>
  <c r="T165" i="13"/>
  <c r="S165" i="13"/>
  <c r="C165" i="13"/>
  <c r="AA165" i="13" s="1"/>
  <c r="C164" i="13"/>
  <c r="AD163" i="13"/>
  <c r="Z163" i="13"/>
  <c r="V163" i="13"/>
  <c r="S163" i="13"/>
  <c r="C163" i="13"/>
  <c r="AE163" i="13" s="1"/>
  <c r="Y162" i="13"/>
  <c r="C162" i="13"/>
  <c r="AD162" i="13" s="1"/>
  <c r="C161" i="13"/>
  <c r="AB161" i="13" s="1"/>
  <c r="Z160" i="13"/>
  <c r="U160" i="13"/>
  <c r="C160" i="13"/>
  <c r="C159" i="13"/>
  <c r="W159" i="13" s="1"/>
  <c r="AB158" i="13"/>
  <c r="T158" i="13"/>
  <c r="C158" i="13"/>
  <c r="X157" i="13"/>
  <c r="C157" i="13"/>
  <c r="AB157" i="13" s="1"/>
  <c r="C156" i="13"/>
  <c r="AA156" i="13" s="1"/>
  <c r="Y155" i="13"/>
  <c r="X155" i="13"/>
  <c r="T155" i="13"/>
  <c r="C155" i="13"/>
  <c r="AD155" i="13" s="1"/>
  <c r="C154" i="13"/>
  <c r="W154" i="13" s="1"/>
  <c r="Z153" i="13"/>
  <c r="U153" i="13"/>
  <c r="C153" i="13"/>
  <c r="W152" i="13"/>
  <c r="C152" i="13"/>
  <c r="X152" i="13" s="1"/>
  <c r="AD151" i="13"/>
  <c r="Z151" i="13"/>
  <c r="V151" i="13"/>
  <c r="U151" i="13"/>
  <c r="T151" i="13"/>
  <c r="C151" i="13"/>
  <c r="Y151" i="13" s="1"/>
  <c r="AE150" i="13"/>
  <c r="Z150" i="13"/>
  <c r="T150" i="13"/>
  <c r="C150" i="13"/>
  <c r="X149" i="13"/>
  <c r="C149" i="13"/>
  <c r="AB149" i="13" s="1"/>
  <c r="C148" i="13"/>
  <c r="AA148" i="13" s="1"/>
  <c r="C147" i="13"/>
  <c r="X147" i="13" s="1"/>
  <c r="C145" i="13"/>
  <c r="C144" i="13"/>
  <c r="Z144" i="13" s="1"/>
  <c r="X143" i="13"/>
  <c r="S143" i="13"/>
  <c r="C143" i="13"/>
  <c r="W143" i="13" s="1"/>
  <c r="AD142" i="13"/>
  <c r="Z142" i="13"/>
  <c r="V142" i="13"/>
  <c r="T142" i="13"/>
  <c r="C142" i="13"/>
  <c r="AB142" i="13" s="1"/>
  <c r="AE141" i="13"/>
  <c r="C141" i="13"/>
  <c r="Z141" i="13" s="1"/>
  <c r="X140" i="13"/>
  <c r="C140" i="13"/>
  <c r="AD139" i="13"/>
  <c r="Z139" i="13"/>
  <c r="V139" i="13"/>
  <c r="S139" i="13"/>
  <c r="C139" i="13"/>
  <c r="AA139" i="13" s="1"/>
  <c r="AD138" i="13"/>
  <c r="T138" i="13"/>
  <c r="C138" i="13"/>
  <c r="Y138" i="13" s="1"/>
  <c r="AA137" i="13"/>
  <c r="V137" i="13"/>
  <c r="C137" i="13"/>
  <c r="W137" i="13" s="1"/>
  <c r="AD136" i="13"/>
  <c r="Y136" i="13"/>
  <c r="T136" i="13"/>
  <c r="C136" i="13"/>
  <c r="AB136" i="13" s="1"/>
  <c r="C135" i="13"/>
  <c r="AD135" i="13" s="1"/>
  <c r="AB134" i="13"/>
  <c r="C134" i="13"/>
  <c r="Y134" i="13" s="1"/>
  <c r="AD133" i="13"/>
  <c r="X133" i="13"/>
  <c r="S133" i="13"/>
  <c r="C133" i="13"/>
  <c r="AA133" i="13" s="1"/>
  <c r="AB132" i="13"/>
  <c r="V132" i="13"/>
  <c r="C132" i="13"/>
  <c r="X132" i="13" s="1"/>
  <c r="AA131" i="13"/>
  <c r="C131" i="13"/>
  <c r="X131" i="13" s="1"/>
  <c r="X130" i="13"/>
  <c r="C130" i="13"/>
  <c r="C129" i="13"/>
  <c r="Z128" i="13"/>
  <c r="C128" i="13"/>
  <c r="U128" i="13" s="1"/>
  <c r="X127" i="13"/>
  <c r="S127" i="13"/>
  <c r="C127" i="13"/>
  <c r="AD127" i="13" s="1"/>
  <c r="AD126" i="13"/>
  <c r="Z126" i="13"/>
  <c r="V126" i="13"/>
  <c r="T126" i="13"/>
  <c r="C126" i="13"/>
  <c r="Y126" i="13" s="1"/>
  <c r="AE125" i="13"/>
  <c r="Z125" i="13"/>
  <c r="C125" i="13"/>
  <c r="T125" i="13" s="1"/>
  <c r="AB124" i="13"/>
  <c r="X124" i="13"/>
  <c r="S124" i="13"/>
  <c r="C124" i="13"/>
  <c r="AC124" i="13" s="1"/>
  <c r="AD123" i="13"/>
  <c r="X123" i="13"/>
  <c r="C123" i="13"/>
  <c r="C122" i="13"/>
  <c r="AA122" i="13" s="1"/>
  <c r="AD121" i="13"/>
  <c r="Y121" i="13"/>
  <c r="U121" i="13"/>
  <c r="T121" i="13"/>
  <c r="C121" i="13"/>
  <c r="AB121" i="13" s="1"/>
  <c r="C120" i="13"/>
  <c r="X120" i="13" s="1"/>
  <c r="AD119" i="13"/>
  <c r="V119" i="13"/>
  <c r="C119" i="13"/>
  <c r="Z119" i="13" s="1"/>
  <c r="AE118" i="13"/>
  <c r="X118" i="13"/>
  <c r="T118" i="13"/>
  <c r="C118" i="13"/>
  <c r="AA118" i="13" s="1"/>
  <c r="C117" i="13"/>
  <c r="AB117" i="13" s="1"/>
  <c r="AD116" i="13"/>
  <c r="AA116" i="13"/>
  <c r="Z116" i="13"/>
  <c r="V116" i="13"/>
  <c r="T116" i="13"/>
  <c r="S116" i="13"/>
  <c r="C116" i="13"/>
  <c r="AE116" i="13" s="1"/>
  <c r="Y115" i="13"/>
  <c r="X115" i="13"/>
  <c r="C115" i="13"/>
  <c r="AD115" i="13" s="1"/>
  <c r="C114" i="13"/>
  <c r="AA114" i="13" s="1"/>
  <c r="Y112" i="13"/>
  <c r="U112" i="13"/>
  <c r="C112" i="13"/>
  <c r="AB112" i="13" s="1"/>
  <c r="C111" i="13"/>
  <c r="X111" i="13" s="1"/>
  <c r="C110" i="13"/>
  <c r="AB110" i="13" s="1"/>
  <c r="X109" i="13"/>
  <c r="C109" i="13"/>
  <c r="AA109" i="13" s="1"/>
  <c r="AB108" i="13"/>
  <c r="C108" i="13"/>
  <c r="V108" i="13" s="1"/>
  <c r="AD107" i="13"/>
  <c r="AA107" i="13"/>
  <c r="V107" i="13"/>
  <c r="T107" i="13"/>
  <c r="C107" i="13"/>
  <c r="AE107" i="13" s="1"/>
  <c r="C106" i="13"/>
  <c r="Y106" i="13" s="1"/>
  <c r="C105" i="13"/>
  <c r="AD105" i="13" s="1"/>
  <c r="Y104" i="13"/>
  <c r="V104" i="13"/>
  <c r="C104" i="13"/>
  <c r="AC104" i="13" s="1"/>
  <c r="AE103" i="13"/>
  <c r="AB103" i="13"/>
  <c r="W103" i="13"/>
  <c r="T103" i="13"/>
  <c r="C103" i="13"/>
  <c r="AD103" i="13" s="1"/>
  <c r="AC102" i="13"/>
  <c r="C102" i="13"/>
  <c r="Y102" i="13" s="1"/>
  <c r="AE101" i="13"/>
  <c r="W101" i="13"/>
  <c r="C101" i="13"/>
  <c r="AD101" i="13" s="1"/>
  <c r="C100" i="13"/>
  <c r="AD100" i="13" s="1"/>
  <c r="C99" i="13"/>
  <c r="AD99" i="13" s="1"/>
  <c r="C98" i="13"/>
  <c r="Y98" i="13" s="1"/>
  <c r="AE97" i="13"/>
  <c r="AB97" i="13"/>
  <c r="W97" i="13"/>
  <c r="T97" i="13"/>
  <c r="C97" i="13"/>
  <c r="AD97" i="13" s="1"/>
  <c r="C96" i="13"/>
  <c r="V96" i="13" s="1"/>
  <c r="C95" i="13"/>
  <c r="AD95" i="13" s="1"/>
  <c r="AC94" i="13"/>
  <c r="V94" i="13"/>
  <c r="U94" i="13"/>
  <c r="C94" i="13"/>
  <c r="Y94" i="13" s="1"/>
  <c r="AE93" i="13"/>
  <c r="AB93" i="13"/>
  <c r="AA93" i="13"/>
  <c r="W93" i="13"/>
  <c r="T93" i="13"/>
  <c r="S93" i="13"/>
  <c r="C93" i="13"/>
  <c r="AD93" i="13" s="1"/>
  <c r="C92" i="13"/>
  <c r="AE91" i="13"/>
  <c r="AB91" i="13"/>
  <c r="W91" i="13"/>
  <c r="T91" i="13"/>
  <c r="C91" i="13"/>
  <c r="AD91" i="13" s="1"/>
  <c r="C90" i="13"/>
  <c r="Y90" i="13" s="1"/>
  <c r="C89" i="13"/>
  <c r="AA89" i="13" s="1"/>
  <c r="C88" i="13"/>
  <c r="AD88" i="13" s="1"/>
  <c r="C87" i="13"/>
  <c r="AD87" i="13" s="1"/>
  <c r="AE86" i="13"/>
  <c r="AB86" i="13"/>
  <c r="AA86" i="13"/>
  <c r="W86" i="13"/>
  <c r="T86" i="13"/>
  <c r="S86" i="13"/>
  <c r="C86" i="13"/>
  <c r="AD86" i="13" s="1"/>
  <c r="C85" i="13"/>
  <c r="Y85" i="13" s="1"/>
  <c r="AE84" i="13"/>
  <c r="W84" i="13"/>
  <c r="C84" i="13"/>
  <c r="AD84" i="13" s="1"/>
  <c r="AD83" i="13"/>
  <c r="Y83" i="13"/>
  <c r="V83" i="13"/>
  <c r="U83" i="13"/>
  <c r="C83" i="13"/>
  <c r="AC83" i="13" s="1"/>
  <c r="AE82" i="13"/>
  <c r="AB82" i="13"/>
  <c r="AA82" i="13"/>
  <c r="W82" i="13"/>
  <c r="T82" i="13"/>
  <c r="S82" i="13"/>
  <c r="C82" i="13"/>
  <c r="AD82" i="13" s="1"/>
  <c r="AC81" i="13"/>
  <c r="V81" i="13"/>
  <c r="C81" i="13"/>
  <c r="Y81" i="13" s="1"/>
  <c r="AE80" i="13"/>
  <c r="AB80" i="13"/>
  <c r="W80" i="13"/>
  <c r="T80" i="13"/>
  <c r="C80" i="13"/>
  <c r="AD80" i="13" s="1"/>
  <c r="C79" i="13"/>
  <c r="AD79" i="13" s="1"/>
  <c r="AE78" i="13"/>
  <c r="W78" i="13"/>
  <c r="C78" i="13"/>
  <c r="AD78" i="13" s="1"/>
  <c r="Y77" i="13"/>
  <c r="C77" i="13"/>
  <c r="AC77" i="13" s="1"/>
  <c r="AE75" i="13"/>
  <c r="AB75" i="13"/>
  <c r="AA75" i="13"/>
  <c r="W75" i="13"/>
  <c r="T75" i="13"/>
  <c r="S75" i="13"/>
  <c r="C75" i="13"/>
  <c r="AD75" i="13" s="1"/>
  <c r="Y74" i="13"/>
  <c r="C74" i="13"/>
  <c r="AD74" i="13" s="1"/>
  <c r="AE73" i="13"/>
  <c r="W73" i="13"/>
  <c r="C73" i="13"/>
  <c r="AD73" i="13" s="1"/>
  <c r="C72" i="13"/>
  <c r="Y72" i="13" s="1"/>
  <c r="C71" i="13"/>
  <c r="AD71" i="13" s="1"/>
  <c r="C70" i="13"/>
  <c r="AD70" i="13" s="1"/>
  <c r="AE69" i="13"/>
  <c r="AB69" i="13"/>
  <c r="AA69" i="13"/>
  <c r="W69" i="13"/>
  <c r="T69" i="13"/>
  <c r="S69" i="13"/>
  <c r="C69" i="13"/>
  <c r="AD69" i="13" s="1"/>
  <c r="C68" i="13"/>
  <c r="Y68" i="13" s="1"/>
  <c r="AE67" i="13"/>
  <c r="X67" i="13"/>
  <c r="T67" i="13"/>
  <c r="S67" i="13"/>
  <c r="C67" i="13"/>
  <c r="AA67" i="13" s="1"/>
  <c r="C66" i="13"/>
  <c r="AB66" i="13" s="1"/>
  <c r="AD65" i="13"/>
  <c r="AA65" i="13"/>
  <c r="Z65" i="13"/>
  <c r="V65" i="13"/>
  <c r="T65" i="13"/>
  <c r="S65" i="13"/>
  <c r="C65" i="13"/>
  <c r="AE65" i="13" s="1"/>
  <c r="C64" i="13"/>
  <c r="Z64" i="13" s="1"/>
  <c r="AA63" i="13"/>
  <c r="V63" i="13"/>
  <c r="C63" i="13"/>
  <c r="Y62" i="13"/>
  <c r="C62" i="13"/>
  <c r="AB62" i="13" s="1"/>
  <c r="C61" i="13"/>
  <c r="C60" i="13"/>
  <c r="AB60" i="13" s="1"/>
  <c r="X59" i="13"/>
  <c r="C59" i="13"/>
  <c r="AA59" i="13" s="1"/>
  <c r="AB58" i="13"/>
  <c r="C58" i="13"/>
  <c r="AD58" i="13" s="1"/>
  <c r="AD57" i="13"/>
  <c r="V57" i="13"/>
  <c r="C57" i="13"/>
  <c r="Z57" i="13" s="1"/>
  <c r="C56" i="13"/>
  <c r="C55" i="13"/>
  <c r="V55" i="13" s="1"/>
  <c r="AD54" i="13"/>
  <c r="Y54" i="13"/>
  <c r="U54" i="13"/>
  <c r="T54" i="13"/>
  <c r="C54" i="13"/>
  <c r="AB54" i="13" s="1"/>
  <c r="C53" i="13"/>
  <c r="AE53" i="13" s="1"/>
  <c r="AD52" i="13"/>
  <c r="AB52" i="13"/>
  <c r="V52" i="13"/>
  <c r="U52" i="13"/>
  <c r="C52" i="13"/>
  <c r="Y52" i="13" s="1"/>
  <c r="AE51" i="13"/>
  <c r="AD51" i="13"/>
  <c r="X51" i="13"/>
  <c r="T51" i="13"/>
  <c r="S51" i="13"/>
  <c r="C51" i="13"/>
  <c r="AA51" i="13" s="1"/>
  <c r="C50" i="13"/>
  <c r="AD50" i="13" s="1"/>
  <c r="AD49" i="13"/>
  <c r="AA49" i="13"/>
  <c r="Z49" i="13"/>
  <c r="V49" i="13"/>
  <c r="T49" i="13"/>
  <c r="S49" i="13"/>
  <c r="C49" i="13"/>
  <c r="AE49" i="13" s="1"/>
  <c r="C48" i="13"/>
  <c r="AA47" i="13"/>
  <c r="V47" i="13"/>
  <c r="C47" i="13"/>
  <c r="Y46" i="13"/>
  <c r="C46" i="13"/>
  <c r="AB46" i="13" s="1"/>
  <c r="C45" i="13"/>
  <c r="AB44" i="13"/>
  <c r="Z44" i="13"/>
  <c r="V44" i="13"/>
  <c r="U44" i="13"/>
  <c r="C44" i="13"/>
  <c r="AE44" i="13" s="1"/>
  <c r="AE43" i="13"/>
  <c r="AD43" i="13"/>
  <c r="Y43" i="13"/>
  <c r="U43" i="13"/>
  <c r="S43" i="13"/>
  <c r="C43" i="13"/>
  <c r="AA43" i="13" s="1"/>
  <c r="C42" i="13"/>
  <c r="AD42" i="13" s="1"/>
  <c r="AA41" i="13"/>
  <c r="U41" i="13"/>
  <c r="C41" i="13"/>
  <c r="AD41" i="13" s="1"/>
  <c r="C40" i="13"/>
  <c r="AC40" i="13" s="1"/>
  <c r="AA39" i="13"/>
  <c r="U39" i="13"/>
  <c r="C39" i="13"/>
  <c r="AD39" i="13" s="1"/>
  <c r="C38" i="13"/>
  <c r="AC38" i="13" s="1"/>
  <c r="AA36" i="13"/>
  <c r="W36" i="13"/>
  <c r="U36" i="13"/>
  <c r="C36" i="13"/>
  <c r="AD36" i="13" s="1"/>
  <c r="C35" i="13"/>
  <c r="AC35" i="13" s="1"/>
  <c r="AA34" i="13"/>
  <c r="U34" i="13"/>
  <c r="C34" i="13"/>
  <c r="AD34" i="13" s="1"/>
  <c r="C33" i="13"/>
  <c r="AC33" i="13" s="1"/>
  <c r="AA32" i="13"/>
  <c r="U32" i="13"/>
  <c r="C32" i="13"/>
  <c r="AD32" i="13" s="1"/>
  <c r="C31" i="13"/>
  <c r="AC31" i="13" s="1"/>
  <c r="AA30" i="13"/>
  <c r="U30" i="13"/>
  <c r="C30" i="13"/>
  <c r="AD30" i="13" s="1"/>
  <c r="C29" i="13"/>
  <c r="AC29" i="13" s="1"/>
  <c r="AA28" i="13"/>
  <c r="U28" i="13"/>
  <c r="C28" i="13"/>
  <c r="AD28" i="13" s="1"/>
  <c r="C27" i="13"/>
  <c r="AC27" i="13" s="1"/>
  <c r="AA26" i="13"/>
  <c r="W26" i="13"/>
  <c r="U26" i="13"/>
  <c r="C26" i="13"/>
  <c r="AD26" i="13" s="1"/>
  <c r="C25" i="13"/>
  <c r="AC25" i="13" s="1"/>
  <c r="AA24" i="13"/>
  <c r="U24" i="13"/>
  <c r="C24" i="13"/>
  <c r="AD24" i="13" s="1"/>
  <c r="C23" i="13"/>
  <c r="W42" i="13" l="1"/>
  <c r="W24" i="13"/>
  <c r="AB24" i="13"/>
  <c r="W28" i="13"/>
  <c r="W30" i="13"/>
  <c r="AB30" i="13"/>
  <c r="AB32" i="13"/>
  <c r="W34" i="13"/>
  <c r="AB34" i="13"/>
  <c r="AB39" i="13"/>
  <c r="AB41" i="13"/>
  <c r="X24" i="13"/>
  <c r="T24" i="13"/>
  <c r="Y24" i="13"/>
  <c r="AE24" i="13"/>
  <c r="T26" i="13"/>
  <c r="Y26" i="13"/>
  <c r="AE26" i="13"/>
  <c r="T28" i="13"/>
  <c r="Y28" i="13"/>
  <c r="AE28" i="13"/>
  <c r="T30" i="13"/>
  <c r="Y30" i="13"/>
  <c r="AE30" i="13"/>
  <c r="T32" i="13"/>
  <c r="Y32" i="13"/>
  <c r="AE32" i="13"/>
  <c r="T34" i="13"/>
  <c r="Y34" i="13"/>
  <c r="AE34" i="13"/>
  <c r="T36" i="13"/>
  <c r="Y36" i="13"/>
  <c r="AE36" i="13"/>
  <c r="T39" i="13"/>
  <c r="Y39" i="13"/>
  <c r="AE39" i="13"/>
  <c r="T41" i="13"/>
  <c r="Y41" i="13"/>
  <c r="AE41" i="13"/>
  <c r="U42" i="13"/>
  <c r="AA42" i="13"/>
  <c r="Z43" i="13"/>
  <c r="S44" i="13"/>
  <c r="Y44" i="13"/>
  <c r="AD44" i="13"/>
  <c r="U46" i="13"/>
  <c r="X49" i="13"/>
  <c r="Z51" i="13"/>
  <c r="T52" i="13"/>
  <c r="Z52" i="13"/>
  <c r="Z54" i="13"/>
  <c r="AA55" i="13"/>
  <c r="T57" i="13"/>
  <c r="AA57" i="13"/>
  <c r="V58" i="13"/>
  <c r="T59" i="13"/>
  <c r="AE59" i="13"/>
  <c r="V60" i="13"/>
  <c r="AD60" i="13"/>
  <c r="U62" i="13"/>
  <c r="X65" i="13"/>
  <c r="Z67" i="13"/>
  <c r="X69" i="13"/>
  <c r="W71" i="13"/>
  <c r="AE71" i="13"/>
  <c r="AC72" i="13"/>
  <c r="T73" i="13"/>
  <c r="AB73" i="13"/>
  <c r="V74" i="13"/>
  <c r="X75" i="13"/>
  <c r="T78" i="13"/>
  <c r="AB78" i="13"/>
  <c r="S80" i="13"/>
  <c r="AA80" i="13"/>
  <c r="U81" i="13"/>
  <c r="X82" i="13"/>
  <c r="T84" i="13"/>
  <c r="AB84" i="13"/>
  <c r="X86" i="13"/>
  <c r="W88" i="13"/>
  <c r="AE88" i="13"/>
  <c r="AE89" i="13"/>
  <c r="S91" i="13"/>
  <c r="AA91" i="13"/>
  <c r="X93" i="13"/>
  <c r="AD94" i="13"/>
  <c r="W95" i="13"/>
  <c r="AE95" i="13"/>
  <c r="Y96" i="13"/>
  <c r="S97" i="13"/>
  <c r="AA97" i="13"/>
  <c r="W99" i="13"/>
  <c r="AE99" i="13"/>
  <c r="T101" i="13"/>
  <c r="AB101" i="13"/>
  <c r="V102" i="13"/>
  <c r="S103" i="13"/>
  <c r="AA103" i="13"/>
  <c r="U104" i="13"/>
  <c r="AD104" i="13"/>
  <c r="W105" i="13"/>
  <c r="AE105" i="13"/>
  <c r="S107" i="13"/>
  <c r="Z107" i="13"/>
  <c r="T109" i="13"/>
  <c r="AE109" i="13"/>
  <c r="V110" i="13"/>
  <c r="AD110" i="13"/>
  <c r="T112" i="13"/>
  <c r="AD112" i="13"/>
  <c r="T115" i="13"/>
  <c r="X116" i="13"/>
  <c r="S118" i="13"/>
  <c r="AD118" i="13"/>
  <c r="U119" i="13"/>
  <c r="AB119" i="13"/>
  <c r="Z121" i="13"/>
  <c r="Y123" i="13"/>
  <c r="T123" i="13"/>
  <c r="Y130" i="13"/>
  <c r="T130" i="13"/>
  <c r="AD130" i="13"/>
  <c r="V140" i="13"/>
  <c r="AB140" i="13"/>
  <c r="AA150" i="13"/>
  <c r="X150" i="13"/>
  <c r="AD150" i="13"/>
  <c r="S150" i="13"/>
  <c r="AB153" i="13"/>
  <c r="AD153" i="13"/>
  <c r="T153" i="13"/>
  <c r="Y153" i="13"/>
  <c r="AA154" i="13"/>
  <c r="AC158" i="13"/>
  <c r="Z158" i="13"/>
  <c r="S158" i="13"/>
  <c r="AB160" i="13"/>
  <c r="AD160" i="13"/>
  <c r="T160" i="13"/>
  <c r="Y160" i="13"/>
  <c r="AC23" i="13"/>
  <c r="T23" i="13"/>
  <c r="Y60" i="13"/>
  <c r="X71" i="13"/>
  <c r="AD72" i="13"/>
  <c r="X88" i="13"/>
  <c r="X95" i="13"/>
  <c r="AC96" i="13"/>
  <c r="X99" i="13"/>
  <c r="X105" i="13"/>
  <c r="Y110" i="13"/>
  <c r="AA145" i="13"/>
  <c r="V145" i="13"/>
  <c r="AD148" i="13"/>
  <c r="V148" i="13"/>
  <c r="Z148" i="13"/>
  <c r="S148" i="13"/>
  <c r="AE148" i="13"/>
  <c r="AD156" i="13"/>
  <c r="V156" i="13"/>
  <c r="Z156" i="13"/>
  <c r="S156" i="13"/>
  <c r="AE156" i="13"/>
  <c r="AD166" i="13"/>
  <c r="V166" i="13"/>
  <c r="Z166" i="13"/>
  <c r="T166" i="13"/>
  <c r="AA173" i="13"/>
  <c r="X173" i="13"/>
  <c r="AE173" i="13"/>
  <c r="T173" i="13"/>
  <c r="AD173" i="13"/>
  <c r="S173" i="13"/>
  <c r="S42" i="13"/>
  <c r="AC42" i="13"/>
  <c r="Z46" i="13"/>
  <c r="X57" i="13"/>
  <c r="AE57" i="13"/>
  <c r="Z59" i="13"/>
  <c r="T60" i="13"/>
  <c r="Z60" i="13"/>
  <c r="Z62" i="13"/>
  <c r="V66" i="13"/>
  <c r="S71" i="13"/>
  <c r="AA71" i="13"/>
  <c r="U72" i="13"/>
  <c r="X73" i="13"/>
  <c r="AC74" i="13"/>
  <c r="X78" i="13"/>
  <c r="X84" i="13"/>
  <c r="S88" i="13"/>
  <c r="AA88" i="13"/>
  <c r="W89" i="13"/>
  <c r="S95" i="13"/>
  <c r="AA95" i="13"/>
  <c r="U96" i="13"/>
  <c r="AD96" i="13"/>
  <c r="S99" i="13"/>
  <c r="AA99" i="13"/>
  <c r="X101" i="13"/>
  <c r="AD102" i="13"/>
  <c r="S105" i="13"/>
  <c r="AA105" i="13"/>
  <c r="Z109" i="13"/>
  <c r="T110" i="13"/>
  <c r="Z110" i="13"/>
  <c r="Y119" i="13"/>
  <c r="V129" i="13"/>
  <c r="AA129" i="13"/>
  <c r="Z131" i="13"/>
  <c r="S131" i="13"/>
  <c r="AD131" i="13"/>
  <c r="V131" i="13"/>
  <c r="AE131" i="13"/>
  <c r="Z134" i="13"/>
  <c r="T134" i="13"/>
  <c r="AD134" i="13"/>
  <c r="V134" i="13"/>
  <c r="S135" i="13"/>
  <c r="X135" i="13"/>
  <c r="AA141" i="13"/>
  <c r="AD141" i="13"/>
  <c r="S141" i="13"/>
  <c r="X141" i="13"/>
  <c r="AB144" i="13"/>
  <c r="AD144" i="13"/>
  <c r="T144" i="13"/>
  <c r="Y144" i="13"/>
  <c r="W145" i="13"/>
  <c r="T148" i="13"/>
  <c r="T156" i="13"/>
  <c r="U166" i="13"/>
  <c r="Z173" i="13"/>
  <c r="AB42" i="13"/>
  <c r="AB26" i="13"/>
  <c r="AB28" i="13"/>
  <c r="W32" i="13"/>
  <c r="AB36" i="13"/>
  <c r="W39" i="13"/>
  <c r="W41" i="13"/>
  <c r="X42" i="13"/>
  <c r="V50" i="13"/>
  <c r="S24" i="13"/>
  <c r="AC24" i="13"/>
  <c r="S26" i="13"/>
  <c r="X26" i="13"/>
  <c r="AC26" i="13"/>
  <c r="S28" i="13"/>
  <c r="X28" i="13"/>
  <c r="AC28" i="13"/>
  <c r="S30" i="13"/>
  <c r="X30" i="13"/>
  <c r="AC30" i="13"/>
  <c r="S32" i="13"/>
  <c r="X32" i="13"/>
  <c r="AC32" i="13"/>
  <c r="S34" i="13"/>
  <c r="X34" i="13"/>
  <c r="AC34" i="13"/>
  <c r="S36" i="13"/>
  <c r="X36" i="13"/>
  <c r="AC36" i="13"/>
  <c r="S39" i="13"/>
  <c r="X39" i="13"/>
  <c r="AC39" i="13"/>
  <c r="S41" i="13"/>
  <c r="X41" i="13"/>
  <c r="AC41" i="13"/>
  <c r="T42" i="13"/>
  <c r="Y42" i="13"/>
  <c r="AE42" i="13"/>
  <c r="X44" i="13"/>
  <c r="AC44" i="13"/>
  <c r="T46" i="13"/>
  <c r="AD46" i="13"/>
  <c r="AB50" i="13"/>
  <c r="S57" i="13"/>
  <c r="S59" i="13"/>
  <c r="AD59" i="13"/>
  <c r="U60" i="13"/>
  <c r="T62" i="13"/>
  <c r="AD62" i="13"/>
  <c r="T71" i="13"/>
  <c r="AB71" i="13"/>
  <c r="V72" i="13"/>
  <c r="S73" i="13"/>
  <c r="AA73" i="13"/>
  <c r="U74" i="13"/>
  <c r="S78" i="13"/>
  <c r="AA78" i="13"/>
  <c r="X80" i="13"/>
  <c r="AD81" i="13"/>
  <c r="S84" i="13"/>
  <c r="AA84" i="13"/>
  <c r="T88" i="13"/>
  <c r="AB88" i="13"/>
  <c r="X89" i="13"/>
  <c r="X91" i="13"/>
  <c r="T95" i="13"/>
  <c r="AB95" i="13"/>
  <c r="X97" i="13"/>
  <c r="T99" i="13"/>
  <c r="AB99" i="13"/>
  <c r="S101" i="13"/>
  <c r="AA101" i="13"/>
  <c r="U102" i="13"/>
  <c r="X103" i="13"/>
  <c r="T105" i="13"/>
  <c r="AB105" i="13"/>
  <c r="X107" i="13"/>
  <c r="S109" i="13"/>
  <c r="AD109" i="13"/>
  <c r="U110" i="13"/>
  <c r="Z112" i="13"/>
  <c r="Z118" i="13"/>
  <c r="T119" i="13"/>
  <c r="AA125" i="13"/>
  <c r="X125" i="13"/>
  <c r="AD125" i="13"/>
  <c r="S125" i="13"/>
  <c r="AB128" i="13"/>
  <c r="Y128" i="13"/>
  <c r="AD128" i="13"/>
  <c r="T128" i="13"/>
  <c r="W129" i="13"/>
  <c r="T131" i="13"/>
  <c r="U134" i="13"/>
  <c r="W135" i="13"/>
  <c r="T141" i="13"/>
  <c r="U144" i="13"/>
  <c r="Y147" i="13"/>
  <c r="AD147" i="13"/>
  <c r="T147" i="13"/>
  <c r="X148" i="13"/>
  <c r="X156" i="13"/>
  <c r="Y166" i="13"/>
  <c r="Z124" i="13"/>
  <c r="U126" i="13"/>
  <c r="AB126" i="13"/>
  <c r="W127" i="13"/>
  <c r="T133" i="13"/>
  <c r="AE133" i="13"/>
  <c r="U136" i="13"/>
  <c r="X139" i="13"/>
  <c r="AE139" i="13"/>
  <c r="Y142" i="13"/>
  <c r="AD143" i="13"/>
  <c r="AB151" i="13"/>
  <c r="T163" i="13"/>
  <c r="AA163" i="13"/>
  <c r="Z165" i="13"/>
  <c r="Z168" i="13"/>
  <c r="V171" i="13"/>
  <c r="AD171" i="13"/>
  <c r="U174" i="13"/>
  <c r="AB174" i="13"/>
  <c r="T176" i="13"/>
  <c r="AD176" i="13"/>
  <c r="X179" i="13"/>
  <c r="AE179" i="13"/>
  <c r="T181" i="13"/>
  <c r="AE181" i="13"/>
  <c r="V182" i="13"/>
  <c r="AD182" i="13"/>
  <c r="S187" i="13"/>
  <c r="Z187" i="13"/>
  <c r="X190" i="13"/>
  <c r="Y191" i="13"/>
  <c r="Y193" i="13"/>
  <c r="Z198" i="13"/>
  <c r="T199" i="13"/>
  <c r="AB199" i="13"/>
  <c r="V203" i="13"/>
  <c r="AD203" i="13"/>
  <c r="AA205" i="13"/>
  <c r="X207" i="13"/>
  <c r="AD208" i="13"/>
  <c r="W209" i="13"/>
  <c r="AE209" i="13"/>
  <c r="Y210" i="13"/>
  <c r="S211" i="13"/>
  <c r="AA211" i="13"/>
  <c r="Y212" i="13"/>
  <c r="X215" i="13"/>
  <c r="AD216" i="13"/>
  <c r="W217" i="13"/>
  <c r="AE217" i="13"/>
  <c r="Y218" i="13"/>
  <c r="S219" i="13"/>
  <c r="AA219" i="13"/>
  <c r="X221" i="13"/>
  <c r="X223" i="13"/>
  <c r="AD224" i="13"/>
  <c r="W225" i="13"/>
  <c r="AE225" i="13"/>
  <c r="Y226" i="13"/>
  <c r="S227" i="13"/>
  <c r="AA227" i="13"/>
  <c r="W229" i="13"/>
  <c r="AE229" i="13"/>
  <c r="S232" i="13"/>
  <c r="AA232" i="13"/>
  <c r="U233" i="13"/>
  <c r="X234" i="13"/>
  <c r="AC235" i="13"/>
  <c r="AB236" i="13"/>
  <c r="S238" i="13"/>
  <c r="AA238" i="13"/>
  <c r="U239" i="13"/>
  <c r="S240" i="13"/>
  <c r="AA240" i="13"/>
  <c r="U241" i="13"/>
  <c r="Y242" i="13"/>
  <c r="W245" i="13"/>
  <c r="AE245" i="13"/>
  <c r="AC246" i="13"/>
  <c r="AB247" i="13"/>
  <c r="V248" i="13"/>
  <c r="X249" i="13"/>
  <c r="W251" i="13"/>
  <c r="AE251" i="13"/>
  <c r="AB253" i="13"/>
  <c r="S255" i="13"/>
  <c r="AA255" i="13"/>
  <c r="U256" i="13"/>
  <c r="AD256" i="13"/>
  <c r="W257" i="13"/>
  <c r="AE257" i="13"/>
  <c r="X259" i="13"/>
  <c r="S261" i="13"/>
  <c r="AA261" i="13"/>
  <c r="U262" i="13"/>
  <c r="X263" i="13"/>
  <c r="AC264" i="13"/>
  <c r="S267" i="13"/>
  <c r="AA267" i="13"/>
  <c r="X269" i="13"/>
  <c r="AD270" i="13"/>
  <c r="W271" i="13"/>
  <c r="AE271" i="13"/>
  <c r="Z272" i="13"/>
  <c r="Y273" i="13"/>
  <c r="AE273" i="13"/>
  <c r="AD276" i="13"/>
  <c r="AA276" i="13"/>
  <c r="U276" i="13"/>
  <c r="AE276" i="13"/>
  <c r="Y276" i="13"/>
  <c r="T276" i="13"/>
  <c r="AB276" i="13"/>
  <c r="AD278" i="13"/>
  <c r="AA278" i="13"/>
  <c r="U278" i="13"/>
  <c r="AE278" i="13"/>
  <c r="Y278" i="13"/>
  <c r="T278" i="13"/>
  <c r="AB278" i="13"/>
  <c r="S280" i="13"/>
  <c r="AC280" i="13"/>
  <c r="S282" i="13"/>
  <c r="AC282" i="13"/>
  <c r="W291" i="13"/>
  <c r="W293" i="13"/>
  <c r="X171" i="13"/>
  <c r="AE171" i="13"/>
  <c r="U176" i="13"/>
  <c r="Y182" i="13"/>
  <c r="T187" i="13"/>
  <c r="AA187" i="13"/>
  <c r="Z190" i="13"/>
  <c r="Z193" i="13"/>
  <c r="U199" i="13"/>
  <c r="AD199" i="13"/>
  <c r="X203" i="13"/>
  <c r="AE203" i="13"/>
  <c r="X209" i="13"/>
  <c r="AC210" i="13"/>
  <c r="T211" i="13"/>
  <c r="AB211" i="13"/>
  <c r="X217" i="13"/>
  <c r="AC218" i="13"/>
  <c r="T219" i="13"/>
  <c r="AB219" i="13"/>
  <c r="X225" i="13"/>
  <c r="AC226" i="13"/>
  <c r="T227" i="13"/>
  <c r="AB227" i="13"/>
  <c r="X229" i="13"/>
  <c r="T232" i="13"/>
  <c r="AB232" i="13"/>
  <c r="V233" i="13"/>
  <c r="T238" i="13"/>
  <c r="AB238" i="13"/>
  <c r="Z239" i="13"/>
  <c r="T240" i="13"/>
  <c r="AB240" i="13"/>
  <c r="V241" i="13"/>
  <c r="X245" i="13"/>
  <c r="AD246" i="13"/>
  <c r="X251" i="13"/>
  <c r="T255" i="13"/>
  <c r="AB255" i="13"/>
  <c r="V256" i="13"/>
  <c r="X257" i="13"/>
  <c r="T261" i="13"/>
  <c r="AB261" i="13"/>
  <c r="V262" i="13"/>
  <c r="T267" i="13"/>
  <c r="AB267" i="13"/>
  <c r="X271" i="13"/>
  <c r="AE272" i="13"/>
  <c r="Y275" i="13"/>
  <c r="AD275" i="13"/>
  <c r="W282" i="13"/>
  <c r="AD285" i="13"/>
  <c r="AA285" i="13"/>
  <c r="U285" i="13"/>
  <c r="AE285" i="13"/>
  <c r="Y285" i="13"/>
  <c r="T285" i="13"/>
  <c r="AB285" i="13"/>
  <c r="T124" i="13"/>
  <c r="Z133" i="13"/>
  <c r="Z136" i="13"/>
  <c r="X138" i="13"/>
  <c r="T139" i="13"/>
  <c r="U142" i="13"/>
  <c r="X163" i="13"/>
  <c r="AE165" i="13"/>
  <c r="S171" i="13"/>
  <c r="Y176" i="13"/>
  <c r="Z181" i="13"/>
  <c r="T182" i="13"/>
  <c r="Z184" i="13"/>
  <c r="V187" i="13"/>
  <c r="AD187" i="13"/>
  <c r="S190" i="13"/>
  <c r="AD190" i="13"/>
  <c r="U191" i="13"/>
  <c r="T193" i="13"/>
  <c r="AD193" i="13"/>
  <c r="X196" i="13"/>
  <c r="T198" i="13"/>
  <c r="AE198" i="13"/>
  <c r="V199" i="13"/>
  <c r="Z200" i="13"/>
  <c r="S203" i="13"/>
  <c r="T205" i="13"/>
  <c r="U206" i="13"/>
  <c r="T207" i="13"/>
  <c r="AB207" i="13"/>
  <c r="V208" i="13"/>
  <c r="S209" i="13"/>
  <c r="AA209" i="13"/>
  <c r="U210" i="13"/>
  <c r="W211" i="13"/>
  <c r="AE211" i="13"/>
  <c r="X213" i="13"/>
  <c r="T215" i="13"/>
  <c r="AB215" i="13"/>
  <c r="V216" i="13"/>
  <c r="S217" i="13"/>
  <c r="AA217" i="13"/>
  <c r="U218" i="13"/>
  <c r="W219" i="13"/>
  <c r="AE219" i="13"/>
  <c r="T221" i="13"/>
  <c r="AB221" i="13"/>
  <c r="T223" i="13"/>
  <c r="AB223" i="13"/>
  <c r="V224" i="13"/>
  <c r="S225" i="13"/>
  <c r="AA225" i="13"/>
  <c r="U226" i="13"/>
  <c r="W227" i="13"/>
  <c r="AE227" i="13"/>
  <c r="S229" i="13"/>
  <c r="AA229" i="13"/>
  <c r="W232" i="13"/>
  <c r="AE232" i="13"/>
  <c r="AC233" i="13"/>
  <c r="T234" i="13"/>
  <c r="AB234" i="13"/>
  <c r="X236" i="13"/>
  <c r="W238" i="13"/>
  <c r="AE238" i="13"/>
  <c r="W240" i="13"/>
  <c r="AE240" i="13"/>
  <c r="AE241" i="13"/>
  <c r="X243" i="13"/>
  <c r="S245" i="13"/>
  <c r="AA245" i="13"/>
  <c r="U246" i="13"/>
  <c r="X247" i="13"/>
  <c r="T249" i="13"/>
  <c r="AB249" i="13"/>
  <c r="S251" i="13"/>
  <c r="AA251" i="13"/>
  <c r="X253" i="13"/>
  <c r="AD254" i="13"/>
  <c r="W255" i="13"/>
  <c r="AE255" i="13"/>
  <c r="Y256" i="13"/>
  <c r="S257" i="13"/>
  <c r="AA257" i="13"/>
  <c r="T259" i="13"/>
  <c r="AB259" i="13"/>
  <c r="W261" i="13"/>
  <c r="AE261" i="13"/>
  <c r="AC262" i="13"/>
  <c r="T263" i="13"/>
  <c r="AB263" i="13"/>
  <c r="X265" i="13"/>
  <c r="W267" i="13"/>
  <c r="AE267" i="13"/>
  <c r="T269" i="13"/>
  <c r="AB269" i="13"/>
  <c r="V270" i="13"/>
  <c r="S271" i="13"/>
  <c r="AA271" i="13"/>
  <c r="U272" i="13"/>
  <c r="W273" i="13"/>
  <c r="AB273" i="13"/>
  <c r="S275" i="13"/>
  <c r="W276" i="13"/>
  <c r="W278" i="13"/>
  <c r="S285" i="13"/>
  <c r="AC285" i="13"/>
  <c r="Z176" i="13"/>
  <c r="X187" i="13"/>
  <c r="X211" i="13"/>
  <c r="X219" i="13"/>
  <c r="X227" i="13"/>
  <c r="X232" i="13"/>
  <c r="AD233" i="13"/>
  <c r="X238" i="13"/>
  <c r="X240" i="13"/>
  <c r="AB245" i="13"/>
  <c r="X255" i="13"/>
  <c r="X261" i="13"/>
  <c r="AD262" i="13"/>
  <c r="X267" i="13"/>
  <c r="T271" i="13"/>
  <c r="AB271" i="13"/>
  <c r="W275" i="13"/>
  <c r="AD280" i="13"/>
  <c r="AA280" i="13"/>
  <c r="U280" i="13"/>
  <c r="AE280" i="13"/>
  <c r="Y280" i="13"/>
  <c r="T280" i="13"/>
  <c r="AB280" i="13"/>
  <c r="AD282" i="13"/>
  <c r="AA282" i="13"/>
  <c r="U282" i="13"/>
  <c r="AE282" i="13"/>
  <c r="Y282" i="13"/>
  <c r="T282" i="13"/>
  <c r="AB282" i="13"/>
  <c r="W285" i="13"/>
  <c r="AD291" i="13"/>
  <c r="AA291" i="13"/>
  <c r="U291" i="13"/>
  <c r="AE291" i="13"/>
  <c r="Y291" i="13"/>
  <c r="T291" i="13"/>
  <c r="AC291" i="13"/>
  <c r="X291" i="13"/>
  <c r="S291" i="13"/>
  <c r="AD293" i="13"/>
  <c r="AA293" i="13"/>
  <c r="U293" i="13"/>
  <c r="AE293" i="13"/>
  <c r="Y293" i="13"/>
  <c r="T293" i="13"/>
  <c r="AC293" i="13"/>
  <c r="X293" i="13"/>
  <c r="S293" i="13"/>
  <c r="Y296" i="13"/>
  <c r="AE296" i="13"/>
  <c r="AD298" i="13"/>
  <c r="Y300" i="13"/>
  <c r="AE300" i="13"/>
  <c r="S303" i="13"/>
  <c r="X303" i="13"/>
  <c r="AC303" i="13"/>
  <c r="S305" i="13"/>
  <c r="X305" i="13"/>
  <c r="AC305" i="13"/>
  <c r="S307" i="13"/>
  <c r="X307" i="13"/>
  <c r="AC307" i="13"/>
  <c r="S309" i="13"/>
  <c r="X309" i="13"/>
  <c r="AC309" i="13"/>
  <c r="Y312" i="13"/>
  <c r="AE312" i="13"/>
  <c r="AD315" i="13"/>
  <c r="Y317" i="13"/>
  <c r="AE317" i="13"/>
  <c r="Z322" i="13"/>
  <c r="S323" i="13"/>
  <c r="X323" i="13"/>
  <c r="AC323" i="13"/>
  <c r="Z326" i="13"/>
  <c r="S327" i="13"/>
  <c r="X327" i="13"/>
  <c r="AC327" i="13"/>
  <c r="S329" i="13"/>
  <c r="X329" i="13"/>
  <c r="AC329" i="13"/>
  <c r="S333" i="13"/>
  <c r="X333" i="13"/>
  <c r="AC333" i="13"/>
  <c r="W335" i="13"/>
  <c r="AB335" i="13"/>
  <c r="S336" i="13"/>
  <c r="W337" i="13"/>
  <c r="AB337" i="13"/>
  <c r="S338" i="13"/>
  <c r="AD338" i="13"/>
  <c r="AE345" i="13"/>
  <c r="AD348" i="13"/>
  <c r="AE348" i="13"/>
  <c r="Y348" i="13"/>
  <c r="T348" i="13"/>
  <c r="AA348" i="13"/>
  <c r="U348" i="13"/>
  <c r="AB348" i="13"/>
  <c r="AD352" i="13"/>
  <c r="AE352" i="13"/>
  <c r="Y352" i="13"/>
  <c r="T352" i="13"/>
  <c r="AA352" i="13"/>
  <c r="U352" i="13"/>
  <c r="AB352" i="13"/>
  <c r="W354" i="13"/>
  <c r="AD277" i="13"/>
  <c r="AD281" i="13"/>
  <c r="W284" i="13"/>
  <c r="AD284" i="13"/>
  <c r="U287" i="13"/>
  <c r="AA287" i="13"/>
  <c r="Y288" i="13"/>
  <c r="AE288" i="13"/>
  <c r="U289" i="13"/>
  <c r="AA289" i="13"/>
  <c r="V292" i="13"/>
  <c r="AD292" i="13"/>
  <c r="W295" i="13"/>
  <c r="AB295" i="13"/>
  <c r="S296" i="13"/>
  <c r="Z296" i="13"/>
  <c r="W297" i="13"/>
  <c r="AB297" i="13"/>
  <c r="S298" i="13"/>
  <c r="W299" i="13"/>
  <c r="AB299" i="13"/>
  <c r="S300" i="13"/>
  <c r="Z300" i="13"/>
  <c r="W301" i="13"/>
  <c r="AB301" i="13"/>
  <c r="AC302" i="13"/>
  <c r="T303" i="13"/>
  <c r="Y303" i="13"/>
  <c r="AE303" i="13"/>
  <c r="V304" i="13"/>
  <c r="AD304" i="13"/>
  <c r="T305" i="13"/>
  <c r="Y305" i="13"/>
  <c r="AE305" i="13"/>
  <c r="T307" i="13"/>
  <c r="Y307" i="13"/>
  <c r="AE307" i="13"/>
  <c r="V308" i="13"/>
  <c r="AD308" i="13"/>
  <c r="T309" i="13"/>
  <c r="Y309" i="13"/>
  <c r="AE309" i="13"/>
  <c r="W311" i="13"/>
  <c r="AB311" i="13"/>
  <c r="S312" i="13"/>
  <c r="Z312" i="13"/>
  <c r="W313" i="13"/>
  <c r="AB313" i="13"/>
  <c r="S315" i="13"/>
  <c r="W316" i="13"/>
  <c r="AB316" i="13"/>
  <c r="S317" i="13"/>
  <c r="Z317" i="13"/>
  <c r="W318" i="13"/>
  <c r="AB318" i="13"/>
  <c r="U320" i="13"/>
  <c r="AA320" i="13"/>
  <c r="S322" i="13"/>
  <c r="AD322" i="13"/>
  <c r="T323" i="13"/>
  <c r="Y323" i="13"/>
  <c r="AE323" i="13"/>
  <c r="W325" i="13"/>
  <c r="AB325" i="13"/>
  <c r="S326" i="13"/>
  <c r="AD326" i="13"/>
  <c r="T327" i="13"/>
  <c r="Y327" i="13"/>
  <c r="AE327" i="13"/>
  <c r="T329" i="13"/>
  <c r="Y329" i="13"/>
  <c r="AE329" i="13"/>
  <c r="Y330" i="13"/>
  <c r="W331" i="13"/>
  <c r="AB331" i="13"/>
  <c r="Z332" i="13"/>
  <c r="T333" i="13"/>
  <c r="Y333" i="13"/>
  <c r="AE333" i="13"/>
  <c r="S335" i="13"/>
  <c r="X335" i="13"/>
  <c r="AC335" i="13"/>
  <c r="V336" i="13"/>
  <c r="S337" i="13"/>
  <c r="X337" i="13"/>
  <c r="AC337" i="13"/>
  <c r="V338" i="13"/>
  <c r="AE338" i="13"/>
  <c r="U339" i="13"/>
  <c r="AA339" i="13"/>
  <c r="AD341" i="13"/>
  <c r="AC341" i="13"/>
  <c r="X341" i="13"/>
  <c r="S341" i="13"/>
  <c r="Y341" i="13"/>
  <c r="W343" i="13"/>
  <c r="AD346" i="13"/>
  <c r="S346" i="13"/>
  <c r="AE346" i="13"/>
  <c r="V346" i="13"/>
  <c r="S348" i="13"/>
  <c r="AC348" i="13"/>
  <c r="S352" i="13"/>
  <c r="AC352" i="13"/>
  <c r="Y277" i="13"/>
  <c r="Y281" i="13"/>
  <c r="S284" i="13"/>
  <c r="X284" i="13"/>
  <c r="AE284" i="13"/>
  <c r="W287" i="13"/>
  <c r="AB287" i="13"/>
  <c r="W289" i="13"/>
  <c r="AB289" i="13"/>
  <c r="Y292" i="13"/>
  <c r="U296" i="13"/>
  <c r="U300" i="13"/>
  <c r="U303" i="13"/>
  <c r="AA303" i="13"/>
  <c r="Y304" i="13"/>
  <c r="U305" i="13"/>
  <c r="AA305" i="13"/>
  <c r="U307" i="13"/>
  <c r="AA307" i="13"/>
  <c r="Y308" i="13"/>
  <c r="U309" i="13"/>
  <c r="AA309" i="13"/>
  <c r="U312" i="13"/>
  <c r="U317" i="13"/>
  <c r="W320" i="13"/>
  <c r="AB320" i="13"/>
  <c r="U322" i="13"/>
  <c r="AE322" i="13"/>
  <c r="U323" i="13"/>
  <c r="AA323" i="13"/>
  <c r="U326" i="13"/>
  <c r="AE326" i="13"/>
  <c r="U327" i="13"/>
  <c r="AA327" i="13"/>
  <c r="U329" i="13"/>
  <c r="AA329" i="13"/>
  <c r="Z330" i="13"/>
  <c r="U333" i="13"/>
  <c r="AA333" i="13"/>
  <c r="T335" i="13"/>
  <c r="Y335" i="13"/>
  <c r="AE335" i="13"/>
  <c r="AA336" i="13"/>
  <c r="T337" i="13"/>
  <c r="Y337" i="13"/>
  <c r="AE337" i="13"/>
  <c r="W338" i="13"/>
  <c r="W339" i="13"/>
  <c r="AB339" i="13"/>
  <c r="AD343" i="13"/>
  <c r="AC343" i="13"/>
  <c r="X343" i="13"/>
  <c r="S343" i="13"/>
  <c r="Y343" i="13"/>
  <c r="AE344" i="13"/>
  <c r="V344" i="13"/>
  <c r="AD345" i="13"/>
  <c r="AB345" i="13"/>
  <c r="AC345" i="13"/>
  <c r="X345" i="13"/>
  <c r="S345" i="13"/>
  <c r="Y345" i="13"/>
  <c r="W348" i="13"/>
  <c r="W352" i="13"/>
  <c r="AD354" i="13"/>
  <c r="AE354" i="13"/>
  <c r="Y354" i="13"/>
  <c r="T354" i="13"/>
  <c r="AA354" i="13"/>
  <c r="U354" i="13"/>
  <c r="AB354" i="13"/>
  <c r="W303" i="13"/>
  <c r="AB303" i="13"/>
  <c r="W305" i="13"/>
  <c r="AB305" i="13"/>
  <c r="W307" i="13"/>
  <c r="AB307" i="13"/>
  <c r="W309" i="13"/>
  <c r="AB309" i="13"/>
  <c r="W323" i="13"/>
  <c r="AB323" i="13"/>
  <c r="W327" i="13"/>
  <c r="AB327" i="13"/>
  <c r="W329" i="13"/>
  <c r="AB329" i="13"/>
  <c r="W333" i="13"/>
  <c r="AB333" i="13"/>
  <c r="AD336" i="13"/>
  <c r="X352" i="13"/>
  <c r="S354" i="13"/>
  <c r="AC354" i="13"/>
  <c r="W350" i="13"/>
  <c r="AB350" i="13"/>
  <c r="AD353" i="13"/>
  <c r="S356" i="13"/>
  <c r="X356" i="13"/>
  <c r="AC356" i="13"/>
  <c r="Z357" i="13"/>
  <c r="T358" i="13"/>
  <c r="Y358" i="13"/>
  <c r="W359" i="13"/>
  <c r="AB359" i="13"/>
  <c r="S360" i="13"/>
  <c r="AD360" i="13"/>
  <c r="X362" i="13"/>
  <c r="S363" i="13"/>
  <c r="Z363" i="13"/>
  <c r="S365" i="13"/>
  <c r="AD365" i="13"/>
  <c r="U366" i="13"/>
  <c r="AB366" i="13"/>
  <c r="T368" i="13"/>
  <c r="AD368" i="13"/>
  <c r="Y370" i="13"/>
  <c r="V371" i="13"/>
  <c r="AD371" i="13"/>
  <c r="Z373" i="13"/>
  <c r="T374" i="13"/>
  <c r="Z374" i="13"/>
  <c r="U376" i="13"/>
  <c r="T379" i="13"/>
  <c r="AA379" i="13"/>
  <c r="T382" i="13"/>
  <c r="AA382" i="13"/>
  <c r="U383" i="13"/>
  <c r="AC383" i="13"/>
  <c r="U385" i="13"/>
  <c r="AB385" i="13"/>
  <c r="V386" i="13"/>
  <c r="AD386" i="13"/>
  <c r="X387" i="13"/>
  <c r="T390" i="13"/>
  <c r="AC390" i="13"/>
  <c r="T391" i="13"/>
  <c r="AA391" i="13"/>
  <c r="U392" i="13"/>
  <c r="T394" i="13"/>
  <c r="Z394" i="13"/>
  <c r="S395" i="13"/>
  <c r="AC396" i="13"/>
  <c r="AA397" i="13"/>
  <c r="T398" i="13"/>
  <c r="AA398" i="13"/>
  <c r="U399" i="13"/>
  <c r="T401" i="13"/>
  <c r="Z401" i="13"/>
  <c r="S402" i="13"/>
  <c r="AD403" i="13"/>
  <c r="T403" i="13"/>
  <c r="AD405" i="13"/>
  <c r="AB405" i="13"/>
  <c r="AA406" i="13"/>
  <c r="T406" i="13"/>
  <c r="Z406" i="13"/>
  <c r="AA408" i="13"/>
  <c r="X408" i="13"/>
  <c r="AE408" i="13"/>
  <c r="T408" i="13"/>
  <c r="AB411" i="13"/>
  <c r="Y411" i="13"/>
  <c r="U411" i="13"/>
  <c r="AD411" i="13"/>
  <c r="T411" i="13"/>
  <c r="X371" i="13"/>
  <c r="AE371" i="13"/>
  <c r="Z387" i="13"/>
  <c r="AD397" i="13"/>
  <c r="W358" i="13"/>
  <c r="AD358" i="13"/>
  <c r="AD362" i="13"/>
  <c r="Y366" i="13"/>
  <c r="S371" i="13"/>
  <c r="Z371" i="13"/>
  <c r="Z376" i="13"/>
  <c r="X379" i="13"/>
  <c r="AE379" i="13"/>
  <c r="X382" i="13"/>
  <c r="AE382" i="13"/>
  <c r="Y385" i="13"/>
  <c r="AA386" i="13"/>
  <c r="T387" i="13"/>
  <c r="AC387" i="13"/>
  <c r="X391" i="13"/>
  <c r="AE391" i="13"/>
  <c r="V394" i="13"/>
  <c r="AD394" i="13"/>
  <c r="AA395" i="13"/>
  <c r="T397" i="13"/>
  <c r="X398" i="13"/>
  <c r="AE398" i="13"/>
  <c r="AB399" i="13"/>
  <c r="V401" i="13"/>
  <c r="AD401" i="13"/>
  <c r="AA402" i="13"/>
  <c r="W356" i="13"/>
  <c r="AB356" i="13"/>
  <c r="S358" i="13"/>
  <c r="X358" i="13"/>
  <c r="AE358" i="13"/>
  <c r="X363" i="13"/>
  <c r="Z365" i="13"/>
  <c r="T366" i="13"/>
  <c r="Z368" i="13"/>
  <c r="T371" i="13"/>
  <c r="T376" i="13"/>
  <c r="AD376" i="13"/>
  <c r="S379" i="13"/>
  <c r="S382" i="13"/>
  <c r="T385" i="13"/>
  <c r="S386" i="13"/>
  <c r="U387" i="13"/>
  <c r="S391" i="13"/>
  <c r="AC392" i="13"/>
  <c r="AB395" i="13"/>
  <c r="V397" i="13"/>
  <c r="S398" i="13"/>
  <c r="AC399" i="13"/>
  <c r="AB402" i="13"/>
  <c r="W423" i="13"/>
  <c r="AB423" i="13"/>
  <c r="W427" i="13"/>
  <c r="AB427" i="13"/>
  <c r="AC437" i="13"/>
  <c r="W446" i="13"/>
  <c r="AB446" i="13"/>
  <c r="AD454" i="13"/>
  <c r="AD461" i="13"/>
  <c r="AC461" i="13"/>
  <c r="X461" i="13"/>
  <c r="S461" i="13"/>
  <c r="Y461" i="13"/>
  <c r="AA462" i="13"/>
  <c r="U462" i="13"/>
  <c r="Z462" i="13"/>
  <c r="X414" i="13"/>
  <c r="AE414" i="13"/>
  <c r="AC419" i="13"/>
  <c r="Z421" i="13"/>
  <c r="S423" i="13"/>
  <c r="X423" i="13"/>
  <c r="AC423" i="13"/>
  <c r="W425" i="13"/>
  <c r="AB425" i="13"/>
  <c r="S426" i="13"/>
  <c r="S427" i="13"/>
  <c r="X427" i="13"/>
  <c r="AC427" i="13"/>
  <c r="W429" i="13"/>
  <c r="AB429" i="13"/>
  <c r="Y430" i="13"/>
  <c r="AC433" i="13"/>
  <c r="W436" i="13"/>
  <c r="AB436" i="13"/>
  <c r="U437" i="13"/>
  <c r="AD437" i="13"/>
  <c r="U438" i="13"/>
  <c r="AA438" i="13"/>
  <c r="AA440" i="13"/>
  <c r="AC441" i="13"/>
  <c r="Y445" i="13"/>
  <c r="S446" i="13"/>
  <c r="X446" i="13"/>
  <c r="AC446" i="13"/>
  <c r="U448" i="13"/>
  <c r="AA448" i="13"/>
  <c r="AC449" i="13"/>
  <c r="W453" i="13"/>
  <c r="AB453" i="13"/>
  <c r="U454" i="13"/>
  <c r="AD455" i="13"/>
  <c r="AE455" i="13"/>
  <c r="Y455" i="13"/>
  <c r="T455" i="13"/>
  <c r="X455" i="13"/>
  <c r="W457" i="13"/>
  <c r="AC458" i="13"/>
  <c r="T461" i="13"/>
  <c r="AA461" i="13"/>
  <c r="S462" i="13"/>
  <c r="AD462" i="13"/>
  <c r="AC464" i="13"/>
  <c r="AA464" i="13"/>
  <c r="AD469" i="13"/>
  <c r="AC469" i="13"/>
  <c r="X469" i="13"/>
  <c r="S469" i="13"/>
  <c r="AA469" i="13"/>
  <c r="U469" i="13"/>
  <c r="AE469" i="13"/>
  <c r="Y469" i="13"/>
  <c r="T469" i="13"/>
  <c r="S414" i="13"/>
  <c r="Z414" i="13"/>
  <c r="Y417" i="13"/>
  <c r="W418" i="13"/>
  <c r="AB418" i="13"/>
  <c r="U419" i="13"/>
  <c r="W420" i="13"/>
  <c r="AB420" i="13"/>
  <c r="S421" i="13"/>
  <c r="AC421" i="13"/>
  <c r="T423" i="13"/>
  <c r="Y423" i="13"/>
  <c r="AE423" i="13"/>
  <c r="S425" i="13"/>
  <c r="X425" i="13"/>
  <c r="AC425" i="13"/>
  <c r="W426" i="13"/>
  <c r="T427" i="13"/>
  <c r="Y427" i="13"/>
  <c r="AE427" i="13"/>
  <c r="S429" i="13"/>
  <c r="X429" i="13"/>
  <c r="AC429" i="13"/>
  <c r="U433" i="13"/>
  <c r="AD433" i="13"/>
  <c r="AC436" i="13"/>
  <c r="V437" i="13"/>
  <c r="W438" i="13"/>
  <c r="AB438" i="13"/>
  <c r="W440" i="13"/>
  <c r="AB440" i="13"/>
  <c r="U441" i="13"/>
  <c r="AD441" i="13"/>
  <c r="AC445" i="13"/>
  <c r="T446" i="13"/>
  <c r="Y446" i="13"/>
  <c r="AE446" i="13"/>
  <c r="W448" i="13"/>
  <c r="AB448" i="13"/>
  <c r="U449" i="13"/>
  <c r="AD449" i="13"/>
  <c r="V454" i="13"/>
  <c r="AA455" i="13"/>
  <c r="AD457" i="13"/>
  <c r="AE457" i="13"/>
  <c r="Y457" i="13"/>
  <c r="T457" i="13"/>
  <c r="X457" i="13"/>
  <c r="AD458" i="13"/>
  <c r="U461" i="13"/>
  <c r="AB461" i="13"/>
  <c r="V462" i="13"/>
  <c r="AE462" i="13"/>
  <c r="AD465" i="13"/>
  <c r="AA465" i="13"/>
  <c r="U465" i="13"/>
  <c r="AE465" i="13"/>
  <c r="Y465" i="13"/>
  <c r="T465" i="13"/>
  <c r="AB465" i="13"/>
  <c r="AB404" i="13"/>
  <c r="T414" i="13"/>
  <c r="Z416" i="13"/>
  <c r="T417" i="13"/>
  <c r="S418" i="13"/>
  <c r="X418" i="13"/>
  <c r="AC418" i="13"/>
  <c r="V419" i="13"/>
  <c r="S420" i="13"/>
  <c r="X420" i="13"/>
  <c r="AC420" i="13"/>
  <c r="U421" i="13"/>
  <c r="U423" i="13"/>
  <c r="AA423" i="13"/>
  <c r="T425" i="13"/>
  <c r="Y425" i="13"/>
  <c r="AE425" i="13"/>
  <c r="AD426" i="13"/>
  <c r="U427" i="13"/>
  <c r="AA427" i="13"/>
  <c r="T429" i="13"/>
  <c r="Y429" i="13"/>
  <c r="AE429" i="13"/>
  <c r="W431" i="13"/>
  <c r="AB431" i="13"/>
  <c r="W434" i="13"/>
  <c r="AB434" i="13"/>
  <c r="T436" i="13"/>
  <c r="Y436" i="13"/>
  <c r="AE436" i="13"/>
  <c r="S438" i="13"/>
  <c r="X438" i="13"/>
  <c r="AC438" i="13"/>
  <c r="S440" i="13"/>
  <c r="X440" i="13"/>
  <c r="AC440" i="13"/>
  <c r="W442" i="13"/>
  <c r="AB442" i="13"/>
  <c r="W444" i="13"/>
  <c r="AB444" i="13"/>
  <c r="U445" i="13"/>
  <c r="U446" i="13"/>
  <c r="AA446" i="13"/>
  <c r="S448" i="13"/>
  <c r="X448" i="13"/>
  <c r="AC448" i="13"/>
  <c r="W450" i="13"/>
  <c r="AB450" i="13"/>
  <c r="T453" i="13"/>
  <c r="Y453" i="13"/>
  <c r="AE453" i="13"/>
  <c r="Y454" i="13"/>
  <c r="U455" i="13"/>
  <c r="AB455" i="13"/>
  <c r="S457" i="13"/>
  <c r="AA457" i="13"/>
  <c r="U458" i="13"/>
  <c r="AD459" i="13"/>
  <c r="AC459" i="13"/>
  <c r="X459" i="13"/>
  <c r="S459" i="13"/>
  <c r="Y459" i="13"/>
  <c r="W461" i="13"/>
  <c r="AE461" i="13"/>
  <c r="Y462" i="13"/>
  <c r="S465" i="13"/>
  <c r="AC465" i="13"/>
  <c r="AB469" i="13"/>
  <c r="W463" i="13"/>
  <c r="AB463" i="13"/>
  <c r="W471" i="13"/>
  <c r="AB471" i="13"/>
  <c r="V472" i="13"/>
  <c r="T473" i="13"/>
  <c r="Y473" i="13"/>
  <c r="AE473" i="13"/>
  <c r="W475" i="13"/>
  <c r="AB475" i="13"/>
  <c r="T476" i="13"/>
  <c r="Y476" i="13"/>
  <c r="AE476" i="13"/>
  <c r="W478" i="13"/>
  <c r="AB478" i="13"/>
  <c r="V479" i="13"/>
  <c r="T480" i="13"/>
  <c r="Y480" i="13"/>
  <c r="Y481" i="13"/>
  <c r="AE481" i="13"/>
  <c r="AA483" i="13"/>
  <c r="S484" i="13"/>
  <c r="X484" i="13"/>
  <c r="AC484" i="13"/>
  <c r="U485" i="13"/>
  <c r="AA485" i="13"/>
  <c r="S486" i="13"/>
  <c r="X486" i="13"/>
  <c r="AC486" i="13"/>
  <c r="AD487" i="13"/>
  <c r="Y489" i="13"/>
  <c r="AE489" i="13"/>
  <c r="AA493" i="13"/>
  <c r="X498" i="13"/>
  <c r="AC500" i="13"/>
  <c r="S463" i="13"/>
  <c r="X463" i="13"/>
  <c r="AC463" i="13"/>
  <c r="Y466" i="13"/>
  <c r="W467" i="13"/>
  <c r="AB467" i="13"/>
  <c r="Z470" i="13"/>
  <c r="S471" i="13"/>
  <c r="X471" i="13"/>
  <c r="AC471" i="13"/>
  <c r="U473" i="13"/>
  <c r="AA473" i="13"/>
  <c r="Z474" i="13"/>
  <c r="S475" i="13"/>
  <c r="X475" i="13"/>
  <c r="AC475" i="13"/>
  <c r="U476" i="13"/>
  <c r="AA476" i="13"/>
  <c r="Z477" i="13"/>
  <c r="S478" i="13"/>
  <c r="X478" i="13"/>
  <c r="AC478" i="13"/>
  <c r="U480" i="13"/>
  <c r="AB480" i="13"/>
  <c r="S481" i="13"/>
  <c r="W482" i="13"/>
  <c r="AB482" i="13"/>
  <c r="S483" i="13"/>
  <c r="T484" i="13"/>
  <c r="Y484" i="13"/>
  <c r="AE484" i="13"/>
  <c r="V485" i="13"/>
  <c r="AD485" i="13"/>
  <c r="T486" i="13"/>
  <c r="Y486" i="13"/>
  <c r="AE486" i="13"/>
  <c r="W488" i="13"/>
  <c r="AB488" i="13"/>
  <c r="S489" i="13"/>
  <c r="Z489" i="13"/>
  <c r="W490" i="13"/>
  <c r="AB490" i="13"/>
  <c r="W492" i="13"/>
  <c r="AB492" i="13"/>
  <c r="S493" i="13"/>
  <c r="AD493" i="13"/>
  <c r="T494" i="13"/>
  <c r="Y494" i="13"/>
  <c r="AE494" i="13"/>
  <c r="AD495" i="13"/>
  <c r="T496" i="13"/>
  <c r="Y496" i="13"/>
  <c r="AE496" i="13"/>
  <c r="S498" i="13"/>
  <c r="Y498" i="13"/>
  <c r="X500" i="13"/>
  <c r="AB512" i="13"/>
  <c r="AB513" i="13" s="1"/>
  <c r="W473" i="13"/>
  <c r="AB473" i="13"/>
  <c r="W476" i="13"/>
  <c r="AB476" i="13"/>
  <c r="W480" i="13"/>
  <c r="AC480" i="13"/>
  <c r="AA484" i="13"/>
  <c r="Y485" i="13"/>
  <c r="AE485" i="13"/>
  <c r="AA486" i="13"/>
  <c r="U489" i="13"/>
  <c r="AA489" i="13"/>
  <c r="V493" i="13"/>
  <c r="AE493" i="13"/>
  <c r="AE495" i="13"/>
  <c r="Y500" i="13"/>
  <c r="S473" i="13"/>
  <c r="X473" i="13"/>
  <c r="AC473" i="13"/>
  <c r="S476" i="13"/>
  <c r="X476" i="13"/>
  <c r="AC476" i="13"/>
  <c r="S480" i="13"/>
  <c r="X480" i="13"/>
  <c r="W484" i="13"/>
  <c r="AB484" i="13"/>
  <c r="S485" i="13"/>
  <c r="W486" i="13"/>
  <c r="AB486" i="13"/>
  <c r="V489" i="13"/>
  <c r="W494" i="13"/>
  <c r="AB494" i="13"/>
  <c r="W496" i="13"/>
  <c r="AB496" i="13"/>
  <c r="U498" i="13"/>
  <c r="AC498" i="13"/>
  <c r="AB500" i="13"/>
  <c r="AE164" i="13"/>
  <c r="AA164" i="13"/>
  <c r="W164" i="13"/>
  <c r="S164" i="13"/>
  <c r="Z164" i="13"/>
  <c r="U164" i="13"/>
  <c r="AD164" i="13"/>
  <c r="Y164" i="13"/>
  <c r="T164" i="13"/>
  <c r="AB175" i="13"/>
  <c r="AE180" i="13"/>
  <c r="AA180" i="13"/>
  <c r="W180" i="13"/>
  <c r="S180" i="13"/>
  <c r="Z180" i="13"/>
  <c r="U180" i="13"/>
  <c r="AD180" i="13"/>
  <c r="Y180" i="13"/>
  <c r="T180" i="13"/>
  <c r="AB183" i="13"/>
  <c r="AB185" i="13"/>
  <c r="AB250" i="13"/>
  <c r="X250" i="13"/>
  <c r="T250" i="13"/>
  <c r="AE250" i="13"/>
  <c r="AA250" i="13"/>
  <c r="W250" i="13"/>
  <c r="S250" i="13"/>
  <c r="AD250" i="13"/>
  <c r="V250" i="13"/>
  <c r="AC250" i="13"/>
  <c r="U250" i="13"/>
  <c r="U252" i="13"/>
  <c r="AB266" i="13"/>
  <c r="X266" i="13"/>
  <c r="T266" i="13"/>
  <c r="AE266" i="13"/>
  <c r="AA266" i="13"/>
  <c r="W266" i="13"/>
  <c r="S266" i="13"/>
  <c r="AD266" i="13"/>
  <c r="V266" i="13"/>
  <c r="AC266" i="13"/>
  <c r="U266" i="13"/>
  <c r="AB306" i="13"/>
  <c r="X306" i="13"/>
  <c r="T306" i="13"/>
  <c r="AA306" i="13"/>
  <c r="V306" i="13"/>
  <c r="AE306" i="13"/>
  <c r="Z306" i="13"/>
  <c r="U306" i="13"/>
  <c r="W306" i="13"/>
  <c r="AD306" i="13"/>
  <c r="S306" i="13"/>
  <c r="AB319" i="13"/>
  <c r="X319" i="13"/>
  <c r="T319" i="13"/>
  <c r="AA319" i="13"/>
  <c r="V319" i="13"/>
  <c r="AE319" i="13"/>
  <c r="Z319" i="13"/>
  <c r="U319" i="13"/>
  <c r="Y319" i="13"/>
  <c r="W319" i="13"/>
  <c r="AB328" i="13"/>
  <c r="X328" i="13"/>
  <c r="T328" i="13"/>
  <c r="AE328" i="13"/>
  <c r="Z328" i="13"/>
  <c r="U328" i="13"/>
  <c r="AD328" i="13"/>
  <c r="Y328" i="13"/>
  <c r="S328" i="13"/>
  <c r="AA328" i="13"/>
  <c r="W328" i="13"/>
  <c r="AC342" i="13"/>
  <c r="Y342" i="13"/>
  <c r="U342" i="13"/>
  <c r="AB342" i="13"/>
  <c r="X342" i="13"/>
  <c r="T342" i="13"/>
  <c r="AE342" i="13"/>
  <c r="W342" i="13"/>
  <c r="AD342" i="13"/>
  <c r="V342" i="13"/>
  <c r="Z342" i="13"/>
  <c r="S342" i="13"/>
  <c r="AC361" i="13"/>
  <c r="Y361" i="13"/>
  <c r="U361" i="13"/>
  <c r="AE361" i="13"/>
  <c r="Z361" i="13"/>
  <c r="T361" i="13"/>
  <c r="AD361" i="13"/>
  <c r="X361" i="13"/>
  <c r="S361" i="13"/>
  <c r="W361" i="13"/>
  <c r="V361" i="13"/>
  <c r="AB361" i="13"/>
  <c r="AA361" i="13"/>
  <c r="V23" i="13"/>
  <c r="Z23" i="13"/>
  <c r="AD23" i="13"/>
  <c r="V27" i="13"/>
  <c r="Z27" i="13"/>
  <c r="AD27" i="13"/>
  <c r="AC45" i="13"/>
  <c r="Y45" i="13"/>
  <c r="U45" i="13"/>
  <c r="W45" i="13"/>
  <c r="AB45" i="13"/>
  <c r="AE48" i="13"/>
  <c r="AA48" i="13"/>
  <c r="W48" i="13"/>
  <c r="S48" i="13"/>
  <c r="X48" i="13"/>
  <c r="AC48" i="13"/>
  <c r="AE56" i="13"/>
  <c r="AA56" i="13"/>
  <c r="W56" i="13"/>
  <c r="S56" i="13"/>
  <c r="X56" i="13"/>
  <c r="AC56" i="13"/>
  <c r="AC61" i="13"/>
  <c r="Y61" i="13"/>
  <c r="U61" i="13"/>
  <c r="W61" i="13"/>
  <c r="AB61" i="13"/>
  <c r="Z87" i="13"/>
  <c r="AB92" i="13"/>
  <c r="X92" i="13"/>
  <c r="T92" i="13"/>
  <c r="AE92" i="13"/>
  <c r="AA92" i="13"/>
  <c r="W92" i="13"/>
  <c r="S92" i="13"/>
  <c r="Z92" i="13"/>
  <c r="AB159" i="13"/>
  <c r="AC161" i="13"/>
  <c r="Y161" i="13"/>
  <c r="U161" i="13"/>
  <c r="AE161" i="13"/>
  <c r="Z161" i="13"/>
  <c r="T161" i="13"/>
  <c r="AD161" i="13"/>
  <c r="X161" i="13"/>
  <c r="S161" i="13"/>
  <c r="AC164" i="13"/>
  <c r="AB169" i="13"/>
  <c r="AE172" i="13"/>
  <c r="AA172" i="13"/>
  <c r="W172" i="13"/>
  <c r="S172" i="13"/>
  <c r="Z172" i="13"/>
  <c r="U172" i="13"/>
  <c r="AD172" i="13"/>
  <c r="Y172" i="13"/>
  <c r="T172" i="13"/>
  <c r="AB177" i="13"/>
  <c r="AC180" i="13"/>
  <c r="AE188" i="13"/>
  <c r="AA188" i="13"/>
  <c r="W188" i="13"/>
  <c r="S188" i="13"/>
  <c r="Z188" i="13"/>
  <c r="U188" i="13"/>
  <c r="AD188" i="13"/>
  <c r="Y188" i="13"/>
  <c r="T188" i="13"/>
  <c r="AC188" i="13"/>
  <c r="AC192" i="13"/>
  <c r="Y192" i="13"/>
  <c r="U192" i="13"/>
  <c r="AA192" i="13"/>
  <c r="V192" i="13"/>
  <c r="AE192" i="13"/>
  <c r="Z192" i="13"/>
  <c r="T192" i="13"/>
  <c r="AC194" i="13"/>
  <c r="Y194" i="13"/>
  <c r="U194" i="13"/>
  <c r="AE194" i="13"/>
  <c r="Z194" i="13"/>
  <c r="T194" i="13"/>
  <c r="AD194" i="13"/>
  <c r="X194" i="13"/>
  <c r="S194" i="13"/>
  <c r="AB237" i="13"/>
  <c r="X237" i="13"/>
  <c r="T237" i="13"/>
  <c r="AE237" i="13"/>
  <c r="AA237" i="13"/>
  <c r="W237" i="13"/>
  <c r="S237" i="13"/>
  <c r="AD237" i="13"/>
  <c r="V237" i="13"/>
  <c r="AC237" i="13"/>
  <c r="U237" i="13"/>
  <c r="AB268" i="13"/>
  <c r="X268" i="13"/>
  <c r="T268" i="13"/>
  <c r="AE268" i="13"/>
  <c r="AA268" i="13"/>
  <c r="W268" i="13"/>
  <c r="S268" i="13"/>
  <c r="Y268" i="13"/>
  <c r="AD268" i="13"/>
  <c r="V268" i="13"/>
  <c r="AB279" i="13"/>
  <c r="X279" i="13"/>
  <c r="T279" i="13"/>
  <c r="AA279" i="13"/>
  <c r="V279" i="13"/>
  <c r="AE279" i="13"/>
  <c r="Z279" i="13"/>
  <c r="U279" i="13"/>
  <c r="Y279" i="13"/>
  <c r="W279" i="13"/>
  <c r="S23" i="13"/>
  <c r="AA23" i="13"/>
  <c r="AE23" i="13"/>
  <c r="W25" i="13"/>
  <c r="S27" i="13"/>
  <c r="AA27" i="13"/>
  <c r="AE27" i="13"/>
  <c r="W29" i="13"/>
  <c r="S31" i="13"/>
  <c r="AA31" i="13"/>
  <c r="AE31" i="13"/>
  <c r="W33" i="13"/>
  <c r="S35" i="13"/>
  <c r="AA35" i="13"/>
  <c r="AE35" i="13"/>
  <c r="S38" i="13"/>
  <c r="AA38" i="13"/>
  <c r="AE38" i="13"/>
  <c r="S40" i="13"/>
  <c r="AA40" i="13"/>
  <c r="X45" i="13"/>
  <c r="AC47" i="13"/>
  <c r="Y47" i="13"/>
  <c r="U47" i="13"/>
  <c r="AB47" i="13"/>
  <c r="Y48" i="13"/>
  <c r="X53" i="13"/>
  <c r="AC55" i="13"/>
  <c r="Y55" i="13"/>
  <c r="U55" i="13"/>
  <c r="AB55" i="13"/>
  <c r="Y56" i="13"/>
  <c r="AC63" i="13"/>
  <c r="Y63" i="13"/>
  <c r="U63" i="13"/>
  <c r="AB63" i="13"/>
  <c r="Y64" i="13"/>
  <c r="AE66" i="13"/>
  <c r="AA66" i="13"/>
  <c r="W66" i="13"/>
  <c r="S66" i="13"/>
  <c r="AB68" i="13"/>
  <c r="X68" i="13"/>
  <c r="T68" i="13"/>
  <c r="AE68" i="13"/>
  <c r="AA68" i="13"/>
  <c r="W68" i="13"/>
  <c r="S68" i="13"/>
  <c r="Z77" i="13"/>
  <c r="U79" i="13"/>
  <c r="AC79" i="13"/>
  <c r="AB85" i="13"/>
  <c r="X85" i="13"/>
  <c r="T85" i="13"/>
  <c r="AE85" i="13"/>
  <c r="AA85" i="13"/>
  <c r="W85" i="13"/>
  <c r="S85" i="13"/>
  <c r="Z85" i="13"/>
  <c r="U87" i="13"/>
  <c r="AC87" i="13"/>
  <c r="AB90" i="13"/>
  <c r="X90" i="13"/>
  <c r="T90" i="13"/>
  <c r="AE90" i="13"/>
  <c r="AA90" i="13"/>
  <c r="W90" i="13"/>
  <c r="S90" i="13"/>
  <c r="U92" i="13"/>
  <c r="AB98" i="13"/>
  <c r="X98" i="13"/>
  <c r="T98" i="13"/>
  <c r="AE98" i="13"/>
  <c r="AA98" i="13"/>
  <c r="W98" i="13"/>
  <c r="S98" i="13"/>
  <c r="U100" i="13"/>
  <c r="AC100" i="13"/>
  <c r="AE106" i="13"/>
  <c r="AB106" i="13"/>
  <c r="X106" i="13"/>
  <c r="T106" i="13"/>
  <c r="AA106" i="13"/>
  <c r="W106" i="13"/>
  <c r="S106" i="13"/>
  <c r="AC111" i="13"/>
  <c r="Y111" i="13"/>
  <c r="U111" i="13"/>
  <c r="AA111" i="13"/>
  <c r="V111" i="13"/>
  <c r="AE111" i="13"/>
  <c r="Z111" i="13"/>
  <c r="T111" i="13"/>
  <c r="AB111" i="13"/>
  <c r="AC114" i="13"/>
  <c r="Y114" i="13"/>
  <c r="U114" i="13"/>
  <c r="AE114" i="13"/>
  <c r="Z114" i="13"/>
  <c r="T114" i="13"/>
  <c r="AD114" i="13"/>
  <c r="X114" i="13"/>
  <c r="S114" i="13"/>
  <c r="AE117" i="13"/>
  <c r="AA117" i="13"/>
  <c r="W117" i="13"/>
  <c r="S117" i="13"/>
  <c r="Z117" i="13"/>
  <c r="U117" i="13"/>
  <c r="AD117" i="13"/>
  <c r="Y117" i="13"/>
  <c r="T117" i="13"/>
  <c r="AC120" i="13"/>
  <c r="Y120" i="13"/>
  <c r="U120" i="13"/>
  <c r="AA120" i="13"/>
  <c r="V120" i="13"/>
  <c r="AE120" i="13"/>
  <c r="Z120" i="13"/>
  <c r="T120" i="13"/>
  <c r="AB120" i="13"/>
  <c r="AC122" i="13"/>
  <c r="Y122" i="13"/>
  <c r="U122" i="13"/>
  <c r="AE122" i="13"/>
  <c r="Z122" i="13"/>
  <c r="T122" i="13"/>
  <c r="AD122" i="13"/>
  <c r="X122" i="13"/>
  <c r="S122" i="13"/>
  <c r="AB122" i="13"/>
  <c r="S159" i="13"/>
  <c r="AD159" i="13"/>
  <c r="V161" i="13"/>
  <c r="AE170" i="13"/>
  <c r="AA170" i="13"/>
  <c r="W170" i="13"/>
  <c r="S170" i="13"/>
  <c r="AB170" i="13"/>
  <c r="V170" i="13"/>
  <c r="Z170" i="13"/>
  <c r="U170" i="13"/>
  <c r="AC170" i="13"/>
  <c r="V172" i="13"/>
  <c r="S175" i="13"/>
  <c r="AD175" i="13"/>
  <c r="V177" i="13"/>
  <c r="AE186" i="13"/>
  <c r="AA186" i="13"/>
  <c r="W186" i="13"/>
  <c r="S186" i="13"/>
  <c r="AB186" i="13"/>
  <c r="V186" i="13"/>
  <c r="Z186" i="13"/>
  <c r="U186" i="13"/>
  <c r="V188" i="13"/>
  <c r="S192" i="13"/>
  <c r="AD192" i="13"/>
  <c r="V194" i="13"/>
  <c r="AE195" i="13"/>
  <c r="AA195" i="13"/>
  <c r="W195" i="13"/>
  <c r="S195" i="13"/>
  <c r="AB195" i="13"/>
  <c r="V195" i="13"/>
  <c r="Z195" i="13"/>
  <c r="U195" i="13"/>
  <c r="AC195" i="13"/>
  <c r="V197" i="13"/>
  <c r="AC201" i="13"/>
  <c r="Y201" i="13"/>
  <c r="U201" i="13"/>
  <c r="AE201" i="13"/>
  <c r="Z201" i="13"/>
  <c r="T201" i="13"/>
  <c r="AD201" i="13"/>
  <c r="X201" i="13"/>
  <c r="S201" i="13"/>
  <c r="AB201" i="13"/>
  <c r="AE204" i="13"/>
  <c r="AA204" i="13"/>
  <c r="W204" i="13"/>
  <c r="S204" i="13"/>
  <c r="Z204" i="13"/>
  <c r="U204" i="13"/>
  <c r="AD204" i="13"/>
  <c r="Y204" i="13"/>
  <c r="T204" i="13"/>
  <c r="AC204" i="13"/>
  <c r="AB214" i="13"/>
  <c r="X214" i="13"/>
  <c r="T214" i="13"/>
  <c r="AE214" i="13"/>
  <c r="AA214" i="13"/>
  <c r="W214" i="13"/>
  <c r="S214" i="13"/>
  <c r="Y214" i="13"/>
  <c r="AD214" i="13"/>
  <c r="V214" i="13"/>
  <c r="Y220" i="13"/>
  <c r="AB231" i="13"/>
  <c r="X231" i="13"/>
  <c r="T231" i="13"/>
  <c r="AE231" i="13"/>
  <c r="AA231" i="13"/>
  <c r="W231" i="13"/>
  <c r="S231" i="13"/>
  <c r="Y231" i="13"/>
  <c r="AD231" i="13"/>
  <c r="V231" i="13"/>
  <c r="Y237" i="13"/>
  <c r="X23" i="13"/>
  <c r="AB23" i="13"/>
  <c r="V24" i="13"/>
  <c r="Z24" i="13"/>
  <c r="T25" i="13"/>
  <c r="X25" i="13"/>
  <c r="AB25" i="13"/>
  <c r="V26" i="13"/>
  <c r="Z26" i="13"/>
  <c r="T27" i="13"/>
  <c r="X27" i="13"/>
  <c r="AB27" i="13"/>
  <c r="V28" i="13"/>
  <c r="Z28" i="13"/>
  <c r="T29" i="13"/>
  <c r="X29" i="13"/>
  <c r="AB29" i="13"/>
  <c r="V30" i="13"/>
  <c r="Z30" i="13"/>
  <c r="T31" i="13"/>
  <c r="X31" i="13"/>
  <c r="AB31" i="13"/>
  <c r="V32" i="13"/>
  <c r="Z32" i="13"/>
  <c r="T33" i="13"/>
  <c r="X33" i="13"/>
  <c r="AB33" i="13"/>
  <c r="V34" i="13"/>
  <c r="Z34" i="13"/>
  <c r="T35" i="13"/>
  <c r="X35" i="13"/>
  <c r="AB35" i="13"/>
  <c r="V36" i="13"/>
  <c r="Z36" i="13"/>
  <c r="T38" i="13"/>
  <c r="X38" i="13"/>
  <c r="AB38" i="13"/>
  <c r="V39" i="13"/>
  <c r="Z39" i="13"/>
  <c r="T40" i="13"/>
  <c r="X40" i="13"/>
  <c r="AB40" i="13"/>
  <c r="V41" i="13"/>
  <c r="Z41" i="13"/>
  <c r="V43" i="13"/>
  <c r="T45" i="13"/>
  <c r="Z45" i="13"/>
  <c r="AE45" i="13"/>
  <c r="V46" i="13"/>
  <c r="S47" i="13"/>
  <c r="X47" i="13"/>
  <c r="AD47" i="13"/>
  <c r="U48" i="13"/>
  <c r="Z48" i="13"/>
  <c r="AC49" i="13"/>
  <c r="Y49" i="13"/>
  <c r="U49" i="13"/>
  <c r="W49" i="13"/>
  <c r="AB49" i="13"/>
  <c r="T50" i="13"/>
  <c r="Y50" i="13"/>
  <c r="V51" i="13"/>
  <c r="AE52" i="13"/>
  <c r="AA52" i="13"/>
  <c r="W52" i="13"/>
  <c r="S52" i="13"/>
  <c r="X52" i="13"/>
  <c r="AC52" i="13"/>
  <c r="T53" i="13"/>
  <c r="Z53" i="13"/>
  <c r="V54" i="13"/>
  <c r="S55" i="13"/>
  <c r="X55" i="13"/>
  <c r="AD55" i="13"/>
  <c r="U56" i="13"/>
  <c r="Z56" i="13"/>
  <c r="AC57" i="13"/>
  <c r="Y57" i="13"/>
  <c r="U57" i="13"/>
  <c r="W57" i="13"/>
  <c r="AB57" i="13"/>
  <c r="T58" i="13"/>
  <c r="Y58" i="13"/>
  <c r="V59" i="13"/>
  <c r="AE60" i="13"/>
  <c r="AA60" i="13"/>
  <c r="W60" i="13"/>
  <c r="S60" i="13"/>
  <c r="X60" i="13"/>
  <c r="AC60" i="13"/>
  <c r="T61" i="13"/>
  <c r="Z61" i="13"/>
  <c r="AE61" i="13"/>
  <c r="V62" i="13"/>
  <c r="S63" i="13"/>
  <c r="X63" i="13"/>
  <c r="AD63" i="13"/>
  <c r="U64" i="13"/>
  <c r="AC65" i="13"/>
  <c r="Y65" i="13"/>
  <c r="U65" i="13"/>
  <c r="W65" i="13"/>
  <c r="AB65" i="13"/>
  <c r="T66" i="13"/>
  <c r="Y66" i="13"/>
  <c r="AD66" i="13"/>
  <c r="V67" i="13"/>
  <c r="U68" i="13"/>
  <c r="AC68" i="13"/>
  <c r="V70" i="13"/>
  <c r="AB74" i="13"/>
  <c r="X74" i="13"/>
  <c r="T74" i="13"/>
  <c r="AE74" i="13"/>
  <c r="AA74" i="13"/>
  <c r="W74" i="13"/>
  <c r="S74" i="13"/>
  <c r="Z74" i="13"/>
  <c r="U77" i="13"/>
  <c r="V79" i="13"/>
  <c r="AB83" i="13"/>
  <c r="X83" i="13"/>
  <c r="T83" i="13"/>
  <c r="AE83" i="13"/>
  <c r="AA83" i="13"/>
  <c r="W83" i="13"/>
  <c r="S83" i="13"/>
  <c r="Z83" i="13"/>
  <c r="U85" i="13"/>
  <c r="AC85" i="13"/>
  <c r="V87" i="13"/>
  <c r="U90" i="13"/>
  <c r="AC90" i="13"/>
  <c r="V92" i="13"/>
  <c r="AD92" i="13"/>
  <c r="AB96" i="13"/>
  <c r="X96" i="13"/>
  <c r="T96" i="13"/>
  <c r="AE96" i="13"/>
  <c r="AA96" i="13"/>
  <c r="W96" i="13"/>
  <c r="S96" i="13"/>
  <c r="Z96" i="13"/>
  <c r="U98" i="13"/>
  <c r="AC98" i="13"/>
  <c r="V100" i="13"/>
  <c r="AB104" i="13"/>
  <c r="X104" i="13"/>
  <c r="T104" i="13"/>
  <c r="AE104" i="13"/>
  <c r="AA104" i="13"/>
  <c r="W104" i="13"/>
  <c r="S104" i="13"/>
  <c r="Z104" i="13"/>
  <c r="U106" i="13"/>
  <c r="AC106" i="13"/>
  <c r="S111" i="13"/>
  <c r="AD111" i="13"/>
  <c r="V114" i="13"/>
  <c r="AE115" i="13"/>
  <c r="AA115" i="13"/>
  <c r="W115" i="13"/>
  <c r="S115" i="13"/>
  <c r="AB115" i="13"/>
  <c r="V115" i="13"/>
  <c r="Z115" i="13"/>
  <c r="U115" i="13"/>
  <c r="AC115" i="13"/>
  <c r="V117" i="13"/>
  <c r="S120" i="13"/>
  <c r="AD120" i="13"/>
  <c r="V122" i="13"/>
  <c r="AE123" i="13"/>
  <c r="AA123" i="13"/>
  <c r="W123" i="13"/>
  <c r="S123" i="13"/>
  <c r="AB123" i="13"/>
  <c r="V123" i="13"/>
  <c r="Z123" i="13"/>
  <c r="U123" i="13"/>
  <c r="AC123" i="13"/>
  <c r="AC127" i="13"/>
  <c r="Y127" i="13"/>
  <c r="U127" i="13"/>
  <c r="AA127" i="13"/>
  <c r="V127" i="13"/>
  <c r="AE127" i="13"/>
  <c r="Z127" i="13"/>
  <c r="T127" i="13"/>
  <c r="AB127" i="13"/>
  <c r="AC129" i="13"/>
  <c r="Y129" i="13"/>
  <c r="U129" i="13"/>
  <c r="AE129" i="13"/>
  <c r="Z129" i="13"/>
  <c r="T129" i="13"/>
  <c r="AD129" i="13"/>
  <c r="X129" i="13"/>
  <c r="S129" i="13"/>
  <c r="AB129" i="13"/>
  <c r="AE132" i="13"/>
  <c r="AA132" i="13"/>
  <c r="W132" i="13"/>
  <c r="S132" i="13"/>
  <c r="Z132" i="13"/>
  <c r="U132" i="13"/>
  <c r="AD132" i="13"/>
  <c r="Y132" i="13"/>
  <c r="T132" i="13"/>
  <c r="AC132" i="13"/>
  <c r="AC135" i="13"/>
  <c r="Y135" i="13"/>
  <c r="U135" i="13"/>
  <c r="AA135" i="13"/>
  <c r="V135" i="13"/>
  <c r="AE135" i="13"/>
  <c r="Z135" i="13"/>
  <c r="T135" i="13"/>
  <c r="AB135" i="13"/>
  <c r="AC137" i="13"/>
  <c r="Y137" i="13"/>
  <c r="U137" i="13"/>
  <c r="AE137" i="13"/>
  <c r="Z137" i="13"/>
  <c r="T137" i="13"/>
  <c r="AD137" i="13"/>
  <c r="X137" i="13"/>
  <c r="S137" i="13"/>
  <c r="AB137" i="13"/>
  <c r="AE140" i="13"/>
  <c r="AA140" i="13"/>
  <c r="W140" i="13"/>
  <c r="S140" i="13"/>
  <c r="Z140" i="13"/>
  <c r="U140" i="13"/>
  <c r="AD140" i="13"/>
  <c r="Y140" i="13"/>
  <c r="T140" i="13"/>
  <c r="AC140" i="13"/>
  <c r="AC143" i="13"/>
  <c r="Y143" i="13"/>
  <c r="U143" i="13"/>
  <c r="AA143" i="13"/>
  <c r="V143" i="13"/>
  <c r="AE143" i="13"/>
  <c r="Z143" i="13"/>
  <c r="T143" i="13"/>
  <c r="AB143" i="13"/>
  <c r="AC145" i="13"/>
  <c r="Y145" i="13"/>
  <c r="U145" i="13"/>
  <c r="AE145" i="13"/>
  <c r="Z145" i="13"/>
  <c r="T145" i="13"/>
  <c r="AD145" i="13"/>
  <c r="X145" i="13"/>
  <c r="S145" i="13"/>
  <c r="AB145" i="13"/>
  <c r="AE149" i="13"/>
  <c r="AA149" i="13"/>
  <c r="W149" i="13"/>
  <c r="S149" i="13"/>
  <c r="Z149" i="13"/>
  <c r="U149" i="13"/>
  <c r="AD149" i="13"/>
  <c r="Y149" i="13"/>
  <c r="T149" i="13"/>
  <c r="AC149" i="13"/>
  <c r="AC152" i="13"/>
  <c r="Y152" i="13"/>
  <c r="U152" i="13"/>
  <c r="AA152" i="13"/>
  <c r="V152" i="13"/>
  <c r="AE152" i="13"/>
  <c r="Z152" i="13"/>
  <c r="T152" i="13"/>
  <c r="AB152" i="13"/>
  <c r="AC154" i="13"/>
  <c r="Y154" i="13"/>
  <c r="U154" i="13"/>
  <c r="AE154" i="13"/>
  <c r="Z154" i="13"/>
  <c r="T154" i="13"/>
  <c r="AD154" i="13"/>
  <c r="X154" i="13"/>
  <c r="S154" i="13"/>
  <c r="AB154" i="13"/>
  <c r="AE157" i="13"/>
  <c r="AA157" i="13"/>
  <c r="W157" i="13"/>
  <c r="S157" i="13"/>
  <c r="Z157" i="13"/>
  <c r="U157" i="13"/>
  <c r="AD157" i="13"/>
  <c r="Y157" i="13"/>
  <c r="T157" i="13"/>
  <c r="AC157" i="13"/>
  <c r="W161" i="13"/>
  <c r="T162" i="13"/>
  <c r="X164" i="13"/>
  <c r="T170" i="13"/>
  <c r="AD170" i="13"/>
  <c r="X172" i="13"/>
  <c r="T178" i="13"/>
  <c r="X180" i="13"/>
  <c r="T186" i="13"/>
  <c r="AD186" i="13"/>
  <c r="X188" i="13"/>
  <c r="W192" i="13"/>
  <c r="W194" i="13"/>
  <c r="T195" i="13"/>
  <c r="AD195" i="13"/>
  <c r="V201" i="13"/>
  <c r="AE202" i="13"/>
  <c r="AA202" i="13"/>
  <c r="W202" i="13"/>
  <c r="S202" i="13"/>
  <c r="AB202" i="13"/>
  <c r="V202" i="13"/>
  <c r="Z202" i="13"/>
  <c r="U202" i="13"/>
  <c r="AC202" i="13"/>
  <c r="V204" i="13"/>
  <c r="AB212" i="13"/>
  <c r="X212" i="13"/>
  <c r="T212" i="13"/>
  <c r="AE212" i="13"/>
  <c r="AA212" i="13"/>
  <c r="W212" i="13"/>
  <c r="S212" i="13"/>
  <c r="AD212" i="13"/>
  <c r="V212" i="13"/>
  <c r="AC212" i="13"/>
  <c r="U212" i="13"/>
  <c r="U214" i="13"/>
  <c r="AB228" i="13"/>
  <c r="X228" i="13"/>
  <c r="T228" i="13"/>
  <c r="AE228" i="13"/>
  <c r="AA228" i="13"/>
  <c r="W228" i="13"/>
  <c r="S228" i="13"/>
  <c r="AD228" i="13"/>
  <c r="V228" i="13"/>
  <c r="AC228" i="13"/>
  <c r="U228" i="13"/>
  <c r="U231" i="13"/>
  <c r="Z237" i="13"/>
  <c r="AB244" i="13"/>
  <c r="X244" i="13"/>
  <c r="T244" i="13"/>
  <c r="AE244" i="13"/>
  <c r="AA244" i="13"/>
  <c r="W244" i="13"/>
  <c r="S244" i="13"/>
  <c r="Y244" i="13"/>
  <c r="AD244" i="13"/>
  <c r="V244" i="13"/>
  <c r="Y250" i="13"/>
  <c r="AB260" i="13"/>
  <c r="X260" i="13"/>
  <c r="T260" i="13"/>
  <c r="AE260" i="13"/>
  <c r="AA260" i="13"/>
  <c r="W260" i="13"/>
  <c r="S260" i="13"/>
  <c r="Y260" i="13"/>
  <c r="AD260" i="13"/>
  <c r="V260" i="13"/>
  <c r="Y266" i="13"/>
  <c r="Z268" i="13"/>
  <c r="AC279" i="13"/>
  <c r="AB290" i="13"/>
  <c r="X290" i="13"/>
  <c r="T290" i="13"/>
  <c r="AA290" i="13"/>
  <c r="V290" i="13"/>
  <c r="AE290" i="13"/>
  <c r="Z290" i="13"/>
  <c r="U290" i="13"/>
  <c r="W290" i="13"/>
  <c r="AD290" i="13"/>
  <c r="S290" i="13"/>
  <c r="AB302" i="13"/>
  <c r="X302" i="13"/>
  <c r="T302" i="13"/>
  <c r="AA302" i="13"/>
  <c r="V302" i="13"/>
  <c r="AE302" i="13"/>
  <c r="Z302" i="13"/>
  <c r="U302" i="13"/>
  <c r="Y302" i="13"/>
  <c r="W302" i="13"/>
  <c r="Y306" i="13"/>
  <c r="S319" i="13"/>
  <c r="V328" i="13"/>
  <c r="AA342" i="13"/>
  <c r="AC367" i="13"/>
  <c r="Y367" i="13"/>
  <c r="U367" i="13"/>
  <c r="AA367" i="13"/>
  <c r="V367" i="13"/>
  <c r="AE367" i="13"/>
  <c r="Z367" i="13"/>
  <c r="T367" i="13"/>
  <c r="W367" i="13"/>
  <c r="AD367" i="13"/>
  <c r="S367" i="13"/>
  <c r="AB367" i="13"/>
  <c r="AC369" i="13"/>
  <c r="Y369" i="13"/>
  <c r="U369" i="13"/>
  <c r="AE369" i="13"/>
  <c r="Z369" i="13"/>
  <c r="T369" i="13"/>
  <c r="AD369" i="13"/>
  <c r="X369" i="13"/>
  <c r="S369" i="13"/>
  <c r="W369" i="13"/>
  <c r="V369" i="13"/>
  <c r="AB369" i="13"/>
  <c r="AA369" i="13"/>
  <c r="AE381" i="13"/>
  <c r="AA381" i="13"/>
  <c r="W381" i="13"/>
  <c r="S381" i="13"/>
  <c r="Z381" i="13"/>
  <c r="U381" i="13"/>
  <c r="AC381" i="13"/>
  <c r="V381" i="13"/>
  <c r="AB381" i="13"/>
  <c r="T381" i="13"/>
  <c r="Y381" i="13"/>
  <c r="X381" i="13"/>
  <c r="V25" i="13"/>
  <c r="Z25" i="13"/>
  <c r="AD25" i="13"/>
  <c r="V29" i="13"/>
  <c r="Z29" i="13"/>
  <c r="AD29" i="13"/>
  <c r="V31" i="13"/>
  <c r="Z31" i="13"/>
  <c r="AD31" i="13"/>
  <c r="V33" i="13"/>
  <c r="Z33" i="13"/>
  <c r="AD33" i="13"/>
  <c r="V35" i="13"/>
  <c r="Z35" i="13"/>
  <c r="AD35" i="13"/>
  <c r="V38" i="13"/>
  <c r="Z38" i="13"/>
  <c r="AD38" i="13"/>
  <c r="V40" i="13"/>
  <c r="Z40" i="13"/>
  <c r="AD40" i="13"/>
  <c r="AC53" i="13"/>
  <c r="Y53" i="13"/>
  <c r="U53" i="13"/>
  <c r="W53" i="13"/>
  <c r="AB53" i="13"/>
  <c r="AE64" i="13"/>
  <c r="AA64" i="13"/>
  <c r="W64" i="13"/>
  <c r="S64" i="13"/>
  <c r="X64" i="13"/>
  <c r="AC64" i="13"/>
  <c r="AB70" i="13"/>
  <c r="X70" i="13"/>
  <c r="T70" i="13"/>
  <c r="AE70" i="13"/>
  <c r="AA70" i="13"/>
  <c r="W70" i="13"/>
  <c r="S70" i="13"/>
  <c r="Z70" i="13"/>
  <c r="AB79" i="13"/>
  <c r="X79" i="13"/>
  <c r="T79" i="13"/>
  <c r="AE79" i="13"/>
  <c r="AA79" i="13"/>
  <c r="W79" i="13"/>
  <c r="S79" i="13"/>
  <c r="Z79" i="13"/>
  <c r="AB87" i="13"/>
  <c r="X87" i="13"/>
  <c r="T87" i="13"/>
  <c r="AE87" i="13"/>
  <c r="AA87" i="13"/>
  <c r="W87" i="13"/>
  <c r="S87" i="13"/>
  <c r="AB100" i="13"/>
  <c r="X100" i="13"/>
  <c r="T100" i="13"/>
  <c r="AE100" i="13"/>
  <c r="AA100" i="13"/>
  <c r="W100" i="13"/>
  <c r="S100" i="13"/>
  <c r="Z100" i="13"/>
  <c r="AC159" i="13"/>
  <c r="Y159" i="13"/>
  <c r="U159" i="13"/>
  <c r="AA159" i="13"/>
  <c r="V159" i="13"/>
  <c r="AE159" i="13"/>
  <c r="Z159" i="13"/>
  <c r="T159" i="13"/>
  <c r="AC167" i="13"/>
  <c r="Y167" i="13"/>
  <c r="U167" i="13"/>
  <c r="AA167" i="13"/>
  <c r="V167" i="13"/>
  <c r="AE167" i="13"/>
  <c r="Z167" i="13"/>
  <c r="T167" i="13"/>
  <c r="AB167" i="13"/>
  <c r="AC169" i="13"/>
  <c r="Y169" i="13"/>
  <c r="U169" i="13"/>
  <c r="AE169" i="13"/>
  <c r="Z169" i="13"/>
  <c r="T169" i="13"/>
  <c r="AD169" i="13"/>
  <c r="X169" i="13"/>
  <c r="S169" i="13"/>
  <c r="AC172" i="13"/>
  <c r="AC175" i="13"/>
  <c r="Y175" i="13"/>
  <c r="U175" i="13"/>
  <c r="AA175" i="13"/>
  <c r="V175" i="13"/>
  <c r="AE175" i="13"/>
  <c r="Z175" i="13"/>
  <c r="T175" i="13"/>
  <c r="AC177" i="13"/>
  <c r="Y177" i="13"/>
  <c r="U177" i="13"/>
  <c r="AE177" i="13"/>
  <c r="Z177" i="13"/>
  <c r="T177" i="13"/>
  <c r="AD177" i="13"/>
  <c r="X177" i="13"/>
  <c r="S177" i="13"/>
  <c r="AC183" i="13"/>
  <c r="Y183" i="13"/>
  <c r="U183" i="13"/>
  <c r="AA183" i="13"/>
  <c r="V183" i="13"/>
  <c r="AE183" i="13"/>
  <c r="Z183" i="13"/>
  <c r="T183" i="13"/>
  <c r="AC185" i="13"/>
  <c r="Y185" i="13"/>
  <c r="U185" i="13"/>
  <c r="AE185" i="13"/>
  <c r="Z185" i="13"/>
  <c r="T185" i="13"/>
  <c r="AD185" i="13"/>
  <c r="X185" i="13"/>
  <c r="S185" i="13"/>
  <c r="AB192" i="13"/>
  <c r="AB194" i="13"/>
  <c r="AE197" i="13"/>
  <c r="AA197" i="13"/>
  <c r="W197" i="13"/>
  <c r="S197" i="13"/>
  <c r="Z197" i="13"/>
  <c r="U197" i="13"/>
  <c r="AD197" i="13"/>
  <c r="Y197" i="13"/>
  <c r="T197" i="13"/>
  <c r="AC197" i="13"/>
  <c r="AB220" i="13"/>
  <c r="X220" i="13"/>
  <c r="T220" i="13"/>
  <c r="AE220" i="13"/>
  <c r="AA220" i="13"/>
  <c r="W220" i="13"/>
  <c r="S220" i="13"/>
  <c r="AD220" i="13"/>
  <c r="V220" i="13"/>
  <c r="AC220" i="13"/>
  <c r="U220" i="13"/>
  <c r="AB252" i="13"/>
  <c r="X252" i="13"/>
  <c r="T252" i="13"/>
  <c r="AE252" i="13"/>
  <c r="AA252" i="13"/>
  <c r="W252" i="13"/>
  <c r="S252" i="13"/>
  <c r="Y252" i="13"/>
  <c r="AD252" i="13"/>
  <c r="V252" i="13"/>
  <c r="W23" i="13"/>
  <c r="S25" i="13"/>
  <c r="AA25" i="13"/>
  <c r="AE25" i="13"/>
  <c r="W27" i="13"/>
  <c r="S29" i="13"/>
  <c r="AA29" i="13"/>
  <c r="AE29" i="13"/>
  <c r="W31" i="13"/>
  <c r="S33" i="13"/>
  <c r="AA33" i="13"/>
  <c r="AE33" i="13"/>
  <c r="W35" i="13"/>
  <c r="W38" i="13"/>
  <c r="W40" i="13"/>
  <c r="AE40" i="13"/>
  <c r="S45" i="13"/>
  <c r="AD45" i="13"/>
  <c r="W47" i="13"/>
  <c r="T48" i="13"/>
  <c r="AD48" i="13"/>
  <c r="AE50" i="13"/>
  <c r="AA50" i="13"/>
  <c r="W50" i="13"/>
  <c r="S50" i="13"/>
  <c r="X50" i="13"/>
  <c r="AC50" i="13"/>
  <c r="S53" i="13"/>
  <c r="AD53" i="13"/>
  <c r="W55" i="13"/>
  <c r="T56" i="13"/>
  <c r="AD56" i="13"/>
  <c r="AE58" i="13"/>
  <c r="AA58" i="13"/>
  <c r="W58" i="13"/>
  <c r="S58" i="13"/>
  <c r="X58" i="13"/>
  <c r="AC58" i="13"/>
  <c r="S61" i="13"/>
  <c r="X61" i="13"/>
  <c r="AD61" i="13"/>
  <c r="W63" i="13"/>
  <c r="T64" i="13"/>
  <c r="AD64" i="13"/>
  <c r="X66" i="13"/>
  <c r="AC66" i="13"/>
  <c r="Z68" i="13"/>
  <c r="U70" i="13"/>
  <c r="AC70" i="13"/>
  <c r="AB77" i="13"/>
  <c r="X77" i="13"/>
  <c r="T77" i="13"/>
  <c r="AE77" i="13"/>
  <c r="AA77" i="13"/>
  <c r="W77" i="13"/>
  <c r="S77" i="13"/>
  <c r="Z90" i="13"/>
  <c r="AC92" i="13"/>
  <c r="Z98" i="13"/>
  <c r="Z106" i="13"/>
  <c r="AE108" i="13"/>
  <c r="AA108" i="13"/>
  <c r="W108" i="13"/>
  <c r="S108" i="13"/>
  <c r="Z108" i="13"/>
  <c r="U108" i="13"/>
  <c r="AD108" i="13"/>
  <c r="Y108" i="13"/>
  <c r="T108" i="13"/>
  <c r="AC108" i="13"/>
  <c r="AB114" i="13"/>
  <c r="AC117" i="13"/>
  <c r="AE162" i="13"/>
  <c r="AA162" i="13"/>
  <c r="W162" i="13"/>
  <c r="S162" i="13"/>
  <c r="AB162" i="13"/>
  <c r="V162" i="13"/>
  <c r="Z162" i="13"/>
  <c r="U162" i="13"/>
  <c r="AC162" i="13"/>
  <c r="V164" i="13"/>
  <c r="S167" i="13"/>
  <c r="AD167" i="13"/>
  <c r="V169" i="13"/>
  <c r="AE178" i="13"/>
  <c r="AA178" i="13"/>
  <c r="W178" i="13"/>
  <c r="S178" i="13"/>
  <c r="AB178" i="13"/>
  <c r="V178" i="13"/>
  <c r="Z178" i="13"/>
  <c r="U178" i="13"/>
  <c r="AC178" i="13"/>
  <c r="V180" i="13"/>
  <c r="S183" i="13"/>
  <c r="AD183" i="13"/>
  <c r="V185" i="13"/>
  <c r="AC186" i="13"/>
  <c r="U23" i="13"/>
  <c r="Y23" i="13"/>
  <c r="U25" i="13"/>
  <c r="Y25" i="13"/>
  <c r="U27" i="13"/>
  <c r="Y27" i="13"/>
  <c r="U29" i="13"/>
  <c r="Y29" i="13"/>
  <c r="U31" i="13"/>
  <c r="Y31" i="13"/>
  <c r="U33" i="13"/>
  <c r="Y33" i="13"/>
  <c r="U35" i="13"/>
  <c r="Y35" i="13"/>
  <c r="U38" i="13"/>
  <c r="Y38" i="13"/>
  <c r="U40" i="13"/>
  <c r="Y40" i="13"/>
  <c r="AB43" i="13"/>
  <c r="X43" i="13"/>
  <c r="T43" i="13"/>
  <c r="W43" i="13"/>
  <c r="AC43" i="13"/>
  <c r="V45" i="13"/>
  <c r="AA45" i="13"/>
  <c r="AE46" i="13"/>
  <c r="AA46" i="13"/>
  <c r="W46" i="13"/>
  <c r="S46" i="13"/>
  <c r="X46" i="13"/>
  <c r="AC46" i="13"/>
  <c r="T47" i="13"/>
  <c r="Z47" i="13"/>
  <c r="AE47" i="13"/>
  <c r="V48" i="13"/>
  <c r="AB48" i="13"/>
  <c r="U50" i="13"/>
  <c r="Z50" i="13"/>
  <c r="AC51" i="13"/>
  <c r="Y51" i="13"/>
  <c r="U51" i="13"/>
  <c r="W51" i="13"/>
  <c r="AB51" i="13"/>
  <c r="V53" i="13"/>
  <c r="AA53" i="13"/>
  <c r="AE54" i="13"/>
  <c r="AA54" i="13"/>
  <c r="W54" i="13"/>
  <c r="S54" i="13"/>
  <c r="X54" i="13"/>
  <c r="AC54" i="13"/>
  <c r="T55" i="13"/>
  <c r="Z55" i="13"/>
  <c r="AE55" i="13"/>
  <c r="V56" i="13"/>
  <c r="AB56" i="13"/>
  <c r="U58" i="13"/>
  <c r="Z58" i="13"/>
  <c r="AC59" i="13"/>
  <c r="Y59" i="13"/>
  <c r="U59" i="13"/>
  <c r="W59" i="13"/>
  <c r="AB59" i="13"/>
  <c r="V61" i="13"/>
  <c r="AA61" i="13"/>
  <c r="AE62" i="13"/>
  <c r="AA62" i="13"/>
  <c r="W62" i="13"/>
  <c r="S62" i="13"/>
  <c r="X62" i="13"/>
  <c r="AC62" i="13"/>
  <c r="T63" i="13"/>
  <c r="Z63" i="13"/>
  <c r="AE63" i="13"/>
  <c r="V64" i="13"/>
  <c r="AB64" i="13"/>
  <c r="U66" i="13"/>
  <c r="Z66" i="13"/>
  <c r="AD67" i="13"/>
  <c r="AC67" i="13"/>
  <c r="Y67" i="13"/>
  <c r="U67" i="13"/>
  <c r="W67" i="13"/>
  <c r="AB67" i="13"/>
  <c r="V68" i="13"/>
  <c r="AD68" i="13"/>
  <c r="Y70" i="13"/>
  <c r="AB72" i="13"/>
  <c r="X72" i="13"/>
  <c r="T72" i="13"/>
  <c r="AE72" i="13"/>
  <c r="AA72" i="13"/>
  <c r="W72" i="13"/>
  <c r="S72" i="13"/>
  <c r="Z72" i="13"/>
  <c r="V77" i="13"/>
  <c r="AD77" i="13"/>
  <c r="Y79" i="13"/>
  <c r="AB81" i="13"/>
  <c r="X81" i="13"/>
  <c r="T81" i="13"/>
  <c r="AE81" i="13"/>
  <c r="AA81" i="13"/>
  <c r="W81" i="13"/>
  <c r="S81" i="13"/>
  <c r="Z81" i="13"/>
  <c r="V85" i="13"/>
  <c r="AD85" i="13"/>
  <c r="Y87" i="13"/>
  <c r="AD89" i="13"/>
  <c r="Z89" i="13"/>
  <c r="V89" i="13"/>
  <c r="AC89" i="13"/>
  <c r="Y89" i="13"/>
  <c r="S89" i="13"/>
  <c r="AB89" i="13"/>
  <c r="V90" i="13"/>
  <c r="AD90" i="13"/>
  <c r="Y92" i="13"/>
  <c r="AB94" i="13"/>
  <c r="X94" i="13"/>
  <c r="T94" i="13"/>
  <c r="AE94" i="13"/>
  <c r="AA94" i="13"/>
  <c r="W94" i="13"/>
  <c r="S94" i="13"/>
  <c r="Z94" i="13"/>
  <c r="V98" i="13"/>
  <c r="AD98" i="13"/>
  <c r="Y100" i="13"/>
  <c r="AB102" i="13"/>
  <c r="X102" i="13"/>
  <c r="T102" i="13"/>
  <c r="AE102" i="13"/>
  <c r="AA102" i="13"/>
  <c r="W102" i="13"/>
  <c r="S102" i="13"/>
  <c r="Z102" i="13"/>
  <c r="V106" i="13"/>
  <c r="AD106" i="13"/>
  <c r="X108" i="13"/>
  <c r="W111" i="13"/>
  <c r="W114" i="13"/>
  <c r="X117" i="13"/>
  <c r="W120" i="13"/>
  <c r="W122" i="13"/>
  <c r="AE130" i="13"/>
  <c r="AA130" i="13"/>
  <c r="W130" i="13"/>
  <c r="S130" i="13"/>
  <c r="AB130" i="13"/>
  <c r="V130" i="13"/>
  <c r="Z130" i="13"/>
  <c r="U130" i="13"/>
  <c r="AC130" i="13"/>
  <c r="AE138" i="13"/>
  <c r="AA138" i="13"/>
  <c r="W138" i="13"/>
  <c r="S138" i="13"/>
  <c r="AB138" i="13"/>
  <c r="V138" i="13"/>
  <c r="Z138" i="13"/>
  <c r="U138" i="13"/>
  <c r="AC138" i="13"/>
  <c r="AE147" i="13"/>
  <c r="AA147" i="13"/>
  <c r="W147" i="13"/>
  <c r="S147" i="13"/>
  <c r="AB147" i="13"/>
  <c r="V147" i="13"/>
  <c r="Z147" i="13"/>
  <c r="U147" i="13"/>
  <c r="AC147" i="13"/>
  <c r="V149" i="13"/>
  <c r="S152" i="13"/>
  <c r="AD152" i="13"/>
  <c r="V154" i="13"/>
  <c r="AE155" i="13"/>
  <c r="AA155" i="13"/>
  <c r="W155" i="13"/>
  <c r="S155" i="13"/>
  <c r="AB155" i="13"/>
  <c r="V155" i="13"/>
  <c r="Z155" i="13"/>
  <c r="U155" i="13"/>
  <c r="AC155" i="13"/>
  <c r="V157" i="13"/>
  <c r="X159" i="13"/>
  <c r="AA161" i="13"/>
  <c r="X162" i="13"/>
  <c r="AB164" i="13"/>
  <c r="X167" i="13"/>
  <c r="AA169" i="13"/>
  <c r="X170" i="13"/>
  <c r="AB172" i="13"/>
  <c r="X175" i="13"/>
  <c r="AA177" i="13"/>
  <c r="X178" i="13"/>
  <c r="AB180" i="13"/>
  <c r="X183" i="13"/>
  <c r="AA185" i="13"/>
  <c r="X186" i="13"/>
  <c r="AB188" i="13"/>
  <c r="X192" i="13"/>
  <c r="AA194" i="13"/>
  <c r="X195" i="13"/>
  <c r="AB197" i="13"/>
  <c r="W201" i="13"/>
  <c r="T202" i="13"/>
  <c r="AD202" i="13"/>
  <c r="X204" i="13"/>
  <c r="AB206" i="13"/>
  <c r="X206" i="13"/>
  <c r="T206" i="13"/>
  <c r="AE206" i="13"/>
  <c r="AA206" i="13"/>
  <c r="W206" i="13"/>
  <c r="S206" i="13"/>
  <c r="Y206" i="13"/>
  <c r="AD206" i="13"/>
  <c r="V206" i="13"/>
  <c r="Z214" i="13"/>
  <c r="AB222" i="13"/>
  <c r="X222" i="13"/>
  <c r="T222" i="13"/>
  <c r="AE222" i="13"/>
  <c r="AA222" i="13"/>
  <c r="W222" i="13"/>
  <c r="S222" i="13"/>
  <c r="Y222" i="13"/>
  <c r="AD222" i="13"/>
  <c r="V222" i="13"/>
  <c r="Y228" i="13"/>
  <c r="Z231" i="13"/>
  <c r="AB239" i="13"/>
  <c r="X239" i="13"/>
  <c r="T239" i="13"/>
  <c r="AE239" i="13"/>
  <c r="AA239" i="13"/>
  <c r="W239" i="13"/>
  <c r="S239" i="13"/>
  <c r="Y239" i="13"/>
  <c r="AD239" i="13"/>
  <c r="V239" i="13"/>
  <c r="AB242" i="13"/>
  <c r="X242" i="13"/>
  <c r="T242" i="13"/>
  <c r="AE242" i="13"/>
  <c r="AA242" i="13"/>
  <c r="W242" i="13"/>
  <c r="S242" i="13"/>
  <c r="AD242" i="13"/>
  <c r="V242" i="13"/>
  <c r="AC242" i="13"/>
  <c r="U242" i="13"/>
  <c r="U244" i="13"/>
  <c r="Z250" i="13"/>
  <c r="AC252" i="13"/>
  <c r="AB258" i="13"/>
  <c r="X258" i="13"/>
  <c r="T258" i="13"/>
  <c r="AE258" i="13"/>
  <c r="AA258" i="13"/>
  <c r="W258" i="13"/>
  <c r="S258" i="13"/>
  <c r="AD258" i="13"/>
  <c r="V258" i="13"/>
  <c r="AC258" i="13"/>
  <c r="U258" i="13"/>
  <c r="U260" i="13"/>
  <c r="Z266" i="13"/>
  <c r="AC268" i="13"/>
  <c r="AD279" i="13"/>
  <c r="AB283" i="13"/>
  <c r="X283" i="13"/>
  <c r="T283" i="13"/>
  <c r="AA283" i="13"/>
  <c r="V283" i="13"/>
  <c r="AE283" i="13"/>
  <c r="Z283" i="13"/>
  <c r="U283" i="13"/>
  <c r="W283" i="13"/>
  <c r="AD283" i="13"/>
  <c r="S283" i="13"/>
  <c r="AB286" i="13"/>
  <c r="X286" i="13"/>
  <c r="T286" i="13"/>
  <c r="AA286" i="13"/>
  <c r="V286" i="13"/>
  <c r="AE286" i="13"/>
  <c r="Z286" i="13"/>
  <c r="U286" i="13"/>
  <c r="Y286" i="13"/>
  <c r="W286" i="13"/>
  <c r="Y290" i="13"/>
  <c r="S302" i="13"/>
  <c r="AC306" i="13"/>
  <c r="AC319" i="13"/>
  <c r="AC328" i="13"/>
  <c r="AC334" i="13"/>
  <c r="Y334" i="13"/>
  <c r="U334" i="13"/>
  <c r="AB334" i="13"/>
  <c r="X334" i="13"/>
  <c r="T334" i="13"/>
  <c r="AE334" i="13"/>
  <c r="W334" i="13"/>
  <c r="AD334" i="13"/>
  <c r="V334" i="13"/>
  <c r="Z334" i="13"/>
  <c r="S334" i="13"/>
  <c r="AC351" i="13"/>
  <c r="Y351" i="13"/>
  <c r="U351" i="13"/>
  <c r="AB351" i="13"/>
  <c r="X351" i="13"/>
  <c r="T351" i="13"/>
  <c r="AE351" i="13"/>
  <c r="W351" i="13"/>
  <c r="AD351" i="13"/>
  <c r="V351" i="13"/>
  <c r="Z351" i="13"/>
  <c r="S351" i="13"/>
  <c r="X367" i="13"/>
  <c r="AE372" i="13"/>
  <c r="AA372" i="13"/>
  <c r="W372" i="13"/>
  <c r="S372" i="13"/>
  <c r="Z372" i="13"/>
  <c r="U372" i="13"/>
  <c r="AD372" i="13"/>
  <c r="Y372" i="13"/>
  <c r="T372" i="13"/>
  <c r="X372" i="13"/>
  <c r="V372" i="13"/>
  <c r="AC372" i="13"/>
  <c r="AD381" i="13"/>
  <c r="AC384" i="13"/>
  <c r="Y384" i="13"/>
  <c r="U384" i="13"/>
  <c r="AA384" i="13"/>
  <c r="V384" i="13"/>
  <c r="AB384" i="13"/>
  <c r="T384" i="13"/>
  <c r="Z384" i="13"/>
  <c r="S384" i="13"/>
  <c r="AD384" i="13"/>
  <c r="X384" i="13"/>
  <c r="AE384" i="13"/>
  <c r="W384" i="13"/>
  <c r="V42" i="13"/>
  <c r="Z42" i="13"/>
  <c r="W44" i="13"/>
  <c r="AA44" i="13"/>
  <c r="U69" i="13"/>
  <c r="Y69" i="13"/>
  <c r="AC69" i="13"/>
  <c r="U71" i="13"/>
  <c r="Y71" i="13"/>
  <c r="AC71" i="13"/>
  <c r="U73" i="13"/>
  <c r="Y73" i="13"/>
  <c r="AC73" i="13"/>
  <c r="U75" i="13"/>
  <c r="Y75" i="13"/>
  <c r="AC75" i="13"/>
  <c r="U78" i="13"/>
  <c r="Y78" i="13"/>
  <c r="AC78" i="13"/>
  <c r="U80" i="13"/>
  <c r="Y80" i="13"/>
  <c r="AC80" i="13"/>
  <c r="U82" i="13"/>
  <c r="Y82" i="13"/>
  <c r="AC82" i="13"/>
  <c r="U84" i="13"/>
  <c r="Y84" i="13"/>
  <c r="AC84" i="13"/>
  <c r="U86" i="13"/>
  <c r="Y86" i="13"/>
  <c r="AC86" i="13"/>
  <c r="U88" i="13"/>
  <c r="Y88" i="13"/>
  <c r="AC88" i="13"/>
  <c r="U91" i="13"/>
  <c r="Y91" i="13"/>
  <c r="AC91" i="13"/>
  <c r="U93" i="13"/>
  <c r="Y93" i="13"/>
  <c r="AC93" i="13"/>
  <c r="U95" i="13"/>
  <c r="Y95" i="13"/>
  <c r="AC95" i="13"/>
  <c r="U97" i="13"/>
  <c r="Y97" i="13"/>
  <c r="AC97" i="13"/>
  <c r="U99" i="13"/>
  <c r="Y99" i="13"/>
  <c r="AC99" i="13"/>
  <c r="U101" i="13"/>
  <c r="Y101" i="13"/>
  <c r="AC101" i="13"/>
  <c r="U103" i="13"/>
  <c r="Y103" i="13"/>
  <c r="AC103" i="13"/>
  <c r="U105" i="13"/>
  <c r="Y105" i="13"/>
  <c r="AC105" i="13"/>
  <c r="AC107" i="13"/>
  <c r="Y107" i="13"/>
  <c r="U107" i="13"/>
  <c r="W107" i="13"/>
  <c r="AB107" i="13"/>
  <c r="V109" i="13"/>
  <c r="AE110" i="13"/>
  <c r="AA110" i="13"/>
  <c r="W110" i="13"/>
  <c r="S110" i="13"/>
  <c r="X110" i="13"/>
  <c r="AC110" i="13"/>
  <c r="V112" i="13"/>
  <c r="AC116" i="13"/>
  <c r="Y116" i="13"/>
  <c r="U116" i="13"/>
  <c r="W116" i="13"/>
  <c r="AB116" i="13"/>
  <c r="V118" i="13"/>
  <c r="AE119" i="13"/>
  <c r="AA119" i="13"/>
  <c r="W119" i="13"/>
  <c r="S119" i="13"/>
  <c r="X119" i="13"/>
  <c r="AC119" i="13"/>
  <c r="V121" i="13"/>
  <c r="AE124" i="13"/>
  <c r="AA124" i="13"/>
  <c r="W124" i="13"/>
  <c r="Y124" i="13"/>
  <c r="AD124" i="13"/>
  <c r="V125" i="13"/>
  <c r="AE126" i="13"/>
  <c r="AA126" i="13"/>
  <c r="W126" i="13"/>
  <c r="S126" i="13"/>
  <c r="X126" i="13"/>
  <c r="AC126" i="13"/>
  <c r="V128" i="13"/>
  <c r="AC131" i="13"/>
  <c r="Y131" i="13"/>
  <c r="U131" i="13"/>
  <c r="W131" i="13"/>
  <c r="AB131" i="13"/>
  <c r="V133" i="13"/>
  <c r="AE134" i="13"/>
  <c r="AA134" i="13"/>
  <c r="W134" i="13"/>
  <c r="S134" i="13"/>
  <c r="X134" i="13"/>
  <c r="AC134" i="13"/>
  <c r="V136" i="13"/>
  <c r="AC139" i="13"/>
  <c r="Y139" i="13"/>
  <c r="U139" i="13"/>
  <c r="W139" i="13"/>
  <c r="AB139" i="13"/>
  <c r="V141" i="13"/>
  <c r="AE142" i="13"/>
  <c r="AA142" i="13"/>
  <c r="W142" i="13"/>
  <c r="S142" i="13"/>
  <c r="X142" i="13"/>
  <c r="AC142" i="13"/>
  <c r="V144" i="13"/>
  <c r="AC148" i="13"/>
  <c r="Y148" i="13"/>
  <c r="U148" i="13"/>
  <c r="W148" i="13"/>
  <c r="AB148" i="13"/>
  <c r="V150" i="13"/>
  <c r="AE151" i="13"/>
  <c r="AA151" i="13"/>
  <c r="W151" i="13"/>
  <c r="S151" i="13"/>
  <c r="X151" i="13"/>
  <c r="AC151" i="13"/>
  <c r="V153" i="13"/>
  <c r="AC156" i="13"/>
  <c r="Y156" i="13"/>
  <c r="U156" i="13"/>
  <c r="W156" i="13"/>
  <c r="AB156" i="13"/>
  <c r="X158" i="13"/>
  <c r="V160" i="13"/>
  <c r="AC163" i="13"/>
  <c r="Y163" i="13"/>
  <c r="U163" i="13"/>
  <c r="W163" i="13"/>
  <c r="AB163" i="13"/>
  <c r="V165" i="13"/>
  <c r="AE166" i="13"/>
  <c r="AA166" i="13"/>
  <c r="W166" i="13"/>
  <c r="S166" i="13"/>
  <c r="X166" i="13"/>
  <c r="AC166" i="13"/>
  <c r="V168" i="13"/>
  <c r="AC171" i="13"/>
  <c r="Y171" i="13"/>
  <c r="U171" i="13"/>
  <c r="W171" i="13"/>
  <c r="AB171" i="13"/>
  <c r="V173" i="13"/>
  <c r="AE174" i="13"/>
  <c r="AA174" i="13"/>
  <c r="W174" i="13"/>
  <c r="S174" i="13"/>
  <c r="X174" i="13"/>
  <c r="AC174" i="13"/>
  <c r="V176" i="13"/>
  <c r="AC179" i="13"/>
  <c r="Y179" i="13"/>
  <c r="U179" i="13"/>
  <c r="W179" i="13"/>
  <c r="AB179" i="13"/>
  <c r="V181" i="13"/>
  <c r="AE182" i="13"/>
  <c r="AA182" i="13"/>
  <c r="W182" i="13"/>
  <c r="S182" i="13"/>
  <c r="X182" i="13"/>
  <c r="AC182" i="13"/>
  <c r="V184" i="13"/>
  <c r="AC187" i="13"/>
  <c r="Y187" i="13"/>
  <c r="U187" i="13"/>
  <c r="W187" i="13"/>
  <c r="AB187" i="13"/>
  <c r="V190" i="13"/>
  <c r="AE191" i="13"/>
  <c r="AA191" i="13"/>
  <c r="W191" i="13"/>
  <c r="S191" i="13"/>
  <c r="X191" i="13"/>
  <c r="AC191" i="13"/>
  <c r="V193" i="13"/>
  <c r="AC196" i="13"/>
  <c r="Y196" i="13"/>
  <c r="U196" i="13"/>
  <c r="W196" i="13"/>
  <c r="AB196" i="13"/>
  <c r="V198" i="13"/>
  <c r="AC199" i="13"/>
  <c r="Y199" i="13"/>
  <c r="S199" i="13"/>
  <c r="Z199" i="13"/>
  <c r="AE199" i="13"/>
  <c r="V200" i="13"/>
  <c r="AC203" i="13"/>
  <c r="Y203" i="13"/>
  <c r="U203" i="13"/>
  <c r="W203" i="13"/>
  <c r="AB203" i="13"/>
  <c r="V205" i="13"/>
  <c r="AB210" i="13"/>
  <c r="X210" i="13"/>
  <c r="T210" i="13"/>
  <c r="AE210" i="13"/>
  <c r="AA210" i="13"/>
  <c r="W210" i="13"/>
  <c r="S210" i="13"/>
  <c r="Z210" i="13"/>
  <c r="AB218" i="13"/>
  <c r="X218" i="13"/>
  <c r="T218" i="13"/>
  <c r="AE218" i="13"/>
  <c r="AA218" i="13"/>
  <c r="W218" i="13"/>
  <c r="S218" i="13"/>
  <c r="Z218" i="13"/>
  <c r="AB226" i="13"/>
  <c r="X226" i="13"/>
  <c r="T226" i="13"/>
  <c r="AE226" i="13"/>
  <c r="AA226" i="13"/>
  <c r="W226" i="13"/>
  <c r="S226" i="13"/>
  <c r="Z226" i="13"/>
  <c r="AB235" i="13"/>
  <c r="X235" i="13"/>
  <c r="T235" i="13"/>
  <c r="AE235" i="13"/>
  <c r="AA235" i="13"/>
  <c r="W235" i="13"/>
  <c r="S235" i="13"/>
  <c r="Z235" i="13"/>
  <c r="AB248" i="13"/>
  <c r="X248" i="13"/>
  <c r="T248" i="13"/>
  <c r="AE248" i="13"/>
  <c r="AA248" i="13"/>
  <c r="W248" i="13"/>
  <c r="S248" i="13"/>
  <c r="Z248" i="13"/>
  <c r="AB256" i="13"/>
  <c r="X256" i="13"/>
  <c r="T256" i="13"/>
  <c r="AE256" i="13"/>
  <c r="AA256" i="13"/>
  <c r="W256" i="13"/>
  <c r="S256" i="13"/>
  <c r="Z256" i="13"/>
  <c r="AB264" i="13"/>
  <c r="X264" i="13"/>
  <c r="T264" i="13"/>
  <c r="AE264" i="13"/>
  <c r="AA264" i="13"/>
  <c r="W264" i="13"/>
  <c r="S264" i="13"/>
  <c r="Z264" i="13"/>
  <c r="AB272" i="13"/>
  <c r="X272" i="13"/>
  <c r="AD272" i="13"/>
  <c r="Y272" i="13"/>
  <c r="T272" i="13"/>
  <c r="AC272" i="13"/>
  <c r="W272" i="13"/>
  <c r="S272" i="13"/>
  <c r="AA272" i="13"/>
  <c r="AB294" i="13"/>
  <c r="X294" i="13"/>
  <c r="T294" i="13"/>
  <c r="AA294" i="13"/>
  <c r="V294" i="13"/>
  <c r="AE294" i="13"/>
  <c r="Z294" i="13"/>
  <c r="U294" i="13"/>
  <c r="AC294" i="13"/>
  <c r="AB310" i="13"/>
  <c r="X310" i="13"/>
  <c r="T310" i="13"/>
  <c r="AA310" i="13"/>
  <c r="V310" i="13"/>
  <c r="AE310" i="13"/>
  <c r="Z310" i="13"/>
  <c r="U310" i="13"/>
  <c r="AC310" i="13"/>
  <c r="AB324" i="13"/>
  <c r="X324" i="13"/>
  <c r="T324" i="13"/>
  <c r="AE324" i="13"/>
  <c r="Z324" i="13"/>
  <c r="U324" i="13"/>
  <c r="AD324" i="13"/>
  <c r="Y324" i="13"/>
  <c r="S324" i="13"/>
  <c r="AC324" i="13"/>
  <c r="AC332" i="13"/>
  <c r="Y332" i="13"/>
  <c r="U332" i="13"/>
  <c r="AB332" i="13"/>
  <c r="X332" i="13"/>
  <c r="T332" i="13"/>
  <c r="AD332" i="13"/>
  <c r="V332" i="13"/>
  <c r="AA332" i="13"/>
  <c r="S332" i="13"/>
  <c r="AC340" i="13"/>
  <c r="Y340" i="13"/>
  <c r="U340" i="13"/>
  <c r="AB340" i="13"/>
  <c r="X340" i="13"/>
  <c r="T340" i="13"/>
  <c r="AD340" i="13"/>
  <c r="V340" i="13"/>
  <c r="AA340" i="13"/>
  <c r="S340" i="13"/>
  <c r="AC349" i="13"/>
  <c r="Y349" i="13"/>
  <c r="U349" i="13"/>
  <c r="AB349" i="13"/>
  <c r="X349" i="13"/>
  <c r="T349" i="13"/>
  <c r="AD349" i="13"/>
  <c r="V349" i="13"/>
  <c r="AA349" i="13"/>
  <c r="S349" i="13"/>
  <c r="AC357" i="13"/>
  <c r="Y357" i="13"/>
  <c r="U357" i="13"/>
  <c r="AB357" i="13"/>
  <c r="X357" i="13"/>
  <c r="T357" i="13"/>
  <c r="AD357" i="13"/>
  <c r="V357" i="13"/>
  <c r="AA357" i="13"/>
  <c r="S357" i="13"/>
  <c r="AE364" i="13"/>
  <c r="AA364" i="13"/>
  <c r="W364" i="13"/>
  <c r="S364" i="13"/>
  <c r="Z364" i="13"/>
  <c r="U364" i="13"/>
  <c r="AD364" i="13"/>
  <c r="Y364" i="13"/>
  <c r="T364" i="13"/>
  <c r="X364" i="13"/>
  <c r="V364" i="13"/>
  <c r="AC375" i="13"/>
  <c r="Y375" i="13"/>
  <c r="U375" i="13"/>
  <c r="AA375" i="13"/>
  <c r="V375" i="13"/>
  <c r="AE375" i="13"/>
  <c r="Z375" i="13"/>
  <c r="T375" i="13"/>
  <c r="W375" i="13"/>
  <c r="AD375" i="13"/>
  <c r="S375" i="13"/>
  <c r="AC380" i="13"/>
  <c r="Y380" i="13"/>
  <c r="U380" i="13"/>
  <c r="AD380" i="13"/>
  <c r="X380" i="13"/>
  <c r="S380" i="13"/>
  <c r="AB380" i="13"/>
  <c r="V380" i="13"/>
  <c r="AA380" i="13"/>
  <c r="T380" i="13"/>
  <c r="Z380" i="13"/>
  <c r="W380" i="13"/>
  <c r="AC412" i="13"/>
  <c r="Y412" i="13"/>
  <c r="U412" i="13"/>
  <c r="AE412" i="13"/>
  <c r="Z412" i="13"/>
  <c r="T412" i="13"/>
  <c r="AD412" i="13"/>
  <c r="X412" i="13"/>
  <c r="S412" i="13"/>
  <c r="AA412" i="13"/>
  <c r="W412" i="13"/>
  <c r="V412" i="13"/>
  <c r="AB412" i="13"/>
  <c r="V69" i="13"/>
  <c r="Z69" i="13"/>
  <c r="V71" i="13"/>
  <c r="Z71" i="13"/>
  <c r="V73" i="13"/>
  <c r="Z73" i="13"/>
  <c r="V75" i="13"/>
  <c r="Z75" i="13"/>
  <c r="V78" i="13"/>
  <c r="Z78" i="13"/>
  <c r="V80" i="13"/>
  <c r="Z80" i="13"/>
  <c r="V82" i="13"/>
  <c r="Z82" i="13"/>
  <c r="V84" i="13"/>
  <c r="Z84" i="13"/>
  <c r="V86" i="13"/>
  <c r="Z86" i="13"/>
  <c r="V88" i="13"/>
  <c r="Z88" i="13"/>
  <c r="V91" i="13"/>
  <c r="Z91" i="13"/>
  <c r="V93" i="13"/>
  <c r="Z93" i="13"/>
  <c r="V95" i="13"/>
  <c r="Z95" i="13"/>
  <c r="V97" i="13"/>
  <c r="Z97" i="13"/>
  <c r="V99" i="13"/>
  <c r="Z99" i="13"/>
  <c r="V101" i="13"/>
  <c r="Z101" i="13"/>
  <c r="V103" i="13"/>
  <c r="Z103" i="13"/>
  <c r="V105" i="13"/>
  <c r="Z105" i="13"/>
  <c r="AC109" i="13"/>
  <c r="Y109" i="13"/>
  <c r="U109" i="13"/>
  <c r="W109" i="13"/>
  <c r="AB109" i="13"/>
  <c r="AE112" i="13"/>
  <c r="AA112" i="13"/>
  <c r="W112" i="13"/>
  <c r="S112" i="13"/>
  <c r="X112" i="13"/>
  <c r="AC112" i="13"/>
  <c r="AC118" i="13"/>
  <c r="Y118" i="13"/>
  <c r="U118" i="13"/>
  <c r="W118" i="13"/>
  <c r="AB118" i="13"/>
  <c r="AE121" i="13"/>
  <c r="AA121" i="13"/>
  <c r="W121" i="13"/>
  <c r="S121" i="13"/>
  <c r="X121" i="13"/>
  <c r="AC121" i="13"/>
  <c r="AC125" i="13"/>
  <c r="Y125" i="13"/>
  <c r="U125" i="13"/>
  <c r="W125" i="13"/>
  <c r="AB125" i="13"/>
  <c r="AE128" i="13"/>
  <c r="AA128" i="13"/>
  <c r="W128" i="13"/>
  <c r="S128" i="13"/>
  <c r="X128" i="13"/>
  <c r="AC128" i="13"/>
  <c r="AC133" i="13"/>
  <c r="Y133" i="13"/>
  <c r="U133" i="13"/>
  <c r="W133" i="13"/>
  <c r="AB133" i="13"/>
  <c r="AE136" i="13"/>
  <c r="AA136" i="13"/>
  <c r="W136" i="13"/>
  <c r="S136" i="13"/>
  <c r="X136" i="13"/>
  <c r="AC136" i="13"/>
  <c r="AC141" i="13"/>
  <c r="Y141" i="13"/>
  <c r="U141" i="13"/>
  <c r="W141" i="13"/>
  <c r="AB141" i="13"/>
  <c r="AE144" i="13"/>
  <c r="AA144" i="13"/>
  <c r="W144" i="13"/>
  <c r="S144" i="13"/>
  <c r="X144" i="13"/>
  <c r="AC144" i="13"/>
  <c r="AC150" i="13"/>
  <c r="Y150" i="13"/>
  <c r="U150" i="13"/>
  <c r="W150" i="13"/>
  <c r="AB150" i="13"/>
  <c r="AE153" i="13"/>
  <c r="AA153" i="13"/>
  <c r="W153" i="13"/>
  <c r="S153" i="13"/>
  <c r="X153" i="13"/>
  <c r="AC153" i="13"/>
  <c r="AE158" i="13"/>
  <c r="AA158" i="13"/>
  <c r="U158" i="13"/>
  <c r="Y158" i="13"/>
  <c r="AD158" i="13"/>
  <c r="AE160" i="13"/>
  <c r="AA160" i="13"/>
  <c r="W160" i="13"/>
  <c r="S160" i="13"/>
  <c r="X160" i="13"/>
  <c r="AC160" i="13"/>
  <c r="AC165" i="13"/>
  <c r="Y165" i="13"/>
  <c r="U165" i="13"/>
  <c r="W165" i="13"/>
  <c r="AB165" i="13"/>
  <c r="AE168" i="13"/>
  <c r="AA168" i="13"/>
  <c r="W168" i="13"/>
  <c r="S168" i="13"/>
  <c r="X168" i="13"/>
  <c r="AC168" i="13"/>
  <c r="AC173" i="13"/>
  <c r="Y173" i="13"/>
  <c r="U173" i="13"/>
  <c r="W173" i="13"/>
  <c r="AB173" i="13"/>
  <c r="AE176" i="13"/>
  <c r="AA176" i="13"/>
  <c r="W176" i="13"/>
  <c r="S176" i="13"/>
  <c r="X176" i="13"/>
  <c r="AC176" i="13"/>
  <c r="AC181" i="13"/>
  <c r="Y181" i="13"/>
  <c r="U181" i="13"/>
  <c r="W181" i="13"/>
  <c r="AB181" i="13"/>
  <c r="AE184" i="13"/>
  <c r="AA184" i="13"/>
  <c r="W184" i="13"/>
  <c r="S184" i="13"/>
  <c r="X184" i="13"/>
  <c r="AC184" i="13"/>
  <c r="AC190" i="13"/>
  <c r="Y190" i="13"/>
  <c r="U190" i="13"/>
  <c r="W190" i="13"/>
  <c r="AB190" i="13"/>
  <c r="AE193" i="13"/>
  <c r="AA193" i="13"/>
  <c r="W193" i="13"/>
  <c r="S193" i="13"/>
  <c r="X193" i="13"/>
  <c r="AC193" i="13"/>
  <c r="AC198" i="13"/>
  <c r="Y198" i="13"/>
  <c r="U198" i="13"/>
  <c r="W198" i="13"/>
  <c r="AB198" i="13"/>
  <c r="AE200" i="13"/>
  <c r="AA200" i="13"/>
  <c r="W200" i="13"/>
  <c r="S200" i="13"/>
  <c r="X200" i="13"/>
  <c r="AC200" i="13"/>
  <c r="AD205" i="13"/>
  <c r="Z205" i="13"/>
  <c r="AC205" i="13"/>
  <c r="Y205" i="13"/>
  <c r="U205" i="13"/>
  <c r="W205" i="13"/>
  <c r="AE205" i="13"/>
  <c r="AB208" i="13"/>
  <c r="X208" i="13"/>
  <c r="T208" i="13"/>
  <c r="AE208" i="13"/>
  <c r="AA208" i="13"/>
  <c r="W208" i="13"/>
  <c r="S208" i="13"/>
  <c r="Z208" i="13"/>
  <c r="AB216" i="13"/>
  <c r="X216" i="13"/>
  <c r="T216" i="13"/>
  <c r="AE216" i="13"/>
  <c r="AA216" i="13"/>
  <c r="W216" i="13"/>
  <c r="S216" i="13"/>
  <c r="Z216" i="13"/>
  <c r="AB224" i="13"/>
  <c r="X224" i="13"/>
  <c r="T224" i="13"/>
  <c r="AE224" i="13"/>
  <c r="AA224" i="13"/>
  <c r="W224" i="13"/>
  <c r="S224" i="13"/>
  <c r="Z224" i="13"/>
  <c r="AB233" i="13"/>
  <c r="X233" i="13"/>
  <c r="T233" i="13"/>
  <c r="AE233" i="13"/>
  <c r="AA233" i="13"/>
  <c r="W233" i="13"/>
  <c r="S233" i="13"/>
  <c r="Z233" i="13"/>
  <c r="AD241" i="13"/>
  <c r="Z241" i="13"/>
  <c r="T241" i="13"/>
  <c r="AC241" i="13"/>
  <c r="W241" i="13"/>
  <c r="S241" i="13"/>
  <c r="AB241" i="13"/>
  <c r="AB246" i="13"/>
  <c r="X246" i="13"/>
  <c r="T246" i="13"/>
  <c r="AE246" i="13"/>
  <c r="AA246" i="13"/>
  <c r="W246" i="13"/>
  <c r="S246" i="13"/>
  <c r="Z246" i="13"/>
  <c r="AB254" i="13"/>
  <c r="X254" i="13"/>
  <c r="T254" i="13"/>
  <c r="AE254" i="13"/>
  <c r="AA254" i="13"/>
  <c r="W254" i="13"/>
  <c r="S254" i="13"/>
  <c r="Z254" i="13"/>
  <c r="AB262" i="13"/>
  <c r="X262" i="13"/>
  <c r="T262" i="13"/>
  <c r="AE262" i="13"/>
  <c r="AA262" i="13"/>
  <c r="W262" i="13"/>
  <c r="S262" i="13"/>
  <c r="Z262" i="13"/>
  <c r="AB270" i="13"/>
  <c r="X270" i="13"/>
  <c r="T270" i="13"/>
  <c r="AE270" i="13"/>
  <c r="AA270" i="13"/>
  <c r="W270" i="13"/>
  <c r="S270" i="13"/>
  <c r="Z270" i="13"/>
  <c r="AB275" i="13"/>
  <c r="X275" i="13"/>
  <c r="T275" i="13"/>
  <c r="AA275" i="13"/>
  <c r="V275" i="13"/>
  <c r="AE275" i="13"/>
  <c r="Z275" i="13"/>
  <c r="U275" i="13"/>
  <c r="AC275" i="13"/>
  <c r="S294" i="13"/>
  <c r="AD294" i="13"/>
  <c r="AB298" i="13"/>
  <c r="X298" i="13"/>
  <c r="T298" i="13"/>
  <c r="AA298" i="13"/>
  <c r="V298" i="13"/>
  <c r="AE298" i="13"/>
  <c r="Z298" i="13"/>
  <c r="U298" i="13"/>
  <c r="AC298" i="13"/>
  <c r="S310" i="13"/>
  <c r="AD310" i="13"/>
  <c r="AB315" i="13"/>
  <c r="X315" i="13"/>
  <c r="T315" i="13"/>
  <c r="AA315" i="13"/>
  <c r="V315" i="13"/>
  <c r="AE315" i="13"/>
  <c r="Z315" i="13"/>
  <c r="U315" i="13"/>
  <c r="AC315" i="13"/>
  <c r="V324" i="13"/>
  <c r="W332" i="13"/>
  <c r="AC377" i="13"/>
  <c r="Y377" i="13"/>
  <c r="U377" i="13"/>
  <c r="AE377" i="13"/>
  <c r="Z377" i="13"/>
  <c r="T377" i="13"/>
  <c r="AD377" i="13"/>
  <c r="X377" i="13"/>
  <c r="S377" i="13"/>
  <c r="W377" i="13"/>
  <c r="V377" i="13"/>
  <c r="AC410" i="13"/>
  <c r="Y410" i="13"/>
  <c r="U410" i="13"/>
  <c r="AA410" i="13"/>
  <c r="V410" i="13"/>
  <c r="AE410" i="13"/>
  <c r="Z410" i="13"/>
  <c r="T410" i="13"/>
  <c r="X410" i="13"/>
  <c r="W410" i="13"/>
  <c r="AD410" i="13"/>
  <c r="S410" i="13"/>
  <c r="AB410" i="13"/>
  <c r="AE415" i="13"/>
  <c r="AA415" i="13"/>
  <c r="W415" i="13"/>
  <c r="S415" i="13"/>
  <c r="Z415" i="13"/>
  <c r="U415" i="13"/>
  <c r="AD415" i="13"/>
  <c r="Y415" i="13"/>
  <c r="T415" i="13"/>
  <c r="AB415" i="13"/>
  <c r="X415" i="13"/>
  <c r="V415" i="13"/>
  <c r="AB456" i="13"/>
  <c r="X456" i="13"/>
  <c r="T456" i="13"/>
  <c r="AE456" i="13"/>
  <c r="AA456" i="13"/>
  <c r="W456" i="13"/>
  <c r="S456" i="13"/>
  <c r="AD456" i="13"/>
  <c r="V456" i="13"/>
  <c r="AC456" i="13"/>
  <c r="U456" i="13"/>
  <c r="Z456" i="13"/>
  <c r="Y456" i="13"/>
  <c r="U207" i="13"/>
  <c r="Y207" i="13"/>
  <c r="AC207" i="13"/>
  <c r="U209" i="13"/>
  <c r="Y209" i="13"/>
  <c r="AC209" i="13"/>
  <c r="U211" i="13"/>
  <c r="Y211" i="13"/>
  <c r="AC211" i="13"/>
  <c r="U213" i="13"/>
  <c r="Y213" i="13"/>
  <c r="AC213" i="13"/>
  <c r="U215" i="13"/>
  <c r="Y215" i="13"/>
  <c r="AC215" i="13"/>
  <c r="U217" i="13"/>
  <c r="Y217" i="13"/>
  <c r="AC217" i="13"/>
  <c r="U219" i="13"/>
  <c r="Y219" i="13"/>
  <c r="AC219" i="13"/>
  <c r="U221" i="13"/>
  <c r="Y221" i="13"/>
  <c r="AC221" i="13"/>
  <c r="U223" i="13"/>
  <c r="Y223" i="13"/>
  <c r="AC223" i="13"/>
  <c r="U225" i="13"/>
  <c r="Y225" i="13"/>
  <c r="AC225" i="13"/>
  <c r="U227" i="13"/>
  <c r="Y227" i="13"/>
  <c r="AC227" i="13"/>
  <c r="U229" i="13"/>
  <c r="Y229" i="13"/>
  <c r="AC229" i="13"/>
  <c r="U232" i="13"/>
  <c r="Y232" i="13"/>
  <c r="AC232" i="13"/>
  <c r="U234" i="13"/>
  <c r="Y234" i="13"/>
  <c r="AC234" i="13"/>
  <c r="U236" i="13"/>
  <c r="Y236" i="13"/>
  <c r="AC236" i="13"/>
  <c r="U238" i="13"/>
  <c r="Y238" i="13"/>
  <c r="AC238" i="13"/>
  <c r="U240" i="13"/>
  <c r="Y240" i="13"/>
  <c r="AC240" i="13"/>
  <c r="U243" i="13"/>
  <c r="Y243" i="13"/>
  <c r="AC243" i="13"/>
  <c r="U245" i="13"/>
  <c r="Y245" i="13"/>
  <c r="AC245" i="13"/>
  <c r="U247" i="13"/>
  <c r="Y247" i="13"/>
  <c r="AC247" i="13"/>
  <c r="U249" i="13"/>
  <c r="Y249" i="13"/>
  <c r="AC249" i="13"/>
  <c r="U251" i="13"/>
  <c r="Y251" i="13"/>
  <c r="AC251" i="13"/>
  <c r="U253" i="13"/>
  <c r="Y253" i="13"/>
  <c r="AC253" i="13"/>
  <c r="U255" i="13"/>
  <c r="Y255" i="13"/>
  <c r="AC255" i="13"/>
  <c r="U257" i="13"/>
  <c r="Y257" i="13"/>
  <c r="AC257" i="13"/>
  <c r="U259" i="13"/>
  <c r="Y259" i="13"/>
  <c r="AC259" i="13"/>
  <c r="U261" i="13"/>
  <c r="Y261" i="13"/>
  <c r="AC261" i="13"/>
  <c r="U263" i="13"/>
  <c r="Y263" i="13"/>
  <c r="AC263" i="13"/>
  <c r="U265" i="13"/>
  <c r="Y265" i="13"/>
  <c r="AC265" i="13"/>
  <c r="U267" i="13"/>
  <c r="Y267" i="13"/>
  <c r="AC267" i="13"/>
  <c r="U269" i="13"/>
  <c r="Y269" i="13"/>
  <c r="AC269" i="13"/>
  <c r="U271" i="13"/>
  <c r="Y271" i="13"/>
  <c r="AC271" i="13"/>
  <c r="AB277" i="13"/>
  <c r="X277" i="13"/>
  <c r="T277" i="13"/>
  <c r="W277" i="13"/>
  <c r="AC277" i="13"/>
  <c r="AB281" i="13"/>
  <c r="X281" i="13"/>
  <c r="T281" i="13"/>
  <c r="W281" i="13"/>
  <c r="AC281" i="13"/>
  <c r="AB288" i="13"/>
  <c r="X288" i="13"/>
  <c r="T288" i="13"/>
  <c r="W288" i="13"/>
  <c r="AC288" i="13"/>
  <c r="AB292" i="13"/>
  <c r="X292" i="13"/>
  <c r="T292" i="13"/>
  <c r="W292" i="13"/>
  <c r="AC292" i="13"/>
  <c r="AB296" i="13"/>
  <c r="X296" i="13"/>
  <c r="T296" i="13"/>
  <c r="W296" i="13"/>
  <c r="AC296" i="13"/>
  <c r="AB300" i="13"/>
  <c r="X300" i="13"/>
  <c r="T300" i="13"/>
  <c r="W300" i="13"/>
  <c r="AC300" i="13"/>
  <c r="AB304" i="13"/>
  <c r="X304" i="13"/>
  <c r="T304" i="13"/>
  <c r="W304" i="13"/>
  <c r="AC304" i="13"/>
  <c r="AB308" i="13"/>
  <c r="X308" i="13"/>
  <c r="T308" i="13"/>
  <c r="W308" i="13"/>
  <c r="AC308" i="13"/>
  <c r="AB312" i="13"/>
  <c r="X312" i="13"/>
  <c r="T312" i="13"/>
  <c r="W312" i="13"/>
  <c r="AC312" i="13"/>
  <c r="AB317" i="13"/>
  <c r="X317" i="13"/>
  <c r="T317" i="13"/>
  <c r="W317" i="13"/>
  <c r="AC317" i="13"/>
  <c r="AD321" i="13"/>
  <c r="X321" i="13"/>
  <c r="T321" i="13"/>
  <c r="W321" i="13"/>
  <c r="AE321" i="13"/>
  <c r="V322" i="13"/>
  <c r="V326" i="13"/>
  <c r="V330" i="13"/>
  <c r="W336" i="13"/>
  <c r="AC338" i="13"/>
  <c r="Y338" i="13"/>
  <c r="U338" i="13"/>
  <c r="AB338" i="13"/>
  <c r="X338" i="13"/>
  <c r="T338" i="13"/>
  <c r="Z338" i="13"/>
  <c r="W344" i="13"/>
  <c r="AC346" i="13"/>
  <c r="Y346" i="13"/>
  <c r="U346" i="13"/>
  <c r="AB346" i="13"/>
  <c r="X346" i="13"/>
  <c r="T346" i="13"/>
  <c r="Z346" i="13"/>
  <c r="W353" i="13"/>
  <c r="AC355" i="13"/>
  <c r="Y355" i="13"/>
  <c r="U355" i="13"/>
  <c r="AB355" i="13"/>
  <c r="X355" i="13"/>
  <c r="T355" i="13"/>
  <c r="Z355" i="13"/>
  <c r="AE360" i="13"/>
  <c r="AC360" i="13"/>
  <c r="Y360" i="13"/>
  <c r="U360" i="13"/>
  <c r="AB360" i="13"/>
  <c r="X360" i="13"/>
  <c r="T360" i="13"/>
  <c r="Z360" i="13"/>
  <c r="AE362" i="13"/>
  <c r="AA362" i="13"/>
  <c r="W362" i="13"/>
  <c r="S362" i="13"/>
  <c r="AB362" i="13"/>
  <c r="V362" i="13"/>
  <c r="Z362" i="13"/>
  <c r="U362" i="13"/>
  <c r="AC362" i="13"/>
  <c r="AE370" i="13"/>
  <c r="AA370" i="13"/>
  <c r="W370" i="13"/>
  <c r="S370" i="13"/>
  <c r="AB370" i="13"/>
  <c r="V370" i="13"/>
  <c r="Z370" i="13"/>
  <c r="U370" i="13"/>
  <c r="AC370" i="13"/>
  <c r="AE378" i="13"/>
  <c r="AA378" i="13"/>
  <c r="W378" i="13"/>
  <c r="S378" i="13"/>
  <c r="AB378" i="13"/>
  <c r="V378" i="13"/>
  <c r="Z378" i="13"/>
  <c r="U378" i="13"/>
  <c r="AC378" i="13"/>
  <c r="AC415" i="13"/>
  <c r="AB443" i="13"/>
  <c r="X443" i="13"/>
  <c r="T443" i="13"/>
  <c r="AE443" i="13"/>
  <c r="AA443" i="13"/>
  <c r="W443" i="13"/>
  <c r="S443" i="13"/>
  <c r="AD443" i="13"/>
  <c r="V443" i="13"/>
  <c r="AC443" i="13"/>
  <c r="U443" i="13"/>
  <c r="Z443" i="13"/>
  <c r="Y443" i="13"/>
  <c r="V207" i="13"/>
  <c r="Z207" i="13"/>
  <c r="V209" i="13"/>
  <c r="Z209" i="13"/>
  <c r="V211" i="13"/>
  <c r="Z211" i="13"/>
  <c r="V213" i="13"/>
  <c r="Z213" i="13"/>
  <c r="V215" i="13"/>
  <c r="Z215" i="13"/>
  <c r="V217" i="13"/>
  <c r="Z217" i="13"/>
  <c r="V219" i="13"/>
  <c r="Z219" i="13"/>
  <c r="V221" i="13"/>
  <c r="Z221" i="13"/>
  <c r="V223" i="13"/>
  <c r="Z223" i="13"/>
  <c r="V225" i="13"/>
  <c r="Z225" i="13"/>
  <c r="V227" i="13"/>
  <c r="Z227" i="13"/>
  <c r="V229" i="13"/>
  <c r="Z229" i="13"/>
  <c r="V232" i="13"/>
  <c r="Z232" i="13"/>
  <c r="V234" i="13"/>
  <c r="Z234" i="13"/>
  <c r="V236" i="13"/>
  <c r="Z236" i="13"/>
  <c r="V238" i="13"/>
  <c r="Z238" i="13"/>
  <c r="V240" i="13"/>
  <c r="Z240" i="13"/>
  <c r="V243" i="13"/>
  <c r="Z243" i="13"/>
  <c r="V245" i="13"/>
  <c r="Z245" i="13"/>
  <c r="V247" i="13"/>
  <c r="Z247" i="13"/>
  <c r="V249" i="13"/>
  <c r="Z249" i="13"/>
  <c r="V251" i="13"/>
  <c r="Z251" i="13"/>
  <c r="V253" i="13"/>
  <c r="Z253" i="13"/>
  <c r="V255" i="13"/>
  <c r="Z255" i="13"/>
  <c r="V257" i="13"/>
  <c r="Z257" i="13"/>
  <c r="V259" i="13"/>
  <c r="Z259" i="13"/>
  <c r="V261" i="13"/>
  <c r="Z261" i="13"/>
  <c r="V263" i="13"/>
  <c r="Z263" i="13"/>
  <c r="V265" i="13"/>
  <c r="Z265" i="13"/>
  <c r="V267" i="13"/>
  <c r="Z267" i="13"/>
  <c r="V269" i="13"/>
  <c r="Z269" i="13"/>
  <c r="V271" i="13"/>
  <c r="Z271" i="13"/>
  <c r="AB322" i="13"/>
  <c r="X322" i="13"/>
  <c r="T322" i="13"/>
  <c r="W322" i="13"/>
  <c r="AC322" i="13"/>
  <c r="AB326" i="13"/>
  <c r="X326" i="13"/>
  <c r="T326" i="13"/>
  <c r="W326" i="13"/>
  <c r="AC326" i="13"/>
  <c r="AB330" i="13"/>
  <c r="X330" i="13"/>
  <c r="T330" i="13"/>
  <c r="W330" i="13"/>
  <c r="AC330" i="13"/>
  <c r="AC336" i="13"/>
  <c r="Y336" i="13"/>
  <c r="U336" i="13"/>
  <c r="AB336" i="13"/>
  <c r="X336" i="13"/>
  <c r="T336" i="13"/>
  <c r="Z336" i="13"/>
  <c r="AC344" i="13"/>
  <c r="Y344" i="13"/>
  <c r="U344" i="13"/>
  <c r="AB344" i="13"/>
  <c r="X344" i="13"/>
  <c r="T344" i="13"/>
  <c r="Z344" i="13"/>
  <c r="AC353" i="13"/>
  <c r="Y353" i="13"/>
  <c r="U353" i="13"/>
  <c r="AB353" i="13"/>
  <c r="X353" i="13"/>
  <c r="T353" i="13"/>
  <c r="Z353" i="13"/>
  <c r="T370" i="13"/>
  <c r="AD370" i="13"/>
  <c r="T378" i="13"/>
  <c r="AD378" i="13"/>
  <c r="AE407" i="13"/>
  <c r="AA407" i="13"/>
  <c r="W407" i="13"/>
  <c r="S407" i="13"/>
  <c r="Z407" i="13"/>
  <c r="U407" i="13"/>
  <c r="AD407" i="13"/>
  <c r="Y407" i="13"/>
  <c r="T407" i="13"/>
  <c r="AB407" i="13"/>
  <c r="X407" i="13"/>
  <c r="V407" i="13"/>
  <c r="AE413" i="13"/>
  <c r="AA413" i="13"/>
  <c r="W413" i="13"/>
  <c r="S413" i="13"/>
  <c r="AB413" i="13"/>
  <c r="V413" i="13"/>
  <c r="Z413" i="13"/>
  <c r="U413" i="13"/>
  <c r="AC413" i="13"/>
  <c r="AB460" i="13"/>
  <c r="X460" i="13"/>
  <c r="T460" i="13"/>
  <c r="AE460" i="13"/>
  <c r="Z460" i="13"/>
  <c r="U460" i="13"/>
  <c r="AD460" i="13"/>
  <c r="Y460" i="13"/>
  <c r="S460" i="13"/>
  <c r="W460" i="13"/>
  <c r="V460" i="13"/>
  <c r="AC460" i="13"/>
  <c r="V273" i="13"/>
  <c r="Z273" i="13"/>
  <c r="V276" i="13"/>
  <c r="Z276" i="13"/>
  <c r="V278" i="13"/>
  <c r="Z278" i="13"/>
  <c r="V280" i="13"/>
  <c r="Z280" i="13"/>
  <c r="V282" i="13"/>
  <c r="Z282" i="13"/>
  <c r="V284" i="13"/>
  <c r="V285" i="13"/>
  <c r="Z285" i="13"/>
  <c r="V287" i="13"/>
  <c r="Z287" i="13"/>
  <c r="V289" i="13"/>
  <c r="Z289" i="13"/>
  <c r="V291" i="13"/>
  <c r="Z291" i="13"/>
  <c r="V293" i="13"/>
  <c r="Z293" i="13"/>
  <c r="V295" i="13"/>
  <c r="Z295" i="13"/>
  <c r="V297" i="13"/>
  <c r="Z297" i="13"/>
  <c r="V299" i="13"/>
  <c r="Z299" i="13"/>
  <c r="V301" i="13"/>
  <c r="Z301" i="13"/>
  <c r="V303" i="13"/>
  <c r="Z303" i="13"/>
  <c r="V305" i="13"/>
  <c r="Z305" i="13"/>
  <c r="V307" i="13"/>
  <c r="Z307" i="13"/>
  <c r="V309" i="13"/>
  <c r="Z309" i="13"/>
  <c r="V311" i="13"/>
  <c r="Z311" i="13"/>
  <c r="V313" i="13"/>
  <c r="Z313" i="13"/>
  <c r="V316" i="13"/>
  <c r="Z316" i="13"/>
  <c r="V318" i="13"/>
  <c r="Z318" i="13"/>
  <c r="V320" i="13"/>
  <c r="Z320" i="13"/>
  <c r="V323" i="13"/>
  <c r="Z323" i="13"/>
  <c r="V325" i="13"/>
  <c r="Z325" i="13"/>
  <c r="V327" i="13"/>
  <c r="Z327" i="13"/>
  <c r="V329" i="13"/>
  <c r="Z329" i="13"/>
  <c r="V331" i="13"/>
  <c r="Z331" i="13"/>
  <c r="V333" i="13"/>
  <c r="Z333" i="13"/>
  <c r="V335" i="13"/>
  <c r="Z335" i="13"/>
  <c r="V337" i="13"/>
  <c r="Z337" i="13"/>
  <c r="V339" i="13"/>
  <c r="Z339" i="13"/>
  <c r="V341" i="13"/>
  <c r="Z341" i="13"/>
  <c r="V343" i="13"/>
  <c r="Z343" i="13"/>
  <c r="V345" i="13"/>
  <c r="Z345" i="13"/>
  <c r="V348" i="13"/>
  <c r="Z348" i="13"/>
  <c r="V350" i="13"/>
  <c r="Z350" i="13"/>
  <c r="V352" i="13"/>
  <c r="Z352" i="13"/>
  <c r="V354" i="13"/>
  <c r="Z354" i="13"/>
  <c r="V356" i="13"/>
  <c r="Z356" i="13"/>
  <c r="V358" i="13"/>
  <c r="V359" i="13"/>
  <c r="Z359" i="13"/>
  <c r="AC363" i="13"/>
  <c r="Y363" i="13"/>
  <c r="U363" i="13"/>
  <c r="W363" i="13"/>
  <c r="AB363" i="13"/>
  <c r="V365" i="13"/>
  <c r="AE366" i="13"/>
  <c r="AA366" i="13"/>
  <c r="W366" i="13"/>
  <c r="S366" i="13"/>
  <c r="X366" i="13"/>
  <c r="AC366" i="13"/>
  <c r="V368" i="13"/>
  <c r="AC371" i="13"/>
  <c r="Y371" i="13"/>
  <c r="U371" i="13"/>
  <c r="W371" i="13"/>
  <c r="AB371" i="13"/>
  <c r="V373" i="13"/>
  <c r="AE374" i="13"/>
  <c r="AA374" i="13"/>
  <c r="W374" i="13"/>
  <c r="S374" i="13"/>
  <c r="X374" i="13"/>
  <c r="AC374" i="13"/>
  <c r="V376" i="13"/>
  <c r="AC379" i="13"/>
  <c r="Y379" i="13"/>
  <c r="U379" i="13"/>
  <c r="W379" i="13"/>
  <c r="AB379" i="13"/>
  <c r="AE383" i="13"/>
  <c r="AA383" i="13"/>
  <c r="W383" i="13"/>
  <c r="S383" i="13"/>
  <c r="AD383" i="13"/>
  <c r="Y383" i="13"/>
  <c r="T383" i="13"/>
  <c r="Z383" i="13"/>
  <c r="AC386" i="13"/>
  <c r="Y386" i="13"/>
  <c r="U386" i="13"/>
  <c r="AE386" i="13"/>
  <c r="Z386" i="13"/>
  <c r="T386" i="13"/>
  <c r="X386" i="13"/>
  <c r="AE387" i="13"/>
  <c r="AA387" i="13"/>
  <c r="W387" i="13"/>
  <c r="S387" i="13"/>
  <c r="AB387" i="13"/>
  <c r="V387" i="13"/>
  <c r="Y387" i="13"/>
  <c r="AC389" i="13"/>
  <c r="Y389" i="13"/>
  <c r="U389" i="13"/>
  <c r="AD389" i="13"/>
  <c r="X389" i="13"/>
  <c r="S389" i="13"/>
  <c r="Z389" i="13"/>
  <c r="AE390" i="13"/>
  <c r="AA390" i="13"/>
  <c r="W390" i="13"/>
  <c r="S390" i="13"/>
  <c r="Z390" i="13"/>
  <c r="U390" i="13"/>
  <c r="Y390" i="13"/>
  <c r="AC393" i="13"/>
  <c r="Y393" i="13"/>
  <c r="U393" i="13"/>
  <c r="AA393" i="13"/>
  <c r="V393" i="13"/>
  <c r="X393" i="13"/>
  <c r="AE393" i="13"/>
  <c r="W395" i="13"/>
  <c r="X396" i="13"/>
  <c r="AC400" i="13"/>
  <c r="Y400" i="13"/>
  <c r="U400" i="13"/>
  <c r="AA400" i="13"/>
  <c r="V400" i="13"/>
  <c r="X400" i="13"/>
  <c r="AE400" i="13"/>
  <c r="W402" i="13"/>
  <c r="X403" i="13"/>
  <c r="W404" i="13"/>
  <c r="X405" i="13"/>
  <c r="T413" i="13"/>
  <c r="AD413" i="13"/>
  <c r="AB430" i="13"/>
  <c r="X430" i="13"/>
  <c r="T430" i="13"/>
  <c r="AE430" i="13"/>
  <c r="AA430" i="13"/>
  <c r="V430" i="13"/>
  <c r="Z430" i="13"/>
  <c r="U430" i="13"/>
  <c r="W430" i="13"/>
  <c r="AD430" i="13"/>
  <c r="S430" i="13"/>
  <c r="AA460" i="13"/>
  <c r="AC365" i="13"/>
  <c r="Y365" i="13"/>
  <c r="U365" i="13"/>
  <c r="W365" i="13"/>
  <c r="AB365" i="13"/>
  <c r="AE368" i="13"/>
  <c r="AA368" i="13"/>
  <c r="W368" i="13"/>
  <c r="S368" i="13"/>
  <c r="X368" i="13"/>
  <c r="AC368" i="13"/>
  <c r="AC373" i="13"/>
  <c r="Y373" i="13"/>
  <c r="U373" i="13"/>
  <c r="W373" i="13"/>
  <c r="AB373" i="13"/>
  <c r="AE376" i="13"/>
  <c r="AA376" i="13"/>
  <c r="W376" i="13"/>
  <c r="S376" i="13"/>
  <c r="X376" i="13"/>
  <c r="AC376" i="13"/>
  <c r="AE392" i="13"/>
  <c r="AA392" i="13"/>
  <c r="W392" i="13"/>
  <c r="S392" i="13"/>
  <c r="AD392" i="13"/>
  <c r="Y392" i="13"/>
  <c r="T392" i="13"/>
  <c r="Z392" i="13"/>
  <c r="AC395" i="13"/>
  <c r="Y395" i="13"/>
  <c r="U395" i="13"/>
  <c r="AE395" i="13"/>
  <c r="Z395" i="13"/>
  <c r="T395" i="13"/>
  <c r="X395" i="13"/>
  <c r="AE396" i="13"/>
  <c r="AA396" i="13"/>
  <c r="W396" i="13"/>
  <c r="S396" i="13"/>
  <c r="AB396" i="13"/>
  <c r="V396" i="13"/>
  <c r="Y396" i="13"/>
  <c r="AE397" i="13"/>
  <c r="Y397" i="13"/>
  <c r="U397" i="13"/>
  <c r="X397" i="13"/>
  <c r="S397" i="13"/>
  <c r="Z397" i="13"/>
  <c r="AE399" i="13"/>
  <c r="AA399" i="13"/>
  <c r="W399" i="13"/>
  <c r="S399" i="13"/>
  <c r="AD399" i="13"/>
  <c r="Y399" i="13"/>
  <c r="T399" i="13"/>
  <c r="Z399" i="13"/>
  <c r="AC402" i="13"/>
  <c r="Y402" i="13"/>
  <c r="U402" i="13"/>
  <c r="AE402" i="13"/>
  <c r="Z402" i="13"/>
  <c r="T402" i="13"/>
  <c r="X402" i="13"/>
  <c r="AE403" i="13"/>
  <c r="AA403" i="13"/>
  <c r="W403" i="13"/>
  <c r="S403" i="13"/>
  <c r="AB403" i="13"/>
  <c r="V403" i="13"/>
  <c r="Y403" i="13"/>
  <c r="AC404" i="13"/>
  <c r="Y404" i="13"/>
  <c r="U404" i="13"/>
  <c r="AD404" i="13"/>
  <c r="X404" i="13"/>
  <c r="S404" i="13"/>
  <c r="Z404" i="13"/>
  <c r="AE405" i="13"/>
  <c r="AA405" i="13"/>
  <c r="W405" i="13"/>
  <c r="S405" i="13"/>
  <c r="Z405" i="13"/>
  <c r="U405" i="13"/>
  <c r="Y405" i="13"/>
  <c r="X413" i="13"/>
  <c r="AB439" i="13"/>
  <c r="X439" i="13"/>
  <c r="T439" i="13"/>
  <c r="AE439" i="13"/>
  <c r="AA439" i="13"/>
  <c r="W439" i="13"/>
  <c r="S439" i="13"/>
  <c r="AD439" i="13"/>
  <c r="V439" i="13"/>
  <c r="AC439" i="13"/>
  <c r="U439" i="13"/>
  <c r="Z439" i="13"/>
  <c r="Y439" i="13"/>
  <c r="AC382" i="13"/>
  <c r="Y382" i="13"/>
  <c r="U382" i="13"/>
  <c r="W382" i="13"/>
  <c r="AB382" i="13"/>
  <c r="AE385" i="13"/>
  <c r="AA385" i="13"/>
  <c r="W385" i="13"/>
  <c r="S385" i="13"/>
  <c r="X385" i="13"/>
  <c r="AC385" i="13"/>
  <c r="AC391" i="13"/>
  <c r="Y391" i="13"/>
  <c r="U391" i="13"/>
  <c r="W391" i="13"/>
  <c r="AB391" i="13"/>
  <c r="AE394" i="13"/>
  <c r="AA394" i="13"/>
  <c r="W394" i="13"/>
  <c r="S394" i="13"/>
  <c r="X394" i="13"/>
  <c r="AC394" i="13"/>
  <c r="AC398" i="13"/>
  <c r="Y398" i="13"/>
  <c r="U398" i="13"/>
  <c r="W398" i="13"/>
  <c r="AB398" i="13"/>
  <c r="AE401" i="13"/>
  <c r="AA401" i="13"/>
  <c r="W401" i="13"/>
  <c r="S401" i="13"/>
  <c r="X401" i="13"/>
  <c r="AC401" i="13"/>
  <c r="AC406" i="13"/>
  <c r="Y406" i="13"/>
  <c r="U406" i="13"/>
  <c r="W406" i="13"/>
  <c r="AB406" i="13"/>
  <c r="V408" i="13"/>
  <c r="AE409" i="13"/>
  <c r="AA409" i="13"/>
  <c r="W409" i="13"/>
  <c r="S409" i="13"/>
  <c r="X409" i="13"/>
  <c r="AC409" i="13"/>
  <c r="V411" i="13"/>
  <c r="AC414" i="13"/>
  <c r="Y414" i="13"/>
  <c r="U414" i="13"/>
  <c r="W414" i="13"/>
  <c r="AB414" i="13"/>
  <c r="V416" i="13"/>
  <c r="AB417" i="13"/>
  <c r="AA417" i="13"/>
  <c r="W417" i="13"/>
  <c r="S417" i="13"/>
  <c r="X417" i="13"/>
  <c r="AD417" i="13"/>
  <c r="W419" i="13"/>
  <c r="AB421" i="13"/>
  <c r="X421" i="13"/>
  <c r="T421" i="13"/>
  <c r="AA421" i="13"/>
  <c r="V421" i="13"/>
  <c r="Y421" i="13"/>
  <c r="AE421" i="13"/>
  <c r="AB432" i="13"/>
  <c r="X432" i="13"/>
  <c r="T432" i="13"/>
  <c r="AA432" i="13"/>
  <c r="W432" i="13"/>
  <c r="S432" i="13"/>
  <c r="V432" i="13"/>
  <c r="AE432" i="13"/>
  <c r="U432" i="13"/>
  <c r="AB435" i="13"/>
  <c r="X435" i="13"/>
  <c r="T435" i="13"/>
  <c r="AE435" i="13"/>
  <c r="AA435" i="13"/>
  <c r="W435" i="13"/>
  <c r="S435" i="13"/>
  <c r="AD435" i="13"/>
  <c r="V435" i="13"/>
  <c r="AC435" i="13"/>
  <c r="U435" i="13"/>
  <c r="AB452" i="13"/>
  <c r="X452" i="13"/>
  <c r="T452" i="13"/>
  <c r="AE452" i="13"/>
  <c r="AA452" i="13"/>
  <c r="W452" i="13"/>
  <c r="S452" i="13"/>
  <c r="AD452" i="13"/>
  <c r="V452" i="13"/>
  <c r="AC452" i="13"/>
  <c r="U452" i="13"/>
  <c r="AB464" i="13"/>
  <c r="X464" i="13"/>
  <c r="T464" i="13"/>
  <c r="AE464" i="13"/>
  <c r="Z464" i="13"/>
  <c r="U464" i="13"/>
  <c r="AD464" i="13"/>
  <c r="Y464" i="13"/>
  <c r="S464" i="13"/>
  <c r="W464" i="13"/>
  <c r="V464" i="13"/>
  <c r="AC408" i="13"/>
  <c r="Y408" i="13"/>
  <c r="U408" i="13"/>
  <c r="W408" i="13"/>
  <c r="AB408" i="13"/>
  <c r="AE411" i="13"/>
  <c r="AA411" i="13"/>
  <c r="W411" i="13"/>
  <c r="S411" i="13"/>
  <c r="X411" i="13"/>
  <c r="AC411" i="13"/>
  <c r="AC416" i="13"/>
  <c r="Y416" i="13"/>
  <c r="U416" i="13"/>
  <c r="W416" i="13"/>
  <c r="AB416" i="13"/>
  <c r="AB419" i="13"/>
  <c r="X419" i="13"/>
  <c r="T419" i="13"/>
  <c r="AD419" i="13"/>
  <c r="Y419" i="13"/>
  <c r="S419" i="13"/>
  <c r="Z419" i="13"/>
  <c r="AB426" i="13"/>
  <c r="X426" i="13"/>
  <c r="T426" i="13"/>
  <c r="AA426" i="13"/>
  <c r="V426" i="13"/>
  <c r="AE426" i="13"/>
  <c r="Z426" i="13"/>
  <c r="U426" i="13"/>
  <c r="AC426" i="13"/>
  <c r="AB447" i="13"/>
  <c r="X447" i="13"/>
  <c r="T447" i="13"/>
  <c r="AE447" i="13"/>
  <c r="AA447" i="13"/>
  <c r="W447" i="13"/>
  <c r="S447" i="13"/>
  <c r="AD447" i="13"/>
  <c r="V447" i="13"/>
  <c r="AC447" i="13"/>
  <c r="U447" i="13"/>
  <c r="AB468" i="13"/>
  <c r="X468" i="13"/>
  <c r="T468" i="13"/>
  <c r="AE468" i="13"/>
  <c r="Z468" i="13"/>
  <c r="U468" i="13"/>
  <c r="AD468" i="13"/>
  <c r="Y468" i="13"/>
  <c r="S468" i="13"/>
  <c r="AC468" i="13"/>
  <c r="AA468" i="13"/>
  <c r="W468" i="13"/>
  <c r="AB424" i="13"/>
  <c r="X424" i="13"/>
  <c r="T424" i="13"/>
  <c r="W424" i="13"/>
  <c r="AC424" i="13"/>
  <c r="AB428" i="13"/>
  <c r="X428" i="13"/>
  <c r="T428" i="13"/>
  <c r="W428" i="13"/>
  <c r="AC428" i="13"/>
  <c r="AB491" i="13"/>
  <c r="X491" i="13"/>
  <c r="T491" i="13"/>
  <c r="AE491" i="13"/>
  <c r="Z491" i="13"/>
  <c r="U491" i="13"/>
  <c r="AD491" i="13"/>
  <c r="W491" i="13"/>
  <c r="AC491" i="13"/>
  <c r="V491" i="13"/>
  <c r="AA491" i="13"/>
  <c r="S491" i="13"/>
  <c r="S424" i="13"/>
  <c r="Y424" i="13"/>
  <c r="AD424" i="13"/>
  <c r="S428" i="13"/>
  <c r="Y428" i="13"/>
  <c r="AD428" i="13"/>
  <c r="AB433" i="13"/>
  <c r="X433" i="13"/>
  <c r="T433" i="13"/>
  <c r="AE433" i="13"/>
  <c r="AA433" i="13"/>
  <c r="W433" i="13"/>
  <c r="S433" i="13"/>
  <c r="Z433" i="13"/>
  <c r="AB437" i="13"/>
  <c r="X437" i="13"/>
  <c r="T437" i="13"/>
  <c r="AE437" i="13"/>
  <c r="AA437" i="13"/>
  <c r="W437" i="13"/>
  <c r="S437" i="13"/>
  <c r="Z437" i="13"/>
  <c r="AB441" i="13"/>
  <c r="X441" i="13"/>
  <c r="T441" i="13"/>
  <c r="AE441" i="13"/>
  <c r="AA441" i="13"/>
  <c r="W441" i="13"/>
  <c r="S441" i="13"/>
  <c r="Z441" i="13"/>
  <c r="AB445" i="13"/>
  <c r="X445" i="13"/>
  <c r="T445" i="13"/>
  <c r="AE445" i="13"/>
  <c r="AA445" i="13"/>
  <c r="W445" i="13"/>
  <c r="S445" i="13"/>
  <c r="Z445" i="13"/>
  <c r="AB449" i="13"/>
  <c r="X449" i="13"/>
  <c r="T449" i="13"/>
  <c r="AE449" i="13"/>
  <c r="AA449" i="13"/>
  <c r="W449" i="13"/>
  <c r="S449" i="13"/>
  <c r="Z449" i="13"/>
  <c r="AB454" i="13"/>
  <c r="X454" i="13"/>
  <c r="T454" i="13"/>
  <c r="AE454" i="13"/>
  <c r="AA454" i="13"/>
  <c r="W454" i="13"/>
  <c r="S454" i="13"/>
  <c r="Z454" i="13"/>
  <c r="AB458" i="13"/>
  <c r="X458" i="13"/>
  <c r="T458" i="13"/>
  <c r="AE458" i="13"/>
  <c r="AA458" i="13"/>
  <c r="W458" i="13"/>
  <c r="S458" i="13"/>
  <c r="Z458" i="13"/>
  <c r="Y491" i="13"/>
  <c r="AB472" i="13"/>
  <c r="X472" i="13"/>
  <c r="T472" i="13"/>
  <c r="W472" i="13"/>
  <c r="AC472" i="13"/>
  <c r="AB479" i="13"/>
  <c r="X479" i="13"/>
  <c r="T479" i="13"/>
  <c r="W479" i="13"/>
  <c r="AC479" i="13"/>
  <c r="AB487" i="13"/>
  <c r="X487" i="13"/>
  <c r="T487" i="13"/>
  <c r="AE487" i="13"/>
  <c r="Z487" i="13"/>
  <c r="U487" i="13"/>
  <c r="Y487" i="13"/>
  <c r="AC497" i="13"/>
  <c r="Y497" i="13"/>
  <c r="U497" i="13"/>
  <c r="AB497" i="13"/>
  <c r="X497" i="13"/>
  <c r="T497" i="13"/>
  <c r="AD497" i="13"/>
  <c r="V497" i="13"/>
  <c r="AA497" i="13"/>
  <c r="S497" i="13"/>
  <c r="AC499" i="13"/>
  <c r="Y499" i="13"/>
  <c r="U499" i="13"/>
  <c r="AB499" i="13"/>
  <c r="X499" i="13"/>
  <c r="T499" i="13"/>
  <c r="AD499" i="13"/>
  <c r="V499" i="13"/>
  <c r="AA499" i="13"/>
  <c r="S499" i="13"/>
  <c r="V470" i="13"/>
  <c r="S472" i="13"/>
  <c r="Y472" i="13"/>
  <c r="AD472" i="13"/>
  <c r="V474" i="13"/>
  <c r="V477" i="13"/>
  <c r="S479" i="13"/>
  <c r="Y479" i="13"/>
  <c r="AD479" i="13"/>
  <c r="AB483" i="13"/>
  <c r="X483" i="13"/>
  <c r="T483" i="13"/>
  <c r="AE483" i="13"/>
  <c r="Z483" i="13"/>
  <c r="U483" i="13"/>
  <c r="Y483" i="13"/>
  <c r="S487" i="13"/>
  <c r="AA487" i="13"/>
  <c r="W497" i="13"/>
  <c r="W499" i="13"/>
  <c r="V418" i="13"/>
  <c r="Z418" i="13"/>
  <c r="V420" i="13"/>
  <c r="Z420" i="13"/>
  <c r="V423" i="13"/>
  <c r="Z423" i="13"/>
  <c r="V425" i="13"/>
  <c r="Z425" i="13"/>
  <c r="V427" i="13"/>
  <c r="Z427" i="13"/>
  <c r="V429" i="13"/>
  <c r="Z429" i="13"/>
  <c r="V431" i="13"/>
  <c r="Z431" i="13"/>
  <c r="V434" i="13"/>
  <c r="Z434" i="13"/>
  <c r="V436" i="13"/>
  <c r="Z436" i="13"/>
  <c r="V438" i="13"/>
  <c r="Z438" i="13"/>
  <c r="V440" i="13"/>
  <c r="Z440" i="13"/>
  <c r="V442" i="13"/>
  <c r="Z442" i="13"/>
  <c r="V444" i="13"/>
  <c r="Z444" i="13"/>
  <c r="V446" i="13"/>
  <c r="Z446" i="13"/>
  <c r="V448" i="13"/>
  <c r="Z448" i="13"/>
  <c r="V450" i="13"/>
  <c r="Z450" i="13"/>
  <c r="V453" i="13"/>
  <c r="Z453" i="13"/>
  <c r="V455" i="13"/>
  <c r="Z455" i="13"/>
  <c r="V457" i="13"/>
  <c r="Z457" i="13"/>
  <c r="V459" i="13"/>
  <c r="Z459" i="13"/>
  <c r="AB462" i="13"/>
  <c r="X462" i="13"/>
  <c r="T462" i="13"/>
  <c r="W462" i="13"/>
  <c r="AC462" i="13"/>
  <c r="AB466" i="13"/>
  <c r="X466" i="13"/>
  <c r="T466" i="13"/>
  <c r="W466" i="13"/>
  <c r="AC466" i="13"/>
  <c r="AB470" i="13"/>
  <c r="X470" i="13"/>
  <c r="T470" i="13"/>
  <c r="W470" i="13"/>
  <c r="AC470" i="13"/>
  <c r="U472" i="13"/>
  <c r="Z472" i="13"/>
  <c r="AE472" i="13"/>
  <c r="AB474" i="13"/>
  <c r="X474" i="13"/>
  <c r="T474" i="13"/>
  <c r="W474" i="13"/>
  <c r="AC474" i="13"/>
  <c r="AB477" i="13"/>
  <c r="X477" i="13"/>
  <c r="T477" i="13"/>
  <c r="W477" i="13"/>
  <c r="AC477" i="13"/>
  <c r="U479" i="13"/>
  <c r="Z479" i="13"/>
  <c r="AE479" i="13"/>
  <c r="V487" i="13"/>
  <c r="AC487" i="13"/>
  <c r="Z497" i="13"/>
  <c r="Z499" i="13"/>
  <c r="AC495" i="13"/>
  <c r="Y495" i="13"/>
  <c r="U495" i="13"/>
  <c r="AB495" i="13"/>
  <c r="X495" i="13"/>
  <c r="T495" i="13"/>
  <c r="Z495" i="13"/>
  <c r="V461" i="13"/>
  <c r="Z461" i="13"/>
  <c r="V463" i="13"/>
  <c r="Z463" i="13"/>
  <c r="V465" i="13"/>
  <c r="Z465" i="13"/>
  <c r="V467" i="13"/>
  <c r="Z467" i="13"/>
  <c r="V469" i="13"/>
  <c r="Z469" i="13"/>
  <c r="V471" i="13"/>
  <c r="Z471" i="13"/>
  <c r="V473" i="13"/>
  <c r="Z473" i="13"/>
  <c r="V475" i="13"/>
  <c r="V476" i="13"/>
  <c r="Z476" i="13"/>
  <c r="V478" i="13"/>
  <c r="Z478" i="13"/>
  <c r="AD480" i="13"/>
  <c r="Z480" i="13"/>
  <c r="V480" i="13"/>
  <c r="AA480" i="13"/>
  <c r="AB481" i="13"/>
  <c r="X481" i="13"/>
  <c r="T481" i="13"/>
  <c r="W481" i="13"/>
  <c r="AC481" i="13"/>
  <c r="AB485" i="13"/>
  <c r="X485" i="13"/>
  <c r="T485" i="13"/>
  <c r="W485" i="13"/>
  <c r="AC485" i="13"/>
  <c r="AB489" i="13"/>
  <c r="X489" i="13"/>
  <c r="T489" i="13"/>
  <c r="W489" i="13"/>
  <c r="AC489" i="13"/>
  <c r="AC493" i="13"/>
  <c r="Y493" i="13"/>
  <c r="U493" i="13"/>
  <c r="AB493" i="13"/>
  <c r="X493" i="13"/>
  <c r="T493" i="13"/>
  <c r="Z493" i="13"/>
  <c r="S495" i="13"/>
  <c r="AA495" i="13"/>
  <c r="V482" i="13"/>
  <c r="Z482" i="13"/>
  <c r="V484" i="13"/>
  <c r="Z484" i="13"/>
  <c r="V486" i="13"/>
  <c r="Z486" i="13"/>
  <c r="V488" i="13"/>
  <c r="Z488" i="13"/>
  <c r="V490" i="13"/>
  <c r="Z490" i="13"/>
  <c r="V492" i="13"/>
  <c r="Z492" i="13"/>
  <c r="V494" i="13"/>
  <c r="Z494" i="13"/>
  <c r="V496" i="13"/>
  <c r="Z496" i="13"/>
  <c r="V498" i="13"/>
  <c r="Z498" i="13"/>
  <c r="AD498" i="13"/>
  <c r="V500" i="13"/>
  <c r="Z500" i="13"/>
  <c r="AD500" i="13"/>
  <c r="Y512" i="13"/>
  <c r="Y513" i="13" s="1"/>
  <c r="AC512" i="13"/>
  <c r="AC513" i="13" s="1"/>
  <c r="W498" i="13"/>
  <c r="AA498" i="13"/>
  <c r="S500" i="13"/>
  <c r="W500" i="13"/>
  <c r="AA500" i="13"/>
  <c r="E18" i="3"/>
  <c r="Z515" i="13" l="1"/>
  <c r="Z516" i="13" s="1"/>
  <c r="Y515" i="13"/>
  <c r="Y516" i="13" s="1"/>
  <c r="AC502" i="13"/>
  <c r="T502" i="13"/>
  <c r="Z502" i="13"/>
  <c r="V515" i="13"/>
  <c r="V516" i="13" s="1"/>
  <c r="AD515" i="13"/>
  <c r="AD516" i="13" s="1"/>
  <c r="AE502" i="13"/>
  <c r="V502" i="13"/>
  <c r="AA515" i="13"/>
  <c r="AA516" i="13" s="1"/>
  <c r="U515" i="13"/>
  <c r="U516" i="13" s="1"/>
  <c r="T515" i="13"/>
  <c r="T516" i="13" s="1"/>
  <c r="AB502" i="13"/>
  <c r="AB503" i="13" s="1"/>
  <c r="AB504" i="13" s="1"/>
  <c r="AA502" i="13"/>
  <c r="AA503" i="13" s="1"/>
  <c r="AA504" i="13" s="1"/>
  <c r="AB515" i="13"/>
  <c r="AB516" i="13" s="1"/>
  <c r="U502" i="13"/>
  <c r="U503" i="13" s="1"/>
  <c r="U504" i="13" s="1"/>
  <c r="AE515" i="13"/>
  <c r="AE516" i="13" s="1"/>
  <c r="AC515" i="13"/>
  <c r="AC516" i="13" s="1"/>
  <c r="W515" i="13"/>
  <c r="W516" i="13" s="1"/>
  <c r="X515" i="13"/>
  <c r="X516" i="13" s="1"/>
  <c r="Y502" i="13"/>
  <c r="W502" i="13"/>
  <c r="W503" i="13" s="1"/>
  <c r="W504" i="13" s="1"/>
  <c r="X502" i="13"/>
  <c r="X503" i="13" s="1"/>
  <c r="X504" i="13" s="1"/>
  <c r="AD502" i="13"/>
  <c r="AD503" i="13" s="1"/>
  <c r="AD504" i="13" s="1"/>
  <c r="C41" i="12"/>
  <c r="C17" i="12"/>
  <c r="C29" i="12"/>
  <c r="E29" i="12" s="1"/>
  <c r="D43" i="12"/>
  <c r="E41" i="12"/>
  <c r="E40" i="12"/>
  <c r="E39" i="12"/>
  <c r="E38" i="12"/>
  <c r="E37" i="12"/>
  <c r="E36" i="12"/>
  <c r="E35" i="12"/>
  <c r="E34" i="12"/>
  <c r="E33" i="12"/>
  <c r="E32" i="12"/>
  <c r="E31" i="12"/>
  <c r="E30" i="12"/>
  <c r="E28" i="12"/>
  <c r="E27" i="12"/>
  <c r="E26" i="12"/>
  <c r="E25" i="12"/>
  <c r="E24" i="12"/>
  <c r="E23" i="12"/>
  <c r="E22" i="12"/>
  <c r="E21" i="12"/>
  <c r="E20" i="12"/>
  <c r="E19" i="12"/>
  <c r="E18" i="12"/>
  <c r="E17" i="12"/>
  <c r="E16" i="12"/>
  <c r="E15" i="12"/>
  <c r="E14" i="12"/>
  <c r="E13" i="12"/>
  <c r="E12" i="12"/>
  <c r="E11" i="12"/>
  <c r="E10" i="12"/>
  <c r="E9" i="12"/>
  <c r="E8" i="12"/>
  <c r="E7" i="12"/>
  <c r="E6" i="12"/>
  <c r="AE518" i="13" l="1"/>
  <c r="Y503" i="13"/>
  <c r="Y504" i="13" s="1"/>
  <c r="Z503" i="13"/>
  <c r="Z504" i="13" s="1"/>
  <c r="AE521" i="13"/>
  <c r="V503" i="13"/>
  <c r="V504" i="13" s="1"/>
  <c r="AE503" i="13"/>
  <c r="AE504" i="13" s="1"/>
  <c r="AC503" i="13"/>
  <c r="AC504" i="13" s="1"/>
  <c r="C43" i="12"/>
  <c r="E43" i="12"/>
  <c r="E52" i="12" s="1"/>
  <c r="E55" i="12" s="1"/>
  <c r="D9" i="10"/>
  <c r="C9" i="10"/>
  <c r="E9" i="10" s="1"/>
  <c r="B9" i="10"/>
  <c r="D10" i="10"/>
  <c r="C10" i="10"/>
  <c r="D8" i="10"/>
  <c r="C8" i="10"/>
  <c r="C12" i="10" l="1"/>
  <c r="D12" i="10"/>
  <c r="R41" i="9" l="1"/>
  <c r="R40" i="9"/>
  <c r="R39" i="9"/>
  <c r="R38" i="9"/>
  <c r="R37" i="9"/>
  <c r="R36" i="9"/>
  <c r="R35" i="9"/>
  <c r="R34" i="9"/>
  <c r="R33" i="9"/>
  <c r="R32" i="9"/>
  <c r="R31" i="9"/>
  <c r="R30" i="9"/>
  <c r="R29" i="9"/>
  <c r="R28" i="9"/>
  <c r="R27" i="9"/>
  <c r="R26" i="9"/>
  <c r="R25" i="9"/>
  <c r="R24" i="9"/>
  <c r="R23" i="9"/>
  <c r="R22" i="9"/>
  <c r="R21" i="9"/>
  <c r="R20" i="9"/>
  <c r="R19" i="9"/>
  <c r="R18" i="9"/>
  <c r="R17" i="9"/>
  <c r="R16" i="9"/>
  <c r="R15" i="9"/>
  <c r="R14" i="9"/>
  <c r="R13" i="9"/>
  <c r="R12" i="9"/>
  <c r="R11" i="9"/>
  <c r="R10" i="9"/>
  <c r="R9" i="9"/>
  <c r="R8" i="9"/>
  <c r="R7" i="9"/>
  <c r="R6" i="9"/>
  <c r="O41" i="9"/>
  <c r="O40" i="9"/>
  <c r="O39" i="9"/>
  <c r="O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9" i="9"/>
  <c r="O8" i="9"/>
  <c r="O7" i="9"/>
  <c r="O6" i="9"/>
  <c r="L41" i="9"/>
  <c r="L40" i="9"/>
  <c r="L39" i="9"/>
  <c r="L38" i="9"/>
  <c r="L37" i="9"/>
  <c r="L36" i="9"/>
  <c r="L35" i="9"/>
  <c r="L34" i="9"/>
  <c r="L33" i="9"/>
  <c r="L32" i="9"/>
  <c r="L31" i="9"/>
  <c r="L30" i="9"/>
  <c r="L29" i="9"/>
  <c r="L28" i="9"/>
  <c r="L27" i="9"/>
  <c r="L26" i="9"/>
  <c r="L25" i="9"/>
  <c r="L24" i="9"/>
  <c r="L23" i="9"/>
  <c r="L22" i="9"/>
  <c r="L21" i="9"/>
  <c r="L20" i="9"/>
  <c r="L19" i="9"/>
  <c r="L18" i="9"/>
  <c r="S43" i="9" l="1"/>
  <c r="T41" i="9"/>
  <c r="T40" i="9"/>
  <c r="T39" i="9"/>
  <c r="T38" i="9"/>
  <c r="T37" i="9"/>
  <c r="T36" i="9"/>
  <c r="T35" i="9"/>
  <c r="T34" i="9"/>
  <c r="T33" i="9"/>
  <c r="T32" i="9"/>
  <c r="T31" i="9"/>
  <c r="T30" i="9"/>
  <c r="T29" i="9"/>
  <c r="T28" i="9"/>
  <c r="T27" i="9"/>
  <c r="T26" i="9"/>
  <c r="T25" i="9"/>
  <c r="T24" i="9"/>
  <c r="T23" i="9"/>
  <c r="T22" i="9"/>
  <c r="T21" i="9"/>
  <c r="T20" i="9"/>
  <c r="T19" i="9"/>
  <c r="T18" i="9"/>
  <c r="T17" i="9"/>
  <c r="T16" i="9"/>
  <c r="T15" i="9"/>
  <c r="T14" i="9"/>
  <c r="T13" i="9"/>
  <c r="T12" i="9"/>
  <c r="T11" i="9"/>
  <c r="T10" i="9"/>
  <c r="T9" i="9"/>
  <c r="T8" i="9"/>
  <c r="T7" i="9"/>
  <c r="R43" i="9"/>
  <c r="P43"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10" i="9"/>
  <c r="Q9" i="9"/>
  <c r="Q8" i="9"/>
  <c r="Q7" i="9"/>
  <c r="Q6" i="9"/>
  <c r="O43" i="9"/>
  <c r="L17" i="9"/>
  <c r="N17" i="9" s="1"/>
  <c r="L16" i="9"/>
  <c r="L15" i="9"/>
  <c r="N15" i="9" s="1"/>
  <c r="L14" i="9"/>
  <c r="N14" i="9" s="1"/>
  <c r="L13" i="9"/>
  <c r="N13" i="9" s="1"/>
  <c r="L12" i="9"/>
  <c r="L11" i="9"/>
  <c r="N11" i="9" s="1"/>
  <c r="L9" i="9"/>
  <c r="N9" i="9" s="1"/>
  <c r="L10" i="9"/>
  <c r="N10" i="9" s="1"/>
  <c r="L8" i="9"/>
  <c r="L7" i="9"/>
  <c r="N7" i="9" s="1"/>
  <c r="L6" i="9"/>
  <c r="N6" i="9" s="1"/>
  <c r="N16" i="9"/>
  <c r="N8" i="9"/>
  <c r="M43" i="9"/>
  <c r="N41" i="9"/>
  <c r="N40" i="9"/>
  <c r="N39" i="9"/>
  <c r="N38" i="9"/>
  <c r="N37" i="9"/>
  <c r="N36" i="9"/>
  <c r="N35" i="9"/>
  <c r="N34" i="9"/>
  <c r="N33" i="9"/>
  <c r="N32" i="9"/>
  <c r="N31" i="9"/>
  <c r="N30" i="9"/>
  <c r="N29" i="9"/>
  <c r="N28" i="9"/>
  <c r="N27" i="9"/>
  <c r="N26" i="9"/>
  <c r="N25" i="9"/>
  <c r="N24" i="9"/>
  <c r="N23" i="9"/>
  <c r="N22" i="9"/>
  <c r="N21" i="9"/>
  <c r="N20" i="9"/>
  <c r="N19" i="9"/>
  <c r="N18" i="9"/>
  <c r="N12" i="9"/>
  <c r="J43" i="9"/>
  <c r="I43"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G43" i="9"/>
  <c r="F43"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D43" i="9"/>
  <c r="C43" i="9"/>
  <c r="E7" i="9"/>
  <c r="E8" i="9"/>
  <c r="E9" i="9"/>
  <c r="E10" i="9"/>
  <c r="E11" i="9"/>
  <c r="E12" i="9"/>
  <c r="E13" i="9"/>
  <c r="E14" i="9"/>
  <c r="E15" i="9"/>
  <c r="E16" i="9"/>
  <c r="E17" i="9"/>
  <c r="B10" i="10" s="1"/>
  <c r="E18" i="9"/>
  <c r="E19" i="9"/>
  <c r="E20" i="9"/>
  <c r="E21" i="9"/>
  <c r="E22" i="9"/>
  <c r="E23" i="9"/>
  <c r="E24" i="9"/>
  <c r="E25" i="9"/>
  <c r="E26" i="9"/>
  <c r="E27" i="9"/>
  <c r="E28" i="9"/>
  <c r="E29" i="9"/>
  <c r="E30" i="9"/>
  <c r="E31" i="9"/>
  <c r="E32" i="9"/>
  <c r="E33" i="9"/>
  <c r="E34" i="9"/>
  <c r="E35" i="9"/>
  <c r="E36" i="9"/>
  <c r="E37" i="9"/>
  <c r="E38" i="9"/>
  <c r="E39" i="9"/>
  <c r="E40" i="9"/>
  <c r="E41" i="9"/>
  <c r="E6" i="9"/>
  <c r="E10" i="10" l="1"/>
  <c r="Q43" i="9"/>
  <c r="T6" i="9"/>
  <c r="T43" i="9" s="1"/>
  <c r="L43" i="9"/>
  <c r="N43" i="9"/>
  <c r="K43" i="9"/>
  <c r="H43" i="9"/>
  <c r="E43" i="9"/>
  <c r="D46" i="8"/>
  <c r="C51" i="8"/>
  <c r="C50" i="8"/>
  <c r="C49" i="8"/>
  <c r="C48" i="8"/>
  <c r="C47" i="8"/>
  <c r="C46" i="8"/>
  <c r="D76" i="8"/>
  <c r="D78" i="8" s="1"/>
  <c r="C76" i="8"/>
  <c r="B76" i="8"/>
  <c r="B46" i="8"/>
  <c r="B16" i="8"/>
  <c r="B17" i="8"/>
  <c r="B18" i="8"/>
  <c r="B19" i="8"/>
  <c r="B29" i="8" s="1"/>
  <c r="B49" i="8" s="1"/>
  <c r="B20" i="8"/>
  <c r="B21" i="8"/>
  <c r="C28" i="8"/>
  <c r="D75" i="8"/>
  <c r="C75" i="8"/>
  <c r="B75" i="8"/>
  <c r="B68" i="8"/>
  <c r="E54" i="8"/>
  <c r="D31" i="8"/>
  <c r="D51" i="8" s="1"/>
  <c r="D30" i="8"/>
  <c r="D50" i="8" s="1"/>
  <c r="D29" i="8"/>
  <c r="D49" i="8" s="1"/>
  <c r="D28" i="8"/>
  <c r="D48" i="8" s="1"/>
  <c r="D27" i="8"/>
  <c r="D47" i="8" s="1"/>
  <c r="D26" i="8"/>
  <c r="C26" i="8"/>
  <c r="B31" i="8"/>
  <c r="B51" i="8" s="1"/>
  <c r="C30" i="8"/>
  <c r="B27" i="8"/>
  <c r="B47" i="8" s="1"/>
  <c r="B26" i="8"/>
  <c r="E78" i="7"/>
  <c r="D75" i="7"/>
  <c r="C75" i="7"/>
  <c r="B75" i="7"/>
  <c r="B78" i="8" l="1"/>
  <c r="C31" i="8"/>
  <c r="E51" i="8" s="1"/>
  <c r="C27" i="8"/>
  <c r="E47" i="8" s="1"/>
  <c r="B30" i="8"/>
  <c r="B50" i="8" s="1"/>
  <c r="E50" i="8" s="1"/>
  <c r="E46" i="8"/>
  <c r="D53" i="8"/>
  <c r="D56" i="8" s="1"/>
  <c r="C78" i="8"/>
  <c r="E78" i="8" s="1"/>
  <c r="E80" i="8" s="1"/>
  <c r="E83" i="8" s="1"/>
  <c r="B28" i="8"/>
  <c r="B48" i="8" s="1"/>
  <c r="E48" i="8" s="1"/>
  <c r="C29" i="8"/>
  <c r="E49" i="8" s="1"/>
  <c r="B53" i="8" l="1"/>
  <c r="B56" i="8" s="1"/>
  <c r="C53" i="8"/>
  <c r="C56" i="8" s="1"/>
  <c r="E53" i="8"/>
  <c r="E56" i="8" s="1"/>
  <c r="D66" i="7" l="1"/>
  <c r="D76" i="7" s="1"/>
  <c r="D78" i="7" s="1"/>
  <c r="D65" i="7"/>
  <c r="C76" i="7" s="1"/>
  <c r="C78" i="7" s="1"/>
  <c r="D64" i="7"/>
  <c r="B76" i="7" s="1"/>
  <c r="B78" i="7" s="1"/>
  <c r="D68" i="7" l="1"/>
  <c r="D31" i="7"/>
  <c r="D51" i="7" s="1"/>
  <c r="D30" i="7"/>
  <c r="D50" i="7" s="1"/>
  <c r="D29" i="7"/>
  <c r="D49" i="7" s="1"/>
  <c r="D28" i="7"/>
  <c r="D48" i="7" s="1"/>
  <c r="D27" i="7"/>
  <c r="D47" i="7" s="1"/>
  <c r="D26" i="7"/>
  <c r="D46" i="7" s="1"/>
  <c r="C68" i="7"/>
  <c r="B17" i="7"/>
  <c r="B27" i="7" s="1"/>
  <c r="B47" i="7" s="1"/>
  <c r="B16" i="7"/>
  <c r="B26" i="7" s="1"/>
  <c r="B46" i="7" s="1"/>
  <c r="B58" i="4"/>
  <c r="D74" i="4"/>
  <c r="D73" i="4"/>
  <c r="D72" i="4"/>
  <c r="D71" i="4"/>
  <c r="D70" i="4"/>
  <c r="D69" i="4"/>
  <c r="C74" i="4"/>
  <c r="C73" i="4"/>
  <c r="C72" i="4"/>
  <c r="C71" i="4"/>
  <c r="C70" i="4"/>
  <c r="C69" i="4"/>
  <c r="B74" i="4"/>
  <c r="B73" i="4"/>
  <c r="B72" i="4"/>
  <c r="B71" i="4"/>
  <c r="B70" i="4"/>
  <c r="B69" i="4"/>
  <c r="D63" i="4"/>
  <c r="D62" i="4"/>
  <c r="D61" i="4"/>
  <c r="D60" i="4"/>
  <c r="D59" i="4"/>
  <c r="D58" i="4"/>
  <c r="C63" i="4"/>
  <c r="C62" i="4"/>
  <c r="C61" i="4"/>
  <c r="C60" i="4"/>
  <c r="C59" i="4"/>
  <c r="C58" i="4"/>
  <c r="B63" i="4"/>
  <c r="B62" i="4"/>
  <c r="B61" i="4"/>
  <c r="B60" i="4"/>
  <c r="B59" i="4"/>
  <c r="D110" i="4"/>
  <c r="C110" i="4"/>
  <c r="B110" i="4"/>
  <c r="D54" i="4"/>
  <c r="C54" i="4"/>
  <c r="B54" i="4"/>
  <c r="D42" i="4"/>
  <c r="D41" i="4"/>
  <c r="D79" i="4"/>
  <c r="C79" i="4"/>
  <c r="B79" i="4"/>
  <c r="B89" i="4"/>
  <c r="C89" i="4"/>
  <c r="C26" i="7" l="1"/>
  <c r="C46" i="7" s="1"/>
  <c r="C27" i="7"/>
  <c r="C47" i="7" s="1"/>
  <c r="E54" i="7"/>
  <c r="E80" i="7"/>
  <c r="B68" i="7"/>
  <c r="B18" i="7"/>
  <c r="D102" i="4"/>
  <c r="D113" i="4"/>
  <c r="E79" i="4"/>
  <c r="E91" i="4"/>
  <c r="E89" i="4"/>
  <c r="D93" i="4"/>
  <c r="C93" i="4"/>
  <c r="B93" i="4"/>
  <c r="E90" i="4"/>
  <c r="E83" i="7" l="1"/>
  <c r="B28" i="7"/>
  <c r="B48" i="7" s="1"/>
  <c r="C28" i="7"/>
  <c r="C48" i="7" s="1"/>
  <c r="E47" i="7"/>
  <c r="B19" i="7"/>
  <c r="B21" i="7"/>
  <c r="E46" i="7"/>
  <c r="D53" i="7"/>
  <c r="D56" i="7" s="1"/>
  <c r="B20" i="7"/>
  <c r="E93" i="4"/>
  <c r="E48" i="7" l="1"/>
  <c r="C29" i="7"/>
  <c r="C49" i="7" s="1"/>
  <c r="B29" i="7"/>
  <c r="B49" i="7" s="1"/>
  <c r="E49" i="7" s="1"/>
  <c r="C30" i="7"/>
  <c r="C50" i="7" s="1"/>
  <c r="B30" i="7"/>
  <c r="B50" i="7" s="1"/>
  <c r="B31" i="7"/>
  <c r="B51" i="7" s="1"/>
  <c r="C31" i="7"/>
  <c r="C51" i="7" s="1"/>
  <c r="B35" i="4"/>
  <c r="B32" i="4"/>
  <c r="B33" i="4"/>
  <c r="C53" i="7" l="1"/>
  <c r="C56" i="7" s="1"/>
  <c r="E51" i="7"/>
  <c r="E50" i="7"/>
  <c r="E53" i="7" s="1"/>
  <c r="E56" i="7" s="1"/>
  <c r="B53" i="7"/>
  <c r="B56" i="7" s="1"/>
  <c r="B42" i="4"/>
  <c r="C42" i="4"/>
  <c r="B34" i="4"/>
  <c r="C102" i="4" l="1"/>
  <c r="B102" i="4"/>
  <c r="E102" i="4" s="1"/>
  <c r="E71" i="4"/>
  <c r="B36" i="4"/>
  <c r="B37" i="4"/>
  <c r="B16" i="4" l="1"/>
  <c r="B9" i="4"/>
  <c r="B41" i="4" l="1"/>
  <c r="C41" i="4"/>
  <c r="E73" i="4"/>
  <c r="B76" i="4"/>
  <c r="E74" i="4"/>
  <c r="B17" i="4"/>
  <c r="D65" i="4"/>
  <c r="B10" i="4"/>
  <c r="O38" i="3"/>
  <c r="J38" i="3"/>
  <c r="O36" i="3"/>
  <c r="J36" i="3"/>
  <c r="C113" i="4" l="1"/>
  <c r="B113" i="4"/>
  <c r="E113" i="4" s="1"/>
  <c r="E115" i="4" s="1"/>
  <c r="E118" i="4" s="1"/>
  <c r="E59" i="4"/>
  <c r="D76" i="4"/>
  <c r="D78" i="4" s="1"/>
  <c r="D81" i="4" s="1"/>
  <c r="E58" i="4"/>
  <c r="B18" i="4"/>
  <c r="B11" i="4"/>
  <c r="O35" i="3"/>
  <c r="J35" i="3"/>
  <c r="J34" i="3"/>
  <c r="O16" i="3"/>
  <c r="O15" i="3"/>
  <c r="O14" i="3"/>
  <c r="O13" i="3"/>
  <c r="O12" i="3"/>
  <c r="O11" i="3"/>
  <c r="O10" i="3"/>
  <c r="J16" i="3"/>
  <c r="J15" i="3"/>
  <c r="J14" i="3"/>
  <c r="J13" i="3"/>
  <c r="J12" i="3"/>
  <c r="J11" i="3"/>
  <c r="J10" i="3"/>
  <c r="E16" i="3"/>
  <c r="E15" i="3"/>
  <c r="E14" i="3"/>
  <c r="E13" i="3"/>
  <c r="E12" i="3"/>
  <c r="E11" i="3"/>
  <c r="E10" i="3"/>
  <c r="O26" i="3"/>
  <c r="O18" i="3"/>
  <c r="J26" i="3"/>
  <c r="E26" i="3"/>
  <c r="E30" i="3" s="1"/>
  <c r="E60" i="4" l="1"/>
  <c r="B12" i="4"/>
  <c r="B19" i="4"/>
  <c r="J18" i="3"/>
  <c r="O28" i="3"/>
  <c r="O30" i="3" s="1"/>
  <c r="J28" i="3"/>
  <c r="J30" i="3" s="1"/>
  <c r="E61" i="4" l="1"/>
  <c r="B20" i="4"/>
  <c r="B13" i="4"/>
  <c r="E35" i="3"/>
  <c r="E36" i="3" s="1"/>
  <c r="E38" i="3" s="1"/>
  <c r="B8" i="10" s="1"/>
  <c r="D11" i="2"/>
  <c r="E8" i="10" l="1"/>
  <c r="E12" i="10" s="1"/>
  <c r="E15" i="10" s="1"/>
  <c r="B12" i="10"/>
  <c r="E69" i="4"/>
  <c r="B21" i="4"/>
  <c r="D20" i="2"/>
  <c r="D23" i="2" s="1"/>
  <c r="D8" i="2"/>
  <c r="D9" i="2"/>
  <c r="D10" i="2"/>
  <c r="D12" i="2"/>
  <c r="D13" i="2"/>
  <c r="D14" i="2"/>
  <c r="D15" i="2"/>
  <c r="D16" i="2"/>
  <c r="D17" i="2"/>
  <c r="D18" i="2"/>
  <c r="D7" i="2"/>
  <c r="B60" i="1"/>
  <c r="E63" i="4" l="1"/>
  <c r="C65" i="4"/>
  <c r="E62" i="4"/>
  <c r="C92" i="1"/>
  <c r="E90" i="1"/>
  <c r="D89" i="1"/>
  <c r="D92" i="1" s="1"/>
  <c r="C89" i="1"/>
  <c r="B89" i="1"/>
  <c r="B92" i="1" s="1"/>
  <c r="E83" i="1"/>
  <c r="E84" i="1" s="1"/>
  <c r="D83" i="1"/>
  <c r="D84" i="1" s="1"/>
  <c r="C83" i="1"/>
  <c r="B83" i="1"/>
  <c r="E65" i="4" l="1"/>
  <c r="B65" i="4"/>
  <c r="B78" i="4"/>
  <c r="B81" i="4" s="1"/>
  <c r="E70" i="4"/>
  <c r="E72" i="4"/>
  <c r="C84" i="1"/>
  <c r="E89" i="1"/>
  <c r="E92" i="1" s="1"/>
  <c r="E95" i="1" s="1"/>
  <c r="D58" i="1"/>
  <c r="D57" i="1"/>
  <c r="B58" i="1"/>
  <c r="B57" i="1"/>
  <c r="C58" i="1"/>
  <c r="C57" i="1"/>
  <c r="C56" i="1"/>
  <c r="C55" i="1"/>
  <c r="C54" i="1"/>
  <c r="C53" i="1"/>
  <c r="D56" i="1"/>
  <c r="B56" i="1"/>
  <c r="B55" i="1"/>
  <c r="B54" i="1"/>
  <c r="B53" i="1"/>
  <c r="C76" i="4" l="1"/>
  <c r="C78" i="4" s="1"/>
  <c r="C81" i="4" s="1"/>
  <c r="E76" i="4"/>
  <c r="E78" i="4" s="1"/>
  <c r="E81" i="4" s="1"/>
  <c r="D54" i="1"/>
  <c r="D55" i="1"/>
  <c r="D53" i="1"/>
  <c r="D60" i="1" l="1"/>
  <c r="D64" i="1" s="1"/>
  <c r="C60" i="1"/>
  <c r="C64" i="1" s="1"/>
  <c r="B64" i="1"/>
</calcChain>
</file>

<file path=xl/sharedStrings.xml><?xml version="1.0" encoding="utf-8"?>
<sst xmlns="http://schemas.openxmlformats.org/spreadsheetml/2006/main" count="729" uniqueCount="252">
  <si>
    <t>Ottawa River Power Corporation</t>
  </si>
  <si>
    <t>(volumes are not loss adjusted)</t>
  </si>
  <si>
    <t>PROPOSED LOW VOLTAGE CHARGES &amp; RATES</t>
  </si>
  <si>
    <t>Customer Class Name</t>
  </si>
  <si>
    <t>% Allocation</t>
  </si>
  <si>
    <t>Charges</t>
  </si>
  <si>
    <t>Not Uplifted Volumes</t>
  </si>
  <si>
    <t>Rate</t>
  </si>
  <si>
    <t>per</t>
  </si>
  <si>
    <t>Residential</t>
  </si>
  <si>
    <t>kWh</t>
  </si>
  <si>
    <t>General Service &lt; 50 kW</t>
  </si>
  <si>
    <t>General Service &gt; 50 to 4999 kW</t>
  </si>
  <si>
    <t>kW</t>
  </si>
  <si>
    <t>Sentinel Lighting</t>
  </si>
  <si>
    <t>Streetlighting</t>
  </si>
  <si>
    <t>Unmetered Scattered Load</t>
  </si>
  <si>
    <t>other</t>
  </si>
  <si>
    <t>TOTAL</t>
  </si>
  <si>
    <t>Rates Determined from last Cost of Service</t>
  </si>
  <si>
    <t>Low Voltage Charges - Historical and Proposed LV Charges</t>
  </si>
  <si>
    <t xml:space="preserve"> </t>
  </si>
  <si>
    <t xml:space="preserve">4075-Billed - LV
</t>
  </si>
  <si>
    <t xml:space="preserve">4750-Charges - LV
</t>
  </si>
  <si>
    <t>2015, 2016 and 2017</t>
  </si>
  <si>
    <t>Consumption (per Annual RRR 2.1.5)</t>
  </si>
  <si>
    <t>Estimated Collected Based on Consumption ($)</t>
  </si>
  <si>
    <t>Estimated Collected</t>
  </si>
  <si>
    <t>Actual Collected</t>
  </si>
  <si>
    <t>Low Voltage Charges from HONE</t>
  </si>
  <si>
    <t>Sentinel Lighting (kWh)</t>
  </si>
  <si>
    <t>Sentinel Lighting (kW)</t>
  </si>
  <si>
    <t>Low Voltage Charges Rate Rider Calculations for Rates Effective May 1, 2016</t>
  </si>
  <si>
    <t>Low Voltage Rates prior to May 1, 2016</t>
  </si>
  <si>
    <t>Variance from actual</t>
  </si>
  <si>
    <t>January</t>
  </si>
  <si>
    <t>February</t>
  </si>
  <si>
    <t>March</t>
  </si>
  <si>
    <t>April</t>
  </si>
  <si>
    <t>May</t>
  </si>
  <si>
    <t>June</t>
  </si>
  <si>
    <t>July</t>
  </si>
  <si>
    <t>August</t>
  </si>
  <si>
    <t>September</t>
  </si>
  <si>
    <t>October</t>
  </si>
  <si>
    <t>November</t>
  </si>
  <si>
    <t>December</t>
  </si>
  <si>
    <t>Average</t>
  </si>
  <si>
    <t>% Increase from 2014</t>
  </si>
  <si>
    <t>Actual Billed</t>
  </si>
  <si>
    <t>Total</t>
  </si>
  <si>
    <t>Difference</t>
  </si>
  <si>
    <t>Variance Account Balance as at December 31, 2017</t>
  </si>
  <si>
    <t>Difference is small :. Analysis is deemed reasonable.</t>
  </si>
  <si>
    <t>Variance Analysis Summary</t>
  </si>
  <si>
    <t>HONE Low Voltage Rate ($) per kW (Common ST Lines)</t>
  </si>
  <si>
    <t>Low Voltage Paid Analysis</t>
  </si>
  <si>
    <t>Low Voltage Collected Analysis</t>
  </si>
  <si>
    <t>Undercollected low voltage</t>
  </si>
  <si>
    <t>Month</t>
  </si>
  <si>
    <t>Per Hydro One Invoice</t>
  </si>
  <si>
    <t>Generation (kWh)</t>
  </si>
  <si>
    <t>GA Actual Rate ($)</t>
  </si>
  <si>
    <t>Calculated GA Credit ($)</t>
  </si>
  <si>
    <t>Calculated GA Credit</t>
  </si>
  <si>
    <t>Remitted</t>
  </si>
  <si>
    <t>2017 Embedded Generation Remitted in 2018</t>
  </si>
  <si>
    <t>2015 to 2017</t>
  </si>
  <si>
    <t>Brookfield</t>
  </si>
  <si>
    <t>2017 Consumption</t>
  </si>
  <si>
    <t>2017 Unbilled</t>
  </si>
  <si>
    <t>2016 Unbilled</t>
  </si>
  <si>
    <t>Adjusted 2017 Consumption</t>
  </si>
  <si>
    <t>GS&lt;50</t>
  </si>
  <si>
    <t>GS&gt;50</t>
  </si>
  <si>
    <t>Interval</t>
  </si>
  <si>
    <t>Street Lights</t>
  </si>
  <si>
    <t>Sentinel Lights</t>
  </si>
  <si>
    <t>Unmetered Scattered</t>
  </si>
  <si>
    <t>Hydro One</t>
  </si>
  <si>
    <t>Mississippi River</t>
  </si>
  <si>
    <t>MicroFit</t>
  </si>
  <si>
    <t>Total Purchases</t>
  </si>
  <si>
    <t>Line Loss (KwH)</t>
  </si>
  <si>
    <t>Line Loss (%)</t>
  </si>
  <si>
    <t>2016 Consumption</t>
  </si>
  <si>
    <t>2015 Unbilled</t>
  </si>
  <si>
    <t>Adjusted 2016 Consumption</t>
  </si>
  <si>
    <t>2015 Consumption</t>
  </si>
  <si>
    <t>2014 Unbilled</t>
  </si>
  <si>
    <t>Adjusted 2015 Consumption</t>
  </si>
  <si>
    <t>Enerdu</t>
  </si>
  <si>
    <t>TLF as of May 1, 2016</t>
  </si>
  <si>
    <t>TLF up to April 30, 2016</t>
  </si>
  <si>
    <t>Variance from Line Loss Calculation</t>
  </si>
  <si>
    <t>Non-Loss Adjusted Total Sales</t>
  </si>
  <si>
    <t>Estimated Yearly Average TLF</t>
  </si>
  <si>
    <t>HOEP Average Weighted Price by Year ($/kWh) per IESO Website</t>
  </si>
  <si>
    <t>Estimated Impact on Account 1588 ($)</t>
  </si>
  <si>
    <t>Estimated Variance (kWh)</t>
  </si>
  <si>
    <t>Residential (kWh)</t>
  </si>
  <si>
    <t>General Service &lt; 50 kW (kWh)</t>
  </si>
  <si>
    <t>Unmetered Scattered Load (kWh)</t>
  </si>
  <si>
    <t>General Service &gt; 50 to 4999 kW (kWh)</t>
  </si>
  <si>
    <t>Streetlighting (kWh)</t>
  </si>
  <si>
    <t>Wholesale Market Rates effective May 1, 2014 ($/kWh)</t>
  </si>
  <si>
    <t>Wholesale Market Rates effective May 1, 2015 ($/kWh)</t>
  </si>
  <si>
    <t>Wholesale Market Rates effective May 1, 2016 ($/kWh)</t>
  </si>
  <si>
    <t>Wholesale Market Rates effective May 1, 2017 ($/kWh)</t>
  </si>
  <si>
    <t>Consumption in kWh (per Annual RRR 2.1.5)</t>
  </si>
  <si>
    <t>RRRP effective May 1, 2014 ($/kWh)</t>
  </si>
  <si>
    <t>RRRP effective May 1, 2015 ($/kWh)</t>
  </si>
  <si>
    <t>RRRP effective May 1, 2017 ($/kWh)</t>
  </si>
  <si>
    <t>RRRP effective May 1, 2016 ($/kWh)</t>
  </si>
  <si>
    <t>Wholesale Market</t>
  </si>
  <si>
    <t>RRRP</t>
  </si>
  <si>
    <t>Paid to Hydro One ($)</t>
  </si>
  <si>
    <t>Paid to Brookfield ($)</t>
  </si>
  <si>
    <t>Wholesale Market Charge Revenue Analysis</t>
  </si>
  <si>
    <t>Wholesale Market Charge Expense Analysis</t>
  </si>
  <si>
    <t>Estimated Collected RRRP Based on Consumption ($)</t>
  </si>
  <si>
    <t>Estimated Collected WMS Based on Consumption ($)</t>
  </si>
  <si>
    <t>Estimated Total WMS + RRRP Collected</t>
  </si>
  <si>
    <t>Wholesale Market Charge</t>
  </si>
  <si>
    <t>Average Rate Charged ($/kWh)</t>
  </si>
  <si>
    <t>Comparisons</t>
  </si>
  <si>
    <t>Estimated Variance ($)</t>
  </si>
  <si>
    <t>Total Estimated Variance ($)</t>
  </si>
  <si>
    <t>Mississippi River Power</t>
  </si>
  <si>
    <t>Enerdu Power</t>
  </si>
  <si>
    <t>Microfits</t>
  </si>
  <si>
    <t>Electricity Purchases with no Wholesale Market or RRRP Expense (kWh)</t>
  </si>
  <si>
    <t>Total (kWh)</t>
  </si>
  <si>
    <t>Electricity Purchases with no RRRP Expense (kWh)</t>
  </si>
  <si>
    <t>Brookfield (kWh)</t>
  </si>
  <si>
    <t>Actual Variance at December 31, 2017 ($)</t>
  </si>
  <si>
    <t>Based on the above analysis, the amount of Wholesale Market Charges and RRRP Charges collected from customers is as expected given the level of consumption.</t>
  </si>
  <si>
    <t>Based on the above comparisons, the variance in the Wholesale Market DVA was caused by electricity purchases from generators not subject to WMS or RRRP charges.</t>
  </si>
  <si>
    <t>Not material :. Leave.</t>
  </si>
  <si>
    <t>Network Service Rates effective May 1, 2014 ($/kWh/kW)</t>
  </si>
  <si>
    <t>Network Service Rates effective May 1, 2015 ($/kWh/kW)</t>
  </si>
  <si>
    <t>Network Service Rates effective May 1, 2016 ($/kWh/kW)</t>
  </si>
  <si>
    <t>Network Service Rates effective May 1, 2017 ($/kWh/kW)</t>
  </si>
  <si>
    <t>Network Charge Revenue Analysis</t>
  </si>
  <si>
    <t>General Service &gt; 50 to 4999 kW (kW)</t>
  </si>
  <si>
    <t>Streetlighting (kW)</t>
  </si>
  <si>
    <t>Based on the above analysis, the amount of Network Service Charges collected from customers is as expected given the level of consumption.</t>
  </si>
  <si>
    <t>Network Service Charges ($)</t>
  </si>
  <si>
    <t>Network Charges ($)</t>
  </si>
  <si>
    <t>Revenues</t>
  </si>
  <si>
    <t>Expenses</t>
  </si>
  <si>
    <t>Variance ($)</t>
  </si>
  <si>
    <t>Based on the above comparisons, the variance in the Network Service Charge DVA was mainly caused by variances between amounts collected from customers and amounts paid to generators. This variance was caused as ORPC customers are charged based on either kWh or kW depending on the customer class whereas ORPC is only charged based on peak demand which is measured in kW.</t>
  </si>
  <si>
    <t>Transmission Line and Connection Charge Revenue Analysis</t>
  </si>
  <si>
    <t>Line and Connection Service Rates effective May 1, 2014 ($/kWh/kW)</t>
  </si>
  <si>
    <t>Line and Connection Service Rates effective May 1, 2015 ($/kWh/kW)</t>
  </si>
  <si>
    <t>Line and Connection Service Rates effective May 1, 2016 ($/kWh/kW)</t>
  </si>
  <si>
    <t>Line and Connection Service Rates effective May 1, 2017 ($/kWh/kW)</t>
  </si>
  <si>
    <t>Network Charge Expense Analysis</t>
  </si>
  <si>
    <t>Based on the above analysis, the amount of Transmission Line and Connection Charges collected from customers is slightly higher than expected given the level of consumption.</t>
  </si>
  <si>
    <t>Transmission Line and Connection Charge Expense Analysis</t>
  </si>
  <si>
    <t>Transmission Line and Connection Charges ($)</t>
  </si>
  <si>
    <t>Based on the above comparisons, the variance in the Transmission Line and Connection Service Charge DVA was mainly caused by variances between amounts collected from customers and amounts paid to generators. This variance was caused as ORPC customers are charged based on either kWh or kW depending on the customer class whereas ORPC is only charged based on peak demand which is measured in kW.</t>
  </si>
  <si>
    <t>WAP per GL</t>
  </si>
  <si>
    <t>WAP Claimed from HONE</t>
  </si>
  <si>
    <t>RPP Block 1 Claimed from HONE</t>
  </si>
  <si>
    <t>RPP Block 2 Claimed from HONE</t>
  </si>
  <si>
    <t>On Peak per GL</t>
  </si>
  <si>
    <t>On Peak Claimed from HONE</t>
  </si>
  <si>
    <t>Off Peak per GL</t>
  </si>
  <si>
    <t>Off Peak Claimed from HONE</t>
  </si>
  <si>
    <t>Mid Peak per GL</t>
  </si>
  <si>
    <t>Mid Peak Claimed from HONE</t>
  </si>
  <si>
    <t>Unbilled Revenues</t>
  </si>
  <si>
    <t>Line Loss Differences</t>
  </si>
  <si>
    <t>RPP Block 1 per GL</t>
  </si>
  <si>
    <t>RPP Block 2 per GL</t>
  </si>
  <si>
    <t>Settlement Differences</t>
  </si>
  <si>
    <t>Account 1588 Balance at December 31, 2017</t>
  </si>
  <si>
    <t>Receivable (Owing) from ORPC Customers ($)</t>
  </si>
  <si>
    <t>Non-RPP GA Claimed from HONE</t>
  </si>
  <si>
    <t>GA Collected per GL (Prior to GA adjustments)</t>
  </si>
  <si>
    <t>Variance</t>
  </si>
  <si>
    <t>Account 1589 Balance at December 31, 2017</t>
  </si>
  <si>
    <t>Appendix A - Low Voltage Analysis</t>
  </si>
  <si>
    <t>Appendix B - Global Adjustment Settlement Analysis</t>
  </si>
  <si>
    <t>Appendix C - Account 1588 Variance Summary</t>
  </si>
  <si>
    <t>Appendix C - Account 1588 Quantitative Analysis</t>
  </si>
  <si>
    <t>Appendix C - Power Settlement Analysis</t>
  </si>
  <si>
    <t>Appendix D - Wholesale Market Charge Variance Account Analysis</t>
  </si>
  <si>
    <t>Appendix E - Network Charge Variance Account Analysis</t>
  </si>
  <si>
    <t>Appendix F - Line Transmission and Connection Charge Variance Account Analysis</t>
  </si>
  <si>
    <t>Appendix G - Embedded Generation</t>
  </si>
  <si>
    <t>Variance caused by difference in pricing estimates for line losses versus actual cost of line losses.</t>
  </si>
  <si>
    <t>Expected GA Variance per GA Workform</t>
  </si>
  <si>
    <t>GA on Embedded Generation Settled in 2018</t>
  </si>
  <si>
    <t>Billing Adjustment in 2016 included in 2017 GL and settled with HONE in 2018</t>
  </si>
  <si>
    <t>2015 RPP True Up included in 2017 GL and settled with HONE in 2018</t>
  </si>
  <si>
    <t>Difference between 1st estimate and actual</t>
  </si>
  <si>
    <t>2017 Unbilled Revenues settled in 2018</t>
  </si>
  <si>
    <t>GA Rate Billed by Month</t>
  </si>
  <si>
    <t>Begin</t>
  </si>
  <si>
    <t>End</t>
  </si>
  <si>
    <t>A</t>
  </si>
  <si>
    <t>Days in month</t>
  </si>
  <si>
    <t>Prorated Global Adjustment (KwH)</t>
  </si>
  <si>
    <t>Period Start Date</t>
  </si>
  <si>
    <t>Period End Date</t>
  </si>
  <si>
    <t>Days in Period</t>
  </si>
  <si>
    <t>Cycle</t>
  </si>
  <si>
    <t>Global Adjustment Amount ($)</t>
  </si>
  <si>
    <t>Check</t>
  </si>
  <si>
    <t>B</t>
  </si>
  <si>
    <t>C</t>
  </si>
  <si>
    <t>D = C - B</t>
  </si>
  <si>
    <t>E</t>
  </si>
  <si>
    <t>F</t>
  </si>
  <si>
    <t>G = (E x F / D)/A</t>
  </si>
  <si>
    <t>BP</t>
  </si>
  <si>
    <t>SL</t>
  </si>
  <si>
    <t>V(KwH)</t>
  </si>
  <si>
    <t>V(%)</t>
  </si>
  <si>
    <t>HONE</t>
  </si>
  <si>
    <t>BRK</t>
  </si>
  <si>
    <t>MPG</t>
  </si>
  <si>
    <t>EDU</t>
  </si>
  <si>
    <t>Consumption (kwh) Billed in 2018</t>
  </si>
  <si>
    <t>Consumption ($) Billed in 2018</t>
  </si>
  <si>
    <t>2017 Unbilled GA</t>
  </si>
  <si>
    <t>2017 Unbilled per GL</t>
  </si>
  <si>
    <t>St light</t>
  </si>
  <si>
    <t>RPP kwh</t>
  </si>
  <si>
    <t>GA for RPP</t>
  </si>
  <si>
    <t>Claimed for GA</t>
  </si>
  <si>
    <t>Consumption (kwh) Billed in 2017</t>
  </si>
  <si>
    <t>Consumption ($) Billed in 2017</t>
  </si>
  <si>
    <t>2016 Unbilled GA</t>
  </si>
  <si>
    <t>2016 Unbilled per GL</t>
  </si>
  <si>
    <t>Consumption (kwh) Billed in 2016</t>
  </si>
  <si>
    <t>Consumption ($) Billed in 2016</t>
  </si>
  <si>
    <t>2015 Unbilled GA</t>
  </si>
  <si>
    <t>2015 Unbilled per GL</t>
  </si>
  <si>
    <t>Appendix H - Unbilled Global Adjustment to Actual Analysis - 2017</t>
  </si>
  <si>
    <t>Appendix I - Unbilled Global Adjustment to Actual Analysis - 2016</t>
  </si>
  <si>
    <t>Appendix J - Unbilled Global Adjustment to Actual Analysis - 2015</t>
  </si>
  <si>
    <t>Appendix K - Unbilled Global Adjustment to Actual Analysis - 2014</t>
  </si>
  <si>
    <t>2014 Consumption (KwH)</t>
  </si>
  <si>
    <t>Consumption (kwh) Billed in 2015</t>
  </si>
  <si>
    <t>GA Rate ($/kwh)</t>
  </si>
  <si>
    <t>Consumption ($) Billed in 2015</t>
  </si>
  <si>
    <t>2014 Unbilled GA</t>
  </si>
  <si>
    <t>2014 Unbilled per GL</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</si>
</sst>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 #,##0.00_-;&quot;-$&quot;* #,##0.00_-;_-\$* \-??_-;_-@_-"/>
    <numFmt numFmtId="165" formatCode="_-* #,##0.00_-;\-* #,##0.00_-;_-* \-??_-;_-@_-"/>
    <numFmt numFmtId="166" formatCode="\$#,##0.0000_);&quot;($&quot;#,##0.0000\)"/>
    <numFmt numFmtId="167" formatCode="_(* #,##0_);_(* \(#,##0\);_(* &quot;-&quot;??_);_(@_)"/>
    <numFmt numFmtId="168" formatCode="_(&quot;$&quot;* #,##0_);_(&quot;$&quot;* \(#,##0\);_(&quot;$&quot;* &quot;-&quot;??_);_(@_)"/>
    <numFmt numFmtId="169" formatCode="_(* #,##0.0000_);_(* \(#,##0.0000\);_(* &quot;-&quot;??_);_(@_)"/>
    <numFmt numFmtId="170" formatCode="_(* #,##0.00000_);_(* \(#,##0.00000\);_(* &quot;-&quot;??_);_(@_)"/>
    <numFmt numFmtId="171" formatCode="0.0%"/>
    <numFmt numFmtId="172" formatCode="0.00000"/>
    <numFmt numFmtId="173" formatCode="_(* #,##0.000000_);_(* \(#,##0.000000\);_(* &quot;-&quot;??_);_(@_)"/>
    <numFmt numFmtId="174" formatCode="_(* #,##0.0000000_);_(* \(#,##0.0000000\);_(* &quot;-&quot;??_);_(@_)"/>
    <numFmt numFmtId="175" formatCode="_-* #,##0.00_-;\-* #,##0.00_-;_-* &quot;-&quot;??_-;_-@_-"/>
    <numFmt numFmtId="176" formatCode="_-&quot;$&quot;* #,##0.00_-;\-&quot;$&quot;* #,##0.00_-;_-&quot;$&quot;* &quot;-&quot;??_-;_-@_-"/>
  </numFmts>
  <fonts count="20">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family val="2"/>
      <charset val="1"/>
    </font>
    <font>
      <b/>
      <sz val="10"/>
      <name val="Arial"/>
      <family val="2"/>
      <charset val="1"/>
    </font>
    <font>
      <sz val="10"/>
      <name val="Mangal"/>
      <family val="2"/>
    </font>
    <font>
      <i/>
      <sz val="10"/>
      <name val="Arial"/>
      <family val="2"/>
      <charset val="1"/>
    </font>
    <font>
      <b/>
      <u/>
      <sz val="10"/>
      <name val="Arial"/>
      <family val="2"/>
      <charset val="1"/>
    </font>
    <font>
      <sz val="10"/>
      <name val="Mangal"/>
      <family val="2"/>
      <charset val="1"/>
    </font>
    <font>
      <i/>
      <sz val="10"/>
      <color rgb="FFFF0000"/>
      <name val="Arial"/>
      <family val="2"/>
      <charset val="1"/>
    </font>
    <font>
      <b/>
      <sz val="10"/>
      <name val="Arial"/>
      <family val="2"/>
    </font>
    <font>
      <b/>
      <u/>
      <sz val="11"/>
      <color theme="1"/>
      <name val="Calibri"/>
      <family val="2"/>
      <scheme val="minor"/>
    </font>
    <font>
      <b/>
      <sz val="10"/>
      <color theme="1"/>
      <name val="Arial"/>
      <family val="2"/>
    </font>
    <font>
      <sz val="11"/>
      <name val="Calibri"/>
      <family val="2"/>
      <scheme val="minor"/>
    </font>
    <font>
      <b/>
      <u/>
      <sz val="11"/>
      <name val="Calibri"/>
      <family val="2"/>
      <scheme val="minor"/>
    </font>
    <font>
      <b/>
      <sz val="11"/>
      <name val="Calibri"/>
      <family val="2"/>
      <scheme val="minor"/>
    </font>
    <font>
      <sz val="11"/>
      <color indexed="8"/>
      <name val="Calibri"/>
      <family val="2"/>
      <scheme val="minor"/>
    </font>
    <font>
      <sz val="8"/>
      <color indexed="8"/>
      <name val="Arial Unicode MS"/>
      <family val="2"/>
    </font>
    <font>
      <sz val="9"/>
      <color theme="1"/>
      <name val="Calibri"/>
      <family val="2"/>
      <scheme val="minor"/>
    </font>
  </fonts>
  <fills count="5">
    <fill>
      <patternFill patternType="none"/>
    </fill>
    <fill>
      <patternFill patternType="gray125"/>
    </fill>
    <fill>
      <patternFill patternType="solid">
        <fgColor indexed="9"/>
        <bgColor indexed="32"/>
      </patternFill>
    </fill>
    <fill>
      <patternFill patternType="solid">
        <fgColor indexed="39"/>
        <bgColor indexed="58"/>
      </patternFill>
    </fill>
    <fill>
      <patternFill patternType="solid">
        <fgColor theme="8" tint="0.59999389629810485"/>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9" fontId="6" fillId="0" borderId="0" applyFill="0" applyBorder="0" applyAlignment="0" applyProtection="0"/>
    <xf numFmtId="164" fontId="6" fillId="0" borderId="0" applyFill="0" applyBorder="0" applyAlignment="0" applyProtection="0"/>
    <xf numFmtId="0" fontId="1" fillId="0" borderId="0"/>
    <xf numFmtId="165" fontId="9" fillId="0" borderId="0" applyFill="0" applyBorder="0" applyAlignment="0" applyProtection="0"/>
    <xf numFmtId="9" fontId="9" fillId="0" borderId="0" applyFill="0" applyBorder="0" applyAlignment="0" applyProtection="0"/>
    <xf numFmtId="176" fontId="1" fillId="0" borderId="0" applyFont="0" applyFill="0" applyBorder="0" applyAlignment="0" applyProtection="0"/>
  </cellStyleXfs>
  <cellXfs count="200">
    <xf numFmtId="0" fontId="0" fillId="0" borderId="0" xfId="0"/>
    <xf numFmtId="0" fontId="2" fillId="0" borderId="0" xfId="0" applyFont="1"/>
    <xf numFmtId="0" fontId="4" fillId="0" borderId="1" xfId="4" applyFont="1" applyFill="1" applyBorder="1" applyAlignment="1" applyProtection="1">
      <alignment vertical="center"/>
    </xf>
    <xf numFmtId="37" fontId="3" fillId="0" borderId="1" xfId="4" applyNumberFormat="1" applyFill="1" applyBorder="1" applyAlignment="1"/>
    <xf numFmtId="0" fontId="3" fillId="0" borderId="0" xfId="4" applyBorder="1"/>
    <xf numFmtId="0" fontId="8" fillId="0" borderId="0" xfId="4" applyFont="1" applyBorder="1"/>
    <xf numFmtId="37" fontId="5" fillId="0" borderId="1" xfId="8" applyNumberFormat="1" applyFont="1" applyFill="1" applyBorder="1" applyAlignment="1" applyProtection="1">
      <alignment horizontal="center" vertical="center"/>
    </xf>
    <xf numFmtId="0" fontId="5" fillId="2" borderId="4" xfId="4" applyFont="1" applyFill="1" applyBorder="1" applyAlignment="1" applyProtection="1">
      <alignment vertical="center"/>
    </xf>
    <xf numFmtId="37" fontId="5" fillId="0" borderId="1" xfId="8" applyNumberFormat="1" applyFont="1" applyFill="1" applyBorder="1" applyAlignment="1" applyProtection="1">
      <alignment vertical="center"/>
    </xf>
    <xf numFmtId="0" fontId="10" fillId="0" borderId="0" xfId="4" applyFont="1" applyBorder="1"/>
    <xf numFmtId="0" fontId="3" fillId="0" borderId="1" xfId="4" applyBorder="1" applyAlignment="1">
      <alignment horizontal="center"/>
    </xf>
    <xf numFmtId="49" fontId="3" fillId="0" borderId="1" xfId="4" applyNumberFormat="1" applyBorder="1" applyAlignment="1">
      <alignment horizontal="center"/>
    </xf>
    <xf numFmtId="0" fontId="7" fillId="0" borderId="0" xfId="4" applyFont="1" applyBorder="1"/>
    <xf numFmtId="166" fontId="5" fillId="0" borderId="0" xfId="8" applyNumberFormat="1" applyFont="1" applyFill="1" applyBorder="1" applyAlignment="1" applyProtection="1">
      <alignment horizontal="center" vertical="center" wrapText="1"/>
    </xf>
    <xf numFmtId="37" fontId="4" fillId="0" borderId="0" xfId="8" applyNumberFormat="1" applyFont="1" applyFill="1" applyBorder="1" applyAlignment="1" applyProtection="1">
      <alignment vertical="center" wrapText="1"/>
    </xf>
    <xf numFmtId="37" fontId="4" fillId="0" borderId="0" xfId="4" applyNumberFormat="1" applyFont="1" applyFill="1" applyBorder="1" applyAlignment="1" applyProtection="1">
      <alignment vertical="center"/>
    </xf>
    <xf numFmtId="165" fontId="5" fillId="0" borderId="4" xfId="8" applyFont="1" applyFill="1" applyBorder="1" applyAlignment="1" applyProtection="1">
      <alignment horizontal="center" vertical="center" wrapText="1"/>
    </xf>
    <xf numFmtId="37" fontId="9" fillId="0" borderId="1" xfId="8" applyNumberFormat="1" applyFill="1" applyBorder="1" applyAlignment="1" applyProtection="1">
      <alignment horizontal="right" vertical="center"/>
    </xf>
    <xf numFmtId="166" fontId="9" fillId="0" borderId="1" xfId="8" applyNumberFormat="1" applyFont="1" applyFill="1" applyBorder="1" applyAlignment="1" applyProtection="1">
      <alignment horizontal="right" vertical="center"/>
    </xf>
    <xf numFmtId="0" fontId="5" fillId="0" borderId="9" xfId="4" applyFont="1" applyFill="1" applyBorder="1" applyAlignment="1" applyProtection="1">
      <alignment horizontal="left" vertical="center" indent="1"/>
    </xf>
    <xf numFmtId="37" fontId="5" fillId="0" borderId="1" xfId="8" applyNumberFormat="1" applyFont="1" applyFill="1" applyBorder="1" applyAlignment="1" applyProtection="1">
      <alignment horizontal="right" vertical="center"/>
    </xf>
    <xf numFmtId="0" fontId="12" fillId="0" borderId="0" xfId="0" applyFont="1"/>
    <xf numFmtId="3" fontId="3" fillId="0" borderId="0" xfId="4" applyNumberFormat="1" applyFill="1" applyBorder="1" applyAlignment="1">
      <alignment horizontal="center"/>
    </xf>
    <xf numFmtId="166" fontId="4" fillId="0" borderId="0" xfId="8" applyNumberFormat="1" applyFont="1" applyFill="1" applyBorder="1" applyAlignment="1" applyProtection="1">
      <alignment horizontal="center" vertical="center" wrapText="1"/>
    </xf>
    <xf numFmtId="3" fontId="4" fillId="0" borderId="0" xfId="8" applyNumberFormat="1" applyFont="1" applyFill="1" applyBorder="1" applyAlignment="1" applyProtection="1">
      <alignment horizontal="center" vertical="center" wrapText="1"/>
    </xf>
    <xf numFmtId="0" fontId="4" fillId="0" borderId="0" xfId="4" applyFont="1" applyFill="1" applyBorder="1" applyAlignment="1" applyProtection="1">
      <alignment vertical="center"/>
    </xf>
    <xf numFmtId="0" fontId="3" fillId="0" borderId="0" xfId="4"/>
    <xf numFmtId="0" fontId="8" fillId="0" borderId="0" xfId="4" applyFont="1" applyBorder="1"/>
    <xf numFmtId="1" fontId="11" fillId="4" borderId="5" xfId="4" applyNumberFormat="1" applyFont="1" applyFill="1" applyBorder="1" applyAlignment="1">
      <alignment horizontal="center"/>
    </xf>
    <xf numFmtId="0" fontId="3" fillId="0" borderId="0" xfId="4" applyBorder="1" applyAlignment="1">
      <alignment horizontal="center"/>
    </xf>
    <xf numFmtId="0" fontId="3" fillId="0" borderId="0" xfId="4" applyFill="1" applyBorder="1" applyAlignment="1">
      <alignment horizontal="center"/>
    </xf>
    <xf numFmtId="0" fontId="7" fillId="0" borderId="0" xfId="4" applyFont="1" applyBorder="1"/>
    <xf numFmtId="0" fontId="3" fillId="0" borderId="5" xfId="4" applyBorder="1"/>
    <xf numFmtId="0" fontId="5" fillId="2" borderId="2" xfId="4" applyFont="1" applyFill="1" applyBorder="1" applyAlignment="1" applyProtection="1">
      <alignment vertical="center"/>
    </xf>
    <xf numFmtId="166" fontId="5" fillId="0" borderId="5" xfId="8" applyNumberFormat="1" applyFont="1" applyFill="1" applyBorder="1" applyAlignment="1" applyProtection="1">
      <alignment horizontal="center" vertical="center" wrapText="1"/>
    </xf>
    <xf numFmtId="0" fontId="4" fillId="0" borderId="2" xfId="4" applyFont="1" applyFill="1" applyBorder="1" applyAlignment="1" applyProtection="1">
      <alignment vertical="center"/>
    </xf>
    <xf numFmtId="0" fontId="3" fillId="0" borderId="5" xfId="4" applyFill="1" applyBorder="1" applyAlignment="1">
      <alignment horizontal="center"/>
    </xf>
    <xf numFmtId="166" fontId="4" fillId="0" borderId="5" xfId="8" applyNumberFormat="1" applyFont="1" applyFill="1" applyBorder="1" applyAlignment="1" applyProtection="1">
      <alignment horizontal="center" vertical="center" wrapText="1"/>
    </xf>
    <xf numFmtId="3" fontId="3" fillId="0" borderId="5" xfId="4" applyNumberFormat="1" applyFill="1" applyBorder="1" applyAlignment="1">
      <alignment horizontal="center"/>
    </xf>
    <xf numFmtId="3" fontId="4" fillId="0" borderId="5" xfId="8" applyNumberFormat="1" applyFont="1" applyFill="1" applyBorder="1" applyAlignment="1" applyProtection="1">
      <alignment horizontal="center" vertical="center" wrapText="1"/>
    </xf>
    <xf numFmtId="3" fontId="4" fillId="3" borderId="5" xfId="8" applyNumberFormat="1" applyFont="1" applyFill="1" applyBorder="1" applyAlignment="1" applyProtection="1">
      <alignment horizontal="center" vertical="center" wrapText="1"/>
    </xf>
    <xf numFmtId="167" fontId="0" fillId="0" borderId="0" xfId="1" applyNumberFormat="1" applyFont="1"/>
    <xf numFmtId="0" fontId="2" fillId="0" borderId="10" xfId="0" applyFont="1" applyBorder="1" applyAlignment="1">
      <alignment horizontal="center"/>
    </xf>
    <xf numFmtId="0" fontId="11" fillId="0" borderId="0" xfId="4" applyFont="1" applyFill="1" applyBorder="1" applyAlignment="1" applyProtection="1">
      <alignment vertical="center"/>
    </xf>
    <xf numFmtId="168" fontId="0" fillId="0" borderId="0" xfId="2" applyNumberFormat="1" applyFont="1"/>
    <xf numFmtId="169" fontId="0" fillId="0" borderId="0" xfId="1" applyNumberFormat="1" applyFont="1"/>
    <xf numFmtId="170" fontId="0" fillId="0" borderId="0" xfId="1" applyNumberFormat="1" applyFont="1"/>
    <xf numFmtId="168" fontId="0" fillId="0" borderId="10" xfId="2" applyNumberFormat="1" applyFont="1" applyBorder="1"/>
    <xf numFmtId="168" fontId="2" fillId="0" borderId="14" xfId="0" applyNumberFormat="1" applyFont="1" applyBorder="1"/>
    <xf numFmtId="168" fontId="0" fillId="0" borderId="14" xfId="2" applyNumberFormat="1" applyFont="1" applyBorder="1"/>
    <xf numFmtId="169" fontId="0" fillId="0" borderId="10" xfId="1" applyNumberFormat="1" applyFont="1" applyBorder="1"/>
    <xf numFmtId="169" fontId="2" fillId="0" borderId="14" xfId="1" applyNumberFormat="1" applyFont="1" applyBorder="1"/>
    <xf numFmtId="9" fontId="2" fillId="0" borderId="12" xfId="3" applyFont="1" applyBorder="1"/>
    <xf numFmtId="168" fontId="2" fillId="0" borderId="0" xfId="0" applyNumberFormat="1" applyFont="1" applyBorder="1"/>
    <xf numFmtId="168" fontId="2" fillId="0" borderId="10" xfId="2" applyNumberFormat="1" applyFont="1" applyBorder="1"/>
    <xf numFmtId="9" fontId="2" fillId="0" borderId="0" xfId="3" applyFont="1" applyBorder="1"/>
    <xf numFmtId="167" fontId="0" fillId="0" borderId="10" xfId="1" applyNumberFormat="1" applyFont="1" applyBorder="1"/>
    <xf numFmtId="0" fontId="0" fillId="0" borderId="0" xfId="0" applyFont="1" applyAlignment="1">
      <alignment horizontal="left"/>
    </xf>
    <xf numFmtId="0" fontId="2" fillId="0" borderId="14" xfId="0" applyFont="1" applyBorder="1"/>
    <xf numFmtId="0" fontId="2" fillId="0" borderId="14" xfId="0" applyFont="1" applyBorder="1" applyAlignment="1">
      <alignment horizontal="center"/>
    </xf>
    <xf numFmtId="43" fontId="0" fillId="0" borderId="0" xfId="1" applyFont="1"/>
    <xf numFmtId="0" fontId="2" fillId="0" borderId="14" xfId="0" applyFont="1" applyBorder="1" applyAlignment="1">
      <alignment horizontal="center" wrapText="1"/>
    </xf>
    <xf numFmtId="43" fontId="0" fillId="0" borderId="10" xfId="1" applyFont="1" applyBorder="1"/>
    <xf numFmtId="43" fontId="0" fillId="0" borderId="0" xfId="0" applyNumberFormat="1"/>
    <xf numFmtId="43" fontId="2" fillId="0" borderId="14" xfId="0" applyNumberFormat="1" applyFont="1" applyBorder="1"/>
    <xf numFmtId="0" fontId="2" fillId="0" borderId="0" xfId="0" applyFont="1" applyAlignment="1">
      <alignment horizontal="center"/>
    </xf>
    <xf numFmtId="0" fontId="11" fillId="0" borderId="14" xfId="0" applyFont="1" applyBorder="1" applyAlignment="1">
      <alignment horizontal="center" wrapText="1"/>
    </xf>
    <xf numFmtId="0" fontId="11" fillId="0" borderId="0" xfId="0" applyFont="1" applyAlignment="1">
      <alignment horizontal="center" wrapText="1"/>
    </xf>
    <xf numFmtId="0" fontId="11" fillId="0" borderId="0" xfId="0" applyFont="1"/>
    <xf numFmtId="43" fontId="0" fillId="0" borderId="10" xfId="0" applyNumberFormat="1" applyBorder="1"/>
    <xf numFmtId="0" fontId="3" fillId="0" borderId="0" xfId="0" applyFont="1"/>
    <xf numFmtId="43" fontId="0" fillId="0" borderId="14" xfId="0" applyNumberFormat="1" applyBorder="1"/>
    <xf numFmtId="10" fontId="0" fillId="0" borderId="14" xfId="3" applyNumberFormat="1" applyFont="1" applyBorder="1"/>
    <xf numFmtId="171" fontId="0" fillId="0" borderId="0" xfId="3" applyNumberFormat="1" applyFont="1"/>
    <xf numFmtId="10" fontId="0" fillId="0" borderId="0" xfId="3" applyNumberFormat="1" applyFont="1"/>
    <xf numFmtId="10" fontId="0" fillId="0" borderId="0" xfId="0" applyNumberFormat="1"/>
    <xf numFmtId="43" fontId="2" fillId="0" borderId="0" xfId="1" applyFont="1"/>
    <xf numFmtId="43" fontId="0" fillId="0" borderId="0" xfId="1" applyNumberFormat="1" applyFont="1"/>
    <xf numFmtId="43" fontId="0" fillId="0" borderId="10" xfId="1" applyNumberFormat="1" applyFont="1" applyBorder="1"/>
    <xf numFmtId="43" fontId="0" fillId="0" borderId="0" xfId="1" applyFont="1" applyBorder="1"/>
    <xf numFmtId="43" fontId="0" fillId="0" borderId="0" xfId="1" applyFont="1" applyBorder="1" applyAlignment="1">
      <alignment horizontal="center"/>
    </xf>
    <xf numFmtId="43" fontId="0" fillId="0" borderId="10" xfId="1" applyFont="1" applyBorder="1" applyAlignment="1">
      <alignment horizontal="center"/>
    </xf>
    <xf numFmtId="0" fontId="2" fillId="0" borderId="0" xfId="0" applyFont="1" applyAlignment="1">
      <alignment horizontal="left"/>
    </xf>
    <xf numFmtId="0" fontId="2" fillId="0" borderId="15" xfId="0" applyFont="1" applyBorder="1" applyAlignment="1">
      <alignment horizontal="center"/>
    </xf>
    <xf numFmtId="0" fontId="0" fillId="0" borderId="0" xfId="0" applyFont="1"/>
    <xf numFmtId="168" fontId="0" fillId="0" borderId="0" xfId="0" applyNumberFormat="1" applyFont="1" applyBorder="1"/>
    <xf numFmtId="168" fontId="0" fillId="0" borderId="14" xfId="0" applyNumberFormat="1" applyFont="1" applyBorder="1"/>
    <xf numFmtId="43" fontId="0" fillId="0" borderId="14" xfId="0" applyNumberFormat="1" applyFont="1" applyBorder="1"/>
    <xf numFmtId="0" fontId="15" fillId="0" borderId="0" xfId="4" applyFont="1" applyBorder="1"/>
    <xf numFmtId="0" fontId="14" fillId="0" borderId="0" xfId="4" applyFont="1" applyFill="1" applyBorder="1" applyAlignment="1" applyProtection="1">
      <alignment vertical="center"/>
    </xf>
    <xf numFmtId="0" fontId="16" fillId="0" borderId="0" xfId="4" applyFont="1" applyFill="1" applyBorder="1" applyAlignment="1" applyProtection="1">
      <alignment vertical="center"/>
    </xf>
    <xf numFmtId="169" fontId="0" fillId="0" borderId="0" xfId="1" applyNumberFormat="1" applyFont="1" applyAlignment="1">
      <alignment horizontal="center"/>
    </xf>
    <xf numFmtId="169" fontId="0" fillId="0" borderId="10" xfId="0" applyNumberFormat="1" applyBorder="1"/>
    <xf numFmtId="167" fontId="2" fillId="0" borderId="14" xfId="0" applyNumberFormat="1" applyFont="1" applyBorder="1"/>
    <xf numFmtId="167" fontId="0" fillId="0" borderId="0" xfId="1" applyNumberFormat="1" applyFont="1" applyBorder="1"/>
    <xf numFmtId="43" fontId="0" fillId="0" borderId="14" xfId="1" applyFont="1" applyBorder="1"/>
    <xf numFmtId="168" fontId="0" fillId="0" borderId="0" xfId="2" applyNumberFormat="1" applyFont="1" applyBorder="1"/>
    <xf numFmtId="0" fontId="2" fillId="0" borderId="0" xfId="0" applyFont="1" applyBorder="1" applyAlignment="1">
      <alignment horizontal="center"/>
    </xf>
    <xf numFmtId="167" fontId="0" fillId="0" borderId="14" xfId="1" applyNumberFormat="1" applyFont="1" applyBorder="1"/>
    <xf numFmtId="0" fontId="0" fillId="0" borderId="0" xfId="0" applyFont="1" applyBorder="1"/>
    <xf numFmtId="43" fontId="0" fillId="0" borderId="0" xfId="0" applyNumberFormat="1" applyFont="1" applyBorder="1"/>
    <xf numFmtId="0" fontId="2" fillId="0" borderId="0" xfId="0" applyFont="1" applyBorder="1" applyAlignment="1"/>
    <xf numFmtId="167" fontId="2" fillId="0" borderId="0" xfId="1" applyNumberFormat="1" applyFont="1" applyBorder="1"/>
    <xf numFmtId="167" fontId="2" fillId="0" borderId="10" xfId="1" applyNumberFormat="1" applyFont="1" applyBorder="1"/>
    <xf numFmtId="167" fontId="2" fillId="0" borderId="10" xfId="0" applyNumberFormat="1" applyFont="1" applyBorder="1"/>
    <xf numFmtId="167" fontId="2" fillId="0" borderId="0" xfId="0" applyNumberFormat="1" applyFont="1" applyBorder="1"/>
    <xf numFmtId="167" fontId="0" fillId="0" borderId="0" xfId="0" applyNumberFormat="1"/>
    <xf numFmtId="0" fontId="2" fillId="0" borderId="0" xfId="0" applyFont="1" applyAlignment="1">
      <alignment horizontal="center"/>
    </xf>
    <xf numFmtId="43" fontId="0" fillId="0" borderId="0" xfId="0" applyNumberFormat="1" applyBorder="1"/>
    <xf numFmtId="44" fontId="2" fillId="0" borderId="14" xfId="2" applyFont="1" applyBorder="1"/>
    <xf numFmtId="43" fontId="0" fillId="0" borderId="0" xfId="1" applyFont="1" applyFill="1"/>
    <xf numFmtId="0" fontId="0" fillId="0" borderId="0" xfId="0" applyFill="1" applyAlignment="1"/>
    <xf numFmtId="43" fontId="0" fillId="0" borderId="0" xfId="1" applyFont="1" applyFill="1" applyAlignment="1"/>
    <xf numFmtId="0" fontId="0" fillId="0" borderId="0" xfId="0" applyFill="1"/>
    <xf numFmtId="170" fontId="0" fillId="0" borderId="0" xfId="1" applyNumberFormat="1" applyFont="1" applyFill="1"/>
    <xf numFmtId="173" fontId="0" fillId="0" borderId="0" xfId="0" applyNumberFormat="1" applyFill="1"/>
    <xf numFmtId="43" fontId="0" fillId="0" borderId="0" xfId="0" applyNumberFormat="1" applyFill="1"/>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19" xfId="0" applyFont="1" applyFill="1" applyBorder="1" applyAlignment="1">
      <alignment horizontal="center" vertical="center"/>
    </xf>
    <xf numFmtId="15" fontId="0" fillId="0" borderId="0" xfId="0" applyNumberFormat="1" applyFont="1" applyFill="1" applyAlignment="1">
      <alignment horizontal="center" vertical="center"/>
    </xf>
    <xf numFmtId="172" fontId="0" fillId="0" borderId="0" xfId="0" applyNumberFormat="1" applyFont="1" applyFill="1" applyBorder="1" applyAlignment="1">
      <alignment horizontal="center" wrapText="1"/>
    </xf>
    <xf numFmtId="15" fontId="0" fillId="0" borderId="0" xfId="0" applyNumberFormat="1" applyFill="1" applyAlignment="1">
      <alignment horizontal="center"/>
    </xf>
    <xf numFmtId="0" fontId="0" fillId="0" borderId="0" xfId="0" applyFill="1" applyAlignment="1">
      <alignment horizontal="center"/>
    </xf>
    <xf numFmtId="172" fontId="0" fillId="0" borderId="0" xfId="0" applyNumberFormat="1" applyFont="1" applyFill="1" applyBorder="1" applyAlignment="1">
      <alignment horizontal="center"/>
    </xf>
    <xf numFmtId="173" fontId="0" fillId="0" borderId="0" xfId="1" applyNumberFormat="1" applyFont="1" applyFill="1"/>
    <xf numFmtId="0" fontId="0" fillId="0" borderId="0" xfId="0" applyFont="1" applyFill="1" applyAlignment="1">
      <alignment horizontal="center" vertical="center"/>
    </xf>
    <xf numFmtId="0" fontId="2" fillId="0" borderId="0" xfId="0" applyFont="1" applyFill="1" applyAlignment="1">
      <alignment horizontal="center"/>
    </xf>
    <xf numFmtId="0" fontId="2" fillId="0" borderId="1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0" xfId="0" applyFont="1" applyFill="1" applyBorder="1" applyAlignment="1">
      <alignment horizontal="center" vertical="center" wrapText="1"/>
    </xf>
    <xf numFmtId="14" fontId="0" fillId="0" borderId="0" xfId="0" applyNumberFormat="1" applyFill="1" applyAlignment="1">
      <alignment horizontal="center"/>
    </xf>
    <xf numFmtId="43" fontId="17" fillId="0" borderId="0" xfId="1" applyFont="1" applyFill="1" applyAlignment="1">
      <alignment vertical="top"/>
    </xf>
    <xf numFmtId="43" fontId="0" fillId="0" borderId="0" xfId="1" applyFont="1" applyFill="1" applyAlignment="1">
      <alignment horizontal="center"/>
    </xf>
    <xf numFmtId="4" fontId="17" fillId="0" borderId="0" xfId="0" applyNumberFormat="1" applyFont="1" applyFill="1" applyAlignment="1">
      <alignment vertical="top"/>
    </xf>
    <xf numFmtId="4" fontId="18" fillId="0" borderId="0" xfId="0" applyNumberFormat="1" applyFont="1" applyFill="1" applyAlignment="1">
      <alignment vertical="top"/>
    </xf>
    <xf numFmtId="43" fontId="0" fillId="0" borderId="10" xfId="0" applyNumberFormat="1" applyFill="1" applyBorder="1"/>
    <xf numFmtId="167" fontId="2" fillId="0" borderId="21" xfId="0" applyNumberFormat="1" applyFont="1" applyFill="1" applyBorder="1"/>
    <xf numFmtId="167" fontId="19" fillId="0" borderId="0" xfId="0" applyNumberFormat="1" applyFont="1" applyFill="1"/>
    <xf numFmtId="9" fontId="19" fillId="0" borderId="0" xfId="3" applyFont="1" applyFill="1"/>
    <xf numFmtId="167" fontId="0" fillId="0" borderId="0" xfId="1" applyNumberFormat="1" applyFont="1" applyFill="1"/>
    <xf numFmtId="167" fontId="0" fillId="0" borderId="0" xfId="0" applyNumberFormat="1" applyFill="1"/>
    <xf numFmtId="167" fontId="2" fillId="0" borderId="22" xfId="0" applyNumberFormat="1" applyFont="1" applyFill="1" applyBorder="1"/>
    <xf numFmtId="0" fontId="2" fillId="0" borderId="0" xfId="0" applyFont="1" applyFill="1" applyAlignment="1">
      <alignment horizontal="right"/>
    </xf>
    <xf numFmtId="43" fontId="0" fillId="0" borderId="10" xfId="1" applyFont="1" applyFill="1" applyBorder="1"/>
    <xf numFmtId="43" fontId="2" fillId="0" borderId="21" xfId="0" applyNumberFormat="1" applyFont="1" applyFill="1" applyBorder="1"/>
    <xf numFmtId="174" fontId="0" fillId="0" borderId="0" xfId="1" applyNumberFormat="1" applyFont="1" applyFill="1"/>
    <xf numFmtId="0" fontId="2" fillId="0" borderId="0" xfId="0" applyFont="1" applyFill="1" applyBorder="1" applyAlignment="1">
      <alignment horizontal="center" vertical="center" wrapText="1"/>
    </xf>
    <xf numFmtId="43" fontId="14" fillId="0" borderId="0" xfId="0" applyNumberFormat="1" applyFont="1" applyFill="1"/>
    <xf numFmtId="175" fontId="0" fillId="0" borderId="0" xfId="0" applyNumberFormat="1" applyFill="1"/>
    <xf numFmtId="174" fontId="0" fillId="0" borderId="0" xfId="0" applyNumberFormat="1" applyFill="1"/>
    <xf numFmtId="43" fontId="1" fillId="0" borderId="0" xfId="1" applyFont="1" applyFill="1"/>
    <xf numFmtId="0" fontId="2" fillId="0" borderId="0" xfId="0" applyFont="1" applyFill="1" applyAlignment="1">
      <alignment horizontal="center" vertical="center"/>
    </xf>
    <xf numFmtId="0" fontId="2" fillId="0" borderId="0" xfId="0" applyFont="1" applyFill="1" applyAlignment="1">
      <alignment horizontal="center"/>
    </xf>
    <xf numFmtId="0" fontId="2" fillId="0" borderId="20" xfId="0" applyFont="1" applyFill="1" applyBorder="1" applyAlignment="1">
      <alignment horizontal="center" vertical="center" wrapText="1"/>
    </xf>
    <xf numFmtId="0" fontId="2" fillId="0" borderId="0" xfId="0" applyFont="1" applyFill="1" applyAlignment="1">
      <alignment horizontal="left"/>
    </xf>
    <xf numFmtId="170" fontId="0" fillId="0" borderId="10" xfId="1" applyNumberFormat="1" applyFont="1" applyFill="1" applyBorder="1"/>
    <xf numFmtId="0" fontId="0" fillId="0" borderId="0" xfId="0" applyFont="1" applyFill="1" applyBorder="1" applyAlignment="1">
      <alignment horizontal="center" vertical="center" wrapText="1"/>
    </xf>
    <xf numFmtId="43" fontId="1" fillId="0" borderId="0" xfId="1" applyFont="1" applyFill="1" applyBorder="1" applyAlignment="1">
      <alignment horizontal="center" vertical="center" wrapText="1"/>
    </xf>
    <xf numFmtId="43" fontId="1" fillId="0" borderId="10" xfId="1" applyFont="1" applyFill="1" applyBorder="1" applyAlignment="1">
      <alignment horizontal="center" vertical="center" wrapText="1"/>
    </xf>
    <xf numFmtId="168" fontId="2" fillId="0" borderId="11" xfId="2" applyNumberFormat="1" applyFont="1" applyBorder="1" applyAlignment="1">
      <alignment horizontal="center"/>
    </xf>
    <xf numFmtId="168" fontId="2" fillId="0" borderId="12" xfId="2" applyNumberFormat="1" applyFont="1" applyBorder="1" applyAlignment="1">
      <alignment horizontal="center"/>
    </xf>
    <xf numFmtId="168" fontId="2" fillId="0" borderId="13" xfId="2" applyNumberFormat="1"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0" xfId="0" applyFont="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13" fillId="0" borderId="13" xfId="0" applyFont="1" applyBorder="1" applyAlignment="1">
      <alignment horizontal="center"/>
    </xf>
    <xf numFmtId="0" fontId="11" fillId="0" borderId="11" xfId="4" applyFont="1" applyFill="1" applyBorder="1" applyAlignment="1" applyProtection="1">
      <alignment horizontal="center" vertical="center"/>
    </xf>
    <xf numFmtId="0" fontId="11" fillId="0" borderId="12" xfId="4" applyFont="1" applyFill="1" applyBorder="1" applyAlignment="1" applyProtection="1">
      <alignment horizontal="center" vertical="center"/>
    </xf>
    <xf numFmtId="0" fontId="11" fillId="0" borderId="13" xfId="4" applyFont="1" applyFill="1" applyBorder="1" applyAlignment="1" applyProtection="1">
      <alignment horizontal="center" vertical="center"/>
    </xf>
    <xf numFmtId="10" fontId="5" fillId="0" borderId="2" xfId="8" applyNumberFormat="1" applyFont="1" applyFill="1" applyBorder="1" applyAlignment="1" applyProtection="1">
      <alignment horizontal="center" vertical="center" wrapText="1"/>
    </xf>
    <xf numFmtId="10" fontId="5" fillId="0" borderId="9" xfId="8" applyNumberFormat="1" applyFont="1" applyFill="1" applyBorder="1" applyAlignment="1" applyProtection="1">
      <alignment horizontal="center" vertical="center" wrapText="1"/>
    </xf>
    <xf numFmtId="10" fontId="5" fillId="0" borderId="3" xfId="8" applyNumberFormat="1" applyFont="1" applyFill="1" applyBorder="1" applyAlignment="1" applyProtection="1">
      <alignment horizontal="center" vertical="center" wrapText="1"/>
    </xf>
    <xf numFmtId="10" fontId="4" fillId="0" borderId="1" xfId="8" applyNumberFormat="1" applyFont="1" applyFill="1" applyBorder="1" applyAlignment="1" applyProtection="1">
      <alignment horizontal="center" vertical="center" wrapText="1"/>
    </xf>
    <xf numFmtId="1" fontId="5" fillId="4" borderId="6" xfId="4" applyNumberFormat="1" applyFont="1" applyFill="1" applyBorder="1" applyAlignment="1">
      <alignment horizontal="center"/>
    </xf>
    <xf numFmtId="1" fontId="5" fillId="4" borderId="7" xfId="4" applyNumberFormat="1" applyFont="1" applyFill="1" applyBorder="1" applyAlignment="1">
      <alignment horizontal="center"/>
    </xf>
    <xf numFmtId="1" fontId="5" fillId="4" borderId="8" xfId="4" applyNumberFormat="1" applyFont="1" applyFill="1" applyBorder="1" applyAlignment="1">
      <alignment horizontal="center"/>
    </xf>
    <xf numFmtId="165" fontId="5" fillId="0" borderId="4" xfId="8"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wrapText="1"/>
    </xf>
    <xf numFmtId="14" fontId="2" fillId="0" borderId="11" xfId="0" applyNumberFormat="1" applyFont="1" applyFill="1" applyBorder="1" applyAlignment="1">
      <alignment horizontal="center"/>
    </xf>
    <xf numFmtId="14" fontId="2" fillId="0" borderId="12" xfId="0" applyNumberFormat="1" applyFont="1" applyFill="1" applyBorder="1" applyAlignment="1">
      <alignment horizontal="center"/>
    </xf>
    <xf numFmtId="14" fontId="2" fillId="0" borderId="13" xfId="0" applyNumberFormat="1" applyFont="1" applyFill="1" applyBorder="1" applyAlignment="1">
      <alignment horizontal="center"/>
    </xf>
    <xf numFmtId="0" fontId="2" fillId="0" borderId="0" xfId="0" applyFont="1" applyFill="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Fill="1" applyAlignment="1">
      <alignment horizontal="center"/>
    </xf>
    <xf numFmtId="0" fontId="2" fillId="0" borderId="2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1" xfId="1" applyNumberFormat="1" applyFont="1" applyFill="1" applyBorder="1" applyAlignment="1">
      <alignment horizontal="center"/>
    </xf>
    <xf numFmtId="0" fontId="2" fillId="0" borderId="12" xfId="1" applyNumberFormat="1" applyFont="1" applyFill="1" applyBorder="1" applyAlignment="1">
      <alignment horizontal="center"/>
    </xf>
    <xf numFmtId="0" fontId="2" fillId="0" borderId="13" xfId="1" applyNumberFormat="1" applyFont="1" applyFill="1" applyBorder="1" applyAlignment="1">
      <alignment horizontal="center"/>
    </xf>
  </cellXfs>
  <cellStyles count="11">
    <cellStyle name="Comma" xfId="1" builtinId="3"/>
    <cellStyle name="Comma 2" xfId="8"/>
    <cellStyle name="Currency" xfId="2" builtinId="4"/>
    <cellStyle name="Currency 2" xfId="10"/>
    <cellStyle name="Currency 5" xfId="6"/>
    <cellStyle name="Normal" xfId="0" builtinId="0"/>
    <cellStyle name="Normal 12" xfId="7"/>
    <cellStyle name="Normal 2" xfId="4"/>
    <cellStyle name="Percent" xfId="3" builtinId="5"/>
    <cellStyle name="Percent 2" xfId="9"/>
    <cellStyle name="Percent 3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tabSelected="1" workbookViewId="0">
      <selection sqref="A1:K1"/>
    </sheetView>
  </sheetViews>
  <sheetFormatPr defaultRowHeight="15"/>
  <cols>
    <col min="1" max="1" width="30.5703125" customWidth="1"/>
    <col min="2" max="5" width="15.7109375" customWidth="1"/>
    <col min="6" max="6" width="11.7109375" bestFit="1" customWidth="1"/>
  </cols>
  <sheetData>
    <row r="1" spans="1:11">
      <c r="A1" s="166" t="s">
        <v>0</v>
      </c>
      <c r="B1" s="166"/>
      <c r="C1" s="166"/>
      <c r="D1" s="166"/>
      <c r="E1" s="166"/>
      <c r="F1" s="166"/>
      <c r="G1" s="166"/>
      <c r="H1" s="166"/>
      <c r="I1" s="166"/>
      <c r="J1" s="166"/>
      <c r="K1" s="166"/>
    </row>
    <row r="2" spans="1:11">
      <c r="A2" s="166" t="s">
        <v>184</v>
      </c>
      <c r="B2" s="166"/>
      <c r="C2" s="166"/>
      <c r="D2" s="166"/>
      <c r="E2" s="166"/>
      <c r="F2" s="166"/>
      <c r="G2" s="166"/>
      <c r="H2" s="166"/>
      <c r="I2" s="166"/>
      <c r="J2" s="166"/>
      <c r="K2" s="166"/>
    </row>
    <row r="3" spans="1:11">
      <c r="A3" s="166" t="s">
        <v>24</v>
      </c>
      <c r="B3" s="166"/>
      <c r="C3" s="166"/>
      <c r="D3" s="166"/>
      <c r="E3" s="166"/>
      <c r="F3" s="166"/>
      <c r="G3" s="166"/>
      <c r="H3" s="166"/>
      <c r="I3" s="166"/>
      <c r="J3" s="166"/>
      <c r="K3" s="166"/>
    </row>
    <row r="4" spans="1:11" ht="15.75" thickBot="1">
      <c r="A4" s="1"/>
    </row>
    <row r="5" spans="1:11" ht="15.75" thickBot="1">
      <c r="A5" s="167" t="s">
        <v>19</v>
      </c>
      <c r="B5" s="168"/>
      <c r="C5" s="168"/>
      <c r="D5" s="168"/>
      <c r="E5" s="168"/>
      <c r="F5" s="168"/>
      <c r="G5" s="168"/>
      <c r="H5" s="168"/>
      <c r="I5" s="168"/>
      <c r="J5" s="168"/>
      <c r="K5" s="169"/>
    </row>
    <row r="6" spans="1:11">
      <c r="A6" s="21"/>
    </row>
    <row r="7" spans="1:11">
      <c r="A7" s="27" t="s">
        <v>20</v>
      </c>
      <c r="B7" s="29"/>
      <c r="C7" s="29"/>
      <c r="D7" s="29"/>
      <c r="E7" s="29"/>
      <c r="F7" s="29"/>
      <c r="G7" s="29"/>
      <c r="H7" s="29"/>
      <c r="I7" s="29"/>
      <c r="J7" s="26"/>
      <c r="K7" s="29"/>
    </row>
    <row r="8" spans="1:11">
      <c r="A8" s="31" t="s">
        <v>21</v>
      </c>
      <c r="B8" s="29"/>
      <c r="C8" s="29"/>
      <c r="D8" s="29"/>
      <c r="E8" s="29"/>
      <c r="F8" s="29"/>
      <c r="G8" s="29"/>
      <c r="H8" s="29"/>
      <c r="I8" s="29"/>
      <c r="J8" s="26"/>
      <c r="K8" s="29"/>
    </row>
    <row r="9" spans="1:11">
      <c r="A9" s="26"/>
      <c r="B9" s="32"/>
      <c r="C9" s="32"/>
      <c r="D9" s="32"/>
      <c r="E9" s="28">
        <v>2010</v>
      </c>
      <c r="F9" s="28">
        <v>2011</v>
      </c>
      <c r="G9" s="28">
        <v>2012</v>
      </c>
      <c r="H9" s="28">
        <v>2013</v>
      </c>
      <c r="I9" s="28">
        <v>2014</v>
      </c>
      <c r="J9" s="28">
        <v>2015</v>
      </c>
      <c r="K9" s="28">
        <v>2016</v>
      </c>
    </row>
    <row r="10" spans="1:11">
      <c r="A10" s="33"/>
      <c r="B10" s="34"/>
      <c r="C10" s="34"/>
      <c r="D10" s="34"/>
      <c r="E10" s="34"/>
      <c r="F10" s="34"/>
      <c r="G10" s="34"/>
      <c r="H10" s="34"/>
      <c r="I10" s="34"/>
      <c r="J10" s="34"/>
      <c r="K10" s="34"/>
    </row>
    <row r="11" spans="1:11">
      <c r="A11" s="35" t="s">
        <v>22</v>
      </c>
      <c r="B11" s="36"/>
      <c r="C11" s="37"/>
      <c r="D11" s="37"/>
      <c r="E11" s="38">
        <v>-189060.28</v>
      </c>
      <c r="F11" s="38">
        <v>-205209.87</v>
      </c>
      <c r="G11" s="38">
        <v>-202887.14</v>
      </c>
      <c r="H11" s="38">
        <v>-206776.08</v>
      </c>
      <c r="I11" s="38">
        <v>-202824.76</v>
      </c>
      <c r="J11" s="39">
        <v>-205000</v>
      </c>
      <c r="K11" s="39">
        <v>-205000</v>
      </c>
    </row>
    <row r="12" spans="1:11">
      <c r="A12" s="35" t="s">
        <v>23</v>
      </c>
      <c r="B12" s="36"/>
      <c r="C12" s="37"/>
      <c r="D12" s="37"/>
      <c r="E12" s="38">
        <v>0</v>
      </c>
      <c r="F12" s="38">
        <v>0</v>
      </c>
      <c r="G12" s="38">
        <v>0</v>
      </c>
      <c r="H12" s="38">
        <v>65790.8</v>
      </c>
      <c r="I12" s="38">
        <v>167194.67000000001</v>
      </c>
      <c r="J12" s="40">
        <v>205000</v>
      </c>
      <c r="K12" s="40">
        <v>205000</v>
      </c>
    </row>
    <row r="13" spans="1:11">
      <c r="A13" s="25"/>
      <c r="B13" s="30"/>
      <c r="C13" s="23"/>
      <c r="D13" s="23"/>
      <c r="E13" s="22"/>
      <c r="F13" s="22"/>
      <c r="G13" s="22"/>
      <c r="H13" s="22"/>
      <c r="I13" s="22"/>
      <c r="J13" s="24"/>
      <c r="K13" s="24"/>
    </row>
    <row r="14" spans="1:11">
      <c r="A14" s="5" t="s">
        <v>32</v>
      </c>
      <c r="B14" s="13"/>
      <c r="C14" s="13"/>
      <c r="D14" s="13"/>
      <c r="E14" s="13"/>
      <c r="F14" s="13"/>
      <c r="G14" s="13"/>
      <c r="H14" s="13"/>
    </row>
    <row r="15" spans="1:11">
      <c r="A15" s="9" t="s">
        <v>1</v>
      </c>
      <c r="B15" s="14"/>
      <c r="C15" s="14"/>
      <c r="D15" s="15"/>
      <c r="E15" s="15"/>
      <c r="F15" s="15"/>
      <c r="G15" s="15"/>
      <c r="H15" s="15"/>
    </row>
    <row r="16" spans="1:11">
      <c r="A16" s="12"/>
      <c r="B16" s="14"/>
      <c r="C16" s="14"/>
      <c r="D16" s="15"/>
      <c r="E16" s="15"/>
      <c r="F16" s="15"/>
      <c r="G16" s="15"/>
      <c r="H16" s="15"/>
    </row>
    <row r="17" spans="1:11">
      <c r="A17" s="4"/>
      <c r="B17" s="177" t="s">
        <v>2</v>
      </c>
      <c r="C17" s="178"/>
      <c r="D17" s="178"/>
      <c r="E17" s="178"/>
      <c r="F17" s="178"/>
      <c r="G17" s="178"/>
      <c r="H17" s="179"/>
    </row>
    <row r="18" spans="1:11" ht="38.25">
      <c r="A18" s="7" t="s">
        <v>3</v>
      </c>
      <c r="B18" s="180" t="s">
        <v>4</v>
      </c>
      <c r="C18" s="180"/>
      <c r="D18" s="180"/>
      <c r="E18" s="16" t="s">
        <v>5</v>
      </c>
      <c r="F18" s="16" t="s">
        <v>6</v>
      </c>
      <c r="G18" s="16" t="s">
        <v>7</v>
      </c>
      <c r="H18" s="16" t="s">
        <v>8</v>
      </c>
    </row>
    <row r="19" spans="1:11">
      <c r="A19" s="2" t="s">
        <v>9</v>
      </c>
      <c r="B19" s="176">
        <v>0.30655171651401508</v>
      </c>
      <c r="C19" s="176"/>
      <c r="D19" s="176"/>
      <c r="E19" s="17">
        <v>62843.101885373093</v>
      </c>
      <c r="F19" s="3">
        <v>79968077.702363268</v>
      </c>
      <c r="G19" s="18">
        <v>8.0000000000000004E-4</v>
      </c>
      <c r="H19" s="10" t="s">
        <v>10</v>
      </c>
    </row>
    <row r="20" spans="1:11">
      <c r="A20" s="2" t="s">
        <v>11</v>
      </c>
      <c r="B20" s="176">
        <v>0.12142682317439382</v>
      </c>
      <c r="C20" s="176"/>
      <c r="D20" s="176"/>
      <c r="E20" s="17">
        <v>24892.498750750732</v>
      </c>
      <c r="F20" s="3">
        <v>35635269.320536353</v>
      </c>
      <c r="G20" s="18">
        <v>6.9999999999999999E-4</v>
      </c>
      <c r="H20" s="10" t="s">
        <v>10</v>
      </c>
    </row>
    <row r="21" spans="1:11">
      <c r="A21" s="2" t="s">
        <v>12</v>
      </c>
      <c r="B21" s="176">
        <v>0.28665505656022255</v>
      </c>
      <c r="C21" s="176"/>
      <c r="D21" s="176"/>
      <c r="E21" s="17">
        <v>58764.286594845624</v>
      </c>
      <c r="F21" s="3">
        <v>210852.79185851585</v>
      </c>
      <c r="G21" s="18">
        <v>0.2787</v>
      </c>
      <c r="H21" s="10" t="s">
        <v>13</v>
      </c>
    </row>
    <row r="22" spans="1:11">
      <c r="A22" s="2" t="s">
        <v>14</v>
      </c>
      <c r="B22" s="176">
        <v>0.27968677504282624</v>
      </c>
      <c r="C22" s="176"/>
      <c r="D22" s="176"/>
      <c r="E22" s="17">
        <v>57335.78888377938</v>
      </c>
      <c r="F22" s="3">
        <v>260653.43701379708</v>
      </c>
      <c r="G22" s="18">
        <v>0.22</v>
      </c>
      <c r="H22" s="10" t="s">
        <v>10</v>
      </c>
    </row>
    <row r="23" spans="1:11">
      <c r="A23" s="2" t="s">
        <v>15</v>
      </c>
      <c r="B23" s="176">
        <v>4.0361445502969983E-3</v>
      </c>
      <c r="C23" s="176"/>
      <c r="D23" s="176"/>
      <c r="E23" s="17">
        <v>827.40963281088466</v>
      </c>
      <c r="F23" s="3">
        <v>3840.1451572869528</v>
      </c>
      <c r="G23" s="18">
        <v>0.2155</v>
      </c>
      <c r="H23" s="10" t="s">
        <v>13</v>
      </c>
    </row>
    <row r="24" spans="1:11">
      <c r="A24" s="2" t="s">
        <v>16</v>
      </c>
      <c r="B24" s="176">
        <v>1.6434841582451444E-3</v>
      </c>
      <c r="C24" s="176"/>
      <c r="D24" s="176"/>
      <c r="E24" s="17">
        <v>336.91425244025459</v>
      </c>
      <c r="F24" s="3">
        <v>482315.93506764364</v>
      </c>
      <c r="G24" s="18">
        <v>6.9999999999999999E-4</v>
      </c>
      <c r="H24" s="11" t="s">
        <v>10</v>
      </c>
    </row>
    <row r="25" spans="1:11">
      <c r="A25" s="2" t="s">
        <v>17</v>
      </c>
      <c r="B25" s="176">
        <v>0</v>
      </c>
      <c r="C25" s="176"/>
      <c r="D25" s="176"/>
      <c r="E25" s="17">
        <v>0</v>
      </c>
      <c r="F25" s="3">
        <v>1</v>
      </c>
      <c r="G25" s="18">
        <v>0</v>
      </c>
      <c r="H25" s="11">
        <v>0</v>
      </c>
    </row>
    <row r="26" spans="1:11">
      <c r="A26" s="2" t="s">
        <v>17</v>
      </c>
      <c r="B26" s="176">
        <v>0</v>
      </c>
      <c r="C26" s="176"/>
      <c r="D26" s="176"/>
      <c r="E26" s="17">
        <v>0</v>
      </c>
      <c r="F26" s="3">
        <v>1</v>
      </c>
      <c r="G26" s="18">
        <v>0</v>
      </c>
      <c r="H26" s="11">
        <v>0</v>
      </c>
    </row>
    <row r="27" spans="1:11">
      <c r="A27" s="2" t="s">
        <v>17</v>
      </c>
      <c r="B27" s="176">
        <v>0</v>
      </c>
      <c r="C27" s="176"/>
      <c r="D27" s="176"/>
      <c r="E27" s="17">
        <v>0</v>
      </c>
      <c r="F27" s="3">
        <v>1</v>
      </c>
      <c r="G27" s="18">
        <v>0</v>
      </c>
      <c r="H27" s="11">
        <v>0</v>
      </c>
    </row>
    <row r="28" spans="1:11">
      <c r="A28" s="19" t="s">
        <v>18</v>
      </c>
      <c r="B28" s="173">
        <v>0.99835651584175467</v>
      </c>
      <c r="C28" s="174"/>
      <c r="D28" s="175"/>
      <c r="E28" s="20">
        <v>205000</v>
      </c>
      <c r="F28" s="8">
        <v>116561012.33199686</v>
      </c>
      <c r="G28" s="20"/>
      <c r="H28" s="6"/>
    </row>
    <row r="29" spans="1:11" ht="15.75" thickBot="1"/>
    <row r="30" spans="1:11" ht="15.75" thickBot="1">
      <c r="A30" s="163" t="s">
        <v>57</v>
      </c>
      <c r="B30" s="164"/>
      <c r="C30" s="164"/>
      <c r="D30" s="164"/>
      <c r="E30" s="164"/>
      <c r="F30" s="164"/>
      <c r="G30" s="164"/>
      <c r="H30" s="164"/>
      <c r="I30" s="164"/>
      <c r="J30" s="164"/>
      <c r="K30" s="165"/>
    </row>
    <row r="32" spans="1:11">
      <c r="A32" s="27" t="s">
        <v>33</v>
      </c>
    </row>
    <row r="33" spans="1:4">
      <c r="A33" s="25" t="s">
        <v>9</v>
      </c>
      <c r="B33" s="46">
        <v>1.1000000000000001E-3</v>
      </c>
    </row>
    <row r="34" spans="1:4">
      <c r="A34" s="25" t="s">
        <v>11</v>
      </c>
      <c r="B34" s="46">
        <v>1E-3</v>
      </c>
    </row>
    <row r="35" spans="1:4">
      <c r="A35" s="25" t="s">
        <v>12</v>
      </c>
      <c r="B35" s="46">
        <v>0.39539999999999997</v>
      </c>
    </row>
    <row r="36" spans="1:4">
      <c r="A36" s="25" t="s">
        <v>14</v>
      </c>
      <c r="B36" s="46">
        <v>0.31209999999999999</v>
      </c>
    </row>
    <row r="37" spans="1:4">
      <c r="A37" s="25" t="s">
        <v>15</v>
      </c>
      <c r="B37" s="46">
        <v>0.30570000000000003</v>
      </c>
    </row>
    <row r="38" spans="1:4">
      <c r="A38" s="25" t="s">
        <v>16</v>
      </c>
      <c r="B38" s="46">
        <v>1E-3</v>
      </c>
    </row>
    <row r="39" spans="1:4">
      <c r="A39" s="25"/>
    </row>
    <row r="40" spans="1:4" ht="15.75" thickBot="1">
      <c r="A40" s="25"/>
    </row>
    <row r="41" spans="1:4" ht="15.75" thickBot="1">
      <c r="B41" s="163" t="s">
        <v>25</v>
      </c>
      <c r="C41" s="164"/>
      <c r="D41" s="165"/>
    </row>
    <row r="42" spans="1:4">
      <c r="B42" s="42">
        <v>2015</v>
      </c>
      <c r="C42" s="42">
        <v>2016</v>
      </c>
      <c r="D42" s="42">
        <v>2017</v>
      </c>
    </row>
    <row r="43" spans="1:4">
      <c r="A43" s="25" t="s">
        <v>9</v>
      </c>
      <c r="B43" s="41">
        <v>77615395</v>
      </c>
      <c r="C43" s="41">
        <v>76635115</v>
      </c>
      <c r="D43" s="41">
        <v>76119517</v>
      </c>
    </row>
    <row r="44" spans="1:4">
      <c r="A44" s="25" t="s">
        <v>11</v>
      </c>
      <c r="B44" s="41">
        <v>30536533</v>
      </c>
      <c r="C44" s="41">
        <v>29514061</v>
      </c>
      <c r="D44" s="41">
        <v>28872533</v>
      </c>
    </row>
    <row r="45" spans="1:4">
      <c r="A45" s="25" t="s">
        <v>12</v>
      </c>
      <c r="B45" s="41">
        <v>212614</v>
      </c>
      <c r="C45" s="41">
        <v>223174</v>
      </c>
      <c r="D45" s="41">
        <v>218669</v>
      </c>
    </row>
    <row r="46" spans="1:4">
      <c r="A46" s="25" t="s">
        <v>30</v>
      </c>
      <c r="B46" s="41">
        <v>240165</v>
      </c>
      <c r="C46" s="41">
        <v>217806</v>
      </c>
      <c r="D46" s="41">
        <v>203681</v>
      </c>
    </row>
    <row r="47" spans="1:4">
      <c r="A47" s="25" t="s">
        <v>31</v>
      </c>
      <c r="B47" s="41">
        <v>52</v>
      </c>
      <c r="C47" s="41">
        <v>629</v>
      </c>
      <c r="D47" s="41">
        <v>545</v>
      </c>
    </row>
    <row r="48" spans="1:4">
      <c r="A48" s="25" t="s">
        <v>15</v>
      </c>
      <c r="B48" s="41">
        <v>7086</v>
      </c>
      <c r="C48" s="41">
        <v>3918</v>
      </c>
      <c r="D48" s="41">
        <v>3609</v>
      </c>
    </row>
    <row r="49" spans="1:4">
      <c r="A49" s="25" t="s">
        <v>16</v>
      </c>
      <c r="B49" s="41">
        <v>567891</v>
      </c>
      <c r="C49" s="41">
        <v>594265</v>
      </c>
      <c r="D49" s="41">
        <v>611519</v>
      </c>
    </row>
    <row r="50" spans="1:4" ht="15.75" thickBot="1"/>
    <row r="51" spans="1:4" ht="15.75" thickBot="1">
      <c r="B51" s="163" t="s">
        <v>26</v>
      </c>
      <c r="C51" s="164"/>
      <c r="D51" s="165"/>
    </row>
    <row r="52" spans="1:4">
      <c r="B52" s="42">
        <v>2015</v>
      </c>
      <c r="C52" s="42">
        <v>2016</v>
      </c>
      <c r="D52" s="42">
        <v>2017</v>
      </c>
    </row>
    <row r="53" spans="1:4">
      <c r="A53" s="25" t="s">
        <v>9</v>
      </c>
      <c r="B53" s="41">
        <f>ROUND($B33*B43,2)</f>
        <v>85376.93</v>
      </c>
      <c r="C53" s="41">
        <f>ROUND($G19*C43,2)/12*8+ROUND(C43*B33,2)/12*4</f>
        <v>68971.603333333333</v>
      </c>
      <c r="D53" s="41">
        <f>ROUND($G19*D43,2)</f>
        <v>60895.61</v>
      </c>
    </row>
    <row r="54" spans="1:4">
      <c r="A54" s="25" t="s">
        <v>11</v>
      </c>
      <c r="B54" s="41">
        <f>ROUND($B34*B44,2)</f>
        <v>30536.53</v>
      </c>
      <c r="C54" s="41">
        <f>ROUND($G20*C44,2)/12*8+ROUND(C44*B34,2)/12*4</f>
        <v>23611.246666666666</v>
      </c>
      <c r="D54" s="41">
        <f>ROUND($G20*D44,2)</f>
        <v>20210.77</v>
      </c>
    </row>
    <row r="55" spans="1:4">
      <c r="A55" s="25" t="s">
        <v>12</v>
      </c>
      <c r="B55" s="41">
        <f>ROUND($B35*B45,2)</f>
        <v>84067.58</v>
      </c>
      <c r="C55" s="41">
        <f>ROUND($G21*C45,2)/12*8+ROUND(C45*B35,2)/12*4</f>
        <v>70880.06</v>
      </c>
      <c r="D55" s="41">
        <f>ROUND($G21*D45,2)</f>
        <v>60943.05</v>
      </c>
    </row>
    <row r="56" spans="1:4">
      <c r="A56" s="25" t="s">
        <v>14</v>
      </c>
      <c r="B56" s="41">
        <f>ROUND($B36*B47,2)</f>
        <v>16.23</v>
      </c>
      <c r="C56" s="41">
        <f>ROUND($G22*C47,2)/12*8+ROUND(C47*B36,2)/12*4</f>
        <v>157.69</v>
      </c>
      <c r="D56" s="41">
        <f>ROUND($G22*D47,2)</f>
        <v>119.9</v>
      </c>
    </row>
    <row r="57" spans="1:4">
      <c r="A57" s="25" t="s">
        <v>15</v>
      </c>
      <c r="B57" s="41">
        <f>ROUND($B37*B48,2)</f>
        <v>2166.19</v>
      </c>
      <c r="C57" s="41">
        <f>ROUND($G23*C48,2)/12*8+ROUND(C48*B37,2)/12*4</f>
        <v>962.13</v>
      </c>
      <c r="D57" s="41">
        <f>ROUND($G23*D48,2)</f>
        <v>777.74</v>
      </c>
    </row>
    <row r="58" spans="1:4">
      <c r="A58" s="25" t="s">
        <v>16</v>
      </c>
      <c r="B58" s="56">
        <f>ROUND($B38*B49,2)</f>
        <v>567.89</v>
      </c>
      <c r="C58" s="56">
        <f>ROUND($G24*C49,2)/12*8+ROUND(C49*B38,2)/12*4</f>
        <v>475.41666666666663</v>
      </c>
      <c r="D58" s="56">
        <f>ROUND($G24*D49,2)</f>
        <v>428.06</v>
      </c>
    </row>
    <row r="60" spans="1:4">
      <c r="A60" s="43" t="s">
        <v>27</v>
      </c>
      <c r="B60" s="44">
        <f>SUM(B53:B58)</f>
        <v>202731.35</v>
      </c>
      <c r="C60" s="44">
        <f>SUM(C53:C58)</f>
        <v>165058.14666666667</v>
      </c>
      <c r="D60" s="44">
        <f>SUM(D53:D58)</f>
        <v>143375.12999999998</v>
      </c>
    </row>
    <row r="61" spans="1:4">
      <c r="A61" s="43"/>
      <c r="B61" s="44"/>
      <c r="C61" s="44"/>
      <c r="D61" s="44"/>
    </row>
    <row r="62" spans="1:4">
      <c r="A62" s="43" t="s">
        <v>28</v>
      </c>
      <c r="B62" s="47">
        <v>204918</v>
      </c>
      <c r="C62" s="47">
        <v>177328</v>
      </c>
      <c r="D62" s="47">
        <v>139973</v>
      </c>
    </row>
    <row r="63" spans="1:4">
      <c r="A63" s="43"/>
      <c r="B63" s="44"/>
      <c r="C63" s="44"/>
      <c r="D63" s="44"/>
    </row>
    <row r="64" spans="1:4" ht="15.75" thickBot="1">
      <c r="A64" s="43" t="s">
        <v>34</v>
      </c>
      <c r="B64" s="49">
        <f>B60-B62</f>
        <v>-2186.6499999999942</v>
      </c>
      <c r="C64" s="49">
        <f>C60-C62</f>
        <v>-12269.853333333333</v>
      </c>
      <c r="D64" s="49">
        <f>D60-D62</f>
        <v>3402.1299999999756</v>
      </c>
    </row>
    <row r="65" spans="1:11" ht="15.75" thickBot="1">
      <c r="A65" s="43"/>
      <c r="B65" s="44"/>
      <c r="C65" s="44"/>
      <c r="D65" s="44"/>
    </row>
    <row r="66" spans="1:11" ht="15.75" thickBot="1">
      <c r="A66" s="170" t="s">
        <v>56</v>
      </c>
      <c r="B66" s="171"/>
      <c r="C66" s="171"/>
      <c r="D66" s="171"/>
      <c r="E66" s="171"/>
      <c r="F66" s="171"/>
      <c r="G66" s="171"/>
      <c r="H66" s="171"/>
      <c r="I66" s="171"/>
      <c r="J66" s="171"/>
      <c r="K66" s="172"/>
    </row>
    <row r="67" spans="1:11" ht="15.75" thickBot="1">
      <c r="A67" s="43"/>
      <c r="B67" s="44"/>
      <c r="C67" s="44"/>
      <c r="D67" s="44"/>
    </row>
    <row r="68" spans="1:11" ht="15.75" thickBot="1">
      <c r="A68" s="43"/>
      <c r="B68" s="160" t="s">
        <v>55</v>
      </c>
      <c r="C68" s="161"/>
      <c r="D68" s="161"/>
      <c r="E68" s="162"/>
    </row>
    <row r="69" spans="1:11">
      <c r="A69" s="43"/>
      <c r="B69" s="42">
        <v>2014</v>
      </c>
      <c r="C69" s="42">
        <v>2015</v>
      </c>
      <c r="D69" s="42">
        <v>2016</v>
      </c>
      <c r="E69" s="42">
        <v>2017</v>
      </c>
    </row>
    <row r="70" spans="1:11">
      <c r="A70" s="43" t="s">
        <v>35</v>
      </c>
      <c r="B70" s="45">
        <v>0.68200000000000005</v>
      </c>
      <c r="C70" s="45">
        <v>0.68200000000000005</v>
      </c>
      <c r="D70" s="45">
        <v>1.022</v>
      </c>
      <c r="E70" s="45">
        <v>1.2052</v>
      </c>
    </row>
    <row r="71" spans="1:11">
      <c r="A71" s="43" t="s">
        <v>36</v>
      </c>
      <c r="B71" s="45">
        <v>0.68200000000000005</v>
      </c>
      <c r="C71" s="45">
        <v>0.68200000000000005</v>
      </c>
      <c r="D71" s="45">
        <v>1.1739999999999999</v>
      </c>
      <c r="E71" s="45">
        <v>1.2052</v>
      </c>
    </row>
    <row r="72" spans="1:11">
      <c r="A72" s="43" t="s">
        <v>37</v>
      </c>
      <c r="B72" s="45">
        <v>0.68200000000000005</v>
      </c>
      <c r="C72" s="45">
        <v>0.68200000000000005</v>
      </c>
      <c r="D72" s="45">
        <v>1.1739999999999999</v>
      </c>
      <c r="E72" s="45">
        <v>1.2052</v>
      </c>
    </row>
    <row r="73" spans="1:11">
      <c r="A73" s="43" t="s">
        <v>38</v>
      </c>
      <c r="B73" s="45">
        <v>0.68200000000000005</v>
      </c>
      <c r="C73" s="45">
        <v>0.68200000000000005</v>
      </c>
      <c r="D73" s="45">
        <v>1.1739999999999999</v>
      </c>
      <c r="E73" s="45">
        <v>1.2052</v>
      </c>
    </row>
    <row r="74" spans="1:11">
      <c r="A74" s="43" t="s">
        <v>39</v>
      </c>
      <c r="B74" s="45">
        <v>0.68200000000000005</v>
      </c>
      <c r="C74" s="45">
        <v>1.022</v>
      </c>
      <c r="D74" s="45">
        <v>1.1739999999999999</v>
      </c>
      <c r="E74" s="45">
        <v>1.2052</v>
      </c>
    </row>
    <row r="75" spans="1:11">
      <c r="A75" s="43" t="s">
        <v>40</v>
      </c>
      <c r="B75" s="45">
        <v>0.68200000000000005</v>
      </c>
      <c r="C75" s="45">
        <v>1.022</v>
      </c>
      <c r="D75" s="45">
        <v>1.1739999999999999</v>
      </c>
      <c r="E75" s="45">
        <v>1.2052</v>
      </c>
    </row>
    <row r="76" spans="1:11">
      <c r="A76" s="43" t="s">
        <v>41</v>
      </c>
      <c r="B76" s="45">
        <v>0.68200000000000005</v>
      </c>
      <c r="C76" s="45">
        <v>1.022</v>
      </c>
      <c r="D76" s="45">
        <v>1.1739999999999999</v>
      </c>
      <c r="E76" s="45">
        <v>1.2052</v>
      </c>
    </row>
    <row r="77" spans="1:11">
      <c r="A77" s="43" t="s">
        <v>42</v>
      </c>
      <c r="B77" s="45">
        <v>0.68200000000000005</v>
      </c>
      <c r="C77" s="45">
        <v>1.022</v>
      </c>
      <c r="D77" s="45">
        <v>1.1739999999999999</v>
      </c>
      <c r="E77" s="45">
        <v>1.2052</v>
      </c>
    </row>
    <row r="78" spans="1:11">
      <c r="A78" s="43" t="s">
        <v>43</v>
      </c>
      <c r="B78" s="45">
        <v>0.68200000000000005</v>
      </c>
      <c r="C78" s="45">
        <v>1.022</v>
      </c>
      <c r="D78" s="45">
        <v>1.1739999999999999</v>
      </c>
      <c r="E78" s="45">
        <v>1.2052</v>
      </c>
    </row>
    <row r="79" spans="1:11">
      <c r="A79" s="43" t="s">
        <v>44</v>
      </c>
      <c r="B79" s="45">
        <v>0.68200000000000005</v>
      </c>
      <c r="C79" s="45">
        <v>1.022</v>
      </c>
      <c r="D79" s="45">
        <v>1.1739999999999999</v>
      </c>
      <c r="E79" s="45">
        <v>1.2052</v>
      </c>
    </row>
    <row r="80" spans="1:11">
      <c r="A80" s="43" t="s">
        <v>45</v>
      </c>
      <c r="B80" s="45">
        <v>0.68200000000000005</v>
      </c>
      <c r="C80" s="45">
        <v>1.022</v>
      </c>
      <c r="D80" s="45">
        <v>1.1739999999999999</v>
      </c>
      <c r="E80" s="45">
        <v>1.2052</v>
      </c>
    </row>
    <row r="81" spans="1:11">
      <c r="A81" s="43" t="s">
        <v>46</v>
      </c>
      <c r="B81" s="50">
        <v>0.68200000000000005</v>
      </c>
      <c r="C81" s="50">
        <v>1.022</v>
      </c>
      <c r="D81" s="50">
        <v>1.1739999999999999</v>
      </c>
      <c r="E81" s="50">
        <v>1.2052</v>
      </c>
    </row>
    <row r="82" spans="1:11">
      <c r="A82" s="43"/>
      <c r="B82" s="44"/>
      <c r="C82" s="44"/>
      <c r="D82" s="44"/>
    </row>
    <row r="83" spans="1:11" ht="15.75" thickBot="1">
      <c r="A83" s="43" t="s">
        <v>47</v>
      </c>
      <c r="B83" s="51">
        <f>AVERAGE(B70:B81)</f>
        <v>0.68200000000000027</v>
      </c>
      <c r="C83" s="51">
        <f>AVERAGE(C70:C81)</f>
        <v>0.90866666666666684</v>
      </c>
      <c r="D83" s="51">
        <f>AVERAGE(D70:D81)</f>
        <v>1.1613333333333331</v>
      </c>
      <c r="E83" s="51">
        <f>AVERAGE(E70:E81)</f>
        <v>1.2051999999999998</v>
      </c>
    </row>
    <row r="84" spans="1:11" ht="15.75" thickBot="1">
      <c r="A84" s="43" t="s">
        <v>48</v>
      </c>
      <c r="B84" s="44"/>
      <c r="C84" s="52">
        <f>(C83-B83)/B83</f>
        <v>0.33235581622678367</v>
      </c>
      <c r="D84" s="52">
        <f>(D83-B83)/B83</f>
        <v>0.70283479960899209</v>
      </c>
      <c r="E84" s="52">
        <f>(E83-B83)/B83</f>
        <v>0.7671554252199404</v>
      </c>
    </row>
    <row r="85" spans="1:11">
      <c r="A85" s="43"/>
      <c r="B85" s="44"/>
      <c r="C85" s="55"/>
      <c r="D85" s="55"/>
      <c r="E85" s="55"/>
    </row>
    <row r="86" spans="1:11" ht="15.75" thickBot="1">
      <c r="A86" s="43"/>
      <c r="B86" s="44"/>
      <c r="C86" s="44"/>
      <c r="D86" s="44"/>
    </row>
    <row r="87" spans="1:11" ht="15.75" thickBot="1">
      <c r="A87" s="160" t="s">
        <v>54</v>
      </c>
      <c r="B87" s="161"/>
      <c r="C87" s="161"/>
      <c r="D87" s="161"/>
      <c r="E87" s="161"/>
      <c r="F87" s="161"/>
      <c r="G87" s="161"/>
      <c r="H87" s="161"/>
      <c r="I87" s="161"/>
      <c r="J87" s="161"/>
      <c r="K87" s="162"/>
    </row>
    <row r="88" spans="1:11">
      <c r="A88" s="43"/>
      <c r="B88" s="42">
        <v>2015</v>
      </c>
      <c r="C88" s="42">
        <v>2016</v>
      </c>
      <c r="D88" s="42">
        <v>2017</v>
      </c>
      <c r="E88" s="42" t="s">
        <v>50</v>
      </c>
    </row>
    <row r="89" spans="1:11">
      <c r="A89" s="43" t="s">
        <v>49</v>
      </c>
      <c r="B89" s="44">
        <f>B62</f>
        <v>204918</v>
      </c>
      <c r="C89" s="44">
        <f>C62</f>
        <v>177328</v>
      </c>
      <c r="D89" s="44">
        <f>D62</f>
        <v>139973</v>
      </c>
      <c r="E89" s="44">
        <f>SUM(B89:D89)</f>
        <v>522219</v>
      </c>
    </row>
    <row r="90" spans="1:11">
      <c r="A90" s="1" t="s">
        <v>29</v>
      </c>
      <c r="B90" s="47">
        <v>474977</v>
      </c>
      <c r="C90" s="47">
        <v>497045.31</v>
      </c>
      <c r="D90" s="47">
        <v>397335</v>
      </c>
      <c r="E90" s="47">
        <f>SUM(B90:D90)</f>
        <v>1369357.31</v>
      </c>
    </row>
    <row r="92" spans="1:11" ht="15.75" thickBot="1">
      <c r="A92" s="1" t="s">
        <v>58</v>
      </c>
      <c r="B92" s="48">
        <f>B90-B89</f>
        <v>270059</v>
      </c>
      <c r="C92" s="48">
        <f>C90-C89</f>
        <v>319717.31</v>
      </c>
      <c r="D92" s="48">
        <f>D90-D89</f>
        <v>257362</v>
      </c>
      <c r="E92" s="53">
        <f>E90-E89</f>
        <v>847138.31</v>
      </c>
    </row>
    <row r="93" spans="1:11">
      <c r="A93" s="1" t="s">
        <v>52</v>
      </c>
      <c r="E93" s="54">
        <v>852326</v>
      </c>
    </row>
    <row r="95" spans="1:11" ht="15.75" thickBot="1">
      <c r="A95" s="1" t="s">
        <v>51</v>
      </c>
      <c r="E95" s="48">
        <f>E92-E93</f>
        <v>-5187.6899999999441</v>
      </c>
      <c r="F95" s="1" t="s">
        <v>53</v>
      </c>
    </row>
  </sheetData>
  <mergeCells count="22">
    <mergeCell ref="B27:D27"/>
    <mergeCell ref="B26:D26"/>
    <mergeCell ref="B20:D20"/>
    <mergeCell ref="B17:H17"/>
    <mergeCell ref="B18:D18"/>
    <mergeCell ref="B19:D19"/>
    <mergeCell ref="A87:K87"/>
    <mergeCell ref="B41:D41"/>
    <mergeCell ref="B51:D51"/>
    <mergeCell ref="B68:E68"/>
    <mergeCell ref="A1:K1"/>
    <mergeCell ref="A2:K2"/>
    <mergeCell ref="A3:K3"/>
    <mergeCell ref="A5:K5"/>
    <mergeCell ref="A30:K30"/>
    <mergeCell ref="A66:K66"/>
    <mergeCell ref="B28:D28"/>
    <mergeCell ref="B21:D21"/>
    <mergeCell ref="B22:D22"/>
    <mergeCell ref="B23:D23"/>
    <mergeCell ref="B24:D24"/>
    <mergeCell ref="B25:D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09"/>
  <sheetViews>
    <sheetView zoomScaleNormal="100" workbookViewId="0">
      <selection sqref="A1:AE1"/>
    </sheetView>
  </sheetViews>
  <sheetFormatPr defaultRowHeight="15"/>
  <cols>
    <col min="1" max="2" width="11.7109375" style="117" customWidth="1"/>
    <col min="3" max="5" width="12.28515625" style="113" customWidth="1"/>
    <col min="6" max="6" width="0.85546875" style="113" customWidth="1"/>
    <col min="7" max="18" width="3.28515625" style="113" customWidth="1"/>
    <col min="19" max="19" width="7.7109375" style="113" bestFit="1" customWidth="1"/>
    <col min="20" max="31" width="14.28515625" style="113" bestFit="1" customWidth="1"/>
    <col min="32" max="53" width="14.28515625" style="113" customWidth="1"/>
    <col min="54" max="16384" width="9.140625" style="113"/>
  </cols>
  <sheetData>
    <row r="1" spans="1:46">
      <c r="A1" s="188" t="s">
        <v>0</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row>
    <row r="2" spans="1:46">
      <c r="A2" s="188" t="s">
        <v>242</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row>
    <row r="3" spans="1:46" ht="15.75" thickBot="1"/>
    <row r="4" spans="1:46" ht="15.75" thickBot="1">
      <c r="A4" s="189" t="s">
        <v>200</v>
      </c>
      <c r="B4" s="190"/>
      <c r="C4" s="191"/>
      <c r="D4" s="118"/>
    </row>
    <row r="5" spans="1:46">
      <c r="A5" s="119" t="s">
        <v>201</v>
      </c>
      <c r="B5" s="119" t="s">
        <v>202</v>
      </c>
      <c r="C5" s="119" t="s">
        <v>203</v>
      </c>
      <c r="D5" s="118"/>
      <c r="X5" s="110"/>
    </row>
    <row r="6" spans="1:46">
      <c r="A6" s="120">
        <v>42736</v>
      </c>
      <c r="B6" s="120">
        <v>42766</v>
      </c>
      <c r="C6" s="121">
        <v>6.6869999999999999E-2</v>
      </c>
      <c r="D6" s="121"/>
      <c r="U6" s="122"/>
      <c r="V6" s="123"/>
      <c r="W6" s="114"/>
      <c r="X6" s="110"/>
    </row>
    <row r="7" spans="1:46">
      <c r="A7" s="120">
        <v>42767</v>
      </c>
      <c r="B7" s="120">
        <v>42794</v>
      </c>
      <c r="C7" s="124">
        <v>0.10559</v>
      </c>
      <c r="D7" s="124"/>
      <c r="U7" s="122"/>
      <c r="V7" s="123"/>
      <c r="W7" s="114"/>
      <c r="X7" s="110"/>
      <c r="Y7" s="116"/>
    </row>
    <row r="8" spans="1:46">
      <c r="A8" s="120">
        <v>42795</v>
      </c>
      <c r="B8" s="120">
        <v>42825</v>
      </c>
      <c r="C8" s="124">
        <v>8.4089999999999998E-2</v>
      </c>
      <c r="D8" s="124"/>
      <c r="V8" s="123"/>
      <c r="X8" s="111"/>
      <c r="Y8" s="112"/>
      <c r="Z8" s="111"/>
      <c r="AB8" s="111"/>
      <c r="AC8" s="111"/>
      <c r="AD8" s="111"/>
      <c r="AF8" s="111"/>
      <c r="AG8" s="111"/>
      <c r="AH8" s="111"/>
      <c r="AJ8" s="111"/>
      <c r="AK8" s="111"/>
      <c r="AL8" s="111"/>
      <c r="AR8" s="111"/>
      <c r="AS8" s="111"/>
      <c r="AT8" s="111"/>
    </row>
    <row r="9" spans="1:46">
      <c r="A9" s="120">
        <v>42826</v>
      </c>
      <c r="B9" s="120">
        <v>42855</v>
      </c>
      <c r="C9" s="124">
        <v>6.8739999999999996E-2</v>
      </c>
      <c r="D9" s="124"/>
      <c r="U9" s="110"/>
      <c r="X9" s="110"/>
      <c r="Y9" s="110"/>
      <c r="Z9" s="110"/>
      <c r="AB9" s="110"/>
      <c r="AC9" s="110"/>
      <c r="AD9" s="110"/>
      <c r="AF9" s="110"/>
      <c r="AG9" s="110"/>
      <c r="AH9" s="110"/>
      <c r="AJ9" s="110"/>
      <c r="AK9" s="110"/>
      <c r="AL9" s="110"/>
      <c r="AR9" s="110"/>
      <c r="AS9" s="110"/>
      <c r="AT9" s="110"/>
    </row>
    <row r="10" spans="1:46">
      <c r="A10" s="120">
        <v>42856</v>
      </c>
      <c r="B10" s="120">
        <v>42886</v>
      </c>
      <c r="C10" s="124">
        <v>0.10623</v>
      </c>
      <c r="D10" s="124"/>
      <c r="U10" s="110"/>
      <c r="X10" s="110"/>
      <c r="Y10" s="114"/>
      <c r="Z10" s="110"/>
      <c r="AB10" s="110"/>
      <c r="AC10" s="114"/>
      <c r="AD10" s="110"/>
      <c r="AF10" s="110"/>
      <c r="AG10" s="114"/>
      <c r="AH10" s="110"/>
      <c r="AJ10" s="110"/>
      <c r="AK10" s="114"/>
      <c r="AL10" s="110"/>
      <c r="AR10" s="110"/>
      <c r="AS10" s="114"/>
      <c r="AT10" s="110"/>
    </row>
    <row r="11" spans="1:46">
      <c r="A11" s="120">
        <v>42887</v>
      </c>
      <c r="B11" s="120">
        <v>42916</v>
      </c>
      <c r="C11" s="124">
        <v>0.11953999999999999</v>
      </c>
      <c r="D11" s="124"/>
      <c r="U11" s="116"/>
      <c r="V11" s="116"/>
      <c r="X11" s="110"/>
      <c r="Y11" s="114"/>
      <c r="Z11" s="110"/>
      <c r="AB11" s="110"/>
      <c r="AC11" s="114"/>
      <c r="AD11" s="110"/>
      <c r="AF11" s="110"/>
      <c r="AG11" s="114"/>
      <c r="AH11" s="110"/>
      <c r="AJ11" s="110"/>
      <c r="AK11" s="114"/>
      <c r="AL11" s="110"/>
      <c r="AR11" s="110"/>
      <c r="AS11" s="114"/>
      <c r="AT11" s="110"/>
    </row>
    <row r="12" spans="1:46">
      <c r="A12" s="120">
        <v>42917</v>
      </c>
      <c r="B12" s="120">
        <v>42947</v>
      </c>
      <c r="C12" s="124">
        <v>0.10652</v>
      </c>
      <c r="D12" s="124"/>
      <c r="U12" s="110"/>
      <c r="V12" s="110"/>
      <c r="X12" s="110"/>
      <c r="Y12" s="110"/>
      <c r="Z12" s="110"/>
      <c r="AB12" s="110"/>
      <c r="AC12" s="110"/>
      <c r="AD12" s="110"/>
      <c r="AF12" s="110"/>
      <c r="AG12" s="110"/>
      <c r="AH12" s="110"/>
      <c r="AJ12" s="110"/>
      <c r="AK12" s="110"/>
      <c r="AL12" s="110"/>
      <c r="AR12" s="110"/>
      <c r="AS12" s="110"/>
      <c r="AT12" s="110"/>
    </row>
    <row r="13" spans="1:46">
      <c r="A13" s="120">
        <v>42948</v>
      </c>
      <c r="B13" s="120">
        <v>42978</v>
      </c>
      <c r="C13" s="124">
        <v>0.115</v>
      </c>
      <c r="D13" s="124"/>
      <c r="U13" s="116"/>
      <c r="X13" s="110"/>
      <c r="Y13" s="110"/>
      <c r="Z13" s="110"/>
      <c r="AB13" s="110"/>
      <c r="AC13" s="110"/>
      <c r="AD13" s="110"/>
      <c r="AF13" s="110"/>
      <c r="AG13" s="110"/>
      <c r="AH13" s="110"/>
      <c r="AJ13" s="110"/>
      <c r="AK13" s="110"/>
      <c r="AL13" s="110"/>
      <c r="AR13" s="110"/>
      <c r="AS13" s="110"/>
      <c r="AT13" s="110"/>
    </row>
    <row r="14" spans="1:46">
      <c r="A14" s="120">
        <v>42979</v>
      </c>
      <c r="B14" s="120">
        <v>43008</v>
      </c>
      <c r="C14" s="124">
        <v>0.12739</v>
      </c>
      <c r="D14" s="124"/>
      <c r="X14" s="115"/>
      <c r="Z14" s="116"/>
      <c r="AB14" s="115"/>
      <c r="AD14" s="116"/>
      <c r="AF14" s="115"/>
      <c r="AH14" s="116"/>
      <c r="AJ14" s="115"/>
      <c r="AL14" s="116"/>
      <c r="AR14" s="115"/>
      <c r="AT14" s="116"/>
    </row>
    <row r="15" spans="1:46">
      <c r="A15" s="120">
        <v>43009</v>
      </c>
      <c r="B15" s="120">
        <v>43039</v>
      </c>
      <c r="C15" s="124">
        <v>0.10212</v>
      </c>
      <c r="D15" s="124"/>
      <c r="W15" s="125"/>
      <c r="X15" s="125"/>
    </row>
    <row r="16" spans="1:46">
      <c r="A16" s="120">
        <v>43040</v>
      </c>
      <c r="B16" s="120">
        <v>43069</v>
      </c>
      <c r="C16" s="124">
        <v>0.11164</v>
      </c>
      <c r="D16" s="124"/>
      <c r="W16" s="125"/>
      <c r="X16" s="125"/>
      <c r="Y16" s="110"/>
    </row>
    <row r="17" spans="1:31">
      <c r="A17" s="120">
        <v>43070</v>
      </c>
      <c r="B17" s="120">
        <v>43100</v>
      </c>
      <c r="C17" s="124">
        <v>8.3909999999999998E-2</v>
      </c>
      <c r="D17" s="124"/>
      <c r="W17" s="125"/>
      <c r="X17" s="125"/>
      <c r="Y17" s="125"/>
      <c r="Z17" s="125"/>
      <c r="AA17" s="125"/>
    </row>
    <row r="18" spans="1:31">
      <c r="A18" s="126"/>
      <c r="B18" s="126"/>
    </row>
    <row r="19" spans="1:31">
      <c r="G19" s="192" t="s">
        <v>204</v>
      </c>
      <c r="H19" s="192"/>
      <c r="I19" s="192"/>
      <c r="J19" s="192"/>
      <c r="K19" s="192"/>
      <c r="L19" s="192"/>
      <c r="M19" s="192"/>
      <c r="N19" s="192"/>
      <c r="O19" s="192"/>
      <c r="P19" s="192"/>
      <c r="Q19" s="192"/>
      <c r="R19" s="192"/>
      <c r="S19" s="127"/>
      <c r="T19" s="192" t="s">
        <v>205</v>
      </c>
      <c r="U19" s="192"/>
      <c r="V19" s="192"/>
      <c r="W19" s="192"/>
      <c r="X19" s="192"/>
      <c r="Y19" s="192"/>
      <c r="Z19" s="192"/>
      <c r="AA19" s="192"/>
      <c r="AB19" s="192"/>
      <c r="AC19" s="192"/>
      <c r="AD19" s="192"/>
      <c r="AE19" s="192"/>
    </row>
    <row r="20" spans="1:31" ht="45">
      <c r="A20" s="128" t="s">
        <v>206</v>
      </c>
      <c r="B20" s="128" t="s">
        <v>207</v>
      </c>
      <c r="C20" s="128" t="s">
        <v>208</v>
      </c>
      <c r="D20" s="128" t="s">
        <v>209</v>
      </c>
      <c r="E20" s="128" t="s">
        <v>210</v>
      </c>
      <c r="F20" s="128"/>
      <c r="G20" s="128">
        <v>1</v>
      </c>
      <c r="H20" s="128">
        <v>2</v>
      </c>
      <c r="I20" s="128">
        <v>3</v>
      </c>
      <c r="J20" s="128">
        <v>4</v>
      </c>
      <c r="K20" s="128">
        <v>5</v>
      </c>
      <c r="L20" s="128">
        <v>6</v>
      </c>
      <c r="M20" s="128">
        <v>7</v>
      </c>
      <c r="N20" s="128">
        <v>8</v>
      </c>
      <c r="O20" s="128">
        <v>9</v>
      </c>
      <c r="P20" s="128">
        <v>10</v>
      </c>
      <c r="Q20" s="128">
        <v>11</v>
      </c>
      <c r="R20" s="128">
        <v>12</v>
      </c>
      <c r="S20" s="128" t="s">
        <v>211</v>
      </c>
      <c r="T20" s="128">
        <v>1</v>
      </c>
      <c r="U20" s="128">
        <v>2</v>
      </c>
      <c r="V20" s="128">
        <v>3</v>
      </c>
      <c r="W20" s="128">
        <v>4</v>
      </c>
      <c r="X20" s="128">
        <v>5</v>
      </c>
      <c r="Y20" s="128">
        <v>6</v>
      </c>
      <c r="Z20" s="128">
        <v>7</v>
      </c>
      <c r="AA20" s="128">
        <v>8</v>
      </c>
      <c r="AB20" s="128">
        <v>9</v>
      </c>
      <c r="AC20" s="128">
        <v>10</v>
      </c>
      <c r="AD20" s="128">
        <v>11</v>
      </c>
      <c r="AE20" s="128">
        <v>12</v>
      </c>
    </row>
    <row r="21" spans="1:31" ht="15.75" thickBot="1">
      <c r="A21" s="129" t="s">
        <v>212</v>
      </c>
      <c r="B21" s="129" t="s">
        <v>213</v>
      </c>
      <c r="C21" s="129" t="s">
        <v>214</v>
      </c>
      <c r="D21" s="129"/>
      <c r="E21" s="129" t="s">
        <v>215</v>
      </c>
      <c r="F21" s="129"/>
      <c r="G21" s="193" t="s">
        <v>216</v>
      </c>
      <c r="H21" s="193"/>
      <c r="I21" s="193"/>
      <c r="J21" s="193"/>
      <c r="K21" s="193"/>
      <c r="L21" s="193"/>
      <c r="M21" s="193"/>
      <c r="N21" s="193"/>
      <c r="O21" s="193"/>
      <c r="P21" s="193"/>
      <c r="Q21" s="193"/>
      <c r="R21" s="193"/>
      <c r="S21" s="130"/>
      <c r="T21" s="193" t="s">
        <v>217</v>
      </c>
      <c r="U21" s="193"/>
      <c r="V21" s="193"/>
      <c r="W21" s="193"/>
      <c r="X21" s="193"/>
      <c r="Y21" s="193"/>
      <c r="Z21" s="193"/>
      <c r="AA21" s="193"/>
      <c r="AB21" s="193"/>
      <c r="AC21" s="193"/>
      <c r="AD21" s="193"/>
      <c r="AE21" s="193"/>
    </row>
    <row r="22" spans="1:31" ht="15.75" thickBot="1">
      <c r="A22" s="194" t="s">
        <v>35</v>
      </c>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6"/>
    </row>
    <row r="23" spans="1:31">
      <c r="A23" s="131">
        <v>42709</v>
      </c>
      <c r="B23" s="131">
        <v>42740</v>
      </c>
      <c r="C23" s="123">
        <f t="shared" ref="C23:C86" si="0">B23-A23</f>
        <v>31</v>
      </c>
      <c r="D23" s="123"/>
      <c r="E23" s="132">
        <v>1062.79</v>
      </c>
      <c r="F23" s="110"/>
      <c r="G23" s="123">
        <v>4</v>
      </c>
      <c r="H23" s="123"/>
      <c r="I23" s="123"/>
      <c r="J23" s="123"/>
      <c r="K23" s="123"/>
      <c r="L23" s="123"/>
      <c r="M23" s="123"/>
      <c r="N23" s="123"/>
      <c r="O23" s="123"/>
      <c r="P23" s="123"/>
      <c r="Q23" s="123"/>
      <c r="R23" s="123"/>
      <c r="S23" s="133">
        <f t="shared" ref="S23:S49" si="1">C23-SUM(G23:R23)-($A$6-A23)</f>
        <v>0</v>
      </c>
      <c r="T23" s="116">
        <f>ROUND((E23*G23/C23)/$C$6,2)</f>
        <v>2050.7600000000002</v>
      </c>
      <c r="U23" s="116">
        <f t="shared" ref="U23:U86" si="2">ROUND(($E23*$H23/$C23)/$C$7,2)</f>
        <v>0</v>
      </c>
      <c r="V23" s="116">
        <f t="shared" ref="V23:V86" si="3">ROUND(($E23*$I23/$C23)/$C$8,2)</f>
        <v>0</v>
      </c>
      <c r="W23" s="116">
        <f t="shared" ref="W23:W86" si="4">ROUND(($E23*$J23/$C23)/$C$9,2)</f>
        <v>0</v>
      </c>
      <c r="X23" s="116">
        <f t="shared" ref="X23:X86" si="5">ROUND(($E23*$K23/$C23)/$C$10,2)</f>
        <v>0</v>
      </c>
      <c r="Y23" s="116">
        <f t="shared" ref="Y23:Y86" si="6">ROUND(($E23*$L23/$C23)/$C$11,2)</f>
        <v>0</v>
      </c>
      <c r="Z23" s="116">
        <f t="shared" ref="Z23:Z86" si="7">ROUND(($E23*$M23/$C23)/$C$12,2)</f>
        <v>0</v>
      </c>
      <c r="AA23" s="116">
        <f t="shared" ref="AA23:AA86" si="8">ROUND(($E23*$N23/$C23)/$C$13,2)</f>
        <v>0</v>
      </c>
      <c r="AB23" s="116">
        <f t="shared" ref="AB23:AB86" si="9">ROUND(($E23*$O23/$C23)/$C$14,2)</f>
        <v>0</v>
      </c>
      <c r="AC23" s="116">
        <f t="shared" ref="AC23:AC86" si="10">ROUND(($E23*$P23/$C23)/$C$15,2)</f>
        <v>0</v>
      </c>
      <c r="AD23" s="116">
        <f t="shared" ref="AD23:AD86" si="11">ROUND(($E23*$Q23/$C23)/$C$16,2)</f>
        <v>0</v>
      </c>
      <c r="AE23" s="116">
        <f t="shared" ref="AE23:AE86" si="12">ROUND(($E23*$R23/$C23)/$C$17,2)</f>
        <v>0</v>
      </c>
    </row>
    <row r="24" spans="1:31">
      <c r="A24" s="131">
        <v>42707</v>
      </c>
      <c r="B24" s="131">
        <v>42738</v>
      </c>
      <c r="C24" s="123">
        <f t="shared" si="0"/>
        <v>31</v>
      </c>
      <c r="D24" s="123"/>
      <c r="E24" s="132">
        <v>1128.94</v>
      </c>
      <c r="F24" s="110"/>
      <c r="G24" s="123">
        <v>2</v>
      </c>
      <c r="H24" s="123"/>
      <c r="I24" s="123"/>
      <c r="J24" s="123"/>
      <c r="K24" s="123"/>
      <c r="L24" s="123"/>
      <c r="M24" s="123"/>
      <c r="N24" s="123"/>
      <c r="O24" s="123"/>
      <c r="P24" s="123"/>
      <c r="Q24" s="123"/>
      <c r="R24" s="123"/>
      <c r="S24" s="133">
        <f t="shared" si="1"/>
        <v>0</v>
      </c>
      <c r="T24" s="116">
        <f t="shared" ref="T24:T87" si="13">ROUND((E24*G24/C24)/$C$6,2)</f>
        <v>1089.2</v>
      </c>
      <c r="U24" s="116">
        <f t="shared" si="2"/>
        <v>0</v>
      </c>
      <c r="V24" s="116">
        <f t="shared" si="3"/>
        <v>0</v>
      </c>
      <c r="W24" s="116">
        <f t="shared" si="4"/>
        <v>0</v>
      </c>
      <c r="X24" s="116">
        <f t="shared" si="5"/>
        <v>0</v>
      </c>
      <c r="Y24" s="116">
        <f t="shared" si="6"/>
        <v>0</v>
      </c>
      <c r="Z24" s="116">
        <f t="shared" si="7"/>
        <v>0</v>
      </c>
      <c r="AA24" s="116">
        <f t="shared" si="8"/>
        <v>0</v>
      </c>
      <c r="AB24" s="116">
        <f t="shared" si="9"/>
        <v>0</v>
      </c>
      <c r="AC24" s="116">
        <f t="shared" si="10"/>
        <v>0</v>
      </c>
      <c r="AD24" s="116">
        <f t="shared" si="11"/>
        <v>0</v>
      </c>
      <c r="AE24" s="116">
        <f t="shared" si="12"/>
        <v>0</v>
      </c>
    </row>
    <row r="25" spans="1:31">
      <c r="A25" s="131">
        <v>42707</v>
      </c>
      <c r="B25" s="131">
        <v>42738</v>
      </c>
      <c r="C25" s="123">
        <f t="shared" si="0"/>
        <v>31</v>
      </c>
      <c r="D25" s="123"/>
      <c r="E25" s="132">
        <v>657.27</v>
      </c>
      <c r="F25" s="110"/>
      <c r="G25" s="123">
        <v>2</v>
      </c>
      <c r="H25" s="123"/>
      <c r="I25" s="123"/>
      <c r="J25" s="123"/>
      <c r="K25" s="123"/>
      <c r="L25" s="123"/>
      <c r="M25" s="123"/>
      <c r="N25" s="123"/>
      <c r="O25" s="123"/>
      <c r="P25" s="123"/>
      <c r="Q25" s="123"/>
      <c r="R25" s="123"/>
      <c r="S25" s="133">
        <f t="shared" si="1"/>
        <v>0</v>
      </c>
      <c r="T25" s="116">
        <f t="shared" si="13"/>
        <v>634.13</v>
      </c>
      <c r="U25" s="116">
        <f t="shared" si="2"/>
        <v>0</v>
      </c>
      <c r="V25" s="116">
        <f t="shared" si="3"/>
        <v>0</v>
      </c>
      <c r="W25" s="116">
        <f t="shared" si="4"/>
        <v>0</v>
      </c>
      <c r="X25" s="116">
        <f t="shared" si="5"/>
        <v>0</v>
      </c>
      <c r="Y25" s="116">
        <f t="shared" si="6"/>
        <v>0</v>
      </c>
      <c r="Z25" s="116">
        <f t="shared" si="7"/>
        <v>0</v>
      </c>
      <c r="AA25" s="116">
        <f t="shared" si="8"/>
        <v>0</v>
      </c>
      <c r="AB25" s="116">
        <f t="shared" si="9"/>
        <v>0</v>
      </c>
      <c r="AC25" s="116">
        <f t="shared" si="10"/>
        <v>0</v>
      </c>
      <c r="AD25" s="116">
        <f t="shared" si="11"/>
        <v>0</v>
      </c>
      <c r="AE25" s="116">
        <f t="shared" si="12"/>
        <v>0</v>
      </c>
    </row>
    <row r="26" spans="1:31">
      <c r="A26" s="131">
        <v>42707</v>
      </c>
      <c r="B26" s="131">
        <v>42738</v>
      </c>
      <c r="C26" s="123">
        <f t="shared" si="0"/>
        <v>31</v>
      </c>
      <c r="D26" s="123"/>
      <c r="E26" s="132">
        <v>1120.1400000000001</v>
      </c>
      <c r="F26" s="110"/>
      <c r="G26" s="123">
        <v>2</v>
      </c>
      <c r="H26" s="123"/>
      <c r="I26" s="123"/>
      <c r="J26" s="123"/>
      <c r="K26" s="123"/>
      <c r="L26" s="123"/>
      <c r="M26" s="123"/>
      <c r="N26" s="123"/>
      <c r="O26" s="123"/>
      <c r="P26" s="123"/>
      <c r="Q26" s="123"/>
      <c r="R26" s="123"/>
      <c r="S26" s="133">
        <f t="shared" si="1"/>
        <v>0</v>
      </c>
      <c r="T26" s="116">
        <f t="shared" si="13"/>
        <v>1080.71</v>
      </c>
      <c r="U26" s="116">
        <f t="shared" si="2"/>
        <v>0</v>
      </c>
      <c r="V26" s="116">
        <f t="shared" si="3"/>
        <v>0</v>
      </c>
      <c r="W26" s="116">
        <f t="shared" si="4"/>
        <v>0</v>
      </c>
      <c r="X26" s="116">
        <f t="shared" si="5"/>
        <v>0</v>
      </c>
      <c r="Y26" s="116">
        <f t="shared" si="6"/>
        <v>0</v>
      </c>
      <c r="Z26" s="116">
        <f t="shared" si="7"/>
        <v>0</v>
      </c>
      <c r="AA26" s="116">
        <f t="shared" si="8"/>
        <v>0</v>
      </c>
      <c r="AB26" s="116">
        <f t="shared" si="9"/>
        <v>0</v>
      </c>
      <c r="AC26" s="116">
        <f t="shared" si="10"/>
        <v>0</v>
      </c>
      <c r="AD26" s="116">
        <f t="shared" si="11"/>
        <v>0</v>
      </c>
      <c r="AE26" s="116">
        <f t="shared" si="12"/>
        <v>0</v>
      </c>
    </row>
    <row r="27" spans="1:31">
      <c r="A27" s="131">
        <v>42707</v>
      </c>
      <c r="B27" s="131">
        <v>42738</v>
      </c>
      <c r="C27" s="123">
        <f t="shared" si="0"/>
        <v>31</v>
      </c>
      <c r="D27" s="123"/>
      <c r="E27" s="132">
        <v>2731.42</v>
      </c>
      <c r="F27" s="110"/>
      <c r="G27" s="123">
        <v>2</v>
      </c>
      <c r="H27" s="123"/>
      <c r="I27" s="123"/>
      <c r="J27" s="123"/>
      <c r="K27" s="123"/>
      <c r="L27" s="123"/>
      <c r="M27" s="123"/>
      <c r="N27" s="123"/>
      <c r="O27" s="123"/>
      <c r="P27" s="123"/>
      <c r="Q27" s="123"/>
      <c r="R27" s="123"/>
      <c r="S27" s="133">
        <f t="shared" si="1"/>
        <v>0</v>
      </c>
      <c r="T27" s="116">
        <f t="shared" si="13"/>
        <v>2635.27</v>
      </c>
      <c r="U27" s="116">
        <f t="shared" si="2"/>
        <v>0</v>
      </c>
      <c r="V27" s="116">
        <f t="shared" si="3"/>
        <v>0</v>
      </c>
      <c r="W27" s="116">
        <f t="shared" si="4"/>
        <v>0</v>
      </c>
      <c r="X27" s="116">
        <f t="shared" si="5"/>
        <v>0</v>
      </c>
      <c r="Y27" s="116">
        <f t="shared" si="6"/>
        <v>0</v>
      </c>
      <c r="Z27" s="116">
        <f t="shared" si="7"/>
        <v>0</v>
      </c>
      <c r="AA27" s="116">
        <f t="shared" si="8"/>
        <v>0</v>
      </c>
      <c r="AB27" s="116">
        <f t="shared" si="9"/>
        <v>0</v>
      </c>
      <c r="AC27" s="116">
        <f t="shared" si="10"/>
        <v>0</v>
      </c>
      <c r="AD27" s="116">
        <f t="shared" si="11"/>
        <v>0</v>
      </c>
      <c r="AE27" s="116">
        <f t="shared" si="12"/>
        <v>0</v>
      </c>
    </row>
    <row r="28" spans="1:31">
      <c r="A28" s="131">
        <v>42709</v>
      </c>
      <c r="B28" s="131">
        <v>42740</v>
      </c>
      <c r="C28" s="123">
        <f t="shared" si="0"/>
        <v>31</v>
      </c>
      <c r="D28" s="123"/>
      <c r="E28" s="132">
        <v>167.94</v>
      </c>
      <c r="F28" s="110"/>
      <c r="G28" s="123">
        <v>4</v>
      </c>
      <c r="H28" s="123"/>
      <c r="I28" s="123"/>
      <c r="J28" s="123"/>
      <c r="K28" s="123"/>
      <c r="L28" s="123"/>
      <c r="M28" s="123"/>
      <c r="N28" s="123"/>
      <c r="O28" s="123"/>
      <c r="P28" s="123"/>
      <c r="Q28" s="123"/>
      <c r="R28" s="123"/>
      <c r="S28" s="133">
        <f t="shared" si="1"/>
        <v>0</v>
      </c>
      <c r="T28" s="116">
        <f t="shared" si="13"/>
        <v>324.06</v>
      </c>
      <c r="U28" s="116">
        <f t="shared" si="2"/>
        <v>0</v>
      </c>
      <c r="V28" s="116">
        <f t="shared" si="3"/>
        <v>0</v>
      </c>
      <c r="W28" s="116">
        <f t="shared" si="4"/>
        <v>0</v>
      </c>
      <c r="X28" s="116">
        <f t="shared" si="5"/>
        <v>0</v>
      </c>
      <c r="Y28" s="116">
        <f t="shared" si="6"/>
        <v>0</v>
      </c>
      <c r="Z28" s="116">
        <f t="shared" si="7"/>
        <v>0</v>
      </c>
      <c r="AA28" s="116">
        <f t="shared" si="8"/>
        <v>0</v>
      </c>
      <c r="AB28" s="116">
        <f t="shared" si="9"/>
        <v>0</v>
      </c>
      <c r="AC28" s="116">
        <f t="shared" si="10"/>
        <v>0</v>
      </c>
      <c r="AD28" s="116">
        <f t="shared" si="11"/>
        <v>0</v>
      </c>
      <c r="AE28" s="116">
        <f t="shared" si="12"/>
        <v>0</v>
      </c>
    </row>
    <row r="29" spans="1:31">
      <c r="A29" s="131">
        <v>42709</v>
      </c>
      <c r="B29" s="131">
        <v>42740</v>
      </c>
      <c r="C29" s="123">
        <f t="shared" si="0"/>
        <v>31</v>
      </c>
      <c r="D29" s="123"/>
      <c r="E29" s="132">
        <v>627.18000000000006</v>
      </c>
      <c r="F29" s="110"/>
      <c r="G29" s="123">
        <v>4</v>
      </c>
      <c r="H29" s="123"/>
      <c r="I29" s="123"/>
      <c r="J29" s="123"/>
      <c r="K29" s="123"/>
      <c r="L29" s="123"/>
      <c r="M29" s="123"/>
      <c r="N29" s="123"/>
      <c r="O29" s="123"/>
      <c r="P29" s="123"/>
      <c r="Q29" s="123"/>
      <c r="R29" s="123"/>
      <c r="S29" s="133">
        <f t="shared" si="1"/>
        <v>0</v>
      </c>
      <c r="T29" s="116">
        <f t="shared" si="13"/>
        <v>1210.21</v>
      </c>
      <c r="U29" s="116">
        <f t="shared" si="2"/>
        <v>0</v>
      </c>
      <c r="V29" s="116">
        <f t="shared" si="3"/>
        <v>0</v>
      </c>
      <c r="W29" s="116">
        <f t="shared" si="4"/>
        <v>0</v>
      </c>
      <c r="X29" s="116">
        <f t="shared" si="5"/>
        <v>0</v>
      </c>
      <c r="Y29" s="116">
        <f t="shared" si="6"/>
        <v>0</v>
      </c>
      <c r="Z29" s="116">
        <f t="shared" si="7"/>
        <v>0</v>
      </c>
      <c r="AA29" s="116">
        <f t="shared" si="8"/>
        <v>0</v>
      </c>
      <c r="AB29" s="116">
        <f t="shared" si="9"/>
        <v>0</v>
      </c>
      <c r="AC29" s="116">
        <f t="shared" si="10"/>
        <v>0</v>
      </c>
      <c r="AD29" s="116">
        <f t="shared" si="11"/>
        <v>0</v>
      </c>
      <c r="AE29" s="116">
        <f t="shared" si="12"/>
        <v>0</v>
      </c>
    </row>
    <row r="30" spans="1:31">
      <c r="A30" s="131">
        <v>42712</v>
      </c>
      <c r="B30" s="131">
        <v>42743</v>
      </c>
      <c r="C30" s="123">
        <f t="shared" si="0"/>
        <v>31</v>
      </c>
      <c r="D30" s="123"/>
      <c r="E30" s="132">
        <v>723.43</v>
      </c>
      <c r="F30" s="110"/>
      <c r="G30" s="123">
        <v>7</v>
      </c>
      <c r="H30" s="123"/>
      <c r="I30" s="123"/>
      <c r="J30" s="123"/>
      <c r="K30" s="123"/>
      <c r="L30" s="123"/>
      <c r="M30" s="123"/>
      <c r="N30" s="123"/>
      <c r="O30" s="123"/>
      <c r="P30" s="123"/>
      <c r="Q30" s="123"/>
      <c r="R30" s="123"/>
      <c r="S30" s="133">
        <f t="shared" si="1"/>
        <v>0</v>
      </c>
      <c r="T30" s="116">
        <f t="shared" si="13"/>
        <v>2442.88</v>
      </c>
      <c r="U30" s="116">
        <f t="shared" si="2"/>
        <v>0</v>
      </c>
      <c r="V30" s="116">
        <f t="shared" si="3"/>
        <v>0</v>
      </c>
      <c r="W30" s="116">
        <f t="shared" si="4"/>
        <v>0</v>
      </c>
      <c r="X30" s="116">
        <f t="shared" si="5"/>
        <v>0</v>
      </c>
      <c r="Y30" s="116">
        <f t="shared" si="6"/>
        <v>0</v>
      </c>
      <c r="Z30" s="116">
        <f t="shared" si="7"/>
        <v>0</v>
      </c>
      <c r="AA30" s="116">
        <f t="shared" si="8"/>
        <v>0</v>
      </c>
      <c r="AB30" s="116">
        <f t="shared" si="9"/>
        <v>0</v>
      </c>
      <c r="AC30" s="116">
        <f t="shared" si="10"/>
        <v>0</v>
      </c>
      <c r="AD30" s="116">
        <f t="shared" si="11"/>
        <v>0</v>
      </c>
      <c r="AE30" s="116">
        <f t="shared" si="12"/>
        <v>0</v>
      </c>
    </row>
    <row r="31" spans="1:31">
      <c r="A31" s="131">
        <v>42712</v>
      </c>
      <c r="B31" s="131">
        <v>42743</v>
      </c>
      <c r="C31" s="123">
        <f t="shared" si="0"/>
        <v>31</v>
      </c>
      <c r="D31" s="123"/>
      <c r="E31" s="132">
        <v>254.05</v>
      </c>
      <c r="F31" s="110"/>
      <c r="G31" s="123">
        <v>7</v>
      </c>
      <c r="H31" s="123"/>
      <c r="I31" s="123"/>
      <c r="J31" s="123"/>
      <c r="K31" s="123"/>
      <c r="L31" s="123"/>
      <c r="M31" s="123"/>
      <c r="N31" s="123"/>
      <c r="O31" s="123"/>
      <c r="P31" s="123"/>
      <c r="Q31" s="123"/>
      <c r="R31" s="123"/>
      <c r="S31" s="133">
        <f t="shared" si="1"/>
        <v>0</v>
      </c>
      <c r="T31" s="116">
        <f t="shared" si="13"/>
        <v>857.88</v>
      </c>
      <c r="U31" s="116">
        <f t="shared" si="2"/>
        <v>0</v>
      </c>
      <c r="V31" s="116">
        <f t="shared" si="3"/>
        <v>0</v>
      </c>
      <c r="W31" s="116">
        <f t="shared" si="4"/>
        <v>0</v>
      </c>
      <c r="X31" s="116">
        <f t="shared" si="5"/>
        <v>0</v>
      </c>
      <c r="Y31" s="116">
        <f t="shared" si="6"/>
        <v>0</v>
      </c>
      <c r="Z31" s="116">
        <f t="shared" si="7"/>
        <v>0</v>
      </c>
      <c r="AA31" s="116">
        <f t="shared" si="8"/>
        <v>0</v>
      </c>
      <c r="AB31" s="116">
        <f t="shared" si="9"/>
        <v>0</v>
      </c>
      <c r="AC31" s="116">
        <f t="shared" si="10"/>
        <v>0</v>
      </c>
      <c r="AD31" s="116">
        <f t="shared" si="11"/>
        <v>0</v>
      </c>
      <c r="AE31" s="116">
        <f t="shared" si="12"/>
        <v>0</v>
      </c>
    </row>
    <row r="32" spans="1:31">
      <c r="A32" s="131">
        <v>42712</v>
      </c>
      <c r="B32" s="131">
        <v>42743</v>
      </c>
      <c r="C32" s="123">
        <f t="shared" si="0"/>
        <v>31</v>
      </c>
      <c r="D32" s="123"/>
      <c r="E32" s="132">
        <v>221.11</v>
      </c>
      <c r="F32" s="110"/>
      <c r="G32" s="123">
        <v>7</v>
      </c>
      <c r="H32" s="123"/>
      <c r="I32" s="123"/>
      <c r="J32" s="123"/>
      <c r="K32" s="123"/>
      <c r="L32" s="123"/>
      <c r="M32" s="123"/>
      <c r="N32" s="123"/>
      <c r="O32" s="123"/>
      <c r="P32" s="123"/>
      <c r="Q32" s="123"/>
      <c r="R32" s="123"/>
      <c r="S32" s="133">
        <f t="shared" si="1"/>
        <v>0</v>
      </c>
      <c r="T32" s="116">
        <f t="shared" si="13"/>
        <v>746.64</v>
      </c>
      <c r="U32" s="116">
        <f t="shared" si="2"/>
        <v>0</v>
      </c>
      <c r="V32" s="116">
        <f t="shared" si="3"/>
        <v>0</v>
      </c>
      <c r="W32" s="116">
        <f t="shared" si="4"/>
        <v>0</v>
      </c>
      <c r="X32" s="116">
        <f t="shared" si="5"/>
        <v>0</v>
      </c>
      <c r="Y32" s="116">
        <f t="shared" si="6"/>
        <v>0</v>
      </c>
      <c r="Z32" s="116">
        <f t="shared" si="7"/>
        <v>0</v>
      </c>
      <c r="AA32" s="116">
        <f t="shared" si="8"/>
        <v>0</v>
      </c>
      <c r="AB32" s="116">
        <f t="shared" si="9"/>
        <v>0</v>
      </c>
      <c r="AC32" s="116">
        <f t="shared" si="10"/>
        <v>0</v>
      </c>
      <c r="AD32" s="116">
        <f t="shared" si="11"/>
        <v>0</v>
      </c>
      <c r="AE32" s="116">
        <f t="shared" si="12"/>
        <v>0</v>
      </c>
    </row>
    <row r="33" spans="1:31">
      <c r="A33" s="131">
        <v>42712</v>
      </c>
      <c r="B33" s="131">
        <v>42743</v>
      </c>
      <c r="C33" s="123">
        <f t="shared" si="0"/>
        <v>31</v>
      </c>
      <c r="D33" s="123"/>
      <c r="E33" s="132">
        <v>627.12</v>
      </c>
      <c r="F33" s="110"/>
      <c r="G33" s="123">
        <v>7</v>
      </c>
      <c r="H33" s="123"/>
      <c r="I33" s="123"/>
      <c r="J33" s="123"/>
      <c r="K33" s="123"/>
      <c r="L33" s="123"/>
      <c r="M33" s="123"/>
      <c r="N33" s="123"/>
      <c r="O33" s="123"/>
      <c r="P33" s="123"/>
      <c r="Q33" s="123"/>
      <c r="R33" s="123"/>
      <c r="S33" s="133">
        <f t="shared" si="1"/>
        <v>0</v>
      </c>
      <c r="T33" s="116">
        <f t="shared" si="13"/>
        <v>2117.66</v>
      </c>
      <c r="U33" s="116">
        <f t="shared" si="2"/>
        <v>0</v>
      </c>
      <c r="V33" s="116">
        <f t="shared" si="3"/>
        <v>0</v>
      </c>
      <c r="W33" s="116">
        <f t="shared" si="4"/>
        <v>0</v>
      </c>
      <c r="X33" s="116">
        <f t="shared" si="5"/>
        <v>0</v>
      </c>
      <c r="Y33" s="116">
        <f t="shared" si="6"/>
        <v>0</v>
      </c>
      <c r="Z33" s="116">
        <f t="shared" si="7"/>
        <v>0</v>
      </c>
      <c r="AA33" s="116">
        <f t="shared" si="8"/>
        <v>0</v>
      </c>
      <c r="AB33" s="116">
        <f t="shared" si="9"/>
        <v>0</v>
      </c>
      <c r="AC33" s="116">
        <f t="shared" si="10"/>
        <v>0</v>
      </c>
      <c r="AD33" s="116">
        <f t="shared" si="11"/>
        <v>0</v>
      </c>
      <c r="AE33" s="116">
        <f t="shared" si="12"/>
        <v>0</v>
      </c>
    </row>
    <row r="34" spans="1:31">
      <c r="A34" s="131">
        <v>42716</v>
      </c>
      <c r="B34" s="131">
        <v>42747</v>
      </c>
      <c r="C34" s="123">
        <f t="shared" si="0"/>
        <v>31</v>
      </c>
      <c r="D34" s="123"/>
      <c r="E34" s="132">
        <v>1005.82</v>
      </c>
      <c r="F34" s="110"/>
      <c r="G34" s="123">
        <v>11</v>
      </c>
      <c r="H34" s="123"/>
      <c r="I34" s="123"/>
      <c r="J34" s="123"/>
      <c r="K34" s="123"/>
      <c r="L34" s="123"/>
      <c r="M34" s="123"/>
      <c r="N34" s="123"/>
      <c r="O34" s="123"/>
      <c r="P34" s="123"/>
      <c r="Q34" s="123"/>
      <c r="R34" s="123"/>
      <c r="S34" s="133">
        <f t="shared" si="1"/>
        <v>0</v>
      </c>
      <c r="T34" s="116">
        <f t="shared" si="13"/>
        <v>5337.28</v>
      </c>
      <c r="U34" s="116">
        <f t="shared" si="2"/>
        <v>0</v>
      </c>
      <c r="V34" s="116">
        <f t="shared" si="3"/>
        <v>0</v>
      </c>
      <c r="W34" s="116">
        <f t="shared" si="4"/>
        <v>0</v>
      </c>
      <c r="X34" s="116">
        <f t="shared" si="5"/>
        <v>0</v>
      </c>
      <c r="Y34" s="116">
        <f t="shared" si="6"/>
        <v>0</v>
      </c>
      <c r="Z34" s="116">
        <f t="shared" si="7"/>
        <v>0</v>
      </c>
      <c r="AA34" s="116">
        <f t="shared" si="8"/>
        <v>0</v>
      </c>
      <c r="AB34" s="116">
        <f t="shared" si="9"/>
        <v>0</v>
      </c>
      <c r="AC34" s="116">
        <f t="shared" si="10"/>
        <v>0</v>
      </c>
      <c r="AD34" s="116">
        <f t="shared" si="11"/>
        <v>0</v>
      </c>
      <c r="AE34" s="116">
        <f t="shared" si="12"/>
        <v>0</v>
      </c>
    </row>
    <row r="35" spans="1:31">
      <c r="A35" s="131">
        <v>42716</v>
      </c>
      <c r="B35" s="131">
        <v>42747</v>
      </c>
      <c r="C35" s="123">
        <f t="shared" si="0"/>
        <v>31</v>
      </c>
      <c r="D35" s="123"/>
      <c r="E35" s="132">
        <v>1041.28</v>
      </c>
      <c r="F35" s="110"/>
      <c r="G35" s="123">
        <v>11</v>
      </c>
      <c r="H35" s="123"/>
      <c r="I35" s="123"/>
      <c r="J35" s="123"/>
      <c r="K35" s="123"/>
      <c r="L35" s="123"/>
      <c r="M35" s="123"/>
      <c r="N35" s="123"/>
      <c r="O35" s="123"/>
      <c r="P35" s="123"/>
      <c r="Q35" s="123"/>
      <c r="R35" s="123"/>
      <c r="S35" s="133">
        <f t="shared" si="1"/>
        <v>0</v>
      </c>
      <c r="T35" s="116">
        <f t="shared" si="13"/>
        <v>5525.44</v>
      </c>
      <c r="U35" s="116">
        <f t="shared" si="2"/>
        <v>0</v>
      </c>
      <c r="V35" s="116">
        <f t="shared" si="3"/>
        <v>0</v>
      </c>
      <c r="W35" s="116">
        <f t="shared" si="4"/>
        <v>0</v>
      </c>
      <c r="X35" s="116">
        <f t="shared" si="5"/>
        <v>0</v>
      </c>
      <c r="Y35" s="116">
        <f t="shared" si="6"/>
        <v>0</v>
      </c>
      <c r="Z35" s="116">
        <f t="shared" si="7"/>
        <v>0</v>
      </c>
      <c r="AA35" s="116">
        <f t="shared" si="8"/>
        <v>0</v>
      </c>
      <c r="AB35" s="116">
        <f t="shared" si="9"/>
        <v>0</v>
      </c>
      <c r="AC35" s="116">
        <f t="shared" si="10"/>
        <v>0</v>
      </c>
      <c r="AD35" s="116">
        <f t="shared" si="11"/>
        <v>0</v>
      </c>
      <c r="AE35" s="116">
        <f t="shared" si="12"/>
        <v>0</v>
      </c>
    </row>
    <row r="36" spans="1:31" ht="15.75" thickBot="1">
      <c r="A36" s="131">
        <v>42716</v>
      </c>
      <c r="B36" s="131">
        <v>42747</v>
      </c>
      <c r="C36" s="123">
        <f t="shared" si="0"/>
        <v>31</v>
      </c>
      <c r="D36" s="123"/>
      <c r="E36" s="132">
        <v>229.8</v>
      </c>
      <c r="F36" s="110"/>
      <c r="G36" s="123">
        <v>11</v>
      </c>
      <c r="H36" s="123"/>
      <c r="I36" s="123"/>
      <c r="J36" s="123"/>
      <c r="K36" s="123"/>
      <c r="L36" s="123"/>
      <c r="M36" s="123"/>
      <c r="N36" s="123"/>
      <c r="O36" s="123"/>
      <c r="P36" s="123"/>
      <c r="Q36" s="123"/>
      <c r="R36" s="123"/>
      <c r="S36" s="133">
        <f t="shared" si="1"/>
        <v>0</v>
      </c>
      <c r="T36" s="116">
        <f t="shared" si="13"/>
        <v>1219.4100000000001</v>
      </c>
      <c r="U36" s="116">
        <f t="shared" si="2"/>
        <v>0</v>
      </c>
      <c r="V36" s="116">
        <f t="shared" si="3"/>
        <v>0</v>
      </c>
      <c r="W36" s="116">
        <f t="shared" si="4"/>
        <v>0</v>
      </c>
      <c r="X36" s="116">
        <f t="shared" si="5"/>
        <v>0</v>
      </c>
      <c r="Y36" s="116">
        <f t="shared" si="6"/>
        <v>0</v>
      </c>
      <c r="Z36" s="116">
        <f t="shared" si="7"/>
        <v>0</v>
      </c>
      <c r="AA36" s="116">
        <f t="shared" si="8"/>
        <v>0</v>
      </c>
      <c r="AB36" s="116">
        <f t="shared" si="9"/>
        <v>0</v>
      </c>
      <c r="AC36" s="116">
        <f t="shared" si="10"/>
        <v>0</v>
      </c>
      <c r="AD36" s="116">
        <f t="shared" si="11"/>
        <v>0</v>
      </c>
      <c r="AE36" s="116">
        <f t="shared" si="12"/>
        <v>0</v>
      </c>
    </row>
    <row r="37" spans="1:31" ht="15.75" thickBot="1">
      <c r="A37" s="185" t="s">
        <v>36</v>
      </c>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7"/>
    </row>
    <row r="38" spans="1:31">
      <c r="A38" s="131">
        <v>42707</v>
      </c>
      <c r="B38" s="131">
        <v>42738</v>
      </c>
      <c r="C38" s="123">
        <f t="shared" si="0"/>
        <v>31</v>
      </c>
      <c r="D38" s="123"/>
      <c r="E38" s="132">
        <v>819.21</v>
      </c>
      <c r="F38" s="110"/>
      <c r="G38" s="123">
        <v>2</v>
      </c>
      <c r="H38" s="123"/>
      <c r="I38" s="123"/>
      <c r="J38" s="123"/>
      <c r="K38" s="123"/>
      <c r="L38" s="123"/>
      <c r="M38" s="123"/>
      <c r="N38" s="123"/>
      <c r="O38" s="123"/>
      <c r="P38" s="123"/>
      <c r="Q38" s="123"/>
      <c r="R38" s="123"/>
      <c r="S38" s="133">
        <f t="shared" si="1"/>
        <v>0</v>
      </c>
      <c r="T38" s="116">
        <f t="shared" si="13"/>
        <v>790.37</v>
      </c>
      <c r="U38" s="116">
        <f t="shared" si="2"/>
        <v>0</v>
      </c>
      <c r="V38" s="116">
        <f t="shared" si="3"/>
        <v>0</v>
      </c>
      <c r="W38" s="116">
        <f t="shared" si="4"/>
        <v>0</v>
      </c>
      <c r="X38" s="116">
        <f t="shared" si="5"/>
        <v>0</v>
      </c>
      <c r="Y38" s="116">
        <f t="shared" si="6"/>
        <v>0</v>
      </c>
      <c r="Z38" s="116">
        <f t="shared" si="7"/>
        <v>0</v>
      </c>
      <c r="AA38" s="116">
        <f t="shared" si="8"/>
        <v>0</v>
      </c>
      <c r="AB38" s="116">
        <f t="shared" si="9"/>
        <v>0</v>
      </c>
      <c r="AC38" s="116">
        <f t="shared" si="10"/>
        <v>0</v>
      </c>
      <c r="AD38" s="116">
        <f t="shared" si="11"/>
        <v>0</v>
      </c>
      <c r="AE38" s="116">
        <f t="shared" si="12"/>
        <v>0</v>
      </c>
    </row>
    <row r="39" spans="1:31">
      <c r="A39" s="131">
        <v>42723</v>
      </c>
      <c r="B39" s="131">
        <v>42754</v>
      </c>
      <c r="C39" s="123">
        <f t="shared" si="0"/>
        <v>31</v>
      </c>
      <c r="D39" s="123"/>
      <c r="E39" s="132">
        <v>1566.27</v>
      </c>
      <c r="F39" s="110"/>
      <c r="G39" s="123">
        <v>18</v>
      </c>
      <c r="H39" s="123"/>
      <c r="I39" s="123"/>
      <c r="J39" s="123"/>
      <c r="K39" s="123"/>
      <c r="L39" s="123"/>
      <c r="M39" s="123"/>
      <c r="N39" s="123"/>
      <c r="O39" s="123"/>
      <c r="P39" s="123"/>
      <c r="Q39" s="123"/>
      <c r="R39" s="123"/>
      <c r="S39" s="133">
        <f t="shared" si="1"/>
        <v>0</v>
      </c>
      <c r="T39" s="116">
        <f t="shared" si="13"/>
        <v>13600.23</v>
      </c>
      <c r="U39" s="116">
        <f t="shared" si="2"/>
        <v>0</v>
      </c>
      <c r="V39" s="116">
        <f t="shared" si="3"/>
        <v>0</v>
      </c>
      <c r="W39" s="116">
        <f t="shared" si="4"/>
        <v>0</v>
      </c>
      <c r="X39" s="116">
        <f t="shared" si="5"/>
        <v>0</v>
      </c>
      <c r="Y39" s="116">
        <f t="shared" si="6"/>
        <v>0</v>
      </c>
      <c r="Z39" s="116">
        <f t="shared" si="7"/>
        <v>0</v>
      </c>
      <c r="AA39" s="116">
        <f t="shared" si="8"/>
        <v>0</v>
      </c>
      <c r="AB39" s="116">
        <f t="shared" si="9"/>
        <v>0</v>
      </c>
      <c r="AC39" s="116">
        <f t="shared" si="10"/>
        <v>0</v>
      </c>
      <c r="AD39" s="116">
        <f t="shared" si="11"/>
        <v>0</v>
      </c>
      <c r="AE39" s="116">
        <f t="shared" si="12"/>
        <v>0</v>
      </c>
    </row>
    <row r="40" spans="1:31">
      <c r="A40" s="131">
        <v>42723</v>
      </c>
      <c r="B40" s="131">
        <v>42754</v>
      </c>
      <c r="C40" s="123">
        <f t="shared" si="0"/>
        <v>31</v>
      </c>
      <c r="D40" s="123"/>
      <c r="E40" s="132">
        <v>662.01</v>
      </c>
      <c r="F40" s="110"/>
      <c r="G40" s="123">
        <v>18</v>
      </c>
      <c r="H40" s="123"/>
      <c r="I40" s="123"/>
      <c r="J40" s="123"/>
      <c r="K40" s="123"/>
      <c r="L40" s="123"/>
      <c r="M40" s="123"/>
      <c r="N40" s="123"/>
      <c r="O40" s="123"/>
      <c r="P40" s="123"/>
      <c r="Q40" s="123"/>
      <c r="R40" s="123"/>
      <c r="S40" s="133">
        <f t="shared" si="1"/>
        <v>0</v>
      </c>
      <c r="T40" s="116">
        <f t="shared" si="13"/>
        <v>5748.36</v>
      </c>
      <c r="U40" s="116">
        <f t="shared" si="2"/>
        <v>0</v>
      </c>
      <c r="V40" s="116">
        <f t="shared" si="3"/>
        <v>0</v>
      </c>
      <c r="W40" s="116">
        <f t="shared" si="4"/>
        <v>0</v>
      </c>
      <c r="X40" s="116">
        <f t="shared" si="5"/>
        <v>0</v>
      </c>
      <c r="Y40" s="116">
        <f t="shared" si="6"/>
        <v>0</v>
      </c>
      <c r="Z40" s="116">
        <f t="shared" si="7"/>
        <v>0</v>
      </c>
      <c r="AA40" s="116">
        <f t="shared" si="8"/>
        <v>0</v>
      </c>
      <c r="AB40" s="116">
        <f t="shared" si="9"/>
        <v>0</v>
      </c>
      <c r="AC40" s="116">
        <f t="shared" si="10"/>
        <v>0</v>
      </c>
      <c r="AD40" s="116">
        <f t="shared" si="11"/>
        <v>0</v>
      </c>
      <c r="AE40" s="116">
        <f t="shared" si="12"/>
        <v>0</v>
      </c>
    </row>
    <row r="41" spans="1:31">
      <c r="A41" s="131">
        <v>42719</v>
      </c>
      <c r="B41" s="131">
        <v>42750</v>
      </c>
      <c r="C41" s="123">
        <f t="shared" si="0"/>
        <v>31</v>
      </c>
      <c r="D41" s="123"/>
      <c r="E41" s="132">
        <v>7460.52</v>
      </c>
      <c r="F41" s="110"/>
      <c r="G41" s="123">
        <v>14</v>
      </c>
      <c r="H41" s="123"/>
      <c r="I41" s="123"/>
      <c r="J41" s="123"/>
      <c r="K41" s="123"/>
      <c r="L41" s="123"/>
      <c r="M41" s="123"/>
      <c r="N41" s="123"/>
      <c r="O41" s="123"/>
      <c r="P41" s="123"/>
      <c r="Q41" s="123"/>
      <c r="R41" s="123"/>
      <c r="S41" s="133">
        <f t="shared" si="1"/>
        <v>0</v>
      </c>
      <c r="T41" s="116">
        <f t="shared" si="13"/>
        <v>50385.33</v>
      </c>
      <c r="U41" s="116">
        <f t="shared" si="2"/>
        <v>0</v>
      </c>
      <c r="V41" s="116">
        <f t="shared" si="3"/>
        <v>0</v>
      </c>
      <c r="W41" s="116">
        <f t="shared" si="4"/>
        <v>0</v>
      </c>
      <c r="X41" s="116">
        <f t="shared" si="5"/>
        <v>0</v>
      </c>
      <c r="Y41" s="116">
        <f t="shared" si="6"/>
        <v>0</v>
      </c>
      <c r="Z41" s="116">
        <f t="shared" si="7"/>
        <v>0</v>
      </c>
      <c r="AA41" s="116">
        <f t="shared" si="8"/>
        <v>0</v>
      </c>
      <c r="AB41" s="116">
        <f t="shared" si="9"/>
        <v>0</v>
      </c>
      <c r="AC41" s="116">
        <f t="shared" si="10"/>
        <v>0</v>
      </c>
      <c r="AD41" s="116">
        <f t="shared" si="11"/>
        <v>0</v>
      </c>
      <c r="AE41" s="116">
        <f t="shared" si="12"/>
        <v>0</v>
      </c>
    </row>
    <row r="42" spans="1:31">
      <c r="A42" s="131">
        <v>42719</v>
      </c>
      <c r="B42" s="131">
        <v>42750</v>
      </c>
      <c r="C42" s="123">
        <f t="shared" si="0"/>
        <v>31</v>
      </c>
      <c r="D42" s="123"/>
      <c r="E42" s="132">
        <v>43960.160000000003</v>
      </c>
      <c r="F42" s="110"/>
      <c r="G42" s="123">
        <v>14</v>
      </c>
      <c r="H42" s="123"/>
      <c r="I42" s="123"/>
      <c r="J42" s="123"/>
      <c r="K42" s="123"/>
      <c r="L42" s="123"/>
      <c r="M42" s="123"/>
      <c r="N42" s="123"/>
      <c r="O42" s="123"/>
      <c r="P42" s="123"/>
      <c r="Q42" s="123"/>
      <c r="R42" s="123"/>
      <c r="S42" s="133">
        <f t="shared" si="1"/>
        <v>0</v>
      </c>
      <c r="T42" s="116">
        <f t="shared" si="13"/>
        <v>296889.12</v>
      </c>
      <c r="U42" s="116">
        <f t="shared" si="2"/>
        <v>0</v>
      </c>
      <c r="V42" s="116">
        <f t="shared" si="3"/>
        <v>0</v>
      </c>
      <c r="W42" s="116">
        <f t="shared" si="4"/>
        <v>0</v>
      </c>
      <c r="X42" s="116">
        <f t="shared" si="5"/>
        <v>0</v>
      </c>
      <c r="Y42" s="116">
        <f t="shared" si="6"/>
        <v>0</v>
      </c>
      <c r="Z42" s="116">
        <f t="shared" si="7"/>
        <v>0</v>
      </c>
      <c r="AA42" s="116">
        <f t="shared" si="8"/>
        <v>0</v>
      </c>
      <c r="AB42" s="116">
        <f t="shared" si="9"/>
        <v>0</v>
      </c>
      <c r="AC42" s="116">
        <f t="shared" si="10"/>
        <v>0</v>
      </c>
      <c r="AD42" s="116">
        <f t="shared" si="11"/>
        <v>0</v>
      </c>
      <c r="AE42" s="116">
        <f t="shared" si="12"/>
        <v>0</v>
      </c>
    </row>
    <row r="43" spans="1:31">
      <c r="A43" s="131">
        <v>42719</v>
      </c>
      <c r="B43" s="131">
        <v>42750</v>
      </c>
      <c r="C43" s="123">
        <f t="shared" si="0"/>
        <v>31</v>
      </c>
      <c r="D43" s="123"/>
      <c r="E43" s="132">
        <v>2701.36</v>
      </c>
      <c r="F43" s="110"/>
      <c r="G43" s="123">
        <v>14</v>
      </c>
      <c r="H43" s="123"/>
      <c r="I43" s="123"/>
      <c r="J43" s="123"/>
      <c r="K43" s="123"/>
      <c r="L43" s="123"/>
      <c r="M43" s="123"/>
      <c r="N43" s="123"/>
      <c r="O43" s="123"/>
      <c r="P43" s="123"/>
      <c r="Q43" s="123"/>
      <c r="R43" s="123"/>
      <c r="S43" s="133">
        <f t="shared" si="1"/>
        <v>0</v>
      </c>
      <c r="T43" s="116">
        <f t="shared" si="13"/>
        <v>18243.89</v>
      </c>
      <c r="U43" s="116">
        <f t="shared" si="2"/>
        <v>0</v>
      </c>
      <c r="V43" s="116">
        <f t="shared" si="3"/>
        <v>0</v>
      </c>
      <c r="W43" s="116">
        <f t="shared" si="4"/>
        <v>0</v>
      </c>
      <c r="X43" s="116">
        <f t="shared" si="5"/>
        <v>0</v>
      </c>
      <c r="Y43" s="116">
        <f t="shared" si="6"/>
        <v>0</v>
      </c>
      <c r="Z43" s="116">
        <f t="shared" si="7"/>
        <v>0</v>
      </c>
      <c r="AA43" s="116">
        <f t="shared" si="8"/>
        <v>0</v>
      </c>
      <c r="AB43" s="116">
        <f t="shared" si="9"/>
        <v>0</v>
      </c>
      <c r="AC43" s="116">
        <f t="shared" si="10"/>
        <v>0</v>
      </c>
      <c r="AD43" s="116">
        <f t="shared" si="11"/>
        <v>0</v>
      </c>
      <c r="AE43" s="116">
        <f t="shared" si="12"/>
        <v>0</v>
      </c>
    </row>
    <row r="44" spans="1:31">
      <c r="A44" s="131">
        <v>42726</v>
      </c>
      <c r="B44" s="131">
        <v>42757</v>
      </c>
      <c r="C44" s="123">
        <f t="shared" si="0"/>
        <v>31</v>
      </c>
      <c r="D44" s="123">
        <v>30</v>
      </c>
      <c r="E44" s="132">
        <v>219416.93</v>
      </c>
      <c r="F44" s="110"/>
      <c r="G44" s="123">
        <v>21</v>
      </c>
      <c r="H44" s="123"/>
      <c r="I44" s="123"/>
      <c r="J44" s="123"/>
      <c r="K44" s="123"/>
      <c r="L44" s="123"/>
      <c r="M44" s="123"/>
      <c r="N44" s="123"/>
      <c r="O44" s="123"/>
      <c r="P44" s="123"/>
      <c r="Q44" s="123"/>
      <c r="R44" s="123"/>
      <c r="S44" s="133">
        <f t="shared" si="1"/>
        <v>0</v>
      </c>
      <c r="T44" s="116">
        <v>1847894.76</v>
      </c>
      <c r="U44" s="116">
        <f t="shared" si="2"/>
        <v>0</v>
      </c>
      <c r="V44" s="116">
        <f t="shared" si="3"/>
        <v>0</v>
      </c>
      <c r="W44" s="116">
        <f t="shared" si="4"/>
        <v>0</v>
      </c>
      <c r="X44" s="116">
        <f t="shared" si="5"/>
        <v>0</v>
      </c>
      <c r="Y44" s="116">
        <f t="shared" si="6"/>
        <v>0</v>
      </c>
      <c r="Z44" s="116">
        <f t="shared" si="7"/>
        <v>0</v>
      </c>
      <c r="AA44" s="116">
        <f t="shared" si="8"/>
        <v>0</v>
      </c>
      <c r="AB44" s="116">
        <f t="shared" si="9"/>
        <v>0</v>
      </c>
      <c r="AC44" s="116">
        <f t="shared" si="10"/>
        <v>0</v>
      </c>
      <c r="AD44" s="116">
        <f t="shared" si="11"/>
        <v>0</v>
      </c>
      <c r="AE44" s="116">
        <f t="shared" si="12"/>
        <v>0</v>
      </c>
    </row>
    <row r="45" spans="1:31">
      <c r="A45" s="131">
        <v>42730</v>
      </c>
      <c r="B45" s="131">
        <v>42761</v>
      </c>
      <c r="C45" s="123">
        <f t="shared" si="0"/>
        <v>31</v>
      </c>
      <c r="D45" s="123"/>
      <c r="E45" s="132">
        <v>1364.38</v>
      </c>
      <c r="F45" s="110"/>
      <c r="G45" s="123">
        <v>25</v>
      </c>
      <c r="H45" s="123"/>
      <c r="I45" s="123"/>
      <c r="J45" s="123"/>
      <c r="K45" s="123"/>
      <c r="L45" s="123"/>
      <c r="M45" s="123"/>
      <c r="N45" s="123"/>
      <c r="O45" s="123"/>
      <c r="P45" s="123"/>
      <c r="Q45" s="123"/>
      <c r="R45" s="123"/>
      <c r="S45" s="133">
        <f t="shared" si="1"/>
        <v>0</v>
      </c>
      <c r="T45" s="116">
        <f t="shared" si="13"/>
        <v>16454.41</v>
      </c>
      <c r="U45" s="116">
        <f t="shared" si="2"/>
        <v>0</v>
      </c>
      <c r="V45" s="116">
        <f t="shared" si="3"/>
        <v>0</v>
      </c>
      <c r="W45" s="116">
        <f t="shared" si="4"/>
        <v>0</v>
      </c>
      <c r="X45" s="116">
        <f t="shared" si="5"/>
        <v>0</v>
      </c>
      <c r="Y45" s="116">
        <f t="shared" si="6"/>
        <v>0</v>
      </c>
      <c r="Z45" s="116">
        <f t="shared" si="7"/>
        <v>0</v>
      </c>
      <c r="AA45" s="116">
        <f t="shared" si="8"/>
        <v>0</v>
      </c>
      <c r="AB45" s="116">
        <f t="shared" si="9"/>
        <v>0</v>
      </c>
      <c r="AC45" s="116">
        <f t="shared" si="10"/>
        <v>0</v>
      </c>
      <c r="AD45" s="116">
        <f t="shared" si="11"/>
        <v>0</v>
      </c>
      <c r="AE45" s="116">
        <f t="shared" si="12"/>
        <v>0</v>
      </c>
    </row>
    <row r="46" spans="1:31">
      <c r="A46" s="131">
        <v>42730</v>
      </c>
      <c r="B46" s="131">
        <v>42761</v>
      </c>
      <c r="C46" s="123">
        <f t="shared" si="0"/>
        <v>31</v>
      </c>
      <c r="D46" s="123"/>
      <c r="E46" s="132">
        <v>1039.8</v>
      </c>
      <c r="F46" s="110"/>
      <c r="G46" s="123">
        <v>25</v>
      </c>
      <c r="H46" s="123"/>
      <c r="I46" s="123"/>
      <c r="J46" s="123"/>
      <c r="K46" s="123"/>
      <c r="L46" s="123"/>
      <c r="M46" s="123"/>
      <c r="N46" s="123"/>
      <c r="O46" s="123"/>
      <c r="P46" s="123"/>
      <c r="Q46" s="123"/>
      <c r="R46" s="123"/>
      <c r="S46" s="133">
        <f t="shared" si="1"/>
        <v>0</v>
      </c>
      <c r="T46" s="116">
        <f t="shared" si="13"/>
        <v>12539.98</v>
      </c>
      <c r="U46" s="116">
        <f t="shared" si="2"/>
        <v>0</v>
      </c>
      <c r="V46" s="116">
        <f t="shared" si="3"/>
        <v>0</v>
      </c>
      <c r="W46" s="116">
        <f t="shared" si="4"/>
        <v>0</v>
      </c>
      <c r="X46" s="116">
        <f t="shared" si="5"/>
        <v>0</v>
      </c>
      <c r="Y46" s="116">
        <f t="shared" si="6"/>
        <v>0</v>
      </c>
      <c r="Z46" s="116">
        <f t="shared" si="7"/>
        <v>0</v>
      </c>
      <c r="AA46" s="116">
        <f t="shared" si="8"/>
        <v>0</v>
      </c>
      <c r="AB46" s="116">
        <f t="shared" si="9"/>
        <v>0</v>
      </c>
      <c r="AC46" s="116">
        <f t="shared" si="10"/>
        <v>0</v>
      </c>
      <c r="AD46" s="116">
        <f t="shared" si="11"/>
        <v>0</v>
      </c>
      <c r="AE46" s="116">
        <f t="shared" si="12"/>
        <v>0</v>
      </c>
    </row>
    <row r="47" spans="1:31">
      <c r="A47" s="131">
        <v>42732</v>
      </c>
      <c r="B47" s="131">
        <v>42763</v>
      </c>
      <c r="C47" s="123">
        <f t="shared" si="0"/>
        <v>31</v>
      </c>
      <c r="D47" s="123"/>
      <c r="E47" s="132">
        <v>1203.8800000000001</v>
      </c>
      <c r="F47" s="110"/>
      <c r="G47" s="123">
        <v>27</v>
      </c>
      <c r="H47" s="123"/>
      <c r="I47" s="123"/>
      <c r="J47" s="123"/>
      <c r="K47" s="123"/>
      <c r="L47" s="123"/>
      <c r="M47" s="123"/>
      <c r="N47" s="123"/>
      <c r="O47" s="123"/>
      <c r="P47" s="123"/>
      <c r="Q47" s="123"/>
      <c r="R47" s="123"/>
      <c r="S47" s="133">
        <f t="shared" si="1"/>
        <v>0</v>
      </c>
      <c r="T47" s="116">
        <f t="shared" si="13"/>
        <v>15680.28</v>
      </c>
      <c r="U47" s="116">
        <f t="shared" si="2"/>
        <v>0</v>
      </c>
      <c r="V47" s="116">
        <f t="shared" si="3"/>
        <v>0</v>
      </c>
      <c r="W47" s="116">
        <f t="shared" si="4"/>
        <v>0</v>
      </c>
      <c r="X47" s="116">
        <f t="shared" si="5"/>
        <v>0</v>
      </c>
      <c r="Y47" s="116">
        <f t="shared" si="6"/>
        <v>0</v>
      </c>
      <c r="Z47" s="116">
        <f t="shared" si="7"/>
        <v>0</v>
      </c>
      <c r="AA47" s="116">
        <f t="shared" si="8"/>
        <v>0</v>
      </c>
      <c r="AB47" s="116">
        <f t="shared" si="9"/>
        <v>0</v>
      </c>
      <c r="AC47" s="116">
        <f t="shared" si="10"/>
        <v>0</v>
      </c>
      <c r="AD47" s="116">
        <f t="shared" si="11"/>
        <v>0</v>
      </c>
      <c r="AE47" s="116">
        <f t="shared" si="12"/>
        <v>0</v>
      </c>
    </row>
    <row r="48" spans="1:31">
      <c r="A48" s="131">
        <v>42732</v>
      </c>
      <c r="B48" s="131">
        <v>42763</v>
      </c>
      <c r="C48" s="123">
        <f t="shared" si="0"/>
        <v>31</v>
      </c>
      <c r="D48" s="123"/>
      <c r="E48" s="132">
        <v>243.84</v>
      </c>
      <c r="F48" s="110"/>
      <c r="G48" s="123">
        <v>27</v>
      </c>
      <c r="H48" s="123"/>
      <c r="I48" s="123"/>
      <c r="J48" s="123"/>
      <c r="K48" s="123"/>
      <c r="L48" s="123"/>
      <c r="M48" s="123"/>
      <c r="N48" s="123"/>
      <c r="O48" s="123"/>
      <c r="P48" s="123"/>
      <c r="Q48" s="123"/>
      <c r="R48" s="123"/>
      <c r="S48" s="133">
        <f t="shared" si="1"/>
        <v>0</v>
      </c>
      <c r="T48" s="116">
        <f t="shared" si="13"/>
        <v>3175.96</v>
      </c>
      <c r="U48" s="116">
        <f t="shared" si="2"/>
        <v>0</v>
      </c>
      <c r="V48" s="116">
        <f t="shared" si="3"/>
        <v>0</v>
      </c>
      <c r="W48" s="116">
        <f t="shared" si="4"/>
        <v>0</v>
      </c>
      <c r="X48" s="116">
        <f t="shared" si="5"/>
        <v>0</v>
      </c>
      <c r="Y48" s="116">
        <f t="shared" si="6"/>
        <v>0</v>
      </c>
      <c r="Z48" s="116">
        <f t="shared" si="7"/>
        <v>0</v>
      </c>
      <c r="AA48" s="116">
        <f t="shared" si="8"/>
        <v>0</v>
      </c>
      <c r="AB48" s="116">
        <f t="shared" si="9"/>
        <v>0</v>
      </c>
      <c r="AC48" s="116">
        <f t="shared" si="10"/>
        <v>0</v>
      </c>
      <c r="AD48" s="116">
        <f t="shared" si="11"/>
        <v>0</v>
      </c>
      <c r="AE48" s="116">
        <f t="shared" si="12"/>
        <v>0</v>
      </c>
    </row>
    <row r="49" spans="1:31">
      <c r="A49" s="131">
        <v>42730</v>
      </c>
      <c r="B49" s="131">
        <v>42761</v>
      </c>
      <c r="C49" s="123">
        <f t="shared" si="0"/>
        <v>31</v>
      </c>
      <c r="D49" s="123"/>
      <c r="E49" s="132">
        <v>19.3</v>
      </c>
      <c r="F49" s="110"/>
      <c r="G49" s="123">
        <v>25</v>
      </c>
      <c r="H49" s="123"/>
      <c r="I49" s="123"/>
      <c r="J49" s="123"/>
      <c r="K49" s="123"/>
      <c r="L49" s="123"/>
      <c r="M49" s="123"/>
      <c r="N49" s="123"/>
      <c r="O49" s="123"/>
      <c r="P49" s="123"/>
      <c r="Q49" s="123"/>
      <c r="R49" s="123"/>
      <c r="S49" s="133">
        <f t="shared" si="1"/>
        <v>0</v>
      </c>
      <c r="T49" s="116">
        <f t="shared" si="13"/>
        <v>232.76</v>
      </c>
      <c r="U49" s="116">
        <f t="shared" si="2"/>
        <v>0</v>
      </c>
      <c r="V49" s="116">
        <f t="shared" si="3"/>
        <v>0</v>
      </c>
      <c r="W49" s="116">
        <f t="shared" si="4"/>
        <v>0</v>
      </c>
      <c r="X49" s="116">
        <f t="shared" si="5"/>
        <v>0</v>
      </c>
      <c r="Y49" s="116">
        <f t="shared" si="6"/>
        <v>0</v>
      </c>
      <c r="Z49" s="116">
        <f t="shared" si="7"/>
        <v>0</v>
      </c>
      <c r="AA49" s="116">
        <f t="shared" si="8"/>
        <v>0</v>
      </c>
      <c r="AB49" s="116">
        <f t="shared" si="9"/>
        <v>0</v>
      </c>
      <c r="AC49" s="116">
        <f t="shared" si="10"/>
        <v>0</v>
      </c>
      <c r="AD49" s="116">
        <f t="shared" si="11"/>
        <v>0</v>
      </c>
      <c r="AE49" s="116">
        <f t="shared" si="12"/>
        <v>0</v>
      </c>
    </row>
    <row r="50" spans="1:31">
      <c r="A50" s="131">
        <v>42736</v>
      </c>
      <c r="B50" s="131">
        <v>42767</v>
      </c>
      <c r="C50" s="123">
        <f t="shared" si="0"/>
        <v>31</v>
      </c>
      <c r="D50" s="123"/>
      <c r="E50" s="132">
        <v>145.72999999999999</v>
      </c>
      <c r="F50" s="110"/>
      <c r="G50" s="123">
        <v>31</v>
      </c>
      <c r="H50" s="123"/>
      <c r="I50" s="123"/>
      <c r="J50" s="123"/>
      <c r="K50" s="123"/>
      <c r="L50" s="123"/>
      <c r="M50" s="123"/>
      <c r="N50" s="123"/>
      <c r="O50" s="123"/>
      <c r="P50" s="123"/>
      <c r="Q50" s="123"/>
      <c r="R50" s="123"/>
      <c r="S50" s="133">
        <f t="shared" ref="S50:S58" si="14">C50-SUM(G50:R50)</f>
        <v>0</v>
      </c>
      <c r="T50" s="116">
        <f t="shared" si="13"/>
        <v>2179.3000000000002</v>
      </c>
      <c r="U50" s="116">
        <f t="shared" si="2"/>
        <v>0</v>
      </c>
      <c r="V50" s="116">
        <f t="shared" si="3"/>
        <v>0</v>
      </c>
      <c r="W50" s="116">
        <f t="shared" si="4"/>
        <v>0</v>
      </c>
      <c r="X50" s="116">
        <f t="shared" si="5"/>
        <v>0</v>
      </c>
      <c r="Y50" s="116">
        <f t="shared" si="6"/>
        <v>0</v>
      </c>
      <c r="Z50" s="116">
        <f t="shared" si="7"/>
        <v>0</v>
      </c>
      <c r="AA50" s="116">
        <f t="shared" si="8"/>
        <v>0</v>
      </c>
      <c r="AB50" s="116">
        <f t="shared" si="9"/>
        <v>0</v>
      </c>
      <c r="AC50" s="116">
        <f t="shared" si="10"/>
        <v>0</v>
      </c>
      <c r="AD50" s="116">
        <f t="shared" si="11"/>
        <v>0</v>
      </c>
      <c r="AE50" s="116">
        <f t="shared" si="12"/>
        <v>0</v>
      </c>
    </row>
    <row r="51" spans="1:31">
      <c r="A51" s="131">
        <v>42732</v>
      </c>
      <c r="B51" s="131">
        <v>42762</v>
      </c>
      <c r="C51" s="123">
        <f t="shared" si="0"/>
        <v>30</v>
      </c>
      <c r="D51" s="123" t="s">
        <v>218</v>
      </c>
      <c r="E51" s="132">
        <v>6907.84</v>
      </c>
      <c r="F51" s="110"/>
      <c r="G51" s="123">
        <v>26</v>
      </c>
      <c r="H51" s="123"/>
      <c r="I51" s="123"/>
      <c r="J51" s="123"/>
      <c r="K51" s="123"/>
      <c r="L51" s="123"/>
      <c r="M51" s="123"/>
      <c r="N51" s="123"/>
      <c r="O51" s="123"/>
      <c r="P51" s="123"/>
      <c r="Q51" s="123"/>
      <c r="R51" s="123"/>
      <c r="S51" s="133">
        <f>C51-SUM(G51:R51)-($A$6-A51)</f>
        <v>0</v>
      </c>
      <c r="T51" s="116">
        <f t="shared" si="13"/>
        <v>89528.86</v>
      </c>
      <c r="U51" s="116">
        <f t="shared" si="2"/>
        <v>0</v>
      </c>
      <c r="V51" s="116">
        <f t="shared" si="3"/>
        <v>0</v>
      </c>
      <c r="W51" s="116">
        <f t="shared" si="4"/>
        <v>0</v>
      </c>
      <c r="X51" s="116">
        <f t="shared" si="5"/>
        <v>0</v>
      </c>
      <c r="Y51" s="116">
        <f t="shared" si="6"/>
        <v>0</v>
      </c>
      <c r="Z51" s="116">
        <f t="shared" si="7"/>
        <v>0</v>
      </c>
      <c r="AA51" s="116">
        <f t="shared" si="8"/>
        <v>0</v>
      </c>
      <c r="AB51" s="116">
        <f t="shared" si="9"/>
        <v>0</v>
      </c>
      <c r="AC51" s="116">
        <f t="shared" si="10"/>
        <v>0</v>
      </c>
      <c r="AD51" s="116">
        <f t="shared" si="11"/>
        <v>0</v>
      </c>
      <c r="AE51" s="116">
        <f t="shared" si="12"/>
        <v>0</v>
      </c>
    </row>
    <row r="52" spans="1:31">
      <c r="A52" s="131">
        <v>42736</v>
      </c>
      <c r="B52" s="131">
        <v>42767</v>
      </c>
      <c r="C52" s="123">
        <f t="shared" si="0"/>
        <v>31</v>
      </c>
      <c r="D52" s="123" t="s">
        <v>219</v>
      </c>
      <c r="E52" s="132">
        <v>5540.15</v>
      </c>
      <c r="F52" s="110"/>
      <c r="G52" s="123">
        <v>31</v>
      </c>
      <c r="H52" s="123"/>
      <c r="I52" s="123"/>
      <c r="J52" s="123"/>
      <c r="K52" s="123"/>
      <c r="L52" s="123"/>
      <c r="M52" s="123"/>
      <c r="N52" s="123"/>
      <c r="O52" s="123"/>
      <c r="P52" s="123"/>
      <c r="Q52" s="123"/>
      <c r="R52" s="123"/>
      <c r="S52" s="133">
        <f t="shared" si="14"/>
        <v>0</v>
      </c>
      <c r="T52" s="116">
        <f t="shared" si="13"/>
        <v>82849.56</v>
      </c>
      <c r="U52" s="116">
        <f t="shared" si="2"/>
        <v>0</v>
      </c>
      <c r="V52" s="116">
        <f t="shared" si="3"/>
        <v>0</v>
      </c>
      <c r="W52" s="116">
        <f t="shared" si="4"/>
        <v>0</v>
      </c>
      <c r="X52" s="116">
        <f t="shared" si="5"/>
        <v>0</v>
      </c>
      <c r="Y52" s="116">
        <f t="shared" si="6"/>
        <v>0</v>
      </c>
      <c r="Z52" s="116">
        <f t="shared" si="7"/>
        <v>0</v>
      </c>
      <c r="AA52" s="116">
        <f t="shared" si="8"/>
        <v>0</v>
      </c>
      <c r="AB52" s="116">
        <f t="shared" si="9"/>
        <v>0</v>
      </c>
      <c r="AC52" s="116">
        <f t="shared" si="10"/>
        <v>0</v>
      </c>
      <c r="AD52" s="116">
        <f t="shared" si="11"/>
        <v>0</v>
      </c>
      <c r="AE52" s="116">
        <f t="shared" si="12"/>
        <v>0</v>
      </c>
    </row>
    <row r="53" spans="1:31">
      <c r="A53" s="131">
        <v>42736</v>
      </c>
      <c r="B53" s="131">
        <v>42767</v>
      </c>
      <c r="C53" s="123">
        <f t="shared" si="0"/>
        <v>31</v>
      </c>
      <c r="D53" s="123"/>
      <c r="E53" s="132">
        <v>84620.39</v>
      </c>
      <c r="F53" s="110"/>
      <c r="G53" s="123">
        <v>31</v>
      </c>
      <c r="H53" s="123"/>
      <c r="I53" s="123"/>
      <c r="J53" s="123"/>
      <c r="K53" s="123"/>
      <c r="L53" s="123"/>
      <c r="M53" s="123"/>
      <c r="N53" s="123"/>
      <c r="O53" s="123"/>
      <c r="P53" s="123"/>
      <c r="Q53" s="123"/>
      <c r="R53" s="123"/>
      <c r="S53" s="133">
        <f t="shared" si="14"/>
        <v>0</v>
      </c>
      <c r="T53" s="116">
        <f t="shared" si="13"/>
        <v>1265446.24</v>
      </c>
      <c r="U53" s="116">
        <f t="shared" si="2"/>
        <v>0</v>
      </c>
      <c r="V53" s="116">
        <f t="shared" si="3"/>
        <v>0</v>
      </c>
      <c r="W53" s="116">
        <f t="shared" si="4"/>
        <v>0</v>
      </c>
      <c r="X53" s="116">
        <f t="shared" si="5"/>
        <v>0</v>
      </c>
      <c r="Y53" s="116">
        <f t="shared" si="6"/>
        <v>0</v>
      </c>
      <c r="Z53" s="116">
        <f t="shared" si="7"/>
        <v>0</v>
      </c>
      <c r="AA53" s="116">
        <f t="shared" si="8"/>
        <v>0</v>
      </c>
      <c r="AB53" s="116">
        <f t="shared" si="9"/>
        <v>0</v>
      </c>
      <c r="AC53" s="116">
        <f t="shared" si="10"/>
        <v>0</v>
      </c>
      <c r="AD53" s="116">
        <f t="shared" si="11"/>
        <v>0</v>
      </c>
      <c r="AE53" s="116">
        <f t="shared" si="12"/>
        <v>0</v>
      </c>
    </row>
    <row r="54" spans="1:31">
      <c r="A54" s="131">
        <v>42736</v>
      </c>
      <c r="B54" s="131">
        <v>42767</v>
      </c>
      <c r="C54" s="123">
        <f t="shared" si="0"/>
        <v>31</v>
      </c>
      <c r="D54" s="123"/>
      <c r="E54" s="132">
        <v>18702.04</v>
      </c>
      <c r="F54" s="110"/>
      <c r="G54" s="123">
        <v>31</v>
      </c>
      <c r="H54" s="123"/>
      <c r="I54" s="123"/>
      <c r="J54" s="123"/>
      <c r="K54" s="123"/>
      <c r="L54" s="123"/>
      <c r="M54" s="123"/>
      <c r="N54" s="123"/>
      <c r="O54" s="123"/>
      <c r="P54" s="123"/>
      <c r="Q54" s="123"/>
      <c r="R54" s="123"/>
      <c r="S54" s="133">
        <f t="shared" si="14"/>
        <v>0</v>
      </c>
      <c r="T54" s="116">
        <f t="shared" si="13"/>
        <v>279677.58</v>
      </c>
      <c r="U54" s="116">
        <f t="shared" si="2"/>
        <v>0</v>
      </c>
      <c r="V54" s="116">
        <f t="shared" si="3"/>
        <v>0</v>
      </c>
      <c r="W54" s="116">
        <f t="shared" si="4"/>
        <v>0</v>
      </c>
      <c r="X54" s="116">
        <f t="shared" si="5"/>
        <v>0</v>
      </c>
      <c r="Y54" s="116">
        <f t="shared" si="6"/>
        <v>0</v>
      </c>
      <c r="Z54" s="116">
        <f t="shared" si="7"/>
        <v>0</v>
      </c>
      <c r="AA54" s="116">
        <f t="shared" si="8"/>
        <v>0</v>
      </c>
      <c r="AB54" s="116">
        <f t="shared" si="9"/>
        <v>0</v>
      </c>
      <c r="AC54" s="116">
        <f t="shared" si="10"/>
        <v>0</v>
      </c>
      <c r="AD54" s="116">
        <f t="shared" si="11"/>
        <v>0</v>
      </c>
      <c r="AE54" s="116">
        <f t="shared" si="12"/>
        <v>0</v>
      </c>
    </row>
    <row r="55" spans="1:31">
      <c r="A55" s="131">
        <v>42736</v>
      </c>
      <c r="B55" s="131">
        <v>42767</v>
      </c>
      <c r="C55" s="123">
        <f t="shared" si="0"/>
        <v>31</v>
      </c>
      <c r="D55" s="123"/>
      <c r="E55" s="132">
        <v>37128.410000000003</v>
      </c>
      <c r="F55" s="110"/>
      <c r="G55" s="123">
        <v>31</v>
      </c>
      <c r="H55" s="123"/>
      <c r="I55" s="123"/>
      <c r="J55" s="123"/>
      <c r="K55" s="123"/>
      <c r="L55" s="123"/>
      <c r="M55" s="123"/>
      <c r="N55" s="123"/>
      <c r="O55" s="123"/>
      <c r="P55" s="123"/>
      <c r="Q55" s="123"/>
      <c r="R55" s="123"/>
      <c r="S55" s="133">
        <f t="shared" si="14"/>
        <v>0</v>
      </c>
      <c r="T55" s="116">
        <f t="shared" si="13"/>
        <v>555232.68999999994</v>
      </c>
      <c r="U55" s="116">
        <f t="shared" si="2"/>
        <v>0</v>
      </c>
      <c r="V55" s="116">
        <f t="shared" si="3"/>
        <v>0</v>
      </c>
      <c r="W55" s="116">
        <f t="shared" si="4"/>
        <v>0</v>
      </c>
      <c r="X55" s="116">
        <f t="shared" si="5"/>
        <v>0</v>
      </c>
      <c r="Y55" s="116">
        <f t="shared" si="6"/>
        <v>0</v>
      </c>
      <c r="Z55" s="116">
        <f t="shared" si="7"/>
        <v>0</v>
      </c>
      <c r="AA55" s="116">
        <f t="shared" si="8"/>
        <v>0</v>
      </c>
      <c r="AB55" s="116">
        <f t="shared" si="9"/>
        <v>0</v>
      </c>
      <c r="AC55" s="116">
        <f t="shared" si="10"/>
        <v>0</v>
      </c>
      <c r="AD55" s="116">
        <f t="shared" si="11"/>
        <v>0</v>
      </c>
      <c r="AE55" s="116">
        <f t="shared" si="12"/>
        <v>0</v>
      </c>
    </row>
    <row r="56" spans="1:31">
      <c r="A56" s="131">
        <v>42736</v>
      </c>
      <c r="B56" s="131">
        <v>42767</v>
      </c>
      <c r="C56" s="123">
        <f t="shared" si="0"/>
        <v>31</v>
      </c>
      <c r="D56" s="123"/>
      <c r="E56" s="132">
        <v>11104.54</v>
      </c>
      <c r="F56" s="110"/>
      <c r="G56" s="123">
        <v>31</v>
      </c>
      <c r="H56" s="123"/>
      <c r="I56" s="123"/>
      <c r="J56" s="123"/>
      <c r="K56" s="123"/>
      <c r="L56" s="123"/>
      <c r="M56" s="123"/>
      <c r="N56" s="123"/>
      <c r="O56" s="123"/>
      <c r="P56" s="123"/>
      <c r="Q56" s="123"/>
      <c r="R56" s="123"/>
      <c r="S56" s="133">
        <f t="shared" si="14"/>
        <v>0</v>
      </c>
      <c r="T56" s="116">
        <f t="shared" si="13"/>
        <v>166061.60999999999</v>
      </c>
      <c r="U56" s="116">
        <f t="shared" si="2"/>
        <v>0</v>
      </c>
      <c r="V56" s="116">
        <f t="shared" si="3"/>
        <v>0</v>
      </c>
      <c r="W56" s="116">
        <f t="shared" si="4"/>
        <v>0</v>
      </c>
      <c r="X56" s="116">
        <f t="shared" si="5"/>
        <v>0</v>
      </c>
      <c r="Y56" s="116">
        <f t="shared" si="6"/>
        <v>0</v>
      </c>
      <c r="Z56" s="116">
        <f t="shared" si="7"/>
        <v>0</v>
      </c>
      <c r="AA56" s="116">
        <f t="shared" si="8"/>
        <v>0</v>
      </c>
      <c r="AB56" s="116">
        <f t="shared" si="9"/>
        <v>0</v>
      </c>
      <c r="AC56" s="116">
        <f t="shared" si="10"/>
        <v>0</v>
      </c>
      <c r="AD56" s="116">
        <f t="shared" si="11"/>
        <v>0</v>
      </c>
      <c r="AE56" s="116">
        <f t="shared" si="12"/>
        <v>0</v>
      </c>
    </row>
    <row r="57" spans="1:31">
      <c r="A57" s="131">
        <v>42738</v>
      </c>
      <c r="B57" s="131">
        <v>42769</v>
      </c>
      <c r="C57" s="123">
        <f t="shared" si="0"/>
        <v>31</v>
      </c>
      <c r="D57" s="123"/>
      <c r="E57" s="132">
        <v>744.32</v>
      </c>
      <c r="F57" s="110"/>
      <c r="G57" s="123">
        <v>29</v>
      </c>
      <c r="H57" s="123">
        <v>2</v>
      </c>
      <c r="I57" s="123"/>
      <c r="J57" s="123"/>
      <c r="K57" s="123"/>
      <c r="L57" s="123"/>
      <c r="M57" s="123"/>
      <c r="N57" s="123"/>
      <c r="O57" s="123"/>
      <c r="P57" s="123"/>
      <c r="Q57" s="123"/>
      <c r="R57" s="123"/>
      <c r="S57" s="133">
        <f t="shared" si="14"/>
        <v>0</v>
      </c>
      <c r="T57" s="116">
        <f t="shared" si="13"/>
        <v>10412.73</v>
      </c>
      <c r="U57" s="116">
        <f t="shared" si="2"/>
        <v>454.78</v>
      </c>
      <c r="V57" s="116">
        <f t="shared" si="3"/>
        <v>0</v>
      </c>
      <c r="W57" s="116">
        <f t="shared" si="4"/>
        <v>0</v>
      </c>
      <c r="X57" s="116">
        <f t="shared" si="5"/>
        <v>0</v>
      </c>
      <c r="Y57" s="116">
        <f t="shared" si="6"/>
        <v>0</v>
      </c>
      <c r="Z57" s="116">
        <f t="shared" si="7"/>
        <v>0</v>
      </c>
      <c r="AA57" s="116">
        <f t="shared" si="8"/>
        <v>0</v>
      </c>
      <c r="AB57" s="116">
        <f t="shared" si="9"/>
        <v>0</v>
      </c>
      <c r="AC57" s="116">
        <f t="shared" si="10"/>
        <v>0</v>
      </c>
      <c r="AD57" s="116">
        <f t="shared" si="11"/>
        <v>0</v>
      </c>
      <c r="AE57" s="116">
        <f t="shared" si="12"/>
        <v>0</v>
      </c>
    </row>
    <row r="58" spans="1:31">
      <c r="A58" s="131">
        <v>42738</v>
      </c>
      <c r="B58" s="131">
        <v>42769</v>
      </c>
      <c r="C58" s="123">
        <f t="shared" si="0"/>
        <v>31</v>
      </c>
      <c r="D58" s="123"/>
      <c r="E58" s="132">
        <v>2189.09</v>
      </c>
      <c r="F58" s="110"/>
      <c r="G58" s="123">
        <v>29</v>
      </c>
      <c r="H58" s="123">
        <v>2</v>
      </c>
      <c r="I58" s="123"/>
      <c r="J58" s="123"/>
      <c r="K58" s="123"/>
      <c r="L58" s="123"/>
      <c r="M58" s="123"/>
      <c r="N58" s="123"/>
      <c r="O58" s="123"/>
      <c r="P58" s="123"/>
      <c r="Q58" s="123"/>
      <c r="R58" s="123"/>
      <c r="S58" s="133">
        <f t="shared" si="14"/>
        <v>0</v>
      </c>
      <c r="T58" s="116">
        <f t="shared" si="13"/>
        <v>30624.47</v>
      </c>
      <c r="U58" s="116">
        <f t="shared" si="2"/>
        <v>1337.55</v>
      </c>
      <c r="V58" s="116">
        <f t="shared" si="3"/>
        <v>0</v>
      </c>
      <c r="W58" s="116">
        <f t="shared" si="4"/>
        <v>0</v>
      </c>
      <c r="X58" s="116">
        <f t="shared" si="5"/>
        <v>0</v>
      </c>
      <c r="Y58" s="116">
        <f t="shared" si="6"/>
        <v>0</v>
      </c>
      <c r="Z58" s="116">
        <f t="shared" si="7"/>
        <v>0</v>
      </c>
      <c r="AA58" s="116">
        <f t="shared" si="8"/>
        <v>0</v>
      </c>
      <c r="AB58" s="116">
        <f t="shared" si="9"/>
        <v>0</v>
      </c>
      <c r="AC58" s="116">
        <f t="shared" si="10"/>
        <v>0</v>
      </c>
      <c r="AD58" s="116">
        <f t="shared" si="11"/>
        <v>0</v>
      </c>
      <c r="AE58" s="116">
        <f t="shared" si="12"/>
        <v>0</v>
      </c>
    </row>
    <row r="59" spans="1:31">
      <c r="A59" s="131">
        <v>42738</v>
      </c>
      <c r="B59" s="131">
        <v>42769</v>
      </c>
      <c r="C59" s="123">
        <f t="shared" si="0"/>
        <v>31</v>
      </c>
      <c r="D59" s="123"/>
      <c r="E59" s="132">
        <v>433.79</v>
      </c>
      <c r="F59" s="110"/>
      <c r="G59" s="123">
        <v>29</v>
      </c>
      <c r="H59" s="123">
        <v>2</v>
      </c>
      <c r="I59" s="123"/>
      <c r="J59" s="123"/>
      <c r="K59" s="123"/>
      <c r="L59" s="123"/>
      <c r="M59" s="123"/>
      <c r="N59" s="123"/>
      <c r="O59" s="123"/>
      <c r="P59" s="123"/>
      <c r="Q59" s="123"/>
      <c r="R59" s="123"/>
      <c r="S59" s="133">
        <f t="shared" ref="S59:S63" si="15">C59-SUM(G59:R59)</f>
        <v>0</v>
      </c>
      <c r="T59" s="116">
        <f t="shared" si="13"/>
        <v>6068.54</v>
      </c>
      <c r="U59" s="116">
        <f t="shared" si="2"/>
        <v>265.05</v>
      </c>
      <c r="V59" s="116">
        <f t="shared" si="3"/>
        <v>0</v>
      </c>
      <c r="W59" s="116">
        <f t="shared" si="4"/>
        <v>0</v>
      </c>
      <c r="X59" s="116">
        <f t="shared" si="5"/>
        <v>0</v>
      </c>
      <c r="Y59" s="116">
        <f t="shared" si="6"/>
        <v>0</v>
      </c>
      <c r="Z59" s="116">
        <f t="shared" si="7"/>
        <v>0</v>
      </c>
      <c r="AA59" s="116">
        <f t="shared" si="8"/>
        <v>0</v>
      </c>
      <c r="AB59" s="116">
        <f t="shared" si="9"/>
        <v>0</v>
      </c>
      <c r="AC59" s="116">
        <f t="shared" si="10"/>
        <v>0</v>
      </c>
      <c r="AD59" s="116">
        <f t="shared" si="11"/>
        <v>0</v>
      </c>
      <c r="AE59" s="116">
        <f t="shared" si="12"/>
        <v>0</v>
      </c>
    </row>
    <row r="60" spans="1:31">
      <c r="A60" s="131">
        <v>42723</v>
      </c>
      <c r="B60" s="131">
        <v>42754</v>
      </c>
      <c r="C60" s="123">
        <f t="shared" si="0"/>
        <v>31</v>
      </c>
      <c r="D60" s="123"/>
      <c r="E60" s="132">
        <v>544.61</v>
      </c>
      <c r="F60" s="110"/>
      <c r="G60" s="123">
        <v>18</v>
      </c>
      <c r="H60" s="123"/>
      <c r="I60" s="123"/>
      <c r="J60" s="123"/>
      <c r="K60" s="123"/>
      <c r="L60" s="123"/>
      <c r="M60" s="123"/>
      <c r="N60" s="123"/>
      <c r="O60" s="123"/>
      <c r="P60" s="123"/>
      <c r="Q60" s="123"/>
      <c r="R60" s="123"/>
      <c r="S60" s="133">
        <f>C60-SUM(G60:R60)-($A$6-A60)</f>
        <v>0</v>
      </c>
      <c r="T60" s="116">
        <f t="shared" si="13"/>
        <v>4728.95</v>
      </c>
      <c r="U60" s="116">
        <f t="shared" si="2"/>
        <v>0</v>
      </c>
      <c r="V60" s="116">
        <f t="shared" si="3"/>
        <v>0</v>
      </c>
      <c r="W60" s="116">
        <f t="shared" si="4"/>
        <v>0</v>
      </c>
      <c r="X60" s="116">
        <f t="shared" si="5"/>
        <v>0</v>
      </c>
      <c r="Y60" s="116">
        <f t="shared" si="6"/>
        <v>0</v>
      </c>
      <c r="Z60" s="116">
        <f t="shared" si="7"/>
        <v>0</v>
      </c>
      <c r="AA60" s="116">
        <f t="shared" si="8"/>
        <v>0</v>
      </c>
      <c r="AB60" s="116">
        <f t="shared" si="9"/>
        <v>0</v>
      </c>
      <c r="AC60" s="116">
        <f t="shared" si="10"/>
        <v>0</v>
      </c>
      <c r="AD60" s="116">
        <f t="shared" si="11"/>
        <v>0</v>
      </c>
      <c r="AE60" s="116">
        <f t="shared" si="12"/>
        <v>0</v>
      </c>
    </row>
    <row r="61" spans="1:31">
      <c r="A61" s="131">
        <v>42736</v>
      </c>
      <c r="B61" s="131">
        <v>42767</v>
      </c>
      <c r="C61" s="123">
        <f t="shared" si="0"/>
        <v>31</v>
      </c>
      <c r="D61" s="123"/>
      <c r="E61" s="132">
        <v>2490.08</v>
      </c>
      <c r="F61" s="110"/>
      <c r="G61" s="123">
        <v>31</v>
      </c>
      <c r="H61" s="123"/>
      <c r="I61" s="123"/>
      <c r="J61" s="123"/>
      <c r="K61" s="123"/>
      <c r="L61" s="123"/>
      <c r="M61" s="123"/>
      <c r="N61" s="123"/>
      <c r="O61" s="123"/>
      <c r="P61" s="123"/>
      <c r="Q61" s="123"/>
      <c r="R61" s="123"/>
      <c r="S61" s="133">
        <f t="shared" si="15"/>
        <v>0</v>
      </c>
      <c r="T61" s="116">
        <f t="shared" si="13"/>
        <v>37237.629999999997</v>
      </c>
      <c r="U61" s="116">
        <f t="shared" si="2"/>
        <v>0</v>
      </c>
      <c r="V61" s="116">
        <f t="shared" si="3"/>
        <v>0</v>
      </c>
      <c r="W61" s="116">
        <f t="shared" si="4"/>
        <v>0</v>
      </c>
      <c r="X61" s="116">
        <f t="shared" si="5"/>
        <v>0</v>
      </c>
      <c r="Y61" s="116">
        <f t="shared" si="6"/>
        <v>0</v>
      </c>
      <c r="Z61" s="116">
        <f t="shared" si="7"/>
        <v>0</v>
      </c>
      <c r="AA61" s="116">
        <f t="shared" si="8"/>
        <v>0</v>
      </c>
      <c r="AB61" s="116">
        <f t="shared" si="9"/>
        <v>0</v>
      </c>
      <c r="AC61" s="116">
        <f t="shared" si="10"/>
        <v>0</v>
      </c>
      <c r="AD61" s="116">
        <f t="shared" si="11"/>
        <v>0</v>
      </c>
      <c r="AE61" s="116">
        <f t="shared" si="12"/>
        <v>0</v>
      </c>
    </row>
    <row r="62" spans="1:31">
      <c r="A62" s="131">
        <v>42738</v>
      </c>
      <c r="B62" s="131">
        <v>42769</v>
      </c>
      <c r="C62" s="123">
        <f t="shared" si="0"/>
        <v>31</v>
      </c>
      <c r="D62" s="123"/>
      <c r="E62" s="132">
        <v>787.74</v>
      </c>
      <c r="F62" s="110"/>
      <c r="G62" s="123">
        <v>29</v>
      </c>
      <c r="H62" s="123">
        <v>2</v>
      </c>
      <c r="I62" s="123"/>
      <c r="J62" s="123"/>
      <c r="K62" s="123"/>
      <c r="L62" s="123"/>
      <c r="M62" s="123"/>
      <c r="N62" s="123"/>
      <c r="O62" s="123"/>
      <c r="P62" s="123"/>
      <c r="Q62" s="123"/>
      <c r="R62" s="123"/>
      <c r="S62" s="133">
        <f t="shared" si="15"/>
        <v>0</v>
      </c>
      <c r="T62" s="116">
        <f t="shared" si="13"/>
        <v>11020.16</v>
      </c>
      <c r="U62" s="116">
        <f t="shared" si="2"/>
        <v>481.31</v>
      </c>
      <c r="V62" s="116">
        <f t="shared" si="3"/>
        <v>0</v>
      </c>
      <c r="W62" s="116">
        <f t="shared" si="4"/>
        <v>0</v>
      </c>
      <c r="X62" s="116">
        <f t="shared" si="5"/>
        <v>0</v>
      </c>
      <c r="Y62" s="116">
        <f t="shared" si="6"/>
        <v>0</v>
      </c>
      <c r="Z62" s="116">
        <f t="shared" si="7"/>
        <v>0</v>
      </c>
      <c r="AA62" s="116">
        <f t="shared" si="8"/>
        <v>0</v>
      </c>
      <c r="AB62" s="116">
        <f t="shared" si="9"/>
        <v>0</v>
      </c>
      <c r="AC62" s="116">
        <f t="shared" si="10"/>
        <v>0</v>
      </c>
      <c r="AD62" s="116">
        <f t="shared" si="11"/>
        <v>0</v>
      </c>
      <c r="AE62" s="116">
        <f t="shared" si="12"/>
        <v>0</v>
      </c>
    </row>
    <row r="63" spans="1:31">
      <c r="A63" s="131">
        <v>42740</v>
      </c>
      <c r="B63" s="131">
        <v>42771</v>
      </c>
      <c r="C63" s="123">
        <f t="shared" si="0"/>
        <v>31</v>
      </c>
      <c r="D63" s="123"/>
      <c r="E63" s="132">
        <v>337.28</v>
      </c>
      <c r="F63" s="110"/>
      <c r="G63" s="123">
        <v>27</v>
      </c>
      <c r="H63" s="123">
        <v>4</v>
      </c>
      <c r="I63" s="123"/>
      <c r="J63" s="123"/>
      <c r="K63" s="123"/>
      <c r="L63" s="123"/>
      <c r="M63" s="123"/>
      <c r="N63" s="123"/>
      <c r="O63" s="123"/>
      <c r="P63" s="123"/>
      <c r="Q63" s="123"/>
      <c r="R63" s="123"/>
      <c r="S63" s="133">
        <f t="shared" si="15"/>
        <v>0</v>
      </c>
      <c r="T63" s="116">
        <f t="shared" si="13"/>
        <v>4393</v>
      </c>
      <c r="U63" s="116">
        <f t="shared" si="2"/>
        <v>412.16</v>
      </c>
      <c r="V63" s="116">
        <f t="shared" si="3"/>
        <v>0</v>
      </c>
      <c r="W63" s="116">
        <f t="shared" si="4"/>
        <v>0</v>
      </c>
      <c r="X63" s="116">
        <f t="shared" si="5"/>
        <v>0</v>
      </c>
      <c r="Y63" s="116">
        <f t="shared" si="6"/>
        <v>0</v>
      </c>
      <c r="Z63" s="116">
        <f t="shared" si="7"/>
        <v>0</v>
      </c>
      <c r="AA63" s="116">
        <f t="shared" si="8"/>
        <v>0</v>
      </c>
      <c r="AB63" s="116">
        <f t="shared" si="9"/>
        <v>0</v>
      </c>
      <c r="AC63" s="116">
        <f t="shared" si="10"/>
        <v>0</v>
      </c>
      <c r="AD63" s="116">
        <f t="shared" si="11"/>
        <v>0</v>
      </c>
      <c r="AE63" s="116">
        <f t="shared" si="12"/>
        <v>0</v>
      </c>
    </row>
    <row r="64" spans="1:31">
      <c r="A64" s="131">
        <v>42738</v>
      </c>
      <c r="B64" s="131">
        <v>42769</v>
      </c>
      <c r="C64" s="123">
        <f t="shared" si="0"/>
        <v>31</v>
      </c>
      <c r="D64" s="123"/>
      <c r="E64" s="132">
        <v>255.77</v>
      </c>
      <c r="F64" s="110"/>
      <c r="G64" s="123">
        <v>29</v>
      </c>
      <c r="H64" s="123">
        <v>2</v>
      </c>
      <c r="I64" s="123"/>
      <c r="J64" s="123"/>
      <c r="K64" s="123"/>
      <c r="L64" s="123"/>
      <c r="M64" s="123"/>
      <c r="N64" s="123"/>
      <c r="O64" s="123"/>
      <c r="P64" s="123"/>
      <c r="Q64" s="123"/>
      <c r="R64" s="123"/>
      <c r="S64" s="133">
        <f t="shared" ref="S64:S128" si="16">C64-SUM(G64:R64)</f>
        <v>0</v>
      </c>
      <c r="T64" s="116">
        <f t="shared" si="13"/>
        <v>3578.12</v>
      </c>
      <c r="U64" s="116">
        <f t="shared" si="2"/>
        <v>156.28</v>
      </c>
      <c r="V64" s="116">
        <f t="shared" si="3"/>
        <v>0</v>
      </c>
      <c r="W64" s="116">
        <f t="shared" si="4"/>
        <v>0</v>
      </c>
      <c r="X64" s="116">
        <f t="shared" si="5"/>
        <v>0</v>
      </c>
      <c r="Y64" s="116">
        <f t="shared" si="6"/>
        <v>0</v>
      </c>
      <c r="Z64" s="116">
        <f t="shared" si="7"/>
        <v>0</v>
      </c>
      <c r="AA64" s="116">
        <f t="shared" si="8"/>
        <v>0</v>
      </c>
      <c r="AB64" s="116">
        <f t="shared" si="9"/>
        <v>0</v>
      </c>
      <c r="AC64" s="116">
        <f t="shared" si="10"/>
        <v>0</v>
      </c>
      <c r="AD64" s="116">
        <f t="shared" si="11"/>
        <v>0</v>
      </c>
      <c r="AE64" s="116">
        <f t="shared" si="12"/>
        <v>0</v>
      </c>
    </row>
    <row r="65" spans="1:31">
      <c r="A65" s="131">
        <v>42740</v>
      </c>
      <c r="B65" s="131">
        <v>42771</v>
      </c>
      <c r="C65" s="123">
        <f t="shared" si="0"/>
        <v>31</v>
      </c>
      <c r="D65" s="123"/>
      <c r="E65" s="132">
        <v>110.21</v>
      </c>
      <c r="F65" s="110"/>
      <c r="G65" s="123">
        <v>27</v>
      </c>
      <c r="H65" s="123">
        <v>4</v>
      </c>
      <c r="I65" s="123"/>
      <c r="J65" s="123"/>
      <c r="K65" s="123"/>
      <c r="L65" s="123"/>
      <c r="M65" s="123"/>
      <c r="N65" s="123"/>
      <c r="O65" s="123"/>
      <c r="P65" s="123"/>
      <c r="Q65" s="123"/>
      <c r="R65" s="123"/>
      <c r="S65" s="133">
        <f t="shared" si="16"/>
        <v>0</v>
      </c>
      <c r="T65" s="116">
        <f t="shared" si="13"/>
        <v>1435.46</v>
      </c>
      <c r="U65" s="116">
        <f t="shared" si="2"/>
        <v>134.68</v>
      </c>
      <c r="V65" s="116">
        <f t="shared" si="3"/>
        <v>0</v>
      </c>
      <c r="W65" s="116">
        <f t="shared" si="4"/>
        <v>0</v>
      </c>
      <c r="X65" s="116">
        <f t="shared" si="5"/>
        <v>0</v>
      </c>
      <c r="Y65" s="116">
        <f t="shared" si="6"/>
        <v>0</v>
      </c>
      <c r="Z65" s="116">
        <f t="shared" si="7"/>
        <v>0</v>
      </c>
      <c r="AA65" s="116">
        <f t="shared" si="8"/>
        <v>0</v>
      </c>
      <c r="AB65" s="116">
        <f t="shared" si="9"/>
        <v>0</v>
      </c>
      <c r="AC65" s="116">
        <f t="shared" si="10"/>
        <v>0</v>
      </c>
      <c r="AD65" s="116">
        <f t="shared" si="11"/>
        <v>0</v>
      </c>
      <c r="AE65" s="116">
        <f t="shared" si="12"/>
        <v>0</v>
      </c>
    </row>
    <row r="66" spans="1:31">
      <c r="A66" s="131">
        <v>42736</v>
      </c>
      <c r="B66" s="131">
        <v>42767</v>
      </c>
      <c r="C66" s="123">
        <f t="shared" si="0"/>
        <v>31</v>
      </c>
      <c r="D66" s="123"/>
      <c r="E66" s="132">
        <v>2971.97</v>
      </c>
      <c r="F66" s="110"/>
      <c r="G66" s="123">
        <v>31</v>
      </c>
      <c r="H66" s="123"/>
      <c r="I66" s="123"/>
      <c r="J66" s="123"/>
      <c r="K66" s="123"/>
      <c r="L66" s="123"/>
      <c r="M66" s="123"/>
      <c r="N66" s="123"/>
      <c r="O66" s="123"/>
      <c r="P66" s="123"/>
      <c r="Q66" s="123"/>
      <c r="R66" s="123"/>
      <c r="S66" s="133">
        <f t="shared" si="16"/>
        <v>0</v>
      </c>
      <c r="T66" s="116">
        <f t="shared" si="13"/>
        <v>44444</v>
      </c>
      <c r="U66" s="116">
        <f t="shared" si="2"/>
        <v>0</v>
      </c>
      <c r="V66" s="116">
        <f t="shared" si="3"/>
        <v>0</v>
      </c>
      <c r="W66" s="116">
        <f t="shared" si="4"/>
        <v>0</v>
      </c>
      <c r="X66" s="116">
        <f t="shared" si="5"/>
        <v>0</v>
      </c>
      <c r="Y66" s="116">
        <f t="shared" si="6"/>
        <v>0</v>
      </c>
      <c r="Z66" s="116">
        <f t="shared" si="7"/>
        <v>0</v>
      </c>
      <c r="AA66" s="116">
        <f t="shared" si="8"/>
        <v>0</v>
      </c>
      <c r="AB66" s="116">
        <f t="shared" si="9"/>
        <v>0</v>
      </c>
      <c r="AC66" s="116">
        <f t="shared" si="10"/>
        <v>0</v>
      </c>
      <c r="AD66" s="116">
        <f t="shared" si="11"/>
        <v>0</v>
      </c>
      <c r="AE66" s="116">
        <f t="shared" si="12"/>
        <v>0</v>
      </c>
    </row>
    <row r="67" spans="1:31">
      <c r="A67" s="131">
        <v>42743</v>
      </c>
      <c r="B67" s="131">
        <v>42774</v>
      </c>
      <c r="C67" s="123">
        <f t="shared" si="0"/>
        <v>31</v>
      </c>
      <c r="D67" s="123"/>
      <c r="E67" s="132">
        <v>195.07</v>
      </c>
      <c r="F67" s="110"/>
      <c r="G67" s="123">
        <v>24</v>
      </c>
      <c r="H67" s="123">
        <v>7</v>
      </c>
      <c r="I67" s="123"/>
      <c r="J67" s="123"/>
      <c r="K67" s="123"/>
      <c r="L67" s="123"/>
      <c r="M67" s="123"/>
      <c r="N67" s="123"/>
      <c r="O67" s="123"/>
      <c r="P67" s="123"/>
      <c r="Q67" s="123"/>
      <c r="R67" s="123"/>
      <c r="S67" s="133">
        <f t="shared" si="16"/>
        <v>0</v>
      </c>
      <c r="T67" s="116">
        <f t="shared" si="13"/>
        <v>2258.44</v>
      </c>
      <c r="U67" s="116">
        <f t="shared" si="2"/>
        <v>417.16</v>
      </c>
      <c r="V67" s="116">
        <f t="shared" si="3"/>
        <v>0</v>
      </c>
      <c r="W67" s="116">
        <f t="shared" si="4"/>
        <v>0</v>
      </c>
      <c r="X67" s="116">
        <f t="shared" si="5"/>
        <v>0</v>
      </c>
      <c r="Y67" s="116">
        <f t="shared" si="6"/>
        <v>0</v>
      </c>
      <c r="Z67" s="116">
        <f t="shared" si="7"/>
        <v>0</v>
      </c>
      <c r="AA67" s="116">
        <f t="shared" si="8"/>
        <v>0</v>
      </c>
      <c r="AB67" s="116">
        <f t="shared" si="9"/>
        <v>0</v>
      </c>
      <c r="AC67" s="116">
        <f t="shared" si="10"/>
        <v>0</v>
      </c>
      <c r="AD67" s="116">
        <f t="shared" si="11"/>
        <v>0</v>
      </c>
      <c r="AE67" s="116">
        <f t="shared" si="12"/>
        <v>0</v>
      </c>
    </row>
    <row r="68" spans="1:31">
      <c r="A68" s="131">
        <v>42743</v>
      </c>
      <c r="B68" s="131">
        <v>42774</v>
      </c>
      <c r="C68" s="123">
        <f t="shared" si="0"/>
        <v>31</v>
      </c>
      <c r="D68" s="123"/>
      <c r="E68" s="132">
        <v>546.70000000000005</v>
      </c>
      <c r="F68" s="110"/>
      <c r="G68" s="123">
        <v>24</v>
      </c>
      <c r="H68" s="123">
        <v>7</v>
      </c>
      <c r="I68" s="123"/>
      <c r="J68" s="123"/>
      <c r="K68" s="123"/>
      <c r="L68" s="123"/>
      <c r="M68" s="123"/>
      <c r="N68" s="123"/>
      <c r="O68" s="123"/>
      <c r="P68" s="123"/>
      <c r="Q68" s="123"/>
      <c r="R68" s="123"/>
      <c r="S68" s="133">
        <f t="shared" si="16"/>
        <v>0</v>
      </c>
      <c r="T68" s="116">
        <f t="shared" si="13"/>
        <v>6329.47</v>
      </c>
      <c r="U68" s="116">
        <f t="shared" si="2"/>
        <v>1169.1300000000001</v>
      </c>
      <c r="V68" s="116">
        <f t="shared" si="3"/>
        <v>0</v>
      </c>
      <c r="W68" s="116">
        <f t="shared" si="4"/>
        <v>0</v>
      </c>
      <c r="X68" s="116">
        <f t="shared" si="5"/>
        <v>0</v>
      </c>
      <c r="Y68" s="116">
        <f t="shared" si="6"/>
        <v>0</v>
      </c>
      <c r="Z68" s="116">
        <f t="shared" si="7"/>
        <v>0</v>
      </c>
      <c r="AA68" s="116">
        <f t="shared" si="8"/>
        <v>0</v>
      </c>
      <c r="AB68" s="116">
        <f t="shared" si="9"/>
        <v>0</v>
      </c>
      <c r="AC68" s="116">
        <f t="shared" si="10"/>
        <v>0</v>
      </c>
      <c r="AD68" s="116">
        <f t="shared" si="11"/>
        <v>0</v>
      </c>
      <c r="AE68" s="116">
        <f t="shared" si="12"/>
        <v>0</v>
      </c>
    </row>
    <row r="69" spans="1:31">
      <c r="A69" s="131">
        <v>42740</v>
      </c>
      <c r="B69" s="131">
        <v>42771</v>
      </c>
      <c r="C69" s="123">
        <f t="shared" si="0"/>
        <v>31</v>
      </c>
      <c r="D69" s="123"/>
      <c r="E69" s="132">
        <v>622.33000000000004</v>
      </c>
      <c r="F69" s="110"/>
      <c r="G69" s="123">
        <v>27</v>
      </c>
      <c r="H69" s="123">
        <v>4</v>
      </c>
      <c r="I69" s="123"/>
      <c r="J69" s="123"/>
      <c r="K69" s="123"/>
      <c r="L69" s="123"/>
      <c r="M69" s="123"/>
      <c r="N69" s="123"/>
      <c r="O69" s="123"/>
      <c r="P69" s="123"/>
      <c r="Q69" s="123"/>
      <c r="R69" s="123"/>
      <c r="S69" s="133">
        <f t="shared" si="16"/>
        <v>0</v>
      </c>
      <c r="T69" s="116">
        <f t="shared" si="13"/>
        <v>8105.72</v>
      </c>
      <c r="U69" s="116">
        <f t="shared" si="2"/>
        <v>760.49</v>
      </c>
      <c r="V69" s="116">
        <f t="shared" si="3"/>
        <v>0</v>
      </c>
      <c r="W69" s="116">
        <f t="shared" si="4"/>
        <v>0</v>
      </c>
      <c r="X69" s="116">
        <f t="shared" si="5"/>
        <v>0</v>
      </c>
      <c r="Y69" s="116">
        <f t="shared" si="6"/>
        <v>0</v>
      </c>
      <c r="Z69" s="116">
        <f t="shared" si="7"/>
        <v>0</v>
      </c>
      <c r="AA69" s="116">
        <f t="shared" si="8"/>
        <v>0</v>
      </c>
      <c r="AB69" s="116">
        <f t="shared" si="9"/>
        <v>0</v>
      </c>
      <c r="AC69" s="116">
        <f t="shared" si="10"/>
        <v>0</v>
      </c>
      <c r="AD69" s="116">
        <f t="shared" si="11"/>
        <v>0</v>
      </c>
      <c r="AE69" s="116">
        <f t="shared" si="12"/>
        <v>0</v>
      </c>
    </row>
    <row r="70" spans="1:31">
      <c r="A70" s="131">
        <v>42743</v>
      </c>
      <c r="B70" s="131">
        <v>42774</v>
      </c>
      <c r="C70" s="123">
        <f t="shared" si="0"/>
        <v>31</v>
      </c>
      <c r="D70" s="123"/>
      <c r="E70" s="132">
        <v>30.98</v>
      </c>
      <c r="F70" s="110"/>
      <c r="G70" s="123">
        <v>24</v>
      </c>
      <c r="H70" s="123">
        <v>7</v>
      </c>
      <c r="I70" s="123"/>
      <c r="J70" s="123"/>
      <c r="K70" s="123"/>
      <c r="L70" s="123"/>
      <c r="M70" s="123"/>
      <c r="N70" s="123"/>
      <c r="O70" s="123"/>
      <c r="P70" s="123"/>
      <c r="Q70" s="123"/>
      <c r="R70" s="123"/>
      <c r="S70" s="133">
        <f t="shared" si="16"/>
        <v>0</v>
      </c>
      <c r="T70" s="116">
        <f t="shared" si="13"/>
        <v>358.67</v>
      </c>
      <c r="U70" s="116">
        <f t="shared" si="2"/>
        <v>66.25</v>
      </c>
      <c r="V70" s="116">
        <f t="shared" si="3"/>
        <v>0</v>
      </c>
      <c r="W70" s="116">
        <f t="shared" si="4"/>
        <v>0</v>
      </c>
      <c r="X70" s="116">
        <f t="shared" si="5"/>
        <v>0</v>
      </c>
      <c r="Y70" s="116">
        <f t="shared" si="6"/>
        <v>0</v>
      </c>
      <c r="Z70" s="116">
        <f t="shared" si="7"/>
        <v>0</v>
      </c>
      <c r="AA70" s="116">
        <f t="shared" si="8"/>
        <v>0</v>
      </c>
      <c r="AB70" s="116">
        <f t="shared" si="9"/>
        <v>0</v>
      </c>
      <c r="AC70" s="116">
        <f t="shared" si="10"/>
        <v>0</v>
      </c>
      <c r="AD70" s="116">
        <f t="shared" si="11"/>
        <v>0</v>
      </c>
      <c r="AE70" s="116">
        <f t="shared" si="12"/>
        <v>0</v>
      </c>
    </row>
    <row r="71" spans="1:31">
      <c r="A71" s="131">
        <v>42743</v>
      </c>
      <c r="B71" s="131">
        <v>42774</v>
      </c>
      <c r="C71" s="123">
        <f t="shared" si="0"/>
        <v>31</v>
      </c>
      <c r="D71" s="123"/>
      <c r="E71" s="132">
        <v>563.66999999999996</v>
      </c>
      <c r="F71" s="110"/>
      <c r="G71" s="123">
        <v>24</v>
      </c>
      <c r="H71" s="123">
        <v>7</v>
      </c>
      <c r="I71" s="123"/>
      <c r="J71" s="123"/>
      <c r="K71" s="123"/>
      <c r="L71" s="123"/>
      <c r="M71" s="123"/>
      <c r="N71" s="123"/>
      <c r="O71" s="123"/>
      <c r="P71" s="123"/>
      <c r="Q71" s="123"/>
      <c r="R71" s="123"/>
      <c r="S71" s="133">
        <f t="shared" si="16"/>
        <v>0</v>
      </c>
      <c r="T71" s="116">
        <f t="shared" si="13"/>
        <v>6525.94</v>
      </c>
      <c r="U71" s="116">
        <f t="shared" si="2"/>
        <v>1205.42</v>
      </c>
      <c r="V71" s="116">
        <f t="shared" si="3"/>
        <v>0</v>
      </c>
      <c r="W71" s="116">
        <f t="shared" si="4"/>
        <v>0</v>
      </c>
      <c r="X71" s="116">
        <f t="shared" si="5"/>
        <v>0</v>
      </c>
      <c r="Y71" s="116">
        <f t="shared" si="6"/>
        <v>0</v>
      </c>
      <c r="Z71" s="116">
        <f t="shared" si="7"/>
        <v>0</v>
      </c>
      <c r="AA71" s="116">
        <f t="shared" si="8"/>
        <v>0</v>
      </c>
      <c r="AB71" s="116">
        <f t="shared" si="9"/>
        <v>0</v>
      </c>
      <c r="AC71" s="116">
        <f t="shared" si="10"/>
        <v>0</v>
      </c>
      <c r="AD71" s="116">
        <f t="shared" si="11"/>
        <v>0</v>
      </c>
      <c r="AE71" s="116">
        <f t="shared" si="12"/>
        <v>0</v>
      </c>
    </row>
    <row r="72" spans="1:31">
      <c r="A72" s="131">
        <v>42743</v>
      </c>
      <c r="B72" s="131">
        <v>42774</v>
      </c>
      <c r="C72" s="123">
        <f t="shared" si="0"/>
        <v>31</v>
      </c>
      <c r="D72" s="123"/>
      <c r="E72" s="132">
        <v>115.89</v>
      </c>
      <c r="F72" s="110"/>
      <c r="G72" s="123">
        <v>24</v>
      </c>
      <c r="H72" s="123">
        <v>7</v>
      </c>
      <c r="I72" s="123"/>
      <c r="J72" s="123"/>
      <c r="K72" s="123"/>
      <c r="L72" s="123"/>
      <c r="M72" s="123"/>
      <c r="N72" s="123"/>
      <c r="O72" s="123"/>
      <c r="P72" s="123"/>
      <c r="Q72" s="123"/>
      <c r="R72" s="123"/>
      <c r="S72" s="133">
        <f t="shared" si="16"/>
        <v>0</v>
      </c>
      <c r="T72" s="116">
        <f t="shared" si="13"/>
        <v>1341.73</v>
      </c>
      <c r="U72" s="116">
        <f t="shared" si="2"/>
        <v>247.83</v>
      </c>
      <c r="V72" s="116">
        <f t="shared" si="3"/>
        <v>0</v>
      </c>
      <c r="W72" s="116">
        <f t="shared" si="4"/>
        <v>0</v>
      </c>
      <c r="X72" s="116">
        <f t="shared" si="5"/>
        <v>0</v>
      </c>
      <c r="Y72" s="116">
        <f t="shared" si="6"/>
        <v>0</v>
      </c>
      <c r="Z72" s="116">
        <f t="shared" si="7"/>
        <v>0</v>
      </c>
      <c r="AA72" s="116">
        <f t="shared" si="8"/>
        <v>0</v>
      </c>
      <c r="AB72" s="116">
        <f t="shared" si="9"/>
        <v>0</v>
      </c>
      <c r="AC72" s="116">
        <f t="shared" si="10"/>
        <v>0</v>
      </c>
      <c r="AD72" s="116">
        <f t="shared" si="11"/>
        <v>0</v>
      </c>
      <c r="AE72" s="116">
        <f t="shared" si="12"/>
        <v>0</v>
      </c>
    </row>
    <row r="73" spans="1:31">
      <c r="A73" s="131">
        <v>42747</v>
      </c>
      <c r="B73" s="131">
        <v>42778</v>
      </c>
      <c r="C73" s="123">
        <f t="shared" si="0"/>
        <v>31</v>
      </c>
      <c r="D73" s="123"/>
      <c r="E73" s="132">
        <v>815.51</v>
      </c>
      <c r="F73" s="110"/>
      <c r="G73" s="123">
        <v>20</v>
      </c>
      <c r="H73" s="123">
        <v>11</v>
      </c>
      <c r="I73" s="123"/>
      <c r="J73" s="123"/>
      <c r="K73" s="123"/>
      <c r="L73" s="123"/>
      <c r="M73" s="123"/>
      <c r="N73" s="123"/>
      <c r="O73" s="123"/>
      <c r="P73" s="123"/>
      <c r="Q73" s="123"/>
      <c r="R73" s="123"/>
      <c r="S73" s="133">
        <f t="shared" si="16"/>
        <v>0</v>
      </c>
      <c r="T73" s="116">
        <f t="shared" si="13"/>
        <v>7868.03</v>
      </c>
      <c r="U73" s="116">
        <f t="shared" si="2"/>
        <v>2740.55</v>
      </c>
      <c r="V73" s="116">
        <f t="shared" si="3"/>
        <v>0</v>
      </c>
      <c r="W73" s="116">
        <f t="shared" si="4"/>
        <v>0</v>
      </c>
      <c r="X73" s="116">
        <f t="shared" si="5"/>
        <v>0</v>
      </c>
      <c r="Y73" s="116">
        <f t="shared" si="6"/>
        <v>0</v>
      </c>
      <c r="Z73" s="116">
        <f t="shared" si="7"/>
        <v>0</v>
      </c>
      <c r="AA73" s="116">
        <f t="shared" si="8"/>
        <v>0</v>
      </c>
      <c r="AB73" s="116">
        <f t="shared" si="9"/>
        <v>0</v>
      </c>
      <c r="AC73" s="116">
        <f t="shared" si="10"/>
        <v>0</v>
      </c>
      <c r="AD73" s="116">
        <f t="shared" si="11"/>
        <v>0</v>
      </c>
      <c r="AE73" s="116">
        <f t="shared" si="12"/>
        <v>0</v>
      </c>
    </row>
    <row r="74" spans="1:31">
      <c r="A74" s="131">
        <v>42747</v>
      </c>
      <c r="B74" s="131">
        <v>42778</v>
      </c>
      <c r="C74" s="123">
        <f t="shared" si="0"/>
        <v>31</v>
      </c>
      <c r="D74" s="123"/>
      <c r="E74" s="132">
        <v>1078.8</v>
      </c>
      <c r="F74" s="110"/>
      <c r="G74" s="123">
        <v>20</v>
      </c>
      <c r="H74" s="123">
        <v>11</v>
      </c>
      <c r="I74" s="123"/>
      <c r="J74" s="123"/>
      <c r="K74" s="123"/>
      <c r="L74" s="123"/>
      <c r="M74" s="123"/>
      <c r="N74" s="123"/>
      <c r="O74" s="123"/>
      <c r="P74" s="123"/>
      <c r="Q74" s="123"/>
      <c r="R74" s="123"/>
      <c r="S74" s="133">
        <f t="shared" si="16"/>
        <v>0</v>
      </c>
      <c r="T74" s="116">
        <f t="shared" si="13"/>
        <v>10408.25</v>
      </c>
      <c r="U74" s="116">
        <f t="shared" si="2"/>
        <v>3625.34</v>
      </c>
      <c r="V74" s="116">
        <f t="shared" si="3"/>
        <v>0</v>
      </c>
      <c r="W74" s="116">
        <f t="shared" si="4"/>
        <v>0</v>
      </c>
      <c r="X74" s="116">
        <f t="shared" si="5"/>
        <v>0</v>
      </c>
      <c r="Y74" s="116">
        <f t="shared" si="6"/>
        <v>0</v>
      </c>
      <c r="Z74" s="116">
        <f t="shared" si="7"/>
        <v>0</v>
      </c>
      <c r="AA74" s="116">
        <f t="shared" si="8"/>
        <v>0</v>
      </c>
      <c r="AB74" s="116">
        <f t="shared" si="9"/>
        <v>0</v>
      </c>
      <c r="AC74" s="116">
        <f t="shared" si="10"/>
        <v>0</v>
      </c>
      <c r="AD74" s="116">
        <f t="shared" si="11"/>
        <v>0</v>
      </c>
      <c r="AE74" s="116">
        <f t="shared" si="12"/>
        <v>0</v>
      </c>
    </row>
    <row r="75" spans="1:31" ht="15.75" thickBot="1">
      <c r="A75" s="131">
        <v>42747</v>
      </c>
      <c r="B75" s="131">
        <v>42778</v>
      </c>
      <c r="C75" s="123">
        <f t="shared" si="0"/>
        <v>31</v>
      </c>
      <c r="D75" s="123"/>
      <c r="E75" s="132">
        <v>188.48</v>
      </c>
      <c r="F75" s="110"/>
      <c r="G75" s="123">
        <v>20</v>
      </c>
      <c r="H75" s="123">
        <v>11</v>
      </c>
      <c r="I75" s="123"/>
      <c r="J75" s="123"/>
      <c r="K75" s="123"/>
      <c r="L75" s="123"/>
      <c r="M75" s="123"/>
      <c r="N75" s="123"/>
      <c r="O75" s="123"/>
      <c r="P75" s="123"/>
      <c r="Q75" s="123"/>
      <c r="R75" s="123"/>
      <c r="S75" s="133">
        <f t="shared" si="16"/>
        <v>0</v>
      </c>
      <c r="T75" s="116">
        <f t="shared" si="13"/>
        <v>1818.45</v>
      </c>
      <c r="U75" s="116">
        <f t="shared" si="2"/>
        <v>633.39</v>
      </c>
      <c r="V75" s="116">
        <f t="shared" si="3"/>
        <v>0</v>
      </c>
      <c r="W75" s="116">
        <f t="shared" si="4"/>
        <v>0</v>
      </c>
      <c r="X75" s="116">
        <f t="shared" si="5"/>
        <v>0</v>
      </c>
      <c r="Y75" s="116">
        <f t="shared" si="6"/>
        <v>0</v>
      </c>
      <c r="Z75" s="116">
        <f t="shared" si="7"/>
        <v>0</v>
      </c>
      <c r="AA75" s="116">
        <f t="shared" si="8"/>
        <v>0</v>
      </c>
      <c r="AB75" s="116">
        <f t="shared" si="9"/>
        <v>0</v>
      </c>
      <c r="AC75" s="116">
        <f t="shared" si="10"/>
        <v>0</v>
      </c>
      <c r="AD75" s="116">
        <f t="shared" si="11"/>
        <v>0</v>
      </c>
      <c r="AE75" s="116">
        <f t="shared" si="12"/>
        <v>0</v>
      </c>
    </row>
    <row r="76" spans="1:31" ht="15.75" thickBot="1">
      <c r="A76" s="185" t="s">
        <v>37</v>
      </c>
      <c r="B76" s="186"/>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7"/>
    </row>
    <row r="77" spans="1:31">
      <c r="A77" s="131">
        <v>42750</v>
      </c>
      <c r="B77" s="131">
        <v>42781</v>
      </c>
      <c r="C77" s="123">
        <f t="shared" si="0"/>
        <v>31</v>
      </c>
      <c r="D77" s="123"/>
      <c r="E77" s="132">
        <v>43154.94</v>
      </c>
      <c r="F77" s="110"/>
      <c r="G77" s="123">
        <v>17</v>
      </c>
      <c r="H77" s="123">
        <v>14</v>
      </c>
      <c r="I77" s="123"/>
      <c r="J77" s="123"/>
      <c r="K77" s="123"/>
      <c r="L77" s="123"/>
      <c r="M77" s="123"/>
      <c r="N77" s="123"/>
      <c r="O77" s="123"/>
      <c r="P77" s="123"/>
      <c r="Q77" s="123"/>
      <c r="R77" s="123"/>
      <c r="S77" s="133">
        <f t="shared" si="16"/>
        <v>0</v>
      </c>
      <c r="T77" s="116">
        <f t="shared" si="13"/>
        <v>353904.77</v>
      </c>
      <c r="U77" s="116">
        <f t="shared" si="2"/>
        <v>184575.51</v>
      </c>
      <c r="V77" s="116">
        <f t="shared" si="3"/>
        <v>0</v>
      </c>
      <c r="W77" s="116">
        <f t="shared" si="4"/>
        <v>0</v>
      </c>
      <c r="X77" s="116">
        <f t="shared" si="5"/>
        <v>0</v>
      </c>
      <c r="Y77" s="116">
        <f t="shared" si="6"/>
        <v>0</v>
      </c>
      <c r="Z77" s="116">
        <f t="shared" si="7"/>
        <v>0</v>
      </c>
      <c r="AA77" s="116">
        <f t="shared" si="8"/>
        <v>0</v>
      </c>
      <c r="AB77" s="116">
        <f t="shared" si="9"/>
        <v>0</v>
      </c>
      <c r="AC77" s="116">
        <f t="shared" si="10"/>
        <v>0</v>
      </c>
      <c r="AD77" s="116">
        <f t="shared" si="11"/>
        <v>0</v>
      </c>
      <c r="AE77" s="116">
        <f t="shared" si="12"/>
        <v>0</v>
      </c>
    </row>
    <row r="78" spans="1:31">
      <c r="A78" s="131">
        <v>42750</v>
      </c>
      <c r="B78" s="131">
        <v>42781</v>
      </c>
      <c r="C78" s="123">
        <f t="shared" si="0"/>
        <v>31</v>
      </c>
      <c r="D78" s="123"/>
      <c r="E78" s="132">
        <v>7166.67</v>
      </c>
      <c r="F78" s="110"/>
      <c r="G78" s="123">
        <v>17</v>
      </c>
      <c r="H78" s="123">
        <v>14</v>
      </c>
      <c r="I78" s="123"/>
      <c r="J78" s="123"/>
      <c r="K78" s="123"/>
      <c r="L78" s="123"/>
      <c r="M78" s="123"/>
      <c r="N78" s="123"/>
      <c r="O78" s="123"/>
      <c r="P78" s="123"/>
      <c r="Q78" s="123"/>
      <c r="R78" s="123"/>
      <c r="S78" s="133">
        <f t="shared" si="16"/>
        <v>0</v>
      </c>
      <c r="T78" s="116">
        <f t="shared" si="13"/>
        <v>58772.38</v>
      </c>
      <c r="U78" s="116">
        <f t="shared" si="2"/>
        <v>30652.15</v>
      </c>
      <c r="V78" s="116">
        <f t="shared" si="3"/>
        <v>0</v>
      </c>
      <c r="W78" s="116">
        <f t="shared" si="4"/>
        <v>0</v>
      </c>
      <c r="X78" s="116">
        <f t="shared" si="5"/>
        <v>0</v>
      </c>
      <c r="Y78" s="116">
        <f t="shared" si="6"/>
        <v>0</v>
      </c>
      <c r="Z78" s="116">
        <f t="shared" si="7"/>
        <v>0</v>
      </c>
      <c r="AA78" s="116">
        <f t="shared" si="8"/>
        <v>0</v>
      </c>
      <c r="AB78" s="116">
        <f t="shared" si="9"/>
        <v>0</v>
      </c>
      <c r="AC78" s="116">
        <f t="shared" si="10"/>
        <v>0</v>
      </c>
      <c r="AD78" s="116">
        <f t="shared" si="11"/>
        <v>0</v>
      </c>
      <c r="AE78" s="116">
        <f t="shared" si="12"/>
        <v>0</v>
      </c>
    </row>
    <row r="79" spans="1:31">
      <c r="A79" s="131">
        <v>42750</v>
      </c>
      <c r="B79" s="131">
        <v>42781</v>
      </c>
      <c r="C79" s="123">
        <f t="shared" si="0"/>
        <v>31</v>
      </c>
      <c r="D79" s="123"/>
      <c r="E79" s="132">
        <v>2563.44</v>
      </c>
      <c r="F79" s="110"/>
      <c r="G79" s="123">
        <v>17</v>
      </c>
      <c r="H79" s="123">
        <v>14</v>
      </c>
      <c r="I79" s="123"/>
      <c r="J79" s="123"/>
      <c r="K79" s="123"/>
      <c r="L79" s="123"/>
      <c r="M79" s="123"/>
      <c r="N79" s="123"/>
      <c r="O79" s="123"/>
      <c r="P79" s="123"/>
      <c r="Q79" s="123"/>
      <c r="R79" s="123"/>
      <c r="S79" s="133">
        <f t="shared" si="16"/>
        <v>0</v>
      </c>
      <c r="T79" s="116">
        <f t="shared" si="13"/>
        <v>21022.240000000002</v>
      </c>
      <c r="U79" s="116">
        <f t="shared" si="2"/>
        <v>10963.94</v>
      </c>
      <c r="V79" s="116">
        <f t="shared" si="3"/>
        <v>0</v>
      </c>
      <c r="W79" s="116">
        <f t="shared" si="4"/>
        <v>0</v>
      </c>
      <c r="X79" s="116">
        <f t="shared" si="5"/>
        <v>0</v>
      </c>
      <c r="Y79" s="116">
        <f t="shared" si="6"/>
        <v>0</v>
      </c>
      <c r="Z79" s="116">
        <f t="shared" si="7"/>
        <v>0</v>
      </c>
      <c r="AA79" s="116">
        <f t="shared" si="8"/>
        <v>0</v>
      </c>
      <c r="AB79" s="116">
        <f t="shared" si="9"/>
        <v>0</v>
      </c>
      <c r="AC79" s="116">
        <f t="shared" si="10"/>
        <v>0</v>
      </c>
      <c r="AD79" s="116">
        <f t="shared" si="11"/>
        <v>0</v>
      </c>
      <c r="AE79" s="116">
        <f t="shared" si="12"/>
        <v>0</v>
      </c>
    </row>
    <row r="80" spans="1:31">
      <c r="A80" s="131">
        <v>42754</v>
      </c>
      <c r="B80" s="131">
        <v>42785</v>
      </c>
      <c r="C80" s="123">
        <f t="shared" si="0"/>
        <v>31</v>
      </c>
      <c r="D80" s="123"/>
      <c r="E80" s="132">
        <v>576.95000000000005</v>
      </c>
      <c r="F80" s="110"/>
      <c r="G80" s="123">
        <v>13</v>
      </c>
      <c r="H80" s="123">
        <v>18</v>
      </c>
      <c r="I80" s="123"/>
      <c r="J80" s="123"/>
      <c r="K80" s="123"/>
      <c r="L80" s="123"/>
      <c r="M80" s="123"/>
      <c r="N80" s="123"/>
      <c r="O80" s="123"/>
      <c r="P80" s="123"/>
      <c r="Q80" s="123"/>
      <c r="R80" s="123"/>
      <c r="S80" s="133">
        <f t="shared" si="16"/>
        <v>0</v>
      </c>
      <c r="T80" s="116">
        <f t="shared" si="13"/>
        <v>3618.17</v>
      </c>
      <c r="U80" s="116">
        <f t="shared" si="2"/>
        <v>3172.68</v>
      </c>
      <c r="V80" s="116">
        <f t="shared" si="3"/>
        <v>0</v>
      </c>
      <c r="W80" s="116">
        <f t="shared" si="4"/>
        <v>0</v>
      </c>
      <c r="X80" s="116">
        <f t="shared" si="5"/>
        <v>0</v>
      </c>
      <c r="Y80" s="116">
        <f t="shared" si="6"/>
        <v>0</v>
      </c>
      <c r="Z80" s="116">
        <f t="shared" si="7"/>
        <v>0</v>
      </c>
      <c r="AA80" s="116">
        <f t="shared" si="8"/>
        <v>0</v>
      </c>
      <c r="AB80" s="116">
        <f t="shared" si="9"/>
        <v>0</v>
      </c>
      <c r="AC80" s="116">
        <f t="shared" si="10"/>
        <v>0</v>
      </c>
      <c r="AD80" s="116">
        <f t="shared" si="11"/>
        <v>0</v>
      </c>
      <c r="AE80" s="116">
        <f t="shared" si="12"/>
        <v>0</v>
      </c>
    </row>
    <row r="81" spans="1:31">
      <c r="A81" s="131">
        <v>42754</v>
      </c>
      <c r="B81" s="131">
        <v>42785</v>
      </c>
      <c r="C81" s="123">
        <f t="shared" si="0"/>
        <v>31</v>
      </c>
      <c r="D81" s="123"/>
      <c r="E81" s="132">
        <v>692.87</v>
      </c>
      <c r="F81" s="110"/>
      <c r="G81" s="123">
        <v>13</v>
      </c>
      <c r="H81" s="123">
        <v>18</v>
      </c>
      <c r="I81" s="123"/>
      <c r="J81" s="123"/>
      <c r="K81" s="123"/>
      <c r="L81" s="123"/>
      <c r="M81" s="123"/>
      <c r="N81" s="123"/>
      <c r="O81" s="123"/>
      <c r="P81" s="123"/>
      <c r="Q81" s="123"/>
      <c r="R81" s="123"/>
      <c r="S81" s="133">
        <f t="shared" si="16"/>
        <v>0</v>
      </c>
      <c r="T81" s="116">
        <f t="shared" si="13"/>
        <v>4345.12</v>
      </c>
      <c r="U81" s="116">
        <f t="shared" si="2"/>
        <v>3810.13</v>
      </c>
      <c r="V81" s="116">
        <f t="shared" si="3"/>
        <v>0</v>
      </c>
      <c r="W81" s="116">
        <f t="shared" si="4"/>
        <v>0</v>
      </c>
      <c r="X81" s="116">
        <f t="shared" si="5"/>
        <v>0</v>
      </c>
      <c r="Y81" s="116">
        <f t="shared" si="6"/>
        <v>0</v>
      </c>
      <c r="Z81" s="116">
        <f t="shared" si="7"/>
        <v>0</v>
      </c>
      <c r="AA81" s="116">
        <f t="shared" si="8"/>
        <v>0</v>
      </c>
      <c r="AB81" s="116">
        <f t="shared" si="9"/>
        <v>0</v>
      </c>
      <c r="AC81" s="116">
        <f t="shared" si="10"/>
        <v>0</v>
      </c>
      <c r="AD81" s="116">
        <f t="shared" si="11"/>
        <v>0</v>
      </c>
      <c r="AE81" s="116">
        <f t="shared" si="12"/>
        <v>0</v>
      </c>
    </row>
    <row r="82" spans="1:31">
      <c r="A82" s="131">
        <v>42761</v>
      </c>
      <c r="B82" s="131">
        <v>42792</v>
      </c>
      <c r="C82" s="123">
        <f t="shared" si="0"/>
        <v>31</v>
      </c>
      <c r="D82" s="123"/>
      <c r="E82" s="132">
        <v>1830.56</v>
      </c>
      <c r="F82" s="110"/>
      <c r="G82" s="123">
        <v>6</v>
      </c>
      <c r="H82" s="123">
        <v>25</v>
      </c>
      <c r="I82" s="123"/>
      <c r="J82" s="123"/>
      <c r="K82" s="123"/>
      <c r="L82" s="123"/>
      <c r="M82" s="123"/>
      <c r="N82" s="123"/>
      <c r="O82" s="123"/>
      <c r="P82" s="123"/>
      <c r="Q82" s="123"/>
      <c r="R82" s="123"/>
      <c r="S82" s="133">
        <f t="shared" si="16"/>
        <v>0</v>
      </c>
      <c r="T82" s="116">
        <f t="shared" si="13"/>
        <v>5298.37</v>
      </c>
      <c r="U82" s="116">
        <f t="shared" si="2"/>
        <v>13981.04</v>
      </c>
      <c r="V82" s="116">
        <f t="shared" si="3"/>
        <v>0</v>
      </c>
      <c r="W82" s="116">
        <f t="shared" si="4"/>
        <v>0</v>
      </c>
      <c r="X82" s="116">
        <f t="shared" si="5"/>
        <v>0</v>
      </c>
      <c r="Y82" s="116">
        <f t="shared" si="6"/>
        <v>0</v>
      </c>
      <c r="Z82" s="116">
        <f t="shared" si="7"/>
        <v>0</v>
      </c>
      <c r="AA82" s="116">
        <f t="shared" si="8"/>
        <v>0</v>
      </c>
      <c r="AB82" s="116">
        <f t="shared" si="9"/>
        <v>0</v>
      </c>
      <c r="AC82" s="116">
        <f t="shared" si="10"/>
        <v>0</v>
      </c>
      <c r="AD82" s="116">
        <f t="shared" si="11"/>
        <v>0</v>
      </c>
      <c r="AE82" s="116">
        <f t="shared" si="12"/>
        <v>0</v>
      </c>
    </row>
    <row r="83" spans="1:31">
      <c r="A83" s="131">
        <v>42763</v>
      </c>
      <c r="B83" s="131">
        <v>42794</v>
      </c>
      <c r="C83" s="123">
        <f t="shared" si="0"/>
        <v>31</v>
      </c>
      <c r="D83" s="123"/>
      <c r="E83" s="132">
        <v>348.68</v>
      </c>
      <c r="F83" s="110"/>
      <c r="G83" s="123">
        <v>4</v>
      </c>
      <c r="H83" s="123">
        <v>27</v>
      </c>
      <c r="I83" s="123"/>
      <c r="J83" s="123"/>
      <c r="K83" s="123"/>
      <c r="L83" s="123"/>
      <c r="M83" s="123"/>
      <c r="N83" s="123"/>
      <c r="O83" s="123"/>
      <c r="P83" s="123"/>
      <c r="Q83" s="123"/>
      <c r="R83" s="123"/>
      <c r="S83" s="133">
        <f t="shared" si="16"/>
        <v>0</v>
      </c>
      <c r="T83" s="116">
        <f t="shared" si="13"/>
        <v>672.81</v>
      </c>
      <c r="U83" s="116">
        <f t="shared" si="2"/>
        <v>2876.12</v>
      </c>
      <c r="V83" s="116">
        <f t="shared" si="3"/>
        <v>0</v>
      </c>
      <c r="W83" s="116">
        <f t="shared" si="4"/>
        <v>0</v>
      </c>
      <c r="X83" s="116">
        <f t="shared" si="5"/>
        <v>0</v>
      </c>
      <c r="Y83" s="116">
        <f t="shared" si="6"/>
        <v>0</v>
      </c>
      <c r="Z83" s="116">
        <f t="shared" si="7"/>
        <v>0</v>
      </c>
      <c r="AA83" s="116">
        <f t="shared" si="8"/>
        <v>0</v>
      </c>
      <c r="AB83" s="116">
        <f t="shared" si="9"/>
        <v>0</v>
      </c>
      <c r="AC83" s="116">
        <f t="shared" si="10"/>
        <v>0</v>
      </c>
      <c r="AD83" s="116">
        <f t="shared" si="11"/>
        <v>0</v>
      </c>
      <c r="AE83" s="116">
        <f t="shared" si="12"/>
        <v>0</v>
      </c>
    </row>
    <row r="84" spans="1:31">
      <c r="A84" s="131">
        <v>42754</v>
      </c>
      <c r="B84" s="131">
        <v>42785</v>
      </c>
      <c r="C84" s="123">
        <f t="shared" si="0"/>
        <v>31</v>
      </c>
      <c r="D84" s="123"/>
      <c r="E84" s="132">
        <v>1563.1</v>
      </c>
      <c r="F84" s="110"/>
      <c r="G84" s="123">
        <v>13</v>
      </c>
      <c r="H84" s="123">
        <v>18</v>
      </c>
      <c r="I84" s="123"/>
      <c r="J84" s="123"/>
      <c r="K84" s="123"/>
      <c r="L84" s="123"/>
      <c r="M84" s="123"/>
      <c r="N84" s="123"/>
      <c r="O84" s="123"/>
      <c r="P84" s="123"/>
      <c r="Q84" s="123"/>
      <c r="R84" s="123"/>
      <c r="S84" s="133">
        <f t="shared" si="16"/>
        <v>0</v>
      </c>
      <c r="T84" s="116">
        <f t="shared" si="13"/>
        <v>9802.51</v>
      </c>
      <c r="U84" s="116">
        <f t="shared" si="2"/>
        <v>8595.57</v>
      </c>
      <c r="V84" s="116">
        <f t="shared" si="3"/>
        <v>0</v>
      </c>
      <c r="W84" s="116">
        <f t="shared" si="4"/>
        <v>0</v>
      </c>
      <c r="X84" s="116">
        <f t="shared" si="5"/>
        <v>0</v>
      </c>
      <c r="Y84" s="116">
        <f t="shared" si="6"/>
        <v>0</v>
      </c>
      <c r="Z84" s="116">
        <f t="shared" si="7"/>
        <v>0</v>
      </c>
      <c r="AA84" s="116">
        <f t="shared" si="8"/>
        <v>0</v>
      </c>
      <c r="AB84" s="116">
        <f t="shared" si="9"/>
        <v>0</v>
      </c>
      <c r="AC84" s="116">
        <f t="shared" si="10"/>
        <v>0</v>
      </c>
      <c r="AD84" s="116">
        <f t="shared" si="11"/>
        <v>0</v>
      </c>
      <c r="AE84" s="116">
        <f t="shared" si="12"/>
        <v>0</v>
      </c>
    </row>
    <row r="85" spans="1:31">
      <c r="A85" s="131">
        <v>42763</v>
      </c>
      <c r="B85" s="131">
        <v>42794</v>
      </c>
      <c r="C85" s="123">
        <f t="shared" si="0"/>
        <v>31</v>
      </c>
      <c r="D85" s="123"/>
      <c r="E85" s="132">
        <v>1156.02</v>
      </c>
      <c r="F85" s="110"/>
      <c r="G85" s="123">
        <v>4</v>
      </c>
      <c r="H85" s="123">
        <v>27</v>
      </c>
      <c r="I85" s="123"/>
      <c r="J85" s="123"/>
      <c r="K85" s="123"/>
      <c r="L85" s="123"/>
      <c r="M85" s="123"/>
      <c r="N85" s="123"/>
      <c r="O85" s="123"/>
      <c r="P85" s="123"/>
      <c r="Q85" s="123"/>
      <c r="R85" s="123"/>
      <c r="S85" s="133">
        <f t="shared" si="16"/>
        <v>0</v>
      </c>
      <c r="T85" s="116">
        <f t="shared" si="13"/>
        <v>2230.65</v>
      </c>
      <c r="U85" s="116">
        <f t="shared" si="2"/>
        <v>9535.5300000000007</v>
      </c>
      <c r="V85" s="116">
        <f t="shared" si="3"/>
        <v>0</v>
      </c>
      <c r="W85" s="116">
        <f t="shared" si="4"/>
        <v>0</v>
      </c>
      <c r="X85" s="116">
        <f t="shared" si="5"/>
        <v>0</v>
      </c>
      <c r="Y85" s="116">
        <f t="shared" si="6"/>
        <v>0</v>
      </c>
      <c r="Z85" s="116">
        <f t="shared" si="7"/>
        <v>0</v>
      </c>
      <c r="AA85" s="116">
        <f t="shared" si="8"/>
        <v>0</v>
      </c>
      <c r="AB85" s="116">
        <f t="shared" si="9"/>
        <v>0</v>
      </c>
      <c r="AC85" s="116">
        <f t="shared" si="10"/>
        <v>0</v>
      </c>
      <c r="AD85" s="116">
        <f t="shared" si="11"/>
        <v>0</v>
      </c>
      <c r="AE85" s="116">
        <f t="shared" si="12"/>
        <v>0</v>
      </c>
    </row>
    <row r="86" spans="1:31">
      <c r="A86" s="131">
        <v>42769</v>
      </c>
      <c r="B86" s="131">
        <v>42797</v>
      </c>
      <c r="C86" s="123">
        <f t="shared" si="0"/>
        <v>28</v>
      </c>
      <c r="D86" s="123"/>
      <c r="E86" s="132">
        <v>1005.31</v>
      </c>
      <c r="F86" s="110"/>
      <c r="G86" s="123"/>
      <c r="H86" s="123">
        <v>26</v>
      </c>
      <c r="I86" s="123">
        <v>2</v>
      </c>
      <c r="J86" s="123"/>
      <c r="K86" s="123"/>
      <c r="L86" s="123"/>
      <c r="M86" s="123"/>
      <c r="N86" s="123"/>
      <c r="O86" s="123"/>
      <c r="P86" s="123"/>
      <c r="Q86" s="123"/>
      <c r="R86" s="123"/>
      <c r="S86" s="133">
        <f t="shared" si="16"/>
        <v>0</v>
      </c>
      <c r="T86" s="116">
        <f t="shared" si="13"/>
        <v>0</v>
      </c>
      <c r="U86" s="116">
        <f t="shared" si="2"/>
        <v>8840.82</v>
      </c>
      <c r="V86" s="116">
        <f t="shared" si="3"/>
        <v>853.94</v>
      </c>
      <c r="W86" s="116">
        <f t="shared" si="4"/>
        <v>0</v>
      </c>
      <c r="X86" s="116">
        <f t="shared" si="5"/>
        <v>0</v>
      </c>
      <c r="Y86" s="116">
        <f t="shared" si="6"/>
        <v>0</v>
      </c>
      <c r="Z86" s="116">
        <f t="shared" si="7"/>
        <v>0</v>
      </c>
      <c r="AA86" s="116">
        <f t="shared" si="8"/>
        <v>0</v>
      </c>
      <c r="AB86" s="116">
        <f t="shared" si="9"/>
        <v>0</v>
      </c>
      <c r="AC86" s="116">
        <f t="shared" si="10"/>
        <v>0</v>
      </c>
      <c r="AD86" s="116">
        <f t="shared" si="11"/>
        <v>0</v>
      </c>
      <c r="AE86" s="116">
        <f t="shared" si="12"/>
        <v>0</v>
      </c>
    </row>
    <row r="87" spans="1:31">
      <c r="A87" s="131">
        <v>42761</v>
      </c>
      <c r="B87" s="131">
        <v>42792</v>
      </c>
      <c r="C87" s="123">
        <f t="shared" ref="C87:C151" si="17">B87-A87</f>
        <v>31</v>
      </c>
      <c r="D87" s="123"/>
      <c r="E87" s="132">
        <v>1374.2</v>
      </c>
      <c r="F87" s="110"/>
      <c r="G87" s="123">
        <v>6</v>
      </c>
      <c r="H87" s="123">
        <v>25</v>
      </c>
      <c r="I87" s="123"/>
      <c r="J87" s="123"/>
      <c r="K87" s="123"/>
      <c r="L87" s="123"/>
      <c r="M87" s="123"/>
      <c r="N87" s="123"/>
      <c r="O87" s="123"/>
      <c r="P87" s="123"/>
      <c r="Q87" s="123"/>
      <c r="R87" s="123"/>
      <c r="S87" s="133">
        <f t="shared" si="16"/>
        <v>0</v>
      </c>
      <c r="T87" s="116">
        <f t="shared" si="13"/>
        <v>3977.48</v>
      </c>
      <c r="U87" s="116">
        <f t="shared" ref="U87:U151" si="18">ROUND(($E87*$H87/$C87)/$C$7,2)</f>
        <v>10495.56</v>
      </c>
      <c r="V87" s="116">
        <f t="shared" ref="V87:V151" si="19">ROUND(($E87*$I87/$C87)/$C$8,2)</f>
        <v>0</v>
      </c>
      <c r="W87" s="116">
        <f t="shared" ref="W87:W151" si="20">ROUND(($E87*$J87/$C87)/$C$9,2)</f>
        <v>0</v>
      </c>
      <c r="X87" s="116">
        <f t="shared" ref="X87:X151" si="21">ROUND(($E87*$K87/$C87)/$C$10,2)</f>
        <v>0</v>
      </c>
      <c r="Y87" s="116">
        <f t="shared" ref="Y87:Y151" si="22">ROUND(($E87*$L87/$C87)/$C$11,2)</f>
        <v>0</v>
      </c>
      <c r="Z87" s="116">
        <f t="shared" ref="Z87:Z151" si="23">ROUND(($E87*$M87/$C87)/$C$12,2)</f>
        <v>0</v>
      </c>
      <c r="AA87" s="116">
        <f t="shared" ref="AA87:AA151" si="24">ROUND(($E87*$N87/$C87)/$C$13,2)</f>
        <v>0</v>
      </c>
      <c r="AB87" s="116">
        <f t="shared" ref="AB87:AB151" si="25">ROUND(($E87*$O87/$C87)/$C$14,2)</f>
        <v>0</v>
      </c>
      <c r="AC87" s="116">
        <f t="shared" ref="AC87:AC151" si="26">ROUND(($E87*$P87/$C87)/$C$15,2)</f>
        <v>0</v>
      </c>
      <c r="AD87" s="116">
        <f t="shared" ref="AD87:AD151" si="27">ROUND(($E87*$Q87/$C87)/$C$16,2)</f>
        <v>0</v>
      </c>
      <c r="AE87" s="116">
        <f t="shared" ref="AE87:AE151" si="28">ROUND(($E87*$R87/$C87)/$C$17,2)</f>
        <v>0</v>
      </c>
    </row>
    <row r="88" spans="1:31">
      <c r="A88" s="131">
        <v>42743</v>
      </c>
      <c r="B88" s="131">
        <v>42790</v>
      </c>
      <c r="C88" s="123">
        <f t="shared" si="17"/>
        <v>47</v>
      </c>
      <c r="D88" s="123"/>
      <c r="E88" s="132">
        <v>36.550000000000004</v>
      </c>
      <c r="F88" s="110"/>
      <c r="G88" s="123">
        <v>24</v>
      </c>
      <c r="H88" s="123">
        <v>23</v>
      </c>
      <c r="I88" s="123"/>
      <c r="J88" s="123"/>
      <c r="K88" s="123"/>
      <c r="L88" s="123"/>
      <c r="M88" s="123"/>
      <c r="N88" s="123"/>
      <c r="O88" s="123"/>
      <c r="P88" s="123"/>
      <c r="Q88" s="123"/>
      <c r="R88" s="123"/>
      <c r="S88" s="133">
        <f t="shared" si="16"/>
        <v>0</v>
      </c>
      <c r="T88" s="116">
        <f t="shared" ref="T88:T153" si="29">ROUND((E88*G88/C88)/$C$6,2)</f>
        <v>279.11</v>
      </c>
      <c r="U88" s="116">
        <f t="shared" si="18"/>
        <v>169.39</v>
      </c>
      <c r="V88" s="116">
        <f t="shared" si="19"/>
        <v>0</v>
      </c>
      <c r="W88" s="116">
        <f t="shared" si="20"/>
        <v>0</v>
      </c>
      <c r="X88" s="116">
        <f t="shared" si="21"/>
        <v>0</v>
      </c>
      <c r="Y88" s="116">
        <f t="shared" si="22"/>
        <v>0</v>
      </c>
      <c r="Z88" s="116">
        <f t="shared" si="23"/>
        <v>0</v>
      </c>
      <c r="AA88" s="116">
        <f t="shared" si="24"/>
        <v>0</v>
      </c>
      <c r="AB88" s="116">
        <f t="shared" si="25"/>
        <v>0</v>
      </c>
      <c r="AC88" s="116">
        <f t="shared" si="26"/>
        <v>0</v>
      </c>
      <c r="AD88" s="116">
        <f t="shared" si="27"/>
        <v>0</v>
      </c>
      <c r="AE88" s="116">
        <f t="shared" si="28"/>
        <v>0</v>
      </c>
    </row>
    <row r="89" spans="1:31">
      <c r="A89" s="131">
        <v>42757</v>
      </c>
      <c r="B89" s="131">
        <v>42788</v>
      </c>
      <c r="C89" s="123">
        <f t="shared" si="17"/>
        <v>31</v>
      </c>
      <c r="D89" s="123">
        <v>30</v>
      </c>
      <c r="E89" s="132">
        <v>267058.24</v>
      </c>
      <c r="F89" s="110"/>
      <c r="G89" s="123">
        <v>10</v>
      </c>
      <c r="H89" s="123">
        <v>21</v>
      </c>
      <c r="I89" s="123"/>
      <c r="J89" s="123"/>
      <c r="K89" s="123"/>
      <c r="L89" s="123"/>
      <c r="M89" s="123"/>
      <c r="N89" s="123"/>
      <c r="O89" s="123"/>
      <c r="P89" s="123"/>
      <c r="Q89" s="123"/>
      <c r="R89" s="123"/>
      <c r="S89" s="133">
        <f t="shared" si="16"/>
        <v>0</v>
      </c>
      <c r="T89" s="116">
        <v>953160.14</v>
      </c>
      <c r="U89" s="116">
        <v>1906320.29</v>
      </c>
      <c r="V89" s="116">
        <f t="shared" si="19"/>
        <v>0</v>
      </c>
      <c r="W89" s="116">
        <f t="shared" si="20"/>
        <v>0</v>
      </c>
      <c r="X89" s="116">
        <f t="shared" si="21"/>
        <v>0</v>
      </c>
      <c r="Y89" s="116">
        <f t="shared" si="22"/>
        <v>0</v>
      </c>
      <c r="Z89" s="116">
        <f t="shared" si="23"/>
        <v>0</v>
      </c>
      <c r="AA89" s="116">
        <f t="shared" si="24"/>
        <v>0</v>
      </c>
      <c r="AB89" s="116">
        <f t="shared" si="25"/>
        <v>0</v>
      </c>
      <c r="AC89" s="116">
        <f t="shared" si="26"/>
        <v>0</v>
      </c>
      <c r="AD89" s="116">
        <f t="shared" si="27"/>
        <v>0</v>
      </c>
      <c r="AE89" s="116">
        <f t="shared" si="28"/>
        <v>0</v>
      </c>
    </row>
    <row r="90" spans="1:31">
      <c r="A90" s="131">
        <v>42769</v>
      </c>
      <c r="B90" s="131">
        <v>42797</v>
      </c>
      <c r="C90" s="123">
        <f t="shared" si="17"/>
        <v>28</v>
      </c>
      <c r="D90" s="123"/>
      <c r="E90" s="132">
        <v>1033.18</v>
      </c>
      <c r="F90" s="110"/>
      <c r="G90" s="123"/>
      <c r="H90" s="123">
        <v>26</v>
      </c>
      <c r="I90" s="123">
        <v>2</v>
      </c>
      <c r="J90" s="123"/>
      <c r="K90" s="123"/>
      <c r="L90" s="123"/>
      <c r="M90" s="123"/>
      <c r="N90" s="123"/>
      <c r="O90" s="123"/>
      <c r="P90" s="123"/>
      <c r="Q90" s="123"/>
      <c r="R90" s="123"/>
      <c r="S90" s="133">
        <f t="shared" si="16"/>
        <v>0</v>
      </c>
      <c r="T90" s="116">
        <f t="shared" si="29"/>
        <v>0</v>
      </c>
      <c r="U90" s="116">
        <f t="shared" si="18"/>
        <v>9085.91</v>
      </c>
      <c r="V90" s="116">
        <f t="shared" si="19"/>
        <v>877.61</v>
      </c>
      <c r="W90" s="116">
        <f t="shared" si="20"/>
        <v>0</v>
      </c>
      <c r="X90" s="116">
        <f t="shared" si="21"/>
        <v>0</v>
      </c>
      <c r="Y90" s="116">
        <f t="shared" si="22"/>
        <v>0</v>
      </c>
      <c r="Z90" s="116">
        <f t="shared" si="23"/>
        <v>0</v>
      </c>
      <c r="AA90" s="116">
        <f t="shared" si="24"/>
        <v>0</v>
      </c>
      <c r="AB90" s="116">
        <f t="shared" si="25"/>
        <v>0</v>
      </c>
      <c r="AC90" s="116">
        <f t="shared" si="26"/>
        <v>0</v>
      </c>
      <c r="AD90" s="116">
        <f t="shared" si="27"/>
        <v>0</v>
      </c>
      <c r="AE90" s="116">
        <f t="shared" si="28"/>
        <v>0</v>
      </c>
    </row>
    <row r="91" spans="1:31">
      <c r="A91" s="131">
        <v>42769</v>
      </c>
      <c r="B91" s="131">
        <v>42797</v>
      </c>
      <c r="C91" s="123">
        <f t="shared" si="17"/>
        <v>28</v>
      </c>
      <c r="D91" s="123"/>
      <c r="E91" s="132">
        <v>585.12</v>
      </c>
      <c r="F91" s="110"/>
      <c r="G91" s="123"/>
      <c r="H91" s="123">
        <v>26</v>
      </c>
      <c r="I91" s="123">
        <v>2</v>
      </c>
      <c r="J91" s="123"/>
      <c r="K91" s="123"/>
      <c r="L91" s="123"/>
      <c r="M91" s="123"/>
      <c r="N91" s="123"/>
      <c r="O91" s="123"/>
      <c r="P91" s="123"/>
      <c r="Q91" s="123"/>
      <c r="R91" s="123"/>
      <c r="S91" s="133">
        <f t="shared" si="16"/>
        <v>0</v>
      </c>
      <c r="T91" s="116">
        <f t="shared" si="29"/>
        <v>0</v>
      </c>
      <c r="U91" s="116">
        <f t="shared" si="18"/>
        <v>5145.62</v>
      </c>
      <c r="V91" s="116">
        <f t="shared" si="19"/>
        <v>497.02</v>
      </c>
      <c r="W91" s="116">
        <f t="shared" si="20"/>
        <v>0</v>
      </c>
      <c r="X91" s="116">
        <f t="shared" si="21"/>
        <v>0</v>
      </c>
      <c r="Y91" s="116">
        <f t="shared" si="22"/>
        <v>0</v>
      </c>
      <c r="Z91" s="116">
        <f t="shared" si="23"/>
        <v>0</v>
      </c>
      <c r="AA91" s="116">
        <f t="shared" si="24"/>
        <v>0</v>
      </c>
      <c r="AB91" s="116">
        <f t="shared" si="25"/>
        <v>0</v>
      </c>
      <c r="AC91" s="116">
        <f t="shared" si="26"/>
        <v>0</v>
      </c>
      <c r="AD91" s="116">
        <f t="shared" si="27"/>
        <v>0</v>
      </c>
      <c r="AE91" s="116">
        <f t="shared" si="28"/>
        <v>0</v>
      </c>
    </row>
    <row r="92" spans="1:31">
      <c r="A92" s="131">
        <v>42769</v>
      </c>
      <c r="B92" s="131">
        <v>42797</v>
      </c>
      <c r="C92" s="123">
        <f t="shared" si="17"/>
        <v>28</v>
      </c>
      <c r="D92" s="123"/>
      <c r="E92" s="132">
        <v>761.5</v>
      </c>
      <c r="F92" s="110"/>
      <c r="G92" s="123"/>
      <c r="H92" s="123">
        <v>26</v>
      </c>
      <c r="I92" s="123">
        <v>2</v>
      </c>
      <c r="J92" s="123"/>
      <c r="K92" s="123"/>
      <c r="L92" s="123"/>
      <c r="M92" s="123"/>
      <c r="N92" s="123"/>
      <c r="O92" s="123"/>
      <c r="P92" s="123"/>
      <c r="Q92" s="123"/>
      <c r="R92" s="123"/>
      <c r="S92" s="133">
        <f t="shared" si="16"/>
        <v>0</v>
      </c>
      <c r="T92" s="116">
        <f t="shared" si="29"/>
        <v>0</v>
      </c>
      <c r="U92" s="116">
        <f t="shared" si="18"/>
        <v>6696.72</v>
      </c>
      <c r="V92" s="116">
        <f t="shared" si="19"/>
        <v>646.84</v>
      </c>
      <c r="W92" s="116">
        <f t="shared" si="20"/>
        <v>0</v>
      </c>
      <c r="X92" s="116">
        <f t="shared" si="21"/>
        <v>0</v>
      </c>
      <c r="Y92" s="116">
        <f t="shared" si="22"/>
        <v>0</v>
      </c>
      <c r="Z92" s="116">
        <f t="shared" si="23"/>
        <v>0</v>
      </c>
      <c r="AA92" s="116">
        <f t="shared" si="24"/>
        <v>0</v>
      </c>
      <c r="AB92" s="116">
        <f t="shared" si="25"/>
        <v>0</v>
      </c>
      <c r="AC92" s="116">
        <f t="shared" si="26"/>
        <v>0</v>
      </c>
      <c r="AD92" s="116">
        <f t="shared" si="27"/>
        <v>0</v>
      </c>
      <c r="AE92" s="116">
        <f t="shared" si="28"/>
        <v>0</v>
      </c>
    </row>
    <row r="93" spans="1:31">
      <c r="A93" s="131">
        <v>42769</v>
      </c>
      <c r="B93" s="131">
        <v>42797</v>
      </c>
      <c r="C93" s="123">
        <f t="shared" si="17"/>
        <v>28</v>
      </c>
      <c r="D93" s="123"/>
      <c r="E93" s="132">
        <v>2354.9299999999998</v>
      </c>
      <c r="F93" s="110"/>
      <c r="G93" s="123"/>
      <c r="H93" s="123">
        <v>26</v>
      </c>
      <c r="I93" s="123">
        <v>2</v>
      </c>
      <c r="J93" s="123"/>
      <c r="K93" s="123"/>
      <c r="L93" s="123"/>
      <c r="M93" s="123"/>
      <c r="N93" s="123"/>
      <c r="O93" s="123"/>
      <c r="P93" s="123"/>
      <c r="Q93" s="123"/>
      <c r="R93" s="123"/>
      <c r="S93" s="133">
        <f t="shared" si="16"/>
        <v>0</v>
      </c>
      <c r="T93" s="116">
        <f t="shared" si="29"/>
        <v>0</v>
      </c>
      <c r="U93" s="116">
        <f t="shared" si="18"/>
        <v>20709.54</v>
      </c>
      <c r="V93" s="116">
        <f t="shared" si="19"/>
        <v>2000.35</v>
      </c>
      <c r="W93" s="116">
        <f t="shared" si="20"/>
        <v>0</v>
      </c>
      <c r="X93" s="116">
        <f t="shared" si="21"/>
        <v>0</v>
      </c>
      <c r="Y93" s="116">
        <f t="shared" si="22"/>
        <v>0</v>
      </c>
      <c r="Z93" s="116">
        <f t="shared" si="23"/>
        <v>0</v>
      </c>
      <c r="AA93" s="116">
        <f t="shared" si="24"/>
        <v>0</v>
      </c>
      <c r="AB93" s="116">
        <f t="shared" si="25"/>
        <v>0</v>
      </c>
      <c r="AC93" s="116">
        <f t="shared" si="26"/>
        <v>0</v>
      </c>
      <c r="AD93" s="116">
        <f t="shared" si="27"/>
        <v>0</v>
      </c>
      <c r="AE93" s="116">
        <f t="shared" si="28"/>
        <v>0</v>
      </c>
    </row>
    <row r="94" spans="1:31">
      <c r="A94" s="131">
        <v>42771</v>
      </c>
      <c r="B94" s="131">
        <v>42799</v>
      </c>
      <c r="C94" s="123">
        <f t="shared" si="17"/>
        <v>28</v>
      </c>
      <c r="D94" s="123"/>
      <c r="E94" s="132">
        <v>771.3</v>
      </c>
      <c r="F94" s="110"/>
      <c r="G94" s="123"/>
      <c r="H94" s="123">
        <v>24</v>
      </c>
      <c r="I94" s="123">
        <v>4</v>
      </c>
      <c r="J94" s="123"/>
      <c r="K94" s="123"/>
      <c r="L94" s="123"/>
      <c r="M94" s="123"/>
      <c r="N94" s="123"/>
      <c r="O94" s="123"/>
      <c r="P94" s="123"/>
      <c r="Q94" s="123"/>
      <c r="R94" s="123"/>
      <c r="S94" s="133">
        <f t="shared" si="16"/>
        <v>0</v>
      </c>
      <c r="T94" s="116">
        <f t="shared" si="29"/>
        <v>0</v>
      </c>
      <c r="U94" s="116">
        <f t="shared" si="18"/>
        <v>6261.14</v>
      </c>
      <c r="V94" s="116">
        <f t="shared" si="19"/>
        <v>1310.33</v>
      </c>
      <c r="W94" s="116">
        <f t="shared" si="20"/>
        <v>0</v>
      </c>
      <c r="X94" s="116">
        <f t="shared" si="21"/>
        <v>0</v>
      </c>
      <c r="Y94" s="116">
        <f t="shared" si="22"/>
        <v>0</v>
      </c>
      <c r="Z94" s="116">
        <f t="shared" si="23"/>
        <v>0</v>
      </c>
      <c r="AA94" s="116">
        <f t="shared" si="24"/>
        <v>0</v>
      </c>
      <c r="AB94" s="116">
        <f t="shared" si="25"/>
        <v>0</v>
      </c>
      <c r="AC94" s="116">
        <f t="shared" si="26"/>
        <v>0</v>
      </c>
      <c r="AD94" s="116">
        <f t="shared" si="27"/>
        <v>0</v>
      </c>
      <c r="AE94" s="116">
        <f t="shared" si="28"/>
        <v>0</v>
      </c>
    </row>
    <row r="95" spans="1:31">
      <c r="A95" s="131">
        <v>42771</v>
      </c>
      <c r="B95" s="131">
        <v>42799</v>
      </c>
      <c r="C95" s="123">
        <f t="shared" si="17"/>
        <v>28</v>
      </c>
      <c r="D95" s="123"/>
      <c r="E95" s="132">
        <v>411.59</v>
      </c>
      <c r="F95" s="110"/>
      <c r="G95" s="123"/>
      <c r="H95" s="123">
        <v>24</v>
      </c>
      <c r="I95" s="123">
        <v>4</v>
      </c>
      <c r="J95" s="123"/>
      <c r="K95" s="123"/>
      <c r="L95" s="123"/>
      <c r="M95" s="123"/>
      <c r="N95" s="123"/>
      <c r="O95" s="123"/>
      <c r="P95" s="123"/>
      <c r="Q95" s="123"/>
      <c r="R95" s="123"/>
      <c r="S95" s="133">
        <f t="shared" si="16"/>
        <v>0</v>
      </c>
      <c r="T95" s="116">
        <f t="shared" si="29"/>
        <v>0</v>
      </c>
      <c r="U95" s="116">
        <f t="shared" si="18"/>
        <v>3341.14</v>
      </c>
      <c r="V95" s="116">
        <f t="shared" si="19"/>
        <v>699.23</v>
      </c>
      <c r="W95" s="116">
        <f t="shared" si="20"/>
        <v>0</v>
      </c>
      <c r="X95" s="116">
        <f t="shared" si="21"/>
        <v>0</v>
      </c>
      <c r="Y95" s="116">
        <f t="shared" si="22"/>
        <v>0</v>
      </c>
      <c r="Z95" s="116">
        <f t="shared" si="23"/>
        <v>0</v>
      </c>
      <c r="AA95" s="116">
        <f t="shared" si="24"/>
        <v>0</v>
      </c>
      <c r="AB95" s="116">
        <f t="shared" si="25"/>
        <v>0</v>
      </c>
      <c r="AC95" s="116">
        <f t="shared" si="26"/>
        <v>0</v>
      </c>
      <c r="AD95" s="116">
        <f t="shared" si="27"/>
        <v>0</v>
      </c>
      <c r="AE95" s="116">
        <f t="shared" si="28"/>
        <v>0</v>
      </c>
    </row>
    <row r="96" spans="1:31">
      <c r="A96" s="131">
        <v>42767</v>
      </c>
      <c r="B96" s="131">
        <v>42795</v>
      </c>
      <c r="C96" s="123">
        <f t="shared" si="17"/>
        <v>28</v>
      </c>
      <c r="D96" s="123"/>
      <c r="E96" s="132">
        <v>230.11</v>
      </c>
      <c r="F96" s="110"/>
      <c r="G96" s="123"/>
      <c r="H96" s="123">
        <v>28</v>
      </c>
      <c r="I96" s="123"/>
      <c r="J96" s="123"/>
      <c r="K96" s="123"/>
      <c r="L96" s="123"/>
      <c r="M96" s="123"/>
      <c r="N96" s="123"/>
      <c r="O96" s="123"/>
      <c r="P96" s="123"/>
      <c r="Q96" s="123"/>
      <c r="R96" s="123"/>
      <c r="S96" s="133">
        <f t="shared" si="16"/>
        <v>0</v>
      </c>
      <c r="T96" s="116">
        <f t="shared" si="29"/>
        <v>0</v>
      </c>
      <c r="U96" s="116">
        <f t="shared" si="18"/>
        <v>2179.2800000000002</v>
      </c>
      <c r="V96" s="116">
        <f t="shared" si="19"/>
        <v>0</v>
      </c>
      <c r="W96" s="116">
        <f t="shared" si="20"/>
        <v>0</v>
      </c>
      <c r="X96" s="116">
        <f t="shared" si="21"/>
        <v>0</v>
      </c>
      <c r="Y96" s="116">
        <f t="shared" si="22"/>
        <v>0</v>
      </c>
      <c r="Z96" s="116">
        <f t="shared" si="23"/>
        <v>0</v>
      </c>
      <c r="AA96" s="116">
        <f t="shared" si="24"/>
        <v>0</v>
      </c>
      <c r="AB96" s="116">
        <f t="shared" si="25"/>
        <v>0</v>
      </c>
      <c r="AC96" s="116">
        <f t="shared" si="26"/>
        <v>0</v>
      </c>
      <c r="AD96" s="116">
        <f t="shared" si="27"/>
        <v>0</v>
      </c>
      <c r="AE96" s="116">
        <f t="shared" si="28"/>
        <v>0</v>
      </c>
    </row>
    <row r="97" spans="1:31">
      <c r="A97" s="131">
        <v>42762</v>
      </c>
      <c r="B97" s="131">
        <v>42794</v>
      </c>
      <c r="C97" s="123">
        <f t="shared" si="17"/>
        <v>32</v>
      </c>
      <c r="D97" s="123" t="s">
        <v>218</v>
      </c>
      <c r="E97" s="132">
        <v>10810.18</v>
      </c>
      <c r="F97" s="110"/>
      <c r="G97" s="123">
        <v>5</v>
      </c>
      <c r="H97" s="123">
        <v>27</v>
      </c>
      <c r="I97" s="123"/>
      <c r="J97" s="123"/>
      <c r="K97" s="123"/>
      <c r="L97" s="123"/>
      <c r="M97" s="123"/>
      <c r="N97" s="123"/>
      <c r="O97" s="123"/>
      <c r="P97" s="123"/>
      <c r="Q97" s="123"/>
      <c r="R97" s="123"/>
      <c r="S97" s="133">
        <f t="shared" si="16"/>
        <v>0</v>
      </c>
      <c r="T97" s="116">
        <f t="shared" si="29"/>
        <v>25259.32</v>
      </c>
      <c r="U97" s="116">
        <f t="shared" si="18"/>
        <v>86382.13</v>
      </c>
      <c r="V97" s="116">
        <f t="shared" si="19"/>
        <v>0</v>
      </c>
      <c r="W97" s="116">
        <f t="shared" si="20"/>
        <v>0</v>
      </c>
      <c r="X97" s="116">
        <f t="shared" si="21"/>
        <v>0</v>
      </c>
      <c r="Y97" s="116">
        <f t="shared" si="22"/>
        <v>0</v>
      </c>
      <c r="Z97" s="116">
        <f t="shared" si="23"/>
        <v>0</v>
      </c>
      <c r="AA97" s="116">
        <f t="shared" si="24"/>
        <v>0</v>
      </c>
      <c r="AB97" s="116">
        <f t="shared" si="25"/>
        <v>0</v>
      </c>
      <c r="AC97" s="116">
        <f t="shared" si="26"/>
        <v>0</v>
      </c>
      <c r="AD97" s="116">
        <f t="shared" si="27"/>
        <v>0</v>
      </c>
      <c r="AE97" s="116">
        <f t="shared" si="28"/>
        <v>0</v>
      </c>
    </row>
    <row r="98" spans="1:31">
      <c r="A98" s="131">
        <v>42771</v>
      </c>
      <c r="B98" s="131">
        <v>42799</v>
      </c>
      <c r="C98" s="123">
        <f t="shared" si="17"/>
        <v>28</v>
      </c>
      <c r="D98" s="123"/>
      <c r="E98" s="132">
        <v>137.58000000000001</v>
      </c>
      <c r="F98" s="110"/>
      <c r="G98" s="123"/>
      <c r="H98" s="123">
        <v>24</v>
      </c>
      <c r="I98" s="123">
        <v>4</v>
      </c>
      <c r="J98" s="123"/>
      <c r="K98" s="123"/>
      <c r="L98" s="123"/>
      <c r="M98" s="123"/>
      <c r="N98" s="123"/>
      <c r="O98" s="123"/>
      <c r="P98" s="123"/>
      <c r="Q98" s="123"/>
      <c r="R98" s="123"/>
      <c r="S98" s="133">
        <f t="shared" si="16"/>
        <v>0</v>
      </c>
      <c r="T98" s="116">
        <f t="shared" si="29"/>
        <v>0</v>
      </c>
      <c r="U98" s="116">
        <f t="shared" si="18"/>
        <v>1116.83</v>
      </c>
      <c r="V98" s="116">
        <f t="shared" si="19"/>
        <v>233.73</v>
      </c>
      <c r="W98" s="116">
        <f t="shared" si="20"/>
        <v>0</v>
      </c>
      <c r="X98" s="116">
        <f t="shared" si="21"/>
        <v>0</v>
      </c>
      <c r="Y98" s="116">
        <f t="shared" si="22"/>
        <v>0</v>
      </c>
      <c r="Z98" s="116">
        <f t="shared" si="23"/>
        <v>0</v>
      </c>
      <c r="AA98" s="116">
        <f t="shared" si="24"/>
        <v>0</v>
      </c>
      <c r="AB98" s="116">
        <f t="shared" si="25"/>
        <v>0</v>
      </c>
      <c r="AC98" s="116">
        <f t="shared" si="26"/>
        <v>0</v>
      </c>
      <c r="AD98" s="116">
        <f t="shared" si="27"/>
        <v>0</v>
      </c>
      <c r="AE98" s="116">
        <f t="shared" si="28"/>
        <v>0</v>
      </c>
    </row>
    <row r="99" spans="1:31">
      <c r="A99" s="131">
        <v>42767</v>
      </c>
      <c r="B99" s="131">
        <v>42795</v>
      </c>
      <c r="C99" s="123">
        <f t="shared" si="17"/>
        <v>28</v>
      </c>
      <c r="D99" s="123"/>
      <c r="E99" s="132">
        <v>127400.92</v>
      </c>
      <c r="F99" s="110"/>
      <c r="G99" s="123"/>
      <c r="H99" s="123">
        <v>28</v>
      </c>
      <c r="I99" s="123"/>
      <c r="J99" s="123"/>
      <c r="K99" s="123"/>
      <c r="L99" s="123"/>
      <c r="M99" s="123"/>
      <c r="N99" s="123"/>
      <c r="O99" s="123"/>
      <c r="P99" s="123"/>
      <c r="Q99" s="123"/>
      <c r="R99" s="123"/>
      <c r="S99" s="133">
        <f t="shared" si="16"/>
        <v>0</v>
      </c>
      <c r="T99" s="116">
        <f t="shared" si="29"/>
        <v>0</v>
      </c>
      <c r="U99" s="116">
        <f t="shared" si="18"/>
        <v>1206562.3600000001</v>
      </c>
      <c r="V99" s="116">
        <f t="shared" si="19"/>
        <v>0</v>
      </c>
      <c r="W99" s="116">
        <f t="shared" si="20"/>
        <v>0</v>
      </c>
      <c r="X99" s="116">
        <f t="shared" si="21"/>
        <v>0</v>
      </c>
      <c r="Y99" s="116">
        <f t="shared" si="22"/>
        <v>0</v>
      </c>
      <c r="Z99" s="116">
        <f t="shared" si="23"/>
        <v>0</v>
      </c>
      <c r="AA99" s="116">
        <f t="shared" si="24"/>
        <v>0</v>
      </c>
      <c r="AB99" s="116">
        <f t="shared" si="25"/>
        <v>0</v>
      </c>
      <c r="AC99" s="116">
        <f t="shared" si="26"/>
        <v>0</v>
      </c>
      <c r="AD99" s="116">
        <f t="shared" si="27"/>
        <v>0</v>
      </c>
      <c r="AE99" s="116">
        <f t="shared" si="28"/>
        <v>0</v>
      </c>
    </row>
    <row r="100" spans="1:31">
      <c r="A100" s="131">
        <v>42767</v>
      </c>
      <c r="B100" s="131">
        <v>42795</v>
      </c>
      <c r="C100" s="123">
        <f t="shared" si="17"/>
        <v>28</v>
      </c>
      <c r="D100" s="123"/>
      <c r="E100" s="132">
        <v>3605.32</v>
      </c>
      <c r="F100" s="110"/>
      <c r="G100" s="123"/>
      <c r="H100" s="123">
        <v>28</v>
      </c>
      <c r="I100" s="123"/>
      <c r="J100" s="123"/>
      <c r="K100" s="123"/>
      <c r="L100" s="123"/>
      <c r="M100" s="123"/>
      <c r="N100" s="123"/>
      <c r="O100" s="123"/>
      <c r="P100" s="123"/>
      <c r="Q100" s="123"/>
      <c r="R100" s="123"/>
      <c r="S100" s="133">
        <f t="shared" si="16"/>
        <v>0</v>
      </c>
      <c r="T100" s="116">
        <f t="shared" si="29"/>
        <v>0</v>
      </c>
      <c r="U100" s="116">
        <f t="shared" si="18"/>
        <v>34144.519999999997</v>
      </c>
      <c r="V100" s="116">
        <f t="shared" si="19"/>
        <v>0</v>
      </c>
      <c r="W100" s="116">
        <f t="shared" si="20"/>
        <v>0</v>
      </c>
      <c r="X100" s="116">
        <f t="shared" si="21"/>
        <v>0</v>
      </c>
      <c r="Y100" s="116">
        <f t="shared" si="22"/>
        <v>0</v>
      </c>
      <c r="Z100" s="116">
        <f t="shared" si="23"/>
        <v>0</v>
      </c>
      <c r="AA100" s="116">
        <f t="shared" si="24"/>
        <v>0</v>
      </c>
      <c r="AB100" s="116">
        <f t="shared" si="25"/>
        <v>0</v>
      </c>
      <c r="AC100" s="116">
        <f t="shared" si="26"/>
        <v>0</v>
      </c>
      <c r="AD100" s="116">
        <f t="shared" si="27"/>
        <v>0</v>
      </c>
      <c r="AE100" s="116">
        <f t="shared" si="28"/>
        <v>0</v>
      </c>
    </row>
    <row r="101" spans="1:31">
      <c r="A101" s="131">
        <v>42767</v>
      </c>
      <c r="B101" s="131">
        <v>42795</v>
      </c>
      <c r="C101" s="123">
        <f t="shared" si="17"/>
        <v>28</v>
      </c>
      <c r="D101" s="123" t="s">
        <v>219</v>
      </c>
      <c r="E101" s="132">
        <v>7283.36</v>
      </c>
      <c r="F101" s="110"/>
      <c r="G101" s="123"/>
      <c r="H101" s="123">
        <v>28</v>
      </c>
      <c r="I101" s="123"/>
      <c r="J101" s="123"/>
      <c r="K101" s="123"/>
      <c r="L101" s="123"/>
      <c r="M101" s="123"/>
      <c r="N101" s="123"/>
      <c r="O101" s="123"/>
      <c r="P101" s="123"/>
      <c r="Q101" s="123"/>
      <c r="R101" s="123"/>
      <c r="S101" s="133">
        <f t="shared" si="16"/>
        <v>0</v>
      </c>
      <c r="T101" s="116">
        <f t="shared" si="29"/>
        <v>0</v>
      </c>
      <c r="U101" s="116">
        <f t="shared" si="18"/>
        <v>68977.740000000005</v>
      </c>
      <c r="V101" s="116">
        <f t="shared" si="19"/>
        <v>0</v>
      </c>
      <c r="W101" s="116">
        <f t="shared" si="20"/>
        <v>0</v>
      </c>
      <c r="X101" s="116">
        <f t="shared" si="21"/>
        <v>0</v>
      </c>
      <c r="Y101" s="116">
        <f t="shared" si="22"/>
        <v>0</v>
      </c>
      <c r="Z101" s="116">
        <f t="shared" si="23"/>
        <v>0</v>
      </c>
      <c r="AA101" s="116">
        <f t="shared" si="24"/>
        <v>0</v>
      </c>
      <c r="AB101" s="116">
        <f t="shared" si="25"/>
        <v>0</v>
      </c>
      <c r="AC101" s="116">
        <f t="shared" si="26"/>
        <v>0</v>
      </c>
      <c r="AD101" s="116">
        <f t="shared" si="27"/>
        <v>0</v>
      </c>
      <c r="AE101" s="116">
        <f t="shared" si="28"/>
        <v>0</v>
      </c>
    </row>
    <row r="102" spans="1:31">
      <c r="A102" s="131">
        <v>42774</v>
      </c>
      <c r="B102" s="131">
        <v>42795</v>
      </c>
      <c r="C102" s="123">
        <f t="shared" si="17"/>
        <v>21</v>
      </c>
      <c r="D102" s="123"/>
      <c r="E102" s="132">
        <v>53.33</v>
      </c>
      <c r="F102" s="110"/>
      <c r="G102" s="123"/>
      <c r="H102" s="123">
        <v>21</v>
      </c>
      <c r="I102" s="123"/>
      <c r="J102" s="123"/>
      <c r="K102" s="123"/>
      <c r="L102" s="123"/>
      <c r="M102" s="123"/>
      <c r="N102" s="123"/>
      <c r="O102" s="123"/>
      <c r="P102" s="123"/>
      <c r="Q102" s="123"/>
      <c r="R102" s="123"/>
      <c r="S102" s="133">
        <f t="shared" si="16"/>
        <v>0</v>
      </c>
      <c r="T102" s="116">
        <f t="shared" si="29"/>
        <v>0</v>
      </c>
      <c r="U102" s="116">
        <f t="shared" si="18"/>
        <v>505.07</v>
      </c>
      <c r="V102" s="116">
        <f t="shared" si="19"/>
        <v>0</v>
      </c>
      <c r="W102" s="116">
        <f t="shared" si="20"/>
        <v>0</v>
      </c>
      <c r="X102" s="116">
        <f t="shared" si="21"/>
        <v>0</v>
      </c>
      <c r="Y102" s="116">
        <f t="shared" si="22"/>
        <v>0</v>
      </c>
      <c r="Z102" s="116">
        <f t="shared" si="23"/>
        <v>0</v>
      </c>
      <c r="AA102" s="116">
        <f t="shared" si="24"/>
        <v>0</v>
      </c>
      <c r="AB102" s="116">
        <f t="shared" si="25"/>
        <v>0</v>
      </c>
      <c r="AC102" s="116">
        <f t="shared" si="26"/>
        <v>0</v>
      </c>
      <c r="AD102" s="116">
        <f t="shared" si="27"/>
        <v>0</v>
      </c>
      <c r="AE102" s="116">
        <f t="shared" si="28"/>
        <v>0</v>
      </c>
    </row>
    <row r="103" spans="1:31">
      <c r="A103" s="131">
        <v>42767</v>
      </c>
      <c r="B103" s="131">
        <v>42795</v>
      </c>
      <c r="C103" s="123">
        <f t="shared" si="17"/>
        <v>28</v>
      </c>
      <c r="D103" s="123"/>
      <c r="E103" s="132">
        <v>80086.880000000005</v>
      </c>
      <c r="F103" s="110"/>
      <c r="G103" s="123"/>
      <c r="H103" s="123">
        <v>28</v>
      </c>
      <c r="I103" s="123"/>
      <c r="J103" s="123"/>
      <c r="K103" s="123"/>
      <c r="L103" s="123"/>
      <c r="M103" s="123"/>
      <c r="N103" s="123"/>
      <c r="O103" s="123"/>
      <c r="P103" s="123"/>
      <c r="Q103" s="123"/>
      <c r="R103" s="123"/>
      <c r="S103" s="133">
        <f t="shared" si="16"/>
        <v>0</v>
      </c>
      <c r="T103" s="116">
        <f t="shared" si="29"/>
        <v>0</v>
      </c>
      <c r="U103" s="116">
        <f t="shared" si="18"/>
        <v>758470.31</v>
      </c>
      <c r="V103" s="116">
        <f t="shared" si="19"/>
        <v>0</v>
      </c>
      <c r="W103" s="116">
        <f t="shared" si="20"/>
        <v>0</v>
      </c>
      <c r="X103" s="116">
        <f t="shared" si="21"/>
        <v>0</v>
      </c>
      <c r="Y103" s="116">
        <f t="shared" si="22"/>
        <v>0</v>
      </c>
      <c r="Z103" s="116">
        <f t="shared" si="23"/>
        <v>0</v>
      </c>
      <c r="AA103" s="116">
        <f t="shared" si="24"/>
        <v>0</v>
      </c>
      <c r="AB103" s="116">
        <f t="shared" si="25"/>
        <v>0</v>
      </c>
      <c r="AC103" s="116">
        <f t="shared" si="26"/>
        <v>0</v>
      </c>
      <c r="AD103" s="116">
        <f t="shared" si="27"/>
        <v>0</v>
      </c>
      <c r="AE103" s="116">
        <f t="shared" si="28"/>
        <v>0</v>
      </c>
    </row>
    <row r="104" spans="1:31">
      <c r="A104" s="131">
        <v>42774</v>
      </c>
      <c r="B104" s="131">
        <v>42802</v>
      </c>
      <c r="C104" s="123">
        <f t="shared" si="17"/>
        <v>28</v>
      </c>
      <c r="D104" s="123"/>
      <c r="E104" s="132">
        <v>601.26</v>
      </c>
      <c r="F104" s="110"/>
      <c r="G104" s="123"/>
      <c r="H104" s="123">
        <v>21</v>
      </c>
      <c r="I104" s="123">
        <v>7</v>
      </c>
      <c r="J104" s="123"/>
      <c r="K104" s="123"/>
      <c r="L104" s="123"/>
      <c r="M104" s="123"/>
      <c r="N104" s="123"/>
      <c r="O104" s="123"/>
      <c r="P104" s="123"/>
      <c r="Q104" s="123"/>
      <c r="R104" s="123"/>
      <c r="S104" s="133">
        <f t="shared" si="16"/>
        <v>0</v>
      </c>
      <c r="T104" s="116">
        <f t="shared" si="29"/>
        <v>0</v>
      </c>
      <c r="U104" s="116">
        <f t="shared" si="18"/>
        <v>4270.72</v>
      </c>
      <c r="V104" s="116">
        <f t="shared" si="19"/>
        <v>1787.55</v>
      </c>
      <c r="W104" s="116">
        <f t="shared" si="20"/>
        <v>0</v>
      </c>
      <c r="X104" s="116">
        <f t="shared" si="21"/>
        <v>0</v>
      </c>
      <c r="Y104" s="116">
        <f t="shared" si="22"/>
        <v>0</v>
      </c>
      <c r="Z104" s="116">
        <f t="shared" si="23"/>
        <v>0</v>
      </c>
      <c r="AA104" s="116">
        <f t="shared" si="24"/>
        <v>0</v>
      </c>
      <c r="AB104" s="116">
        <f t="shared" si="25"/>
        <v>0</v>
      </c>
      <c r="AC104" s="116">
        <f t="shared" si="26"/>
        <v>0</v>
      </c>
      <c r="AD104" s="116">
        <f t="shared" si="27"/>
        <v>0</v>
      </c>
      <c r="AE104" s="116">
        <f t="shared" si="28"/>
        <v>0</v>
      </c>
    </row>
    <row r="105" spans="1:31">
      <c r="A105" s="131">
        <v>42774</v>
      </c>
      <c r="B105" s="131">
        <v>42802</v>
      </c>
      <c r="C105" s="123">
        <f t="shared" si="17"/>
        <v>28</v>
      </c>
      <c r="D105" s="123"/>
      <c r="E105" s="132">
        <v>225.31</v>
      </c>
      <c r="F105" s="110"/>
      <c r="G105" s="123"/>
      <c r="H105" s="123">
        <v>21</v>
      </c>
      <c r="I105" s="123">
        <v>7</v>
      </c>
      <c r="J105" s="123"/>
      <c r="K105" s="123"/>
      <c r="L105" s="123"/>
      <c r="M105" s="123"/>
      <c r="N105" s="123"/>
      <c r="O105" s="123"/>
      <c r="P105" s="123"/>
      <c r="Q105" s="123"/>
      <c r="R105" s="123"/>
      <c r="S105" s="133">
        <f t="shared" si="16"/>
        <v>0</v>
      </c>
      <c r="T105" s="116">
        <f t="shared" si="29"/>
        <v>0</v>
      </c>
      <c r="U105" s="116">
        <f t="shared" si="18"/>
        <v>1600.36</v>
      </c>
      <c r="V105" s="116">
        <f t="shared" si="19"/>
        <v>669.85</v>
      </c>
      <c r="W105" s="116">
        <f t="shared" si="20"/>
        <v>0</v>
      </c>
      <c r="X105" s="116">
        <f t="shared" si="21"/>
        <v>0</v>
      </c>
      <c r="Y105" s="116">
        <f t="shared" si="22"/>
        <v>0</v>
      </c>
      <c r="Z105" s="116">
        <f t="shared" si="23"/>
        <v>0</v>
      </c>
      <c r="AA105" s="116">
        <f t="shared" si="24"/>
        <v>0</v>
      </c>
      <c r="AB105" s="116">
        <f t="shared" si="25"/>
        <v>0</v>
      </c>
      <c r="AC105" s="116">
        <f t="shared" si="26"/>
        <v>0</v>
      </c>
      <c r="AD105" s="116">
        <f t="shared" si="27"/>
        <v>0</v>
      </c>
      <c r="AE105" s="116">
        <f t="shared" si="28"/>
        <v>0</v>
      </c>
    </row>
    <row r="106" spans="1:31">
      <c r="A106" s="131">
        <v>42767</v>
      </c>
      <c r="B106" s="131">
        <v>42795</v>
      </c>
      <c r="C106" s="123">
        <f t="shared" si="17"/>
        <v>28</v>
      </c>
      <c r="D106" s="123"/>
      <c r="E106" s="132">
        <v>3959.1600000000008</v>
      </c>
      <c r="F106" s="110"/>
      <c r="G106" s="123"/>
      <c r="H106" s="123">
        <v>28</v>
      </c>
      <c r="I106" s="123"/>
      <c r="J106" s="123"/>
      <c r="K106" s="123"/>
      <c r="L106" s="123"/>
      <c r="M106" s="123"/>
      <c r="N106" s="123"/>
      <c r="O106" s="123"/>
      <c r="P106" s="123"/>
      <c r="Q106" s="123"/>
      <c r="R106" s="123"/>
      <c r="S106" s="133">
        <f t="shared" si="16"/>
        <v>0</v>
      </c>
      <c r="T106" s="116">
        <f t="shared" si="29"/>
        <v>0</v>
      </c>
      <c r="U106" s="116">
        <f t="shared" si="18"/>
        <v>37495.599999999999</v>
      </c>
      <c r="V106" s="116">
        <f t="shared" si="19"/>
        <v>0</v>
      </c>
      <c r="W106" s="116">
        <f t="shared" si="20"/>
        <v>0</v>
      </c>
      <c r="X106" s="116">
        <f t="shared" si="21"/>
        <v>0</v>
      </c>
      <c r="Y106" s="116">
        <f t="shared" si="22"/>
        <v>0</v>
      </c>
      <c r="Z106" s="116">
        <f t="shared" si="23"/>
        <v>0</v>
      </c>
      <c r="AA106" s="116">
        <f t="shared" si="24"/>
        <v>0</v>
      </c>
      <c r="AB106" s="116">
        <f t="shared" si="25"/>
        <v>0</v>
      </c>
      <c r="AC106" s="116">
        <f t="shared" si="26"/>
        <v>0</v>
      </c>
      <c r="AD106" s="116">
        <f t="shared" si="27"/>
        <v>0</v>
      </c>
      <c r="AE106" s="116">
        <f t="shared" si="28"/>
        <v>0</v>
      </c>
    </row>
    <row r="107" spans="1:31">
      <c r="A107" s="131">
        <v>42774</v>
      </c>
      <c r="B107" s="131">
        <v>42802</v>
      </c>
      <c r="C107" s="123">
        <f t="shared" si="17"/>
        <v>28</v>
      </c>
      <c r="D107" s="123"/>
      <c r="E107" s="132">
        <v>179.79</v>
      </c>
      <c r="F107" s="110"/>
      <c r="G107" s="123"/>
      <c r="H107" s="123">
        <v>21</v>
      </c>
      <c r="I107" s="123">
        <v>7</v>
      </c>
      <c r="J107" s="123"/>
      <c r="K107" s="123"/>
      <c r="L107" s="123"/>
      <c r="M107" s="123"/>
      <c r="N107" s="123"/>
      <c r="O107" s="123"/>
      <c r="P107" s="123"/>
      <c r="Q107" s="123"/>
      <c r="R107" s="123"/>
      <c r="S107" s="133">
        <f t="shared" si="16"/>
        <v>0</v>
      </c>
      <c r="T107" s="116">
        <f t="shared" si="29"/>
        <v>0</v>
      </c>
      <c r="U107" s="116">
        <f t="shared" si="18"/>
        <v>1277.04</v>
      </c>
      <c r="V107" s="116">
        <f t="shared" si="19"/>
        <v>534.52</v>
      </c>
      <c r="W107" s="116">
        <f t="shared" si="20"/>
        <v>0</v>
      </c>
      <c r="X107" s="116">
        <f t="shared" si="21"/>
        <v>0</v>
      </c>
      <c r="Y107" s="116">
        <f t="shared" si="22"/>
        <v>0</v>
      </c>
      <c r="Z107" s="116">
        <f t="shared" si="23"/>
        <v>0</v>
      </c>
      <c r="AA107" s="116">
        <f t="shared" si="24"/>
        <v>0</v>
      </c>
      <c r="AB107" s="116">
        <f t="shared" si="25"/>
        <v>0</v>
      </c>
      <c r="AC107" s="116">
        <f t="shared" si="26"/>
        <v>0</v>
      </c>
      <c r="AD107" s="116">
        <f t="shared" si="27"/>
        <v>0</v>
      </c>
      <c r="AE107" s="116">
        <f t="shared" si="28"/>
        <v>0</v>
      </c>
    </row>
    <row r="108" spans="1:31">
      <c r="A108" s="131">
        <v>42774</v>
      </c>
      <c r="B108" s="131">
        <v>42802</v>
      </c>
      <c r="C108" s="123">
        <f t="shared" si="17"/>
        <v>28</v>
      </c>
      <c r="D108" s="123"/>
      <c r="E108" s="132">
        <v>576.66</v>
      </c>
      <c r="F108" s="110"/>
      <c r="G108" s="123"/>
      <c r="H108" s="123">
        <v>21</v>
      </c>
      <c r="I108" s="123">
        <v>7</v>
      </c>
      <c r="J108" s="123"/>
      <c r="K108" s="123"/>
      <c r="L108" s="123"/>
      <c r="M108" s="123"/>
      <c r="N108" s="123"/>
      <c r="O108" s="123"/>
      <c r="P108" s="123"/>
      <c r="Q108" s="123"/>
      <c r="R108" s="123"/>
      <c r="S108" s="133">
        <f t="shared" si="16"/>
        <v>0</v>
      </c>
      <c r="T108" s="116">
        <f t="shared" si="29"/>
        <v>0</v>
      </c>
      <c r="U108" s="116">
        <f t="shared" si="18"/>
        <v>4095.98</v>
      </c>
      <c r="V108" s="116">
        <f t="shared" si="19"/>
        <v>1714.41</v>
      </c>
      <c r="W108" s="116">
        <f t="shared" si="20"/>
        <v>0</v>
      </c>
      <c r="X108" s="116">
        <f t="shared" si="21"/>
        <v>0</v>
      </c>
      <c r="Y108" s="116">
        <f t="shared" si="22"/>
        <v>0</v>
      </c>
      <c r="Z108" s="116">
        <f t="shared" si="23"/>
        <v>0</v>
      </c>
      <c r="AA108" s="116">
        <f t="shared" si="24"/>
        <v>0</v>
      </c>
      <c r="AB108" s="116">
        <f t="shared" si="25"/>
        <v>0</v>
      </c>
      <c r="AC108" s="116">
        <f t="shared" si="26"/>
        <v>0</v>
      </c>
      <c r="AD108" s="116">
        <f t="shared" si="27"/>
        <v>0</v>
      </c>
      <c r="AE108" s="116">
        <f t="shared" si="28"/>
        <v>0</v>
      </c>
    </row>
    <row r="109" spans="1:31">
      <c r="A109" s="131">
        <v>42763</v>
      </c>
      <c r="B109" s="131">
        <v>42794</v>
      </c>
      <c r="C109" s="123">
        <f t="shared" si="17"/>
        <v>31</v>
      </c>
      <c r="D109" s="123"/>
      <c r="E109" s="132">
        <v>583.08000000000004</v>
      </c>
      <c r="F109" s="110"/>
      <c r="G109" s="123">
        <v>4</v>
      </c>
      <c r="H109" s="123">
        <v>27</v>
      </c>
      <c r="I109" s="123"/>
      <c r="J109" s="123"/>
      <c r="K109" s="123"/>
      <c r="L109" s="123"/>
      <c r="M109" s="123"/>
      <c r="N109" s="123"/>
      <c r="O109" s="123"/>
      <c r="P109" s="123"/>
      <c r="Q109" s="123"/>
      <c r="R109" s="123"/>
      <c r="S109" s="133">
        <f t="shared" si="16"/>
        <v>0</v>
      </c>
      <c r="T109" s="116">
        <f t="shared" si="29"/>
        <v>1125.1099999999999</v>
      </c>
      <c r="U109" s="116">
        <f t="shared" si="18"/>
        <v>4809.58</v>
      </c>
      <c r="V109" s="116">
        <f t="shared" si="19"/>
        <v>0</v>
      </c>
      <c r="W109" s="116">
        <f t="shared" si="20"/>
        <v>0</v>
      </c>
      <c r="X109" s="116">
        <f t="shared" si="21"/>
        <v>0</v>
      </c>
      <c r="Y109" s="116">
        <f t="shared" si="22"/>
        <v>0</v>
      </c>
      <c r="Z109" s="116">
        <f t="shared" si="23"/>
        <v>0</v>
      </c>
      <c r="AA109" s="116">
        <f t="shared" si="24"/>
        <v>0</v>
      </c>
      <c r="AB109" s="116">
        <f t="shared" si="25"/>
        <v>0</v>
      </c>
      <c r="AC109" s="116">
        <f t="shared" si="26"/>
        <v>0</v>
      </c>
      <c r="AD109" s="116">
        <f t="shared" si="27"/>
        <v>0</v>
      </c>
      <c r="AE109" s="116">
        <f t="shared" si="28"/>
        <v>0</v>
      </c>
    </row>
    <row r="110" spans="1:31">
      <c r="A110" s="131">
        <v>42778</v>
      </c>
      <c r="B110" s="131">
        <v>42806</v>
      </c>
      <c r="C110" s="123">
        <f t="shared" si="17"/>
        <v>28</v>
      </c>
      <c r="D110" s="123"/>
      <c r="E110" s="132">
        <v>906.83</v>
      </c>
      <c r="F110" s="110"/>
      <c r="G110" s="123"/>
      <c r="H110" s="123">
        <v>17</v>
      </c>
      <c r="I110" s="123">
        <v>11</v>
      </c>
      <c r="J110" s="123"/>
      <c r="K110" s="123"/>
      <c r="L110" s="123"/>
      <c r="M110" s="123"/>
      <c r="N110" s="123"/>
      <c r="O110" s="123"/>
      <c r="P110" s="123"/>
      <c r="Q110" s="123"/>
      <c r="R110" s="123"/>
      <c r="S110" s="133">
        <f t="shared" si="16"/>
        <v>0</v>
      </c>
      <c r="T110" s="116">
        <f t="shared" si="29"/>
        <v>0</v>
      </c>
      <c r="U110" s="116">
        <f t="shared" si="18"/>
        <v>5214.28</v>
      </c>
      <c r="V110" s="116">
        <f t="shared" si="19"/>
        <v>4236.59</v>
      </c>
      <c r="W110" s="116">
        <f t="shared" si="20"/>
        <v>0</v>
      </c>
      <c r="X110" s="116">
        <f t="shared" si="21"/>
        <v>0</v>
      </c>
      <c r="Y110" s="116">
        <f t="shared" si="22"/>
        <v>0</v>
      </c>
      <c r="Z110" s="116">
        <f t="shared" si="23"/>
        <v>0</v>
      </c>
      <c r="AA110" s="116">
        <f t="shared" si="24"/>
        <v>0</v>
      </c>
      <c r="AB110" s="116">
        <f t="shared" si="25"/>
        <v>0</v>
      </c>
      <c r="AC110" s="116">
        <f t="shared" si="26"/>
        <v>0</v>
      </c>
      <c r="AD110" s="116">
        <f t="shared" si="27"/>
        <v>0</v>
      </c>
      <c r="AE110" s="116">
        <f t="shared" si="28"/>
        <v>0</v>
      </c>
    </row>
    <row r="111" spans="1:31">
      <c r="A111" s="131">
        <v>42778</v>
      </c>
      <c r="B111" s="131">
        <v>42806</v>
      </c>
      <c r="C111" s="123">
        <f t="shared" si="17"/>
        <v>28</v>
      </c>
      <c r="D111" s="123"/>
      <c r="E111" s="132">
        <v>196.66</v>
      </c>
      <c r="F111" s="110"/>
      <c r="G111" s="123"/>
      <c r="H111" s="123">
        <v>17</v>
      </c>
      <c r="I111" s="123">
        <v>11</v>
      </c>
      <c r="J111" s="123"/>
      <c r="K111" s="123"/>
      <c r="L111" s="123"/>
      <c r="M111" s="123"/>
      <c r="N111" s="123"/>
      <c r="O111" s="123"/>
      <c r="P111" s="123"/>
      <c r="Q111" s="123"/>
      <c r="R111" s="123"/>
      <c r="S111" s="133">
        <f t="shared" si="16"/>
        <v>0</v>
      </c>
      <c r="T111" s="116">
        <f t="shared" si="29"/>
        <v>0</v>
      </c>
      <c r="U111" s="116">
        <f t="shared" si="18"/>
        <v>1130.8</v>
      </c>
      <c r="V111" s="116">
        <f t="shared" si="19"/>
        <v>918.77</v>
      </c>
      <c r="W111" s="116">
        <f t="shared" si="20"/>
        <v>0</v>
      </c>
      <c r="X111" s="116">
        <f t="shared" si="21"/>
        <v>0</v>
      </c>
      <c r="Y111" s="116">
        <f t="shared" si="22"/>
        <v>0</v>
      </c>
      <c r="Z111" s="116">
        <f t="shared" si="23"/>
        <v>0</v>
      </c>
      <c r="AA111" s="116">
        <f t="shared" si="24"/>
        <v>0</v>
      </c>
      <c r="AB111" s="116">
        <f t="shared" si="25"/>
        <v>0</v>
      </c>
      <c r="AC111" s="116">
        <f t="shared" si="26"/>
        <v>0</v>
      </c>
      <c r="AD111" s="116">
        <f t="shared" si="27"/>
        <v>0</v>
      </c>
      <c r="AE111" s="116">
        <f t="shared" si="28"/>
        <v>0</v>
      </c>
    </row>
    <row r="112" spans="1:31" ht="15.75" thickBot="1">
      <c r="A112" s="131">
        <v>42778</v>
      </c>
      <c r="B112" s="131">
        <v>42806</v>
      </c>
      <c r="C112" s="123">
        <f t="shared" si="17"/>
        <v>28</v>
      </c>
      <c r="D112" s="123"/>
      <c r="E112" s="132">
        <v>849.62</v>
      </c>
      <c r="F112" s="110"/>
      <c r="G112" s="123"/>
      <c r="H112" s="123">
        <v>17</v>
      </c>
      <c r="I112" s="123">
        <v>11</v>
      </c>
      <c r="J112" s="123"/>
      <c r="K112" s="123"/>
      <c r="L112" s="123"/>
      <c r="M112" s="123"/>
      <c r="N112" s="123"/>
      <c r="O112" s="123"/>
      <c r="P112" s="123"/>
      <c r="Q112" s="123"/>
      <c r="R112" s="123"/>
      <c r="S112" s="133">
        <f t="shared" si="16"/>
        <v>0</v>
      </c>
      <c r="T112" s="116">
        <f t="shared" si="29"/>
        <v>0</v>
      </c>
      <c r="U112" s="116">
        <f t="shared" si="18"/>
        <v>4885.32</v>
      </c>
      <c r="V112" s="116">
        <f t="shared" si="19"/>
        <v>3969.31</v>
      </c>
      <c r="W112" s="116">
        <f t="shared" si="20"/>
        <v>0</v>
      </c>
      <c r="X112" s="116">
        <f t="shared" si="21"/>
        <v>0</v>
      </c>
      <c r="Y112" s="116">
        <f t="shared" si="22"/>
        <v>0</v>
      </c>
      <c r="Z112" s="116">
        <f t="shared" si="23"/>
        <v>0</v>
      </c>
      <c r="AA112" s="116">
        <f t="shared" si="24"/>
        <v>0</v>
      </c>
      <c r="AB112" s="116">
        <f t="shared" si="25"/>
        <v>0</v>
      </c>
      <c r="AC112" s="116">
        <f t="shared" si="26"/>
        <v>0</v>
      </c>
      <c r="AD112" s="116">
        <f t="shared" si="27"/>
        <v>0</v>
      </c>
      <c r="AE112" s="116">
        <f t="shared" si="28"/>
        <v>0</v>
      </c>
    </row>
    <row r="113" spans="1:31" ht="15.75" thickBot="1">
      <c r="A113" s="185" t="s">
        <v>38</v>
      </c>
      <c r="B113" s="186"/>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186"/>
      <c r="AD113" s="186"/>
      <c r="AE113" s="187"/>
    </row>
    <row r="114" spans="1:31">
      <c r="A114" s="131">
        <v>42781</v>
      </c>
      <c r="B114" s="131">
        <v>42809</v>
      </c>
      <c r="C114" s="123">
        <f t="shared" si="17"/>
        <v>28</v>
      </c>
      <c r="D114" s="123"/>
      <c r="E114" s="132">
        <v>7139.24</v>
      </c>
      <c r="F114" s="110"/>
      <c r="G114" s="123"/>
      <c r="H114" s="123">
        <v>14</v>
      </c>
      <c r="I114" s="123">
        <v>14</v>
      </c>
      <c r="J114" s="123"/>
      <c r="K114" s="123"/>
      <c r="L114" s="123"/>
      <c r="M114" s="123"/>
      <c r="N114" s="123"/>
      <c r="O114" s="123"/>
      <c r="P114" s="123"/>
      <c r="Q114" s="123"/>
      <c r="R114" s="123"/>
      <c r="S114" s="133">
        <f t="shared" si="16"/>
        <v>0</v>
      </c>
      <c r="T114" s="116">
        <f t="shared" si="29"/>
        <v>0</v>
      </c>
      <c r="U114" s="116">
        <f t="shared" si="18"/>
        <v>33806.42</v>
      </c>
      <c r="V114" s="116">
        <f t="shared" si="19"/>
        <v>42449.99</v>
      </c>
      <c r="W114" s="116">
        <f t="shared" si="20"/>
        <v>0</v>
      </c>
      <c r="X114" s="116">
        <f t="shared" si="21"/>
        <v>0</v>
      </c>
      <c r="Y114" s="116">
        <f t="shared" si="22"/>
        <v>0</v>
      </c>
      <c r="Z114" s="116">
        <f t="shared" si="23"/>
        <v>0</v>
      </c>
      <c r="AA114" s="116">
        <f t="shared" si="24"/>
        <v>0</v>
      </c>
      <c r="AB114" s="116">
        <f t="shared" si="25"/>
        <v>0</v>
      </c>
      <c r="AC114" s="116">
        <f t="shared" si="26"/>
        <v>0</v>
      </c>
      <c r="AD114" s="116">
        <f t="shared" si="27"/>
        <v>0</v>
      </c>
      <c r="AE114" s="116">
        <f t="shared" si="28"/>
        <v>0</v>
      </c>
    </row>
    <row r="115" spans="1:31">
      <c r="A115" s="131">
        <v>42781</v>
      </c>
      <c r="B115" s="131">
        <v>42809</v>
      </c>
      <c r="C115" s="123">
        <f t="shared" si="17"/>
        <v>28</v>
      </c>
      <c r="D115" s="123"/>
      <c r="E115" s="132">
        <v>2459.29</v>
      </c>
      <c r="F115" s="110"/>
      <c r="G115" s="123"/>
      <c r="H115" s="123">
        <v>14</v>
      </c>
      <c r="I115" s="123">
        <v>14</v>
      </c>
      <c r="J115" s="123"/>
      <c r="K115" s="123"/>
      <c r="L115" s="123"/>
      <c r="M115" s="123"/>
      <c r="N115" s="123"/>
      <c r="O115" s="123"/>
      <c r="P115" s="123"/>
      <c r="Q115" s="123"/>
      <c r="R115" s="123"/>
      <c r="S115" s="133">
        <f t="shared" si="16"/>
        <v>0</v>
      </c>
      <c r="T115" s="116">
        <f t="shared" si="29"/>
        <v>0</v>
      </c>
      <c r="U115" s="116">
        <f t="shared" si="18"/>
        <v>11645.47</v>
      </c>
      <c r="V115" s="116">
        <f t="shared" si="19"/>
        <v>14622.96</v>
      </c>
      <c r="W115" s="116">
        <f t="shared" si="20"/>
        <v>0</v>
      </c>
      <c r="X115" s="116">
        <f t="shared" si="21"/>
        <v>0</v>
      </c>
      <c r="Y115" s="116">
        <f t="shared" si="22"/>
        <v>0</v>
      </c>
      <c r="Z115" s="116">
        <f t="shared" si="23"/>
        <v>0</v>
      </c>
      <c r="AA115" s="116">
        <f t="shared" si="24"/>
        <v>0</v>
      </c>
      <c r="AB115" s="116">
        <f t="shared" si="25"/>
        <v>0</v>
      </c>
      <c r="AC115" s="116">
        <f t="shared" si="26"/>
        <v>0</v>
      </c>
      <c r="AD115" s="116">
        <f t="shared" si="27"/>
        <v>0</v>
      </c>
      <c r="AE115" s="116">
        <f t="shared" si="28"/>
        <v>0</v>
      </c>
    </row>
    <row r="116" spans="1:31">
      <c r="A116" s="131">
        <v>42785</v>
      </c>
      <c r="B116" s="131">
        <v>42813</v>
      </c>
      <c r="C116" s="123">
        <f t="shared" si="17"/>
        <v>28</v>
      </c>
      <c r="D116" s="123"/>
      <c r="E116" s="132">
        <v>560.07000000000005</v>
      </c>
      <c r="F116" s="110"/>
      <c r="G116" s="123"/>
      <c r="H116" s="123">
        <v>10</v>
      </c>
      <c r="I116" s="123">
        <v>18</v>
      </c>
      <c r="J116" s="123"/>
      <c r="K116" s="123"/>
      <c r="L116" s="123"/>
      <c r="M116" s="123"/>
      <c r="N116" s="123"/>
      <c r="O116" s="123"/>
      <c r="P116" s="123"/>
      <c r="Q116" s="123"/>
      <c r="R116" s="123"/>
      <c r="S116" s="133">
        <f t="shared" si="16"/>
        <v>0</v>
      </c>
      <c r="T116" s="116">
        <f t="shared" si="29"/>
        <v>0</v>
      </c>
      <c r="U116" s="116">
        <f t="shared" si="18"/>
        <v>1894.36</v>
      </c>
      <c r="V116" s="116">
        <f t="shared" si="19"/>
        <v>4281.66</v>
      </c>
      <c r="W116" s="116">
        <f t="shared" si="20"/>
        <v>0</v>
      </c>
      <c r="X116" s="116">
        <f t="shared" si="21"/>
        <v>0</v>
      </c>
      <c r="Y116" s="116">
        <f t="shared" si="22"/>
        <v>0</v>
      </c>
      <c r="Z116" s="116">
        <f t="shared" si="23"/>
        <v>0</v>
      </c>
      <c r="AA116" s="116">
        <f t="shared" si="24"/>
        <v>0</v>
      </c>
      <c r="AB116" s="116">
        <f t="shared" si="25"/>
        <v>0</v>
      </c>
      <c r="AC116" s="116">
        <f t="shared" si="26"/>
        <v>0</v>
      </c>
      <c r="AD116" s="116">
        <f t="shared" si="27"/>
        <v>0</v>
      </c>
      <c r="AE116" s="116">
        <f t="shared" si="28"/>
        <v>0</v>
      </c>
    </row>
    <row r="117" spans="1:31">
      <c r="A117" s="131">
        <v>42781</v>
      </c>
      <c r="B117" s="131">
        <v>42809</v>
      </c>
      <c r="C117" s="123">
        <f t="shared" si="17"/>
        <v>28</v>
      </c>
      <c r="D117" s="123"/>
      <c r="E117" s="132">
        <v>42980.52</v>
      </c>
      <c r="F117" s="110"/>
      <c r="G117" s="123"/>
      <c r="H117" s="123">
        <v>14</v>
      </c>
      <c r="I117" s="123">
        <v>14</v>
      </c>
      <c r="J117" s="123"/>
      <c r="K117" s="123"/>
      <c r="L117" s="123"/>
      <c r="M117" s="123"/>
      <c r="N117" s="123"/>
      <c r="O117" s="123"/>
      <c r="P117" s="123"/>
      <c r="Q117" s="123"/>
      <c r="R117" s="123"/>
      <c r="S117" s="133">
        <f t="shared" si="16"/>
        <v>0</v>
      </c>
      <c r="T117" s="116">
        <f t="shared" si="29"/>
        <v>0</v>
      </c>
      <c r="U117" s="116">
        <f t="shared" si="18"/>
        <v>203525.52</v>
      </c>
      <c r="V117" s="116">
        <f t="shared" si="19"/>
        <v>255562.61</v>
      </c>
      <c r="W117" s="116">
        <f t="shared" si="20"/>
        <v>0</v>
      </c>
      <c r="X117" s="116">
        <f t="shared" si="21"/>
        <v>0</v>
      </c>
      <c r="Y117" s="116">
        <f t="shared" si="22"/>
        <v>0</v>
      </c>
      <c r="Z117" s="116">
        <f t="shared" si="23"/>
        <v>0</v>
      </c>
      <c r="AA117" s="116">
        <f t="shared" si="24"/>
        <v>0</v>
      </c>
      <c r="AB117" s="116">
        <f t="shared" si="25"/>
        <v>0</v>
      </c>
      <c r="AC117" s="116">
        <f t="shared" si="26"/>
        <v>0</v>
      </c>
      <c r="AD117" s="116">
        <f t="shared" si="27"/>
        <v>0</v>
      </c>
      <c r="AE117" s="116">
        <f t="shared" si="28"/>
        <v>0</v>
      </c>
    </row>
    <row r="118" spans="1:31">
      <c r="A118" s="131">
        <v>42785</v>
      </c>
      <c r="B118" s="131">
        <v>42813</v>
      </c>
      <c r="C118" s="123">
        <f t="shared" si="17"/>
        <v>28</v>
      </c>
      <c r="D118" s="123"/>
      <c r="E118" s="132">
        <v>658.65</v>
      </c>
      <c r="F118" s="110"/>
      <c r="G118" s="123"/>
      <c r="H118" s="123">
        <v>10</v>
      </c>
      <c r="I118" s="123">
        <v>18</v>
      </c>
      <c r="J118" s="123"/>
      <c r="K118" s="123"/>
      <c r="L118" s="123"/>
      <c r="M118" s="123"/>
      <c r="N118" s="123"/>
      <c r="O118" s="123"/>
      <c r="P118" s="123"/>
      <c r="Q118" s="123"/>
      <c r="R118" s="123"/>
      <c r="S118" s="133">
        <f t="shared" si="16"/>
        <v>0</v>
      </c>
      <c r="T118" s="116">
        <f t="shared" si="29"/>
        <v>0</v>
      </c>
      <c r="U118" s="116">
        <f t="shared" si="18"/>
        <v>2227.79</v>
      </c>
      <c r="V118" s="116">
        <f t="shared" si="19"/>
        <v>5035.29</v>
      </c>
      <c r="W118" s="116">
        <f t="shared" si="20"/>
        <v>0</v>
      </c>
      <c r="X118" s="116">
        <f t="shared" si="21"/>
        <v>0</v>
      </c>
      <c r="Y118" s="116">
        <f t="shared" si="22"/>
        <v>0</v>
      </c>
      <c r="Z118" s="116">
        <f t="shared" si="23"/>
        <v>0</v>
      </c>
      <c r="AA118" s="116">
        <f t="shared" si="24"/>
        <v>0</v>
      </c>
      <c r="AB118" s="116">
        <f t="shared" si="25"/>
        <v>0</v>
      </c>
      <c r="AC118" s="116">
        <f t="shared" si="26"/>
        <v>0</v>
      </c>
      <c r="AD118" s="116">
        <f t="shared" si="27"/>
        <v>0</v>
      </c>
      <c r="AE118" s="116">
        <f t="shared" si="28"/>
        <v>0</v>
      </c>
    </row>
    <row r="119" spans="1:31">
      <c r="A119" s="131">
        <v>42792</v>
      </c>
      <c r="B119" s="131">
        <v>42820</v>
      </c>
      <c r="C119" s="123">
        <f t="shared" si="17"/>
        <v>28</v>
      </c>
      <c r="D119" s="123"/>
      <c r="E119" s="132">
        <v>1450.04</v>
      </c>
      <c r="F119" s="110"/>
      <c r="G119" s="123"/>
      <c r="H119" s="123">
        <v>3</v>
      </c>
      <c r="I119" s="123">
        <v>25</v>
      </c>
      <c r="J119" s="123"/>
      <c r="K119" s="123"/>
      <c r="L119" s="123"/>
      <c r="M119" s="123"/>
      <c r="N119" s="123"/>
      <c r="O119" s="123"/>
      <c r="P119" s="123"/>
      <c r="Q119" s="123"/>
      <c r="R119" s="123"/>
      <c r="S119" s="133">
        <f t="shared" si="16"/>
        <v>0</v>
      </c>
      <c r="T119" s="116">
        <f t="shared" si="29"/>
        <v>0</v>
      </c>
      <c r="U119" s="116">
        <f t="shared" si="18"/>
        <v>1471.36</v>
      </c>
      <c r="V119" s="116">
        <f t="shared" si="19"/>
        <v>15396.34</v>
      </c>
      <c r="W119" s="116">
        <f t="shared" si="20"/>
        <v>0</v>
      </c>
      <c r="X119" s="116">
        <f t="shared" si="21"/>
        <v>0</v>
      </c>
      <c r="Y119" s="116">
        <f t="shared" si="22"/>
        <v>0</v>
      </c>
      <c r="Z119" s="116">
        <f t="shared" si="23"/>
        <v>0</v>
      </c>
      <c r="AA119" s="116">
        <f t="shared" si="24"/>
        <v>0</v>
      </c>
      <c r="AB119" s="116">
        <f t="shared" si="25"/>
        <v>0</v>
      </c>
      <c r="AC119" s="116">
        <f t="shared" si="26"/>
        <v>0</v>
      </c>
      <c r="AD119" s="116">
        <f t="shared" si="27"/>
        <v>0</v>
      </c>
      <c r="AE119" s="116">
        <f t="shared" si="28"/>
        <v>0</v>
      </c>
    </row>
    <row r="120" spans="1:31">
      <c r="A120" s="131">
        <v>42785</v>
      </c>
      <c r="B120" s="131">
        <v>42813</v>
      </c>
      <c r="C120" s="123">
        <f t="shared" si="17"/>
        <v>28</v>
      </c>
      <c r="D120" s="123"/>
      <c r="E120" s="132">
        <v>1447</v>
      </c>
      <c r="F120" s="110"/>
      <c r="G120" s="123"/>
      <c r="H120" s="123">
        <v>10</v>
      </c>
      <c r="I120" s="123">
        <v>18</v>
      </c>
      <c r="J120" s="123"/>
      <c r="K120" s="123"/>
      <c r="L120" s="123"/>
      <c r="M120" s="123"/>
      <c r="N120" s="123"/>
      <c r="O120" s="123"/>
      <c r="P120" s="123"/>
      <c r="Q120" s="123"/>
      <c r="R120" s="123"/>
      <c r="S120" s="133">
        <f t="shared" si="16"/>
        <v>0</v>
      </c>
      <c r="T120" s="116">
        <f t="shared" si="29"/>
        <v>0</v>
      </c>
      <c r="U120" s="116">
        <f t="shared" si="18"/>
        <v>4894.2700000000004</v>
      </c>
      <c r="V120" s="116">
        <f t="shared" si="19"/>
        <v>11062.13</v>
      </c>
      <c r="W120" s="116">
        <f t="shared" si="20"/>
        <v>0</v>
      </c>
      <c r="X120" s="116">
        <f t="shared" si="21"/>
        <v>0</v>
      </c>
      <c r="Y120" s="116">
        <f t="shared" si="22"/>
        <v>0</v>
      </c>
      <c r="Z120" s="116">
        <f t="shared" si="23"/>
        <v>0</v>
      </c>
      <c r="AA120" s="116">
        <f t="shared" si="24"/>
        <v>0</v>
      </c>
      <c r="AB120" s="116">
        <f t="shared" si="25"/>
        <v>0</v>
      </c>
      <c r="AC120" s="116">
        <f t="shared" si="26"/>
        <v>0</v>
      </c>
      <c r="AD120" s="116">
        <f t="shared" si="27"/>
        <v>0</v>
      </c>
      <c r="AE120" s="116">
        <f t="shared" si="28"/>
        <v>0</v>
      </c>
    </row>
    <row r="121" spans="1:31">
      <c r="A121" s="131">
        <v>42792</v>
      </c>
      <c r="B121" s="131">
        <v>42820</v>
      </c>
      <c r="C121" s="123">
        <f t="shared" si="17"/>
        <v>28</v>
      </c>
      <c r="D121" s="123"/>
      <c r="E121" s="132">
        <v>1143.83</v>
      </c>
      <c r="F121" s="110"/>
      <c r="G121" s="123"/>
      <c r="H121" s="123">
        <v>3</v>
      </c>
      <c r="I121" s="123">
        <v>25</v>
      </c>
      <c r="J121" s="123"/>
      <c r="K121" s="123"/>
      <c r="L121" s="123"/>
      <c r="M121" s="123"/>
      <c r="N121" s="123"/>
      <c r="O121" s="123"/>
      <c r="P121" s="123"/>
      <c r="Q121" s="123"/>
      <c r="R121" s="123"/>
      <c r="S121" s="133">
        <f t="shared" si="16"/>
        <v>0</v>
      </c>
      <c r="T121" s="116">
        <f t="shared" si="29"/>
        <v>0</v>
      </c>
      <c r="U121" s="116">
        <f t="shared" si="18"/>
        <v>1160.6500000000001</v>
      </c>
      <c r="V121" s="116">
        <f t="shared" si="19"/>
        <v>12145.04</v>
      </c>
      <c r="W121" s="116">
        <f t="shared" si="20"/>
        <v>0</v>
      </c>
      <c r="X121" s="116">
        <f t="shared" si="21"/>
        <v>0</v>
      </c>
      <c r="Y121" s="116">
        <f t="shared" si="22"/>
        <v>0</v>
      </c>
      <c r="Z121" s="116">
        <f t="shared" si="23"/>
        <v>0</v>
      </c>
      <c r="AA121" s="116">
        <f t="shared" si="24"/>
        <v>0</v>
      </c>
      <c r="AB121" s="116">
        <f t="shared" si="25"/>
        <v>0</v>
      </c>
      <c r="AC121" s="116">
        <f t="shared" si="26"/>
        <v>0</v>
      </c>
      <c r="AD121" s="116">
        <f t="shared" si="27"/>
        <v>0</v>
      </c>
      <c r="AE121" s="116">
        <f t="shared" si="28"/>
        <v>0</v>
      </c>
    </row>
    <row r="122" spans="1:31">
      <c r="A122" s="131">
        <v>42794</v>
      </c>
      <c r="B122" s="131">
        <v>42822</v>
      </c>
      <c r="C122" s="123">
        <f t="shared" si="17"/>
        <v>28</v>
      </c>
      <c r="D122" s="123"/>
      <c r="E122" s="132">
        <v>1323.52</v>
      </c>
      <c r="F122" s="110"/>
      <c r="G122" s="123"/>
      <c r="H122" s="123">
        <v>1</v>
      </c>
      <c r="I122" s="123">
        <v>27</v>
      </c>
      <c r="J122" s="123"/>
      <c r="K122" s="123"/>
      <c r="L122" s="123"/>
      <c r="M122" s="123"/>
      <c r="N122" s="123"/>
      <c r="O122" s="123"/>
      <c r="P122" s="123"/>
      <c r="Q122" s="123"/>
      <c r="R122" s="123"/>
      <c r="S122" s="133">
        <f t="shared" si="16"/>
        <v>0</v>
      </c>
      <c r="T122" s="116">
        <f t="shared" si="29"/>
        <v>0</v>
      </c>
      <c r="U122" s="116">
        <f t="shared" si="18"/>
        <v>447.66</v>
      </c>
      <c r="V122" s="116">
        <f t="shared" si="19"/>
        <v>15177.21</v>
      </c>
      <c r="W122" s="116">
        <f t="shared" si="20"/>
        <v>0</v>
      </c>
      <c r="X122" s="116">
        <f t="shared" si="21"/>
        <v>0</v>
      </c>
      <c r="Y122" s="116">
        <f t="shared" si="22"/>
        <v>0</v>
      </c>
      <c r="Z122" s="116">
        <f t="shared" si="23"/>
        <v>0</v>
      </c>
      <c r="AA122" s="116">
        <f t="shared" si="24"/>
        <v>0</v>
      </c>
      <c r="AB122" s="116">
        <f t="shared" si="25"/>
        <v>0</v>
      </c>
      <c r="AC122" s="116">
        <f t="shared" si="26"/>
        <v>0</v>
      </c>
      <c r="AD122" s="116">
        <f t="shared" si="27"/>
        <v>0</v>
      </c>
      <c r="AE122" s="116">
        <f t="shared" si="28"/>
        <v>0</v>
      </c>
    </row>
    <row r="123" spans="1:31">
      <c r="A123" s="131">
        <v>42794</v>
      </c>
      <c r="B123" s="131">
        <v>42822</v>
      </c>
      <c r="C123" s="123">
        <f t="shared" si="17"/>
        <v>28</v>
      </c>
      <c r="D123" s="123"/>
      <c r="E123" s="132">
        <v>269.58</v>
      </c>
      <c r="F123" s="110"/>
      <c r="G123" s="123"/>
      <c r="H123" s="123">
        <v>1</v>
      </c>
      <c r="I123" s="123">
        <v>27</v>
      </c>
      <c r="J123" s="123"/>
      <c r="K123" s="123"/>
      <c r="L123" s="123"/>
      <c r="M123" s="123"/>
      <c r="N123" s="123"/>
      <c r="O123" s="123"/>
      <c r="P123" s="123"/>
      <c r="Q123" s="123"/>
      <c r="R123" s="123"/>
      <c r="S123" s="133">
        <f t="shared" si="16"/>
        <v>0</v>
      </c>
      <c r="T123" s="116">
        <f t="shared" si="29"/>
        <v>0</v>
      </c>
      <c r="U123" s="116">
        <f t="shared" si="18"/>
        <v>91.18</v>
      </c>
      <c r="V123" s="116">
        <f t="shared" si="19"/>
        <v>3091.36</v>
      </c>
      <c r="W123" s="116">
        <f t="shared" si="20"/>
        <v>0</v>
      </c>
      <c r="X123" s="116">
        <f t="shared" si="21"/>
        <v>0</v>
      </c>
      <c r="Y123" s="116">
        <f t="shared" si="22"/>
        <v>0</v>
      </c>
      <c r="Z123" s="116">
        <f t="shared" si="23"/>
        <v>0</v>
      </c>
      <c r="AA123" s="116">
        <f t="shared" si="24"/>
        <v>0</v>
      </c>
      <c r="AB123" s="116">
        <f t="shared" si="25"/>
        <v>0</v>
      </c>
      <c r="AC123" s="116">
        <f t="shared" si="26"/>
        <v>0</v>
      </c>
      <c r="AD123" s="116">
        <f t="shared" si="27"/>
        <v>0</v>
      </c>
      <c r="AE123" s="116">
        <f t="shared" si="28"/>
        <v>0</v>
      </c>
    </row>
    <row r="124" spans="1:31">
      <c r="A124" s="131">
        <v>42788</v>
      </c>
      <c r="B124" s="131">
        <v>42816</v>
      </c>
      <c r="C124" s="123">
        <f t="shared" si="17"/>
        <v>28</v>
      </c>
      <c r="D124" s="123">
        <v>30</v>
      </c>
      <c r="E124" s="132">
        <v>224057.26</v>
      </c>
      <c r="F124" s="134"/>
      <c r="G124" s="135"/>
      <c r="H124" s="123">
        <v>7</v>
      </c>
      <c r="I124" s="123">
        <v>21</v>
      </c>
      <c r="J124" s="123"/>
      <c r="K124" s="123"/>
      <c r="L124" s="123"/>
      <c r="M124" s="123"/>
      <c r="N124" s="123"/>
      <c r="O124" s="123"/>
      <c r="P124" s="123"/>
      <c r="Q124" s="123"/>
      <c r="R124" s="123"/>
      <c r="S124" s="133">
        <f t="shared" si="16"/>
        <v>0</v>
      </c>
      <c r="T124" s="116">
        <f>ROUND((E124*G124/C124)/$C$6,2)</f>
        <v>0</v>
      </c>
      <c r="U124" s="116">
        <v>628710.63</v>
      </c>
      <c r="V124" s="116">
        <v>1886131.88</v>
      </c>
      <c r="W124" s="116">
        <f t="shared" si="20"/>
        <v>0</v>
      </c>
      <c r="X124" s="116">
        <f t="shared" si="21"/>
        <v>0</v>
      </c>
      <c r="Y124" s="116">
        <f t="shared" si="22"/>
        <v>0</v>
      </c>
      <c r="Z124" s="116">
        <f t="shared" si="23"/>
        <v>0</v>
      </c>
      <c r="AA124" s="116">
        <f t="shared" si="24"/>
        <v>0</v>
      </c>
      <c r="AB124" s="116">
        <f t="shared" si="25"/>
        <v>0</v>
      </c>
      <c r="AC124" s="116">
        <f t="shared" si="26"/>
        <v>0</v>
      </c>
      <c r="AD124" s="116">
        <f t="shared" si="27"/>
        <v>0</v>
      </c>
      <c r="AE124" s="116">
        <f t="shared" si="28"/>
        <v>0</v>
      </c>
    </row>
    <row r="125" spans="1:31">
      <c r="A125" s="131">
        <v>42806</v>
      </c>
      <c r="B125" s="131">
        <v>42825</v>
      </c>
      <c r="C125" s="123">
        <f t="shared" si="17"/>
        <v>19</v>
      </c>
      <c r="D125" s="123"/>
      <c r="E125" s="132">
        <v>20.309999999999999</v>
      </c>
      <c r="F125" s="134"/>
      <c r="G125" s="135"/>
      <c r="H125" s="123"/>
      <c r="I125" s="123">
        <v>19</v>
      </c>
      <c r="J125" s="123"/>
      <c r="K125" s="123"/>
      <c r="L125" s="123"/>
      <c r="M125" s="123"/>
      <c r="N125" s="123"/>
      <c r="O125" s="123"/>
      <c r="P125" s="123"/>
      <c r="Q125" s="123"/>
      <c r="R125" s="123"/>
      <c r="S125" s="133">
        <f t="shared" si="16"/>
        <v>0</v>
      </c>
      <c r="T125" s="116">
        <f t="shared" si="29"/>
        <v>0</v>
      </c>
      <c r="U125" s="116">
        <f t="shared" si="18"/>
        <v>0</v>
      </c>
      <c r="V125" s="116">
        <f t="shared" si="19"/>
        <v>241.53</v>
      </c>
      <c r="W125" s="116">
        <f t="shared" si="20"/>
        <v>0</v>
      </c>
      <c r="X125" s="116">
        <f t="shared" si="21"/>
        <v>0</v>
      </c>
      <c r="Y125" s="116">
        <f t="shared" si="22"/>
        <v>0</v>
      </c>
      <c r="Z125" s="116">
        <f t="shared" si="23"/>
        <v>0</v>
      </c>
      <c r="AA125" s="116">
        <f t="shared" si="24"/>
        <v>0</v>
      </c>
      <c r="AB125" s="116">
        <f t="shared" si="25"/>
        <v>0</v>
      </c>
      <c r="AC125" s="116">
        <f t="shared" si="26"/>
        <v>0</v>
      </c>
      <c r="AD125" s="116">
        <f t="shared" si="27"/>
        <v>0</v>
      </c>
      <c r="AE125" s="116">
        <f t="shared" si="28"/>
        <v>0</v>
      </c>
    </row>
    <row r="126" spans="1:31">
      <c r="A126" s="131">
        <v>42794</v>
      </c>
      <c r="B126" s="131">
        <v>42822</v>
      </c>
      <c r="C126" s="123">
        <f t="shared" si="17"/>
        <v>28</v>
      </c>
      <c r="D126" s="123" t="s">
        <v>218</v>
      </c>
      <c r="E126" s="132">
        <v>8159.65</v>
      </c>
      <c r="F126" s="134"/>
      <c r="G126" s="135"/>
      <c r="H126" s="123">
        <v>1</v>
      </c>
      <c r="I126" s="123">
        <v>27</v>
      </c>
      <c r="J126" s="123"/>
      <c r="K126" s="123"/>
      <c r="L126" s="123"/>
      <c r="M126" s="123"/>
      <c r="N126" s="123"/>
      <c r="O126" s="123"/>
      <c r="P126" s="123"/>
      <c r="Q126" s="123"/>
      <c r="R126" s="123"/>
      <c r="S126" s="133">
        <f t="shared" si="16"/>
        <v>0</v>
      </c>
      <c r="T126" s="116">
        <f t="shared" si="29"/>
        <v>0</v>
      </c>
      <c r="U126" s="116">
        <f t="shared" si="18"/>
        <v>2759.88</v>
      </c>
      <c r="V126" s="116">
        <f t="shared" si="19"/>
        <v>93569.2</v>
      </c>
      <c r="W126" s="116">
        <f t="shared" si="20"/>
        <v>0</v>
      </c>
      <c r="X126" s="116">
        <f t="shared" si="21"/>
        <v>0</v>
      </c>
      <c r="Y126" s="116">
        <f t="shared" si="22"/>
        <v>0</v>
      </c>
      <c r="Z126" s="116">
        <f t="shared" si="23"/>
        <v>0</v>
      </c>
      <c r="AA126" s="116">
        <f t="shared" si="24"/>
        <v>0</v>
      </c>
      <c r="AB126" s="116">
        <f t="shared" si="25"/>
        <v>0</v>
      </c>
      <c r="AC126" s="116">
        <f t="shared" si="26"/>
        <v>0</v>
      </c>
      <c r="AD126" s="116">
        <f t="shared" si="27"/>
        <v>0</v>
      </c>
      <c r="AE126" s="116">
        <f t="shared" si="28"/>
        <v>0</v>
      </c>
    </row>
    <row r="127" spans="1:31">
      <c r="A127" s="131">
        <v>42795</v>
      </c>
      <c r="B127" s="131">
        <v>42826</v>
      </c>
      <c r="C127" s="123">
        <f t="shared" si="17"/>
        <v>31</v>
      </c>
      <c r="D127" s="123"/>
      <c r="E127" s="132">
        <v>183.25</v>
      </c>
      <c r="F127" s="134"/>
      <c r="G127" s="135"/>
      <c r="H127" s="123"/>
      <c r="I127" s="123">
        <v>31</v>
      </c>
      <c r="J127" s="123"/>
      <c r="K127" s="123"/>
      <c r="L127" s="123"/>
      <c r="M127" s="123"/>
      <c r="N127" s="123"/>
      <c r="O127" s="123"/>
      <c r="P127" s="123"/>
      <c r="Q127" s="123"/>
      <c r="R127" s="123"/>
      <c r="S127" s="133">
        <f t="shared" si="16"/>
        <v>0</v>
      </c>
      <c r="T127" s="116">
        <f t="shared" si="29"/>
        <v>0</v>
      </c>
      <c r="U127" s="116">
        <f t="shared" si="18"/>
        <v>0</v>
      </c>
      <c r="V127" s="116">
        <f t="shared" si="19"/>
        <v>2179.21</v>
      </c>
      <c r="W127" s="116">
        <f t="shared" si="20"/>
        <v>0</v>
      </c>
      <c r="X127" s="116">
        <f t="shared" si="21"/>
        <v>0</v>
      </c>
      <c r="Y127" s="116">
        <f t="shared" si="22"/>
        <v>0</v>
      </c>
      <c r="Z127" s="116">
        <f t="shared" si="23"/>
        <v>0</v>
      </c>
      <c r="AA127" s="116">
        <f t="shared" si="24"/>
        <v>0</v>
      </c>
      <c r="AB127" s="116">
        <f t="shared" si="25"/>
        <v>0</v>
      </c>
      <c r="AC127" s="116">
        <f t="shared" si="26"/>
        <v>0</v>
      </c>
      <c r="AD127" s="116">
        <f t="shared" si="27"/>
        <v>0</v>
      </c>
      <c r="AE127" s="116">
        <f t="shared" si="28"/>
        <v>0</v>
      </c>
    </row>
    <row r="128" spans="1:31">
      <c r="A128" s="131">
        <v>42795</v>
      </c>
      <c r="B128" s="131">
        <v>42826</v>
      </c>
      <c r="C128" s="123">
        <f t="shared" si="17"/>
        <v>31</v>
      </c>
      <c r="D128" s="123"/>
      <c r="E128" s="132">
        <v>111319.65</v>
      </c>
      <c r="F128" s="134"/>
      <c r="G128" s="135"/>
      <c r="H128" s="123"/>
      <c r="I128" s="123">
        <v>31</v>
      </c>
      <c r="J128" s="123"/>
      <c r="K128" s="123"/>
      <c r="L128" s="123"/>
      <c r="M128" s="123"/>
      <c r="N128" s="123"/>
      <c r="O128" s="123"/>
      <c r="P128" s="123"/>
      <c r="Q128" s="123"/>
      <c r="R128" s="123"/>
      <c r="S128" s="133">
        <f t="shared" si="16"/>
        <v>0</v>
      </c>
      <c r="T128" s="116">
        <f t="shared" si="29"/>
        <v>0</v>
      </c>
      <c r="U128" s="116">
        <f t="shared" si="18"/>
        <v>0</v>
      </c>
      <c r="V128" s="116">
        <f t="shared" si="19"/>
        <v>1323815.55</v>
      </c>
      <c r="W128" s="116">
        <f t="shared" si="20"/>
        <v>0</v>
      </c>
      <c r="X128" s="116">
        <f t="shared" si="21"/>
        <v>0</v>
      </c>
      <c r="Y128" s="116">
        <f t="shared" si="22"/>
        <v>0</v>
      </c>
      <c r="Z128" s="116">
        <f t="shared" si="23"/>
        <v>0</v>
      </c>
      <c r="AA128" s="116">
        <f t="shared" si="24"/>
        <v>0</v>
      </c>
      <c r="AB128" s="116">
        <f t="shared" si="25"/>
        <v>0</v>
      </c>
      <c r="AC128" s="116">
        <f t="shared" si="26"/>
        <v>0</v>
      </c>
      <c r="AD128" s="116">
        <f t="shared" si="27"/>
        <v>0</v>
      </c>
      <c r="AE128" s="116">
        <f t="shared" si="28"/>
        <v>0</v>
      </c>
    </row>
    <row r="129" spans="1:31">
      <c r="A129" s="131">
        <v>42802</v>
      </c>
      <c r="B129" s="131">
        <v>42828</v>
      </c>
      <c r="C129" s="123">
        <f t="shared" si="17"/>
        <v>26</v>
      </c>
      <c r="D129" s="123"/>
      <c r="E129" s="132">
        <v>36.19</v>
      </c>
      <c r="F129" s="134"/>
      <c r="G129" s="135"/>
      <c r="H129" s="123"/>
      <c r="I129" s="123">
        <v>24</v>
      </c>
      <c r="J129" s="123">
        <v>2</v>
      </c>
      <c r="K129" s="123"/>
      <c r="L129" s="123"/>
      <c r="M129" s="123"/>
      <c r="N129" s="123"/>
      <c r="O129" s="123"/>
      <c r="P129" s="123"/>
      <c r="Q129" s="123"/>
      <c r="R129" s="123"/>
      <c r="S129" s="133">
        <f t="shared" ref="S129:S194" si="30">C129-SUM(G129:R129)</f>
        <v>0</v>
      </c>
      <c r="T129" s="116">
        <f t="shared" si="29"/>
        <v>0</v>
      </c>
      <c r="U129" s="116">
        <f t="shared" si="18"/>
        <v>0</v>
      </c>
      <c r="V129" s="116">
        <f t="shared" si="19"/>
        <v>397.27</v>
      </c>
      <c r="W129" s="116">
        <f t="shared" si="20"/>
        <v>40.5</v>
      </c>
      <c r="X129" s="116">
        <f t="shared" si="21"/>
        <v>0</v>
      </c>
      <c r="Y129" s="116">
        <f t="shared" si="22"/>
        <v>0</v>
      </c>
      <c r="Z129" s="116">
        <f t="shared" si="23"/>
        <v>0</v>
      </c>
      <c r="AA129" s="116">
        <f t="shared" si="24"/>
        <v>0</v>
      </c>
      <c r="AB129" s="116">
        <f t="shared" si="25"/>
        <v>0</v>
      </c>
      <c r="AC129" s="116">
        <f t="shared" si="26"/>
        <v>0</v>
      </c>
      <c r="AD129" s="116">
        <f t="shared" si="27"/>
        <v>0</v>
      </c>
      <c r="AE129" s="116">
        <f t="shared" si="28"/>
        <v>0</v>
      </c>
    </row>
    <row r="130" spans="1:31">
      <c r="A130" s="131">
        <v>42797</v>
      </c>
      <c r="B130" s="131">
        <v>42828</v>
      </c>
      <c r="C130" s="123">
        <f t="shared" si="17"/>
        <v>31</v>
      </c>
      <c r="D130" s="123"/>
      <c r="E130" s="132">
        <v>859.97</v>
      </c>
      <c r="F130" s="134"/>
      <c r="G130" s="135"/>
      <c r="H130" s="123"/>
      <c r="I130" s="123">
        <v>29</v>
      </c>
      <c r="J130" s="123">
        <v>2</v>
      </c>
      <c r="K130" s="123"/>
      <c r="L130" s="123"/>
      <c r="M130" s="123"/>
      <c r="N130" s="123"/>
      <c r="O130" s="123"/>
      <c r="P130" s="123"/>
      <c r="Q130" s="123"/>
      <c r="R130" s="123"/>
      <c r="S130" s="133">
        <f t="shared" si="30"/>
        <v>0</v>
      </c>
      <c r="T130" s="116">
        <f t="shared" si="29"/>
        <v>0</v>
      </c>
      <c r="U130" s="116">
        <f t="shared" si="18"/>
        <v>0</v>
      </c>
      <c r="V130" s="116">
        <f t="shared" si="19"/>
        <v>9566.99</v>
      </c>
      <c r="W130" s="116">
        <f t="shared" si="20"/>
        <v>807.13</v>
      </c>
      <c r="X130" s="116">
        <f t="shared" si="21"/>
        <v>0</v>
      </c>
      <c r="Y130" s="116">
        <f t="shared" si="22"/>
        <v>0</v>
      </c>
      <c r="Z130" s="116">
        <f t="shared" si="23"/>
        <v>0</v>
      </c>
      <c r="AA130" s="116">
        <f t="shared" si="24"/>
        <v>0</v>
      </c>
      <c r="AB130" s="116">
        <f t="shared" si="25"/>
        <v>0</v>
      </c>
      <c r="AC130" s="116">
        <f t="shared" si="26"/>
        <v>0</v>
      </c>
      <c r="AD130" s="116">
        <f t="shared" si="27"/>
        <v>0</v>
      </c>
      <c r="AE130" s="116">
        <f t="shared" si="28"/>
        <v>0</v>
      </c>
    </row>
    <row r="131" spans="1:31">
      <c r="A131" s="131">
        <v>42797</v>
      </c>
      <c r="B131" s="131">
        <v>42828</v>
      </c>
      <c r="C131" s="123">
        <f t="shared" si="17"/>
        <v>31</v>
      </c>
      <c r="D131" s="123"/>
      <c r="E131" s="132">
        <v>516.08000000000004</v>
      </c>
      <c r="F131" s="134"/>
      <c r="G131" s="135"/>
      <c r="H131" s="123"/>
      <c r="I131" s="123">
        <v>29</v>
      </c>
      <c r="J131" s="123">
        <v>2</v>
      </c>
      <c r="K131" s="123"/>
      <c r="L131" s="123"/>
      <c r="M131" s="123"/>
      <c r="N131" s="123"/>
      <c r="O131" s="123"/>
      <c r="P131" s="123"/>
      <c r="Q131" s="123"/>
      <c r="R131" s="123"/>
      <c r="S131" s="133">
        <f t="shared" si="30"/>
        <v>0</v>
      </c>
      <c r="T131" s="116">
        <f t="shared" si="29"/>
        <v>0</v>
      </c>
      <c r="U131" s="116">
        <f t="shared" si="18"/>
        <v>0</v>
      </c>
      <c r="V131" s="116">
        <f t="shared" si="19"/>
        <v>5741.28</v>
      </c>
      <c r="W131" s="116">
        <f t="shared" si="20"/>
        <v>484.37</v>
      </c>
      <c r="X131" s="116">
        <f t="shared" si="21"/>
        <v>0</v>
      </c>
      <c r="Y131" s="116">
        <f t="shared" si="22"/>
        <v>0</v>
      </c>
      <c r="Z131" s="116">
        <f t="shared" si="23"/>
        <v>0</v>
      </c>
      <c r="AA131" s="116">
        <f t="shared" si="24"/>
        <v>0</v>
      </c>
      <c r="AB131" s="116">
        <f t="shared" si="25"/>
        <v>0</v>
      </c>
      <c r="AC131" s="116">
        <f t="shared" si="26"/>
        <v>0</v>
      </c>
      <c r="AD131" s="116">
        <f t="shared" si="27"/>
        <v>0</v>
      </c>
      <c r="AE131" s="116">
        <f t="shared" si="28"/>
        <v>0</v>
      </c>
    </row>
    <row r="132" spans="1:31">
      <c r="A132" s="131">
        <v>42795</v>
      </c>
      <c r="B132" s="131">
        <v>42826</v>
      </c>
      <c r="C132" s="123">
        <f t="shared" si="17"/>
        <v>31</v>
      </c>
      <c r="D132" s="123" t="s">
        <v>219</v>
      </c>
      <c r="E132" s="132">
        <v>5742.65</v>
      </c>
      <c r="F132" s="134"/>
      <c r="G132" s="135"/>
      <c r="H132" s="123"/>
      <c r="I132" s="123">
        <v>31</v>
      </c>
      <c r="J132" s="123"/>
      <c r="K132" s="123"/>
      <c r="L132" s="123"/>
      <c r="M132" s="123"/>
      <c r="N132" s="123"/>
      <c r="O132" s="123"/>
      <c r="P132" s="123"/>
      <c r="Q132" s="123"/>
      <c r="R132" s="123"/>
      <c r="S132" s="133">
        <f t="shared" si="30"/>
        <v>0</v>
      </c>
      <c r="T132" s="116">
        <f t="shared" si="29"/>
        <v>0</v>
      </c>
      <c r="U132" s="116">
        <f t="shared" si="18"/>
        <v>0</v>
      </c>
      <c r="V132" s="116">
        <f t="shared" si="19"/>
        <v>68291.710000000006</v>
      </c>
      <c r="W132" s="116">
        <f t="shared" si="20"/>
        <v>0</v>
      </c>
      <c r="X132" s="116">
        <f t="shared" si="21"/>
        <v>0</v>
      </c>
      <c r="Y132" s="116">
        <f t="shared" si="22"/>
        <v>0</v>
      </c>
      <c r="Z132" s="116">
        <f t="shared" si="23"/>
        <v>0</v>
      </c>
      <c r="AA132" s="116">
        <f t="shared" si="24"/>
        <v>0</v>
      </c>
      <c r="AB132" s="116">
        <f t="shared" si="25"/>
        <v>0</v>
      </c>
      <c r="AC132" s="116">
        <f t="shared" si="26"/>
        <v>0</v>
      </c>
      <c r="AD132" s="116">
        <f t="shared" si="27"/>
        <v>0</v>
      </c>
      <c r="AE132" s="116">
        <f t="shared" si="28"/>
        <v>0</v>
      </c>
    </row>
    <row r="133" spans="1:31">
      <c r="A133" s="131">
        <v>42797</v>
      </c>
      <c r="B133" s="131">
        <v>42828</v>
      </c>
      <c r="C133" s="123">
        <f t="shared" si="17"/>
        <v>31</v>
      </c>
      <c r="D133" s="123"/>
      <c r="E133" s="132">
        <v>2666.11</v>
      </c>
      <c r="F133" s="134"/>
      <c r="G133" s="135"/>
      <c r="H133" s="123"/>
      <c r="I133" s="123">
        <v>29</v>
      </c>
      <c r="J133" s="123">
        <v>2</v>
      </c>
      <c r="K133" s="123"/>
      <c r="L133" s="123"/>
      <c r="M133" s="123"/>
      <c r="N133" s="123"/>
      <c r="O133" s="123"/>
      <c r="P133" s="123"/>
      <c r="Q133" s="123"/>
      <c r="R133" s="123"/>
      <c r="S133" s="133">
        <f t="shared" si="30"/>
        <v>0</v>
      </c>
      <c r="T133" s="116">
        <f t="shared" si="29"/>
        <v>0</v>
      </c>
      <c r="U133" s="116">
        <f t="shared" si="18"/>
        <v>0</v>
      </c>
      <c r="V133" s="116">
        <f t="shared" si="19"/>
        <v>29659.919999999998</v>
      </c>
      <c r="W133" s="116">
        <f t="shared" si="20"/>
        <v>2502.29</v>
      </c>
      <c r="X133" s="116">
        <f t="shared" si="21"/>
        <v>0</v>
      </c>
      <c r="Y133" s="116">
        <f t="shared" si="22"/>
        <v>0</v>
      </c>
      <c r="Z133" s="116">
        <f t="shared" si="23"/>
        <v>0</v>
      </c>
      <c r="AA133" s="116">
        <f t="shared" si="24"/>
        <v>0</v>
      </c>
      <c r="AB133" s="116">
        <f t="shared" si="25"/>
        <v>0</v>
      </c>
      <c r="AC133" s="116">
        <f t="shared" si="26"/>
        <v>0</v>
      </c>
      <c r="AD133" s="116">
        <f t="shared" si="27"/>
        <v>0</v>
      </c>
      <c r="AE133" s="116">
        <f t="shared" si="28"/>
        <v>0</v>
      </c>
    </row>
    <row r="134" spans="1:31">
      <c r="A134" s="131">
        <v>42797</v>
      </c>
      <c r="B134" s="131">
        <v>42828</v>
      </c>
      <c r="C134" s="123">
        <f t="shared" si="17"/>
        <v>31</v>
      </c>
      <c r="D134" s="123"/>
      <c r="E134" s="132">
        <v>875.28</v>
      </c>
      <c r="F134" s="134"/>
      <c r="G134" s="135"/>
      <c r="H134" s="123"/>
      <c r="I134" s="123">
        <v>29</v>
      </c>
      <c r="J134" s="123">
        <v>2</v>
      </c>
      <c r="K134" s="123"/>
      <c r="L134" s="123"/>
      <c r="M134" s="123"/>
      <c r="N134" s="123"/>
      <c r="O134" s="123"/>
      <c r="P134" s="123"/>
      <c r="Q134" s="123"/>
      <c r="R134" s="123"/>
      <c r="S134" s="133">
        <f t="shared" si="30"/>
        <v>0</v>
      </c>
      <c r="T134" s="116">
        <f t="shared" si="29"/>
        <v>0</v>
      </c>
      <c r="U134" s="116">
        <f t="shared" si="18"/>
        <v>0</v>
      </c>
      <c r="V134" s="116">
        <f t="shared" si="19"/>
        <v>9737.31</v>
      </c>
      <c r="W134" s="116">
        <f t="shared" si="20"/>
        <v>821.5</v>
      </c>
      <c r="X134" s="116">
        <f t="shared" si="21"/>
        <v>0</v>
      </c>
      <c r="Y134" s="116">
        <f t="shared" si="22"/>
        <v>0</v>
      </c>
      <c r="Z134" s="116">
        <f t="shared" si="23"/>
        <v>0</v>
      </c>
      <c r="AA134" s="116">
        <f t="shared" si="24"/>
        <v>0</v>
      </c>
      <c r="AB134" s="116">
        <f t="shared" si="25"/>
        <v>0</v>
      </c>
      <c r="AC134" s="116">
        <f t="shared" si="26"/>
        <v>0</v>
      </c>
      <c r="AD134" s="116">
        <f t="shared" si="27"/>
        <v>0</v>
      </c>
      <c r="AE134" s="116">
        <f t="shared" si="28"/>
        <v>0</v>
      </c>
    </row>
    <row r="135" spans="1:31">
      <c r="A135" s="131">
        <v>42795</v>
      </c>
      <c r="B135" s="131">
        <v>42826</v>
      </c>
      <c r="C135" s="123">
        <f t="shared" si="17"/>
        <v>31</v>
      </c>
      <c r="D135" s="123"/>
      <c r="E135" s="132">
        <v>2990.47</v>
      </c>
      <c r="F135" s="134"/>
      <c r="G135" s="135"/>
      <c r="H135" s="123"/>
      <c r="I135" s="123">
        <v>31</v>
      </c>
      <c r="J135" s="123"/>
      <c r="K135" s="123"/>
      <c r="L135" s="123"/>
      <c r="M135" s="123"/>
      <c r="N135" s="123"/>
      <c r="O135" s="123"/>
      <c r="P135" s="123"/>
      <c r="Q135" s="123"/>
      <c r="R135" s="123"/>
      <c r="S135" s="133">
        <f t="shared" si="30"/>
        <v>0</v>
      </c>
      <c r="T135" s="116">
        <f t="shared" si="29"/>
        <v>0</v>
      </c>
      <c r="U135" s="116">
        <f t="shared" si="18"/>
        <v>0</v>
      </c>
      <c r="V135" s="116">
        <f t="shared" si="19"/>
        <v>35562.730000000003</v>
      </c>
      <c r="W135" s="116">
        <f t="shared" si="20"/>
        <v>0</v>
      </c>
      <c r="X135" s="116">
        <f t="shared" si="21"/>
        <v>0</v>
      </c>
      <c r="Y135" s="116">
        <f t="shared" si="22"/>
        <v>0</v>
      </c>
      <c r="Z135" s="116">
        <f t="shared" si="23"/>
        <v>0</v>
      </c>
      <c r="AA135" s="116">
        <f t="shared" si="24"/>
        <v>0</v>
      </c>
      <c r="AB135" s="116">
        <f t="shared" si="25"/>
        <v>0</v>
      </c>
      <c r="AC135" s="116">
        <f t="shared" si="26"/>
        <v>0</v>
      </c>
      <c r="AD135" s="116">
        <f t="shared" si="27"/>
        <v>0</v>
      </c>
      <c r="AE135" s="116">
        <f t="shared" si="28"/>
        <v>0</v>
      </c>
    </row>
    <row r="136" spans="1:31">
      <c r="A136" s="131">
        <v>42799</v>
      </c>
      <c r="B136" s="131">
        <v>42830</v>
      </c>
      <c r="C136" s="123">
        <f t="shared" si="17"/>
        <v>31</v>
      </c>
      <c r="D136" s="123"/>
      <c r="E136" s="132">
        <v>117.53</v>
      </c>
      <c r="F136" s="134"/>
      <c r="G136" s="135"/>
      <c r="H136" s="123"/>
      <c r="I136" s="123">
        <v>27</v>
      </c>
      <c r="J136" s="123">
        <v>4</v>
      </c>
      <c r="K136" s="123"/>
      <c r="L136" s="123"/>
      <c r="M136" s="123"/>
      <c r="N136" s="123"/>
      <c r="O136" s="123"/>
      <c r="P136" s="123"/>
      <c r="Q136" s="123"/>
      <c r="R136" s="123"/>
      <c r="S136" s="133">
        <f t="shared" si="30"/>
        <v>0</v>
      </c>
      <c r="T136" s="116">
        <f t="shared" si="29"/>
        <v>0</v>
      </c>
      <c r="U136" s="116">
        <f t="shared" si="18"/>
        <v>0</v>
      </c>
      <c r="V136" s="116">
        <f t="shared" si="19"/>
        <v>1217.32</v>
      </c>
      <c r="W136" s="116">
        <f t="shared" si="20"/>
        <v>220.62</v>
      </c>
      <c r="X136" s="116">
        <f t="shared" si="21"/>
        <v>0</v>
      </c>
      <c r="Y136" s="116">
        <f t="shared" si="22"/>
        <v>0</v>
      </c>
      <c r="Z136" s="116">
        <f t="shared" si="23"/>
        <v>0</v>
      </c>
      <c r="AA136" s="116">
        <f t="shared" si="24"/>
        <v>0</v>
      </c>
      <c r="AB136" s="116">
        <f t="shared" si="25"/>
        <v>0</v>
      </c>
      <c r="AC136" s="116">
        <f t="shared" si="26"/>
        <v>0</v>
      </c>
      <c r="AD136" s="116">
        <f t="shared" si="27"/>
        <v>0</v>
      </c>
      <c r="AE136" s="116">
        <f t="shared" si="28"/>
        <v>0</v>
      </c>
    </row>
    <row r="137" spans="1:31">
      <c r="A137" s="131">
        <v>42799</v>
      </c>
      <c r="B137" s="131">
        <v>42830</v>
      </c>
      <c r="C137" s="123">
        <f t="shared" si="17"/>
        <v>31</v>
      </c>
      <c r="D137" s="123"/>
      <c r="E137" s="132">
        <v>716.32</v>
      </c>
      <c r="F137" s="134"/>
      <c r="G137" s="135"/>
      <c r="H137" s="123"/>
      <c r="I137" s="123">
        <v>27</v>
      </c>
      <c r="J137" s="123">
        <v>4</v>
      </c>
      <c r="K137" s="123"/>
      <c r="L137" s="123"/>
      <c r="M137" s="123"/>
      <c r="N137" s="123"/>
      <c r="O137" s="123"/>
      <c r="P137" s="123"/>
      <c r="Q137" s="123"/>
      <c r="R137" s="123"/>
      <c r="S137" s="133">
        <f t="shared" si="30"/>
        <v>0</v>
      </c>
      <c r="T137" s="116">
        <f t="shared" si="29"/>
        <v>0</v>
      </c>
      <c r="U137" s="116">
        <f t="shared" si="18"/>
        <v>0</v>
      </c>
      <c r="V137" s="116">
        <f t="shared" si="19"/>
        <v>7419.33</v>
      </c>
      <c r="W137" s="116">
        <f t="shared" si="20"/>
        <v>1344.61</v>
      </c>
      <c r="X137" s="116">
        <f t="shared" si="21"/>
        <v>0</v>
      </c>
      <c r="Y137" s="116">
        <f t="shared" si="22"/>
        <v>0</v>
      </c>
      <c r="Z137" s="116">
        <f t="shared" si="23"/>
        <v>0</v>
      </c>
      <c r="AA137" s="116">
        <f t="shared" si="24"/>
        <v>0</v>
      </c>
      <c r="AB137" s="116">
        <f t="shared" si="25"/>
        <v>0</v>
      </c>
      <c r="AC137" s="116">
        <f t="shared" si="26"/>
        <v>0</v>
      </c>
      <c r="AD137" s="116">
        <f t="shared" si="27"/>
        <v>0</v>
      </c>
      <c r="AE137" s="116">
        <f t="shared" si="28"/>
        <v>0</v>
      </c>
    </row>
    <row r="138" spans="1:31">
      <c r="A138" s="131">
        <v>42799</v>
      </c>
      <c r="B138" s="131">
        <v>42830</v>
      </c>
      <c r="C138" s="123">
        <f t="shared" si="17"/>
        <v>31</v>
      </c>
      <c r="D138" s="123"/>
      <c r="E138" s="132">
        <v>407.96</v>
      </c>
      <c r="F138" s="134"/>
      <c r="G138" s="135"/>
      <c r="H138" s="123"/>
      <c r="I138" s="123">
        <v>27</v>
      </c>
      <c r="J138" s="123">
        <v>4</v>
      </c>
      <c r="K138" s="123"/>
      <c r="L138" s="123"/>
      <c r="M138" s="123"/>
      <c r="N138" s="123"/>
      <c r="O138" s="123"/>
      <c r="P138" s="123"/>
      <c r="Q138" s="123"/>
      <c r="R138" s="123"/>
      <c r="S138" s="133">
        <f t="shared" si="30"/>
        <v>0</v>
      </c>
      <c r="T138" s="116">
        <f t="shared" si="29"/>
        <v>0</v>
      </c>
      <c r="U138" s="116">
        <f t="shared" si="18"/>
        <v>0</v>
      </c>
      <c r="V138" s="116">
        <f t="shared" si="19"/>
        <v>4225.47</v>
      </c>
      <c r="W138" s="116">
        <f t="shared" si="20"/>
        <v>765.78</v>
      </c>
      <c r="X138" s="116">
        <f t="shared" si="21"/>
        <v>0</v>
      </c>
      <c r="Y138" s="116">
        <f t="shared" si="22"/>
        <v>0</v>
      </c>
      <c r="Z138" s="116">
        <f t="shared" si="23"/>
        <v>0</v>
      </c>
      <c r="AA138" s="116">
        <f t="shared" si="24"/>
        <v>0</v>
      </c>
      <c r="AB138" s="116">
        <f t="shared" si="25"/>
        <v>0</v>
      </c>
      <c r="AC138" s="116">
        <f t="shared" si="26"/>
        <v>0</v>
      </c>
      <c r="AD138" s="116">
        <f t="shared" si="27"/>
        <v>0</v>
      </c>
      <c r="AE138" s="116">
        <f t="shared" si="28"/>
        <v>0</v>
      </c>
    </row>
    <row r="139" spans="1:31">
      <c r="A139" s="131">
        <v>42795</v>
      </c>
      <c r="B139" s="131">
        <v>42826</v>
      </c>
      <c r="C139" s="123">
        <f t="shared" si="17"/>
        <v>31</v>
      </c>
      <c r="D139" s="123"/>
      <c r="E139" s="132">
        <v>27650.33</v>
      </c>
      <c r="F139" s="134"/>
      <c r="G139" s="135"/>
      <c r="H139" s="123"/>
      <c r="I139" s="123">
        <v>31</v>
      </c>
      <c r="J139" s="123"/>
      <c r="K139" s="123"/>
      <c r="L139" s="123"/>
      <c r="M139" s="123"/>
      <c r="N139" s="123"/>
      <c r="O139" s="123"/>
      <c r="P139" s="123"/>
      <c r="Q139" s="123"/>
      <c r="R139" s="123"/>
      <c r="S139" s="133">
        <f t="shared" si="30"/>
        <v>0</v>
      </c>
      <c r="T139" s="116">
        <f t="shared" si="29"/>
        <v>0</v>
      </c>
      <c r="U139" s="116">
        <f t="shared" si="18"/>
        <v>0</v>
      </c>
      <c r="V139" s="116">
        <f t="shared" si="19"/>
        <v>328818.28999999998</v>
      </c>
      <c r="W139" s="116">
        <f t="shared" si="20"/>
        <v>0</v>
      </c>
      <c r="X139" s="116">
        <f t="shared" si="21"/>
        <v>0</v>
      </c>
      <c r="Y139" s="116">
        <f t="shared" si="22"/>
        <v>0</v>
      </c>
      <c r="Z139" s="116">
        <f t="shared" si="23"/>
        <v>0</v>
      </c>
      <c r="AA139" s="116">
        <f t="shared" si="24"/>
        <v>0</v>
      </c>
      <c r="AB139" s="116">
        <f t="shared" si="25"/>
        <v>0</v>
      </c>
      <c r="AC139" s="116">
        <f t="shared" si="26"/>
        <v>0</v>
      </c>
      <c r="AD139" s="116">
        <f t="shared" si="27"/>
        <v>0</v>
      </c>
      <c r="AE139" s="116">
        <f t="shared" si="28"/>
        <v>0</v>
      </c>
    </row>
    <row r="140" spans="1:31">
      <c r="A140" s="131">
        <v>42795</v>
      </c>
      <c r="B140" s="131">
        <v>42826</v>
      </c>
      <c r="C140" s="123">
        <f t="shared" si="17"/>
        <v>31</v>
      </c>
      <c r="D140" s="123"/>
      <c r="E140" s="132">
        <v>46084.19</v>
      </c>
      <c r="F140" s="134"/>
      <c r="G140" s="135"/>
      <c r="H140" s="123"/>
      <c r="I140" s="123">
        <v>31</v>
      </c>
      <c r="J140" s="123"/>
      <c r="K140" s="123"/>
      <c r="L140" s="123"/>
      <c r="M140" s="123"/>
      <c r="N140" s="123"/>
      <c r="O140" s="123"/>
      <c r="P140" s="123"/>
      <c r="Q140" s="123"/>
      <c r="R140" s="123"/>
      <c r="S140" s="133">
        <f t="shared" si="30"/>
        <v>0</v>
      </c>
      <c r="T140" s="116">
        <f t="shared" si="29"/>
        <v>0</v>
      </c>
      <c r="U140" s="116">
        <f t="shared" si="18"/>
        <v>0</v>
      </c>
      <c r="V140" s="116">
        <f t="shared" si="19"/>
        <v>548034.13</v>
      </c>
      <c r="W140" s="116">
        <f t="shared" si="20"/>
        <v>0</v>
      </c>
      <c r="X140" s="116">
        <f t="shared" si="21"/>
        <v>0</v>
      </c>
      <c r="Y140" s="116">
        <f t="shared" si="22"/>
        <v>0</v>
      </c>
      <c r="Z140" s="116">
        <f t="shared" si="23"/>
        <v>0</v>
      </c>
      <c r="AA140" s="116">
        <f t="shared" si="24"/>
        <v>0</v>
      </c>
      <c r="AB140" s="116">
        <f t="shared" si="25"/>
        <v>0</v>
      </c>
      <c r="AC140" s="116">
        <f t="shared" si="26"/>
        <v>0</v>
      </c>
      <c r="AD140" s="116">
        <f t="shared" si="27"/>
        <v>0</v>
      </c>
      <c r="AE140" s="116">
        <f t="shared" si="28"/>
        <v>0</v>
      </c>
    </row>
    <row r="141" spans="1:31">
      <c r="A141" s="131">
        <v>42802</v>
      </c>
      <c r="B141" s="131">
        <v>42833</v>
      </c>
      <c r="C141" s="123">
        <f t="shared" si="17"/>
        <v>31</v>
      </c>
      <c r="D141" s="123"/>
      <c r="E141" s="132">
        <v>179.19</v>
      </c>
      <c r="F141" s="134"/>
      <c r="G141" s="135"/>
      <c r="H141" s="123"/>
      <c r="I141" s="123">
        <v>24</v>
      </c>
      <c r="J141" s="123">
        <v>7</v>
      </c>
      <c r="K141" s="123"/>
      <c r="L141" s="123"/>
      <c r="M141" s="123"/>
      <c r="N141" s="123"/>
      <c r="O141" s="123"/>
      <c r="P141" s="123"/>
      <c r="Q141" s="123"/>
      <c r="R141" s="123"/>
      <c r="S141" s="133">
        <f t="shared" si="30"/>
        <v>0</v>
      </c>
      <c r="T141" s="116">
        <f t="shared" si="29"/>
        <v>0</v>
      </c>
      <c r="U141" s="116">
        <f t="shared" si="18"/>
        <v>0</v>
      </c>
      <c r="V141" s="116">
        <f t="shared" si="19"/>
        <v>1649.75</v>
      </c>
      <c r="W141" s="116">
        <f t="shared" si="20"/>
        <v>588.63</v>
      </c>
      <c r="X141" s="116">
        <f t="shared" si="21"/>
        <v>0</v>
      </c>
      <c r="Y141" s="116">
        <f t="shared" si="22"/>
        <v>0</v>
      </c>
      <c r="Z141" s="116">
        <f t="shared" si="23"/>
        <v>0</v>
      </c>
      <c r="AA141" s="116">
        <f t="shared" si="24"/>
        <v>0</v>
      </c>
      <c r="AB141" s="116">
        <f t="shared" si="25"/>
        <v>0</v>
      </c>
      <c r="AC141" s="116">
        <f t="shared" si="26"/>
        <v>0</v>
      </c>
      <c r="AD141" s="116">
        <f t="shared" si="27"/>
        <v>0</v>
      </c>
      <c r="AE141" s="116">
        <f t="shared" si="28"/>
        <v>0</v>
      </c>
    </row>
    <row r="142" spans="1:31">
      <c r="A142" s="131">
        <v>42795</v>
      </c>
      <c r="B142" s="131">
        <v>42826</v>
      </c>
      <c r="C142" s="123">
        <f t="shared" si="17"/>
        <v>31</v>
      </c>
      <c r="D142" s="123"/>
      <c r="E142" s="132">
        <v>3033.34</v>
      </c>
      <c r="F142" s="134"/>
      <c r="G142" s="135"/>
      <c r="H142" s="123"/>
      <c r="I142" s="123">
        <v>31</v>
      </c>
      <c r="J142" s="123"/>
      <c r="K142" s="123"/>
      <c r="L142" s="123"/>
      <c r="M142" s="123"/>
      <c r="N142" s="123"/>
      <c r="O142" s="123"/>
      <c r="P142" s="123"/>
      <c r="Q142" s="123"/>
      <c r="R142" s="123"/>
      <c r="S142" s="133">
        <f t="shared" si="30"/>
        <v>0</v>
      </c>
      <c r="T142" s="116">
        <f t="shared" si="29"/>
        <v>0</v>
      </c>
      <c r="U142" s="116">
        <f t="shared" si="18"/>
        <v>0</v>
      </c>
      <c r="V142" s="116">
        <f t="shared" si="19"/>
        <v>36072.54</v>
      </c>
      <c r="W142" s="116">
        <f t="shared" si="20"/>
        <v>0</v>
      </c>
      <c r="X142" s="116">
        <f t="shared" si="21"/>
        <v>0</v>
      </c>
      <c r="Y142" s="116">
        <f t="shared" si="22"/>
        <v>0</v>
      </c>
      <c r="Z142" s="116">
        <f t="shared" si="23"/>
        <v>0</v>
      </c>
      <c r="AA142" s="116">
        <f t="shared" si="24"/>
        <v>0</v>
      </c>
      <c r="AB142" s="116">
        <f t="shared" si="25"/>
        <v>0</v>
      </c>
      <c r="AC142" s="116">
        <f t="shared" si="26"/>
        <v>0</v>
      </c>
      <c r="AD142" s="116">
        <f t="shared" si="27"/>
        <v>0</v>
      </c>
      <c r="AE142" s="116">
        <f t="shared" si="28"/>
        <v>0</v>
      </c>
    </row>
    <row r="143" spans="1:31">
      <c r="A143" s="131">
        <v>42797</v>
      </c>
      <c r="B143" s="131">
        <v>42835</v>
      </c>
      <c r="C143" s="123">
        <f t="shared" si="17"/>
        <v>38</v>
      </c>
      <c r="D143" s="123"/>
      <c r="E143" s="132">
        <v>32.119999999999997</v>
      </c>
      <c r="F143" s="134"/>
      <c r="G143" s="135"/>
      <c r="H143" s="123"/>
      <c r="I143" s="123">
        <v>29</v>
      </c>
      <c r="J143" s="123">
        <v>9</v>
      </c>
      <c r="K143" s="123"/>
      <c r="L143" s="123"/>
      <c r="M143" s="123"/>
      <c r="N143" s="123"/>
      <c r="O143" s="123"/>
      <c r="P143" s="123"/>
      <c r="Q143" s="123"/>
      <c r="R143" s="123"/>
      <c r="S143" s="133">
        <f t="shared" si="30"/>
        <v>0</v>
      </c>
      <c r="T143" s="116">
        <f t="shared" si="29"/>
        <v>0</v>
      </c>
      <c r="U143" s="116">
        <f t="shared" si="18"/>
        <v>0</v>
      </c>
      <c r="V143" s="116">
        <f t="shared" si="19"/>
        <v>291.5</v>
      </c>
      <c r="W143" s="116">
        <f t="shared" si="20"/>
        <v>110.67</v>
      </c>
      <c r="X143" s="116">
        <f t="shared" si="21"/>
        <v>0</v>
      </c>
      <c r="Y143" s="116">
        <f t="shared" si="22"/>
        <v>0</v>
      </c>
      <c r="Z143" s="116">
        <f t="shared" si="23"/>
        <v>0</v>
      </c>
      <c r="AA143" s="116">
        <f t="shared" si="24"/>
        <v>0</v>
      </c>
      <c r="AB143" s="116">
        <f t="shared" si="25"/>
        <v>0</v>
      </c>
      <c r="AC143" s="116">
        <f t="shared" si="26"/>
        <v>0</v>
      </c>
      <c r="AD143" s="116">
        <f t="shared" si="27"/>
        <v>0</v>
      </c>
      <c r="AE143" s="116">
        <f t="shared" si="28"/>
        <v>0</v>
      </c>
    </row>
    <row r="144" spans="1:31">
      <c r="A144" s="131">
        <v>42802</v>
      </c>
      <c r="B144" s="131">
        <v>42833</v>
      </c>
      <c r="C144" s="123">
        <f t="shared" si="17"/>
        <v>31</v>
      </c>
      <c r="D144" s="123"/>
      <c r="E144" s="132">
        <v>477.83</v>
      </c>
      <c r="F144" s="134"/>
      <c r="G144" s="135"/>
      <c r="H144" s="123"/>
      <c r="I144" s="123">
        <v>24</v>
      </c>
      <c r="J144" s="123">
        <v>7</v>
      </c>
      <c r="K144" s="123"/>
      <c r="L144" s="123"/>
      <c r="M144" s="123"/>
      <c r="N144" s="123"/>
      <c r="O144" s="123"/>
      <c r="P144" s="123"/>
      <c r="Q144" s="123"/>
      <c r="R144" s="123"/>
      <c r="S144" s="133">
        <f t="shared" si="30"/>
        <v>0</v>
      </c>
      <c r="T144" s="116">
        <f t="shared" si="29"/>
        <v>0</v>
      </c>
      <c r="U144" s="116">
        <f t="shared" si="18"/>
        <v>0</v>
      </c>
      <c r="V144" s="116">
        <f t="shared" si="19"/>
        <v>4399.25</v>
      </c>
      <c r="W144" s="116">
        <f t="shared" si="20"/>
        <v>1569.64</v>
      </c>
      <c r="X144" s="116">
        <f t="shared" si="21"/>
        <v>0</v>
      </c>
      <c r="Y144" s="116">
        <f t="shared" si="22"/>
        <v>0</v>
      </c>
      <c r="Z144" s="116">
        <f t="shared" si="23"/>
        <v>0</v>
      </c>
      <c r="AA144" s="116">
        <f t="shared" si="24"/>
        <v>0</v>
      </c>
      <c r="AB144" s="116">
        <f t="shared" si="25"/>
        <v>0</v>
      </c>
      <c r="AC144" s="116">
        <f t="shared" si="26"/>
        <v>0</v>
      </c>
      <c r="AD144" s="116">
        <f t="shared" si="27"/>
        <v>0</v>
      </c>
      <c r="AE144" s="116">
        <f t="shared" si="28"/>
        <v>0</v>
      </c>
    </row>
    <row r="145" spans="1:31" ht="15.75" thickBot="1">
      <c r="A145" s="131">
        <v>42802</v>
      </c>
      <c r="B145" s="131">
        <v>42833</v>
      </c>
      <c r="C145" s="123">
        <f t="shared" si="17"/>
        <v>31</v>
      </c>
      <c r="D145" s="123"/>
      <c r="E145" s="132">
        <v>127.04</v>
      </c>
      <c r="F145" s="134"/>
      <c r="G145" s="135"/>
      <c r="H145" s="123"/>
      <c r="I145" s="123">
        <v>24</v>
      </c>
      <c r="J145" s="123">
        <v>7</v>
      </c>
      <c r="K145" s="123"/>
      <c r="L145" s="123"/>
      <c r="M145" s="123"/>
      <c r="N145" s="123"/>
      <c r="O145" s="123"/>
      <c r="P145" s="123"/>
      <c r="Q145" s="123"/>
      <c r="R145" s="123"/>
      <c r="S145" s="133">
        <f t="shared" si="30"/>
        <v>0</v>
      </c>
      <c r="T145" s="116">
        <f t="shared" si="29"/>
        <v>0</v>
      </c>
      <c r="U145" s="116">
        <f t="shared" si="18"/>
        <v>0</v>
      </c>
      <c r="V145" s="116">
        <f t="shared" si="19"/>
        <v>1169.6199999999999</v>
      </c>
      <c r="W145" s="116">
        <f t="shared" si="20"/>
        <v>417.32</v>
      </c>
      <c r="X145" s="116">
        <f t="shared" si="21"/>
        <v>0</v>
      </c>
      <c r="Y145" s="116">
        <f t="shared" si="22"/>
        <v>0</v>
      </c>
      <c r="Z145" s="116">
        <f t="shared" si="23"/>
        <v>0</v>
      </c>
      <c r="AA145" s="116">
        <f t="shared" si="24"/>
        <v>0</v>
      </c>
      <c r="AB145" s="116">
        <f t="shared" si="25"/>
        <v>0</v>
      </c>
      <c r="AC145" s="116">
        <f t="shared" si="26"/>
        <v>0</v>
      </c>
      <c r="AD145" s="116">
        <f t="shared" si="27"/>
        <v>0</v>
      </c>
      <c r="AE145" s="116">
        <f t="shared" si="28"/>
        <v>0</v>
      </c>
    </row>
    <row r="146" spans="1:31" ht="15.75" thickBot="1">
      <c r="A146" s="185" t="s">
        <v>39</v>
      </c>
      <c r="B146" s="186"/>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6"/>
      <c r="Z146" s="186"/>
      <c r="AA146" s="186"/>
      <c r="AB146" s="186"/>
      <c r="AC146" s="186"/>
      <c r="AD146" s="186"/>
      <c r="AE146" s="187"/>
    </row>
    <row r="147" spans="1:31">
      <c r="A147" s="131">
        <v>42806</v>
      </c>
      <c r="B147" s="131">
        <v>42837</v>
      </c>
      <c r="C147" s="123">
        <f t="shared" si="17"/>
        <v>31</v>
      </c>
      <c r="D147" s="123"/>
      <c r="E147" s="132">
        <v>666.21</v>
      </c>
      <c r="F147" s="134"/>
      <c r="G147" s="135"/>
      <c r="H147" s="123"/>
      <c r="I147" s="123">
        <v>20</v>
      </c>
      <c r="J147" s="123">
        <v>11</v>
      </c>
      <c r="K147" s="123"/>
      <c r="L147" s="123"/>
      <c r="M147" s="123"/>
      <c r="N147" s="123"/>
      <c r="O147" s="123"/>
      <c r="P147" s="123"/>
      <c r="Q147" s="123"/>
      <c r="R147" s="123"/>
      <c r="S147" s="133">
        <f t="shared" si="30"/>
        <v>0</v>
      </c>
      <c r="T147" s="116">
        <f t="shared" si="29"/>
        <v>0</v>
      </c>
      <c r="U147" s="116">
        <f t="shared" si="18"/>
        <v>0</v>
      </c>
      <c r="V147" s="116">
        <f t="shared" si="19"/>
        <v>5111.34</v>
      </c>
      <c r="W147" s="116">
        <f t="shared" si="20"/>
        <v>3439</v>
      </c>
      <c r="X147" s="116">
        <f t="shared" si="21"/>
        <v>0</v>
      </c>
      <c r="Y147" s="116">
        <f t="shared" si="22"/>
        <v>0</v>
      </c>
      <c r="Z147" s="116">
        <f t="shared" si="23"/>
        <v>0</v>
      </c>
      <c r="AA147" s="116">
        <f t="shared" si="24"/>
        <v>0</v>
      </c>
      <c r="AB147" s="116">
        <f t="shared" si="25"/>
        <v>0</v>
      </c>
      <c r="AC147" s="116">
        <f t="shared" si="26"/>
        <v>0</v>
      </c>
      <c r="AD147" s="116">
        <f t="shared" si="27"/>
        <v>0</v>
      </c>
      <c r="AE147" s="116">
        <f t="shared" si="28"/>
        <v>0</v>
      </c>
    </row>
    <row r="148" spans="1:31">
      <c r="A148" s="131">
        <v>42806</v>
      </c>
      <c r="B148" s="131">
        <v>42837</v>
      </c>
      <c r="C148" s="123">
        <f t="shared" si="17"/>
        <v>31</v>
      </c>
      <c r="D148" s="123"/>
      <c r="E148" s="132">
        <v>784.72</v>
      </c>
      <c r="F148" s="134"/>
      <c r="G148" s="135"/>
      <c r="H148" s="123"/>
      <c r="I148" s="123">
        <v>20</v>
      </c>
      <c r="J148" s="123">
        <v>11</v>
      </c>
      <c r="K148" s="123"/>
      <c r="L148" s="123"/>
      <c r="M148" s="123"/>
      <c r="N148" s="123"/>
      <c r="O148" s="123"/>
      <c r="P148" s="123"/>
      <c r="Q148" s="123"/>
      <c r="R148" s="123"/>
      <c r="S148" s="133">
        <f t="shared" si="30"/>
        <v>0</v>
      </c>
      <c r="T148" s="116">
        <f t="shared" si="29"/>
        <v>0</v>
      </c>
      <c r="U148" s="116">
        <f t="shared" si="18"/>
        <v>0</v>
      </c>
      <c r="V148" s="116">
        <f t="shared" si="19"/>
        <v>6020.58</v>
      </c>
      <c r="W148" s="116">
        <f t="shared" si="20"/>
        <v>4050.76</v>
      </c>
      <c r="X148" s="116">
        <f t="shared" si="21"/>
        <v>0</v>
      </c>
      <c r="Y148" s="116">
        <f t="shared" si="22"/>
        <v>0</v>
      </c>
      <c r="Z148" s="116">
        <f t="shared" si="23"/>
        <v>0</v>
      </c>
      <c r="AA148" s="116">
        <f t="shared" si="24"/>
        <v>0</v>
      </c>
      <c r="AB148" s="116">
        <f t="shared" si="25"/>
        <v>0</v>
      </c>
      <c r="AC148" s="116">
        <f t="shared" si="26"/>
        <v>0</v>
      </c>
      <c r="AD148" s="116">
        <f t="shared" si="27"/>
        <v>0</v>
      </c>
      <c r="AE148" s="116">
        <f t="shared" si="28"/>
        <v>0</v>
      </c>
    </row>
    <row r="149" spans="1:31">
      <c r="A149" s="131">
        <v>42806</v>
      </c>
      <c r="B149" s="131">
        <v>42837</v>
      </c>
      <c r="C149" s="123">
        <f t="shared" si="17"/>
        <v>31</v>
      </c>
      <c r="D149" s="123"/>
      <c r="E149" s="132">
        <v>154.12</v>
      </c>
      <c r="F149" s="134"/>
      <c r="G149" s="135"/>
      <c r="H149" s="123"/>
      <c r="I149" s="123">
        <v>20</v>
      </c>
      <c r="J149" s="123">
        <v>11</v>
      </c>
      <c r="K149" s="123"/>
      <c r="L149" s="123"/>
      <c r="M149" s="123"/>
      <c r="N149" s="123"/>
      <c r="O149" s="123"/>
      <c r="P149" s="123"/>
      <c r="Q149" s="123"/>
      <c r="R149" s="123"/>
      <c r="S149" s="133">
        <f t="shared" si="30"/>
        <v>0</v>
      </c>
      <c r="T149" s="116">
        <f t="shared" si="29"/>
        <v>0</v>
      </c>
      <c r="U149" s="116">
        <f t="shared" si="18"/>
        <v>0</v>
      </c>
      <c r="V149" s="116">
        <f t="shared" si="19"/>
        <v>1182.45</v>
      </c>
      <c r="W149" s="116">
        <f t="shared" si="20"/>
        <v>795.57</v>
      </c>
      <c r="X149" s="116">
        <f t="shared" si="21"/>
        <v>0</v>
      </c>
      <c r="Y149" s="116">
        <f t="shared" si="22"/>
        <v>0</v>
      </c>
      <c r="Z149" s="116">
        <f t="shared" si="23"/>
        <v>0</v>
      </c>
      <c r="AA149" s="116">
        <f t="shared" si="24"/>
        <v>0</v>
      </c>
      <c r="AB149" s="116">
        <f t="shared" si="25"/>
        <v>0</v>
      </c>
      <c r="AC149" s="116">
        <f t="shared" si="26"/>
        <v>0</v>
      </c>
      <c r="AD149" s="116">
        <f t="shared" si="27"/>
        <v>0</v>
      </c>
      <c r="AE149" s="116">
        <f t="shared" si="28"/>
        <v>0</v>
      </c>
    </row>
    <row r="150" spans="1:31">
      <c r="A150" s="131">
        <v>42802</v>
      </c>
      <c r="B150" s="131">
        <v>42833</v>
      </c>
      <c r="C150" s="123">
        <f t="shared" si="17"/>
        <v>31</v>
      </c>
      <c r="D150" s="123"/>
      <c r="E150" s="132">
        <v>342.89</v>
      </c>
      <c r="F150" s="134"/>
      <c r="G150" s="135"/>
      <c r="H150" s="123"/>
      <c r="I150" s="123">
        <v>24</v>
      </c>
      <c r="J150" s="123">
        <v>7</v>
      </c>
      <c r="K150" s="123"/>
      <c r="L150" s="123"/>
      <c r="M150" s="123"/>
      <c r="N150" s="123"/>
      <c r="O150" s="123"/>
      <c r="P150" s="123"/>
      <c r="Q150" s="123"/>
      <c r="R150" s="123"/>
      <c r="S150" s="133">
        <f t="shared" si="30"/>
        <v>0</v>
      </c>
      <c r="T150" s="116">
        <f t="shared" si="29"/>
        <v>0</v>
      </c>
      <c r="U150" s="116">
        <f t="shared" si="18"/>
        <v>0</v>
      </c>
      <c r="V150" s="116">
        <f t="shared" si="19"/>
        <v>3156.89</v>
      </c>
      <c r="W150" s="116">
        <f t="shared" si="20"/>
        <v>1126.3699999999999</v>
      </c>
      <c r="X150" s="116">
        <f t="shared" si="21"/>
        <v>0</v>
      </c>
      <c r="Y150" s="116">
        <f t="shared" si="22"/>
        <v>0</v>
      </c>
      <c r="Z150" s="116">
        <f t="shared" si="23"/>
        <v>0</v>
      </c>
      <c r="AA150" s="116">
        <f t="shared" si="24"/>
        <v>0</v>
      </c>
      <c r="AB150" s="116">
        <f t="shared" si="25"/>
        <v>0</v>
      </c>
      <c r="AC150" s="116">
        <f t="shared" si="26"/>
        <v>0</v>
      </c>
      <c r="AD150" s="116">
        <f t="shared" si="27"/>
        <v>0</v>
      </c>
      <c r="AE150" s="116">
        <f t="shared" si="28"/>
        <v>0</v>
      </c>
    </row>
    <row r="151" spans="1:31">
      <c r="A151" s="131">
        <v>42809</v>
      </c>
      <c r="B151" s="131">
        <v>42840</v>
      </c>
      <c r="C151" s="123">
        <f t="shared" si="17"/>
        <v>31</v>
      </c>
      <c r="D151" s="123"/>
      <c r="E151" s="132">
        <v>1915.56</v>
      </c>
      <c r="F151" s="134"/>
      <c r="G151" s="135"/>
      <c r="H151" s="123"/>
      <c r="I151" s="123">
        <v>17</v>
      </c>
      <c r="J151" s="123">
        <v>14</v>
      </c>
      <c r="K151" s="123"/>
      <c r="L151" s="123"/>
      <c r="M151" s="123"/>
      <c r="N151" s="123"/>
      <c r="O151" s="123"/>
      <c r="P151" s="123"/>
      <c r="Q151" s="123"/>
      <c r="R151" s="123"/>
      <c r="S151" s="133">
        <f t="shared" si="30"/>
        <v>0</v>
      </c>
      <c r="T151" s="116">
        <f t="shared" si="29"/>
        <v>0</v>
      </c>
      <c r="U151" s="116">
        <f t="shared" si="18"/>
        <v>0</v>
      </c>
      <c r="V151" s="116">
        <f t="shared" si="19"/>
        <v>12492.19</v>
      </c>
      <c r="W151" s="116">
        <f t="shared" si="20"/>
        <v>12584.98</v>
      </c>
      <c r="X151" s="116">
        <f t="shared" si="21"/>
        <v>0</v>
      </c>
      <c r="Y151" s="116">
        <f t="shared" si="22"/>
        <v>0</v>
      </c>
      <c r="Z151" s="116">
        <f t="shared" si="23"/>
        <v>0</v>
      </c>
      <c r="AA151" s="116">
        <f t="shared" si="24"/>
        <v>0</v>
      </c>
      <c r="AB151" s="116">
        <f t="shared" si="25"/>
        <v>0</v>
      </c>
      <c r="AC151" s="116">
        <f t="shared" si="26"/>
        <v>0</v>
      </c>
      <c r="AD151" s="116">
        <f t="shared" si="27"/>
        <v>0</v>
      </c>
      <c r="AE151" s="116">
        <f t="shared" si="28"/>
        <v>0</v>
      </c>
    </row>
    <row r="152" spans="1:31">
      <c r="A152" s="131">
        <v>42809</v>
      </c>
      <c r="B152" s="131">
        <v>42840</v>
      </c>
      <c r="C152" s="123">
        <f t="shared" ref="C152:C217" si="31">B152-A152</f>
        <v>31</v>
      </c>
      <c r="D152" s="123"/>
      <c r="E152" s="132">
        <v>5473.78</v>
      </c>
      <c r="F152" s="134"/>
      <c r="G152" s="135"/>
      <c r="H152" s="123"/>
      <c r="I152" s="123">
        <v>17</v>
      </c>
      <c r="J152" s="123">
        <v>14</v>
      </c>
      <c r="K152" s="123"/>
      <c r="L152" s="123"/>
      <c r="M152" s="123"/>
      <c r="N152" s="123"/>
      <c r="O152" s="123"/>
      <c r="P152" s="123"/>
      <c r="Q152" s="123"/>
      <c r="R152" s="123"/>
      <c r="S152" s="133">
        <f t="shared" si="30"/>
        <v>0</v>
      </c>
      <c r="T152" s="116">
        <f t="shared" si="29"/>
        <v>0</v>
      </c>
      <c r="U152" s="116">
        <f t="shared" ref="U152:U217" si="32">ROUND(($E152*$H152/$C152)/$C$7,2)</f>
        <v>0</v>
      </c>
      <c r="V152" s="116">
        <f>ROUND(($E152*$I152/$C152)/$C$8,2)</f>
        <v>35696.879999999997</v>
      </c>
      <c r="W152" s="116">
        <f>ROUND(($E152*$J152/$C152)/$C$9,2)</f>
        <v>35962.03</v>
      </c>
      <c r="X152" s="116">
        <f t="shared" ref="X152:X217" si="33">ROUND(($E152*$K152/$C152)/$C$10,2)</f>
        <v>0</v>
      </c>
      <c r="Y152" s="116">
        <f t="shared" ref="Y152:Y217" si="34">ROUND(($E152*$L152/$C152)/$C$11,2)</f>
        <v>0</v>
      </c>
      <c r="Z152" s="116">
        <f t="shared" ref="Z152:Z217" si="35">ROUND(($E152*$M152/$C152)/$C$12,2)</f>
        <v>0</v>
      </c>
      <c r="AA152" s="116">
        <f t="shared" ref="AA152:AA217" si="36">ROUND(($E152*$N152/$C152)/$C$13,2)</f>
        <v>0</v>
      </c>
      <c r="AB152" s="116">
        <f t="shared" ref="AB152:AB217" si="37">ROUND(($E152*$O152/$C152)/$C$14,2)</f>
        <v>0</v>
      </c>
      <c r="AC152" s="116">
        <f t="shared" ref="AC152:AC217" si="38">ROUND(($E152*$P152/$C152)/$C$15,2)</f>
        <v>0</v>
      </c>
      <c r="AD152" s="116">
        <f t="shared" ref="AD152:AD217" si="39">ROUND(($E152*$Q152/$C152)/$C$16,2)</f>
        <v>0</v>
      </c>
      <c r="AE152" s="116">
        <f t="shared" ref="AE152:AE217" si="40">ROUND(($E152*$R152/$C152)/$C$17,2)</f>
        <v>0</v>
      </c>
    </row>
    <row r="153" spans="1:31">
      <c r="A153" s="131">
        <v>42813</v>
      </c>
      <c r="B153" s="131">
        <v>42844</v>
      </c>
      <c r="C153" s="123">
        <f t="shared" si="31"/>
        <v>31</v>
      </c>
      <c r="D153" s="123"/>
      <c r="E153" s="132">
        <v>434.94</v>
      </c>
      <c r="F153" s="134"/>
      <c r="G153" s="135"/>
      <c r="H153" s="123"/>
      <c r="I153" s="123">
        <v>13</v>
      </c>
      <c r="J153" s="123">
        <v>18</v>
      </c>
      <c r="K153" s="123"/>
      <c r="L153" s="123"/>
      <c r="M153" s="123"/>
      <c r="N153" s="123"/>
      <c r="O153" s="123"/>
      <c r="P153" s="123"/>
      <c r="Q153" s="123"/>
      <c r="R153" s="123"/>
      <c r="S153" s="133">
        <f t="shared" si="30"/>
        <v>0</v>
      </c>
      <c r="T153" s="116">
        <f t="shared" si="29"/>
        <v>0</v>
      </c>
      <c r="U153" s="116">
        <f t="shared" si="32"/>
        <v>0</v>
      </c>
      <c r="V153" s="116">
        <f t="shared" ref="V153:V218" si="41">ROUND(($E153*$I153/$C153)/$C$8,2)</f>
        <v>2169.04</v>
      </c>
      <c r="W153" s="116">
        <f t="shared" ref="W153:W218" si="42">ROUND(($E153*$J153/$C153)/$C$9,2)</f>
        <v>3673.93</v>
      </c>
      <c r="X153" s="116">
        <f t="shared" si="33"/>
        <v>0</v>
      </c>
      <c r="Y153" s="116">
        <f t="shared" si="34"/>
        <v>0</v>
      </c>
      <c r="Z153" s="116">
        <f t="shared" si="35"/>
        <v>0</v>
      </c>
      <c r="AA153" s="116">
        <f t="shared" si="36"/>
        <v>0</v>
      </c>
      <c r="AB153" s="116">
        <f t="shared" si="37"/>
        <v>0</v>
      </c>
      <c r="AC153" s="116">
        <f t="shared" si="38"/>
        <v>0</v>
      </c>
      <c r="AD153" s="116">
        <f t="shared" si="39"/>
        <v>0</v>
      </c>
      <c r="AE153" s="116">
        <f t="shared" si="40"/>
        <v>0</v>
      </c>
    </row>
    <row r="154" spans="1:31">
      <c r="A154" s="131">
        <v>42813</v>
      </c>
      <c r="B154" s="131">
        <v>42844</v>
      </c>
      <c r="C154" s="123">
        <f t="shared" si="31"/>
        <v>31</v>
      </c>
      <c r="D154" s="123"/>
      <c r="E154" s="132">
        <v>1322.96</v>
      </c>
      <c r="F154" s="134"/>
      <c r="G154" s="135"/>
      <c r="H154" s="123"/>
      <c r="I154" s="123">
        <v>13</v>
      </c>
      <c r="J154" s="123">
        <v>18</v>
      </c>
      <c r="K154" s="123"/>
      <c r="L154" s="123"/>
      <c r="M154" s="123"/>
      <c r="N154" s="123"/>
      <c r="O154" s="123"/>
      <c r="P154" s="123"/>
      <c r="Q154" s="123"/>
      <c r="R154" s="123"/>
      <c r="S154" s="133">
        <f t="shared" si="30"/>
        <v>0</v>
      </c>
      <c r="T154" s="116">
        <f t="shared" ref="T154:T219" si="43">ROUND((E154*G154/C154)/$C$6,2)</f>
        <v>0</v>
      </c>
      <c r="U154" s="116">
        <f t="shared" si="32"/>
        <v>0</v>
      </c>
      <c r="V154" s="116">
        <f t="shared" si="41"/>
        <v>6597.57</v>
      </c>
      <c r="W154" s="116">
        <f t="shared" si="42"/>
        <v>11175.01</v>
      </c>
      <c r="X154" s="116">
        <f t="shared" si="33"/>
        <v>0</v>
      </c>
      <c r="Y154" s="116">
        <f t="shared" si="34"/>
        <v>0</v>
      </c>
      <c r="Z154" s="116">
        <f t="shared" si="35"/>
        <v>0</v>
      </c>
      <c r="AA154" s="116">
        <f t="shared" si="36"/>
        <v>0</v>
      </c>
      <c r="AB154" s="116">
        <f t="shared" si="37"/>
        <v>0</v>
      </c>
      <c r="AC154" s="116">
        <f t="shared" si="38"/>
        <v>0</v>
      </c>
      <c r="AD154" s="116">
        <f t="shared" si="39"/>
        <v>0</v>
      </c>
      <c r="AE154" s="116">
        <f t="shared" si="40"/>
        <v>0</v>
      </c>
    </row>
    <row r="155" spans="1:31">
      <c r="A155" s="131">
        <v>42813</v>
      </c>
      <c r="B155" s="131">
        <v>42844</v>
      </c>
      <c r="C155" s="123">
        <f t="shared" si="31"/>
        <v>31</v>
      </c>
      <c r="D155" s="123"/>
      <c r="E155" s="132">
        <v>529.46</v>
      </c>
      <c r="F155" s="134"/>
      <c r="G155" s="135"/>
      <c r="H155" s="123"/>
      <c r="I155" s="123">
        <v>13</v>
      </c>
      <c r="J155" s="123">
        <v>18</v>
      </c>
      <c r="K155" s="123"/>
      <c r="L155" s="123"/>
      <c r="M155" s="123"/>
      <c r="N155" s="123"/>
      <c r="O155" s="123"/>
      <c r="P155" s="123"/>
      <c r="Q155" s="123"/>
      <c r="R155" s="123"/>
      <c r="S155" s="133">
        <f t="shared" si="30"/>
        <v>0</v>
      </c>
      <c r="T155" s="116">
        <f t="shared" si="43"/>
        <v>0</v>
      </c>
      <c r="U155" s="116">
        <f t="shared" si="32"/>
        <v>0</v>
      </c>
      <c r="V155" s="116">
        <f t="shared" si="41"/>
        <v>2640.4</v>
      </c>
      <c r="W155" s="116">
        <f t="shared" si="42"/>
        <v>4472.34</v>
      </c>
      <c r="X155" s="116">
        <f t="shared" si="33"/>
        <v>0</v>
      </c>
      <c r="Y155" s="116">
        <f t="shared" si="34"/>
        <v>0</v>
      </c>
      <c r="Z155" s="116">
        <f t="shared" si="35"/>
        <v>0</v>
      </c>
      <c r="AA155" s="116">
        <f t="shared" si="36"/>
        <v>0</v>
      </c>
      <c r="AB155" s="116">
        <f t="shared" si="37"/>
        <v>0</v>
      </c>
      <c r="AC155" s="116">
        <f t="shared" si="38"/>
        <v>0</v>
      </c>
      <c r="AD155" s="116">
        <f t="shared" si="39"/>
        <v>0</v>
      </c>
      <c r="AE155" s="116">
        <f t="shared" si="40"/>
        <v>0</v>
      </c>
    </row>
    <row r="156" spans="1:31">
      <c r="A156" s="131">
        <v>42809</v>
      </c>
      <c r="B156" s="131">
        <v>42840</v>
      </c>
      <c r="C156" s="123">
        <f t="shared" si="31"/>
        <v>31</v>
      </c>
      <c r="D156" s="123"/>
      <c r="E156" s="132">
        <v>390.22</v>
      </c>
      <c r="F156" s="134"/>
      <c r="G156" s="135"/>
      <c r="H156" s="123"/>
      <c r="I156" s="123">
        <v>17</v>
      </c>
      <c r="J156" s="123">
        <v>14</v>
      </c>
      <c r="K156" s="123"/>
      <c r="L156" s="123"/>
      <c r="M156" s="123"/>
      <c r="N156" s="123"/>
      <c r="O156" s="123"/>
      <c r="P156" s="123"/>
      <c r="Q156" s="123"/>
      <c r="R156" s="123"/>
      <c r="S156" s="133">
        <f t="shared" si="30"/>
        <v>0</v>
      </c>
      <c r="T156" s="116">
        <f t="shared" si="43"/>
        <v>0</v>
      </c>
      <c r="U156" s="116">
        <f t="shared" si="32"/>
        <v>0</v>
      </c>
      <c r="V156" s="116">
        <f t="shared" si="41"/>
        <v>2544.79</v>
      </c>
      <c r="W156" s="116">
        <f t="shared" si="42"/>
        <v>2563.69</v>
      </c>
      <c r="X156" s="116">
        <f t="shared" si="33"/>
        <v>0</v>
      </c>
      <c r="Y156" s="116">
        <f t="shared" si="34"/>
        <v>0</v>
      </c>
      <c r="Z156" s="116">
        <f t="shared" si="35"/>
        <v>0</v>
      </c>
      <c r="AA156" s="116">
        <f t="shared" si="36"/>
        <v>0</v>
      </c>
      <c r="AB156" s="116">
        <f t="shared" si="37"/>
        <v>0</v>
      </c>
      <c r="AC156" s="116">
        <f t="shared" si="38"/>
        <v>0</v>
      </c>
      <c r="AD156" s="116">
        <f t="shared" si="39"/>
        <v>0</v>
      </c>
      <c r="AE156" s="116">
        <f t="shared" si="40"/>
        <v>0</v>
      </c>
    </row>
    <row r="157" spans="1:31">
      <c r="A157" s="131">
        <v>42809</v>
      </c>
      <c r="B157" s="131">
        <v>42840</v>
      </c>
      <c r="C157" s="123">
        <f t="shared" si="31"/>
        <v>31</v>
      </c>
      <c r="D157" s="123"/>
      <c r="E157" s="132">
        <v>28457.67</v>
      </c>
      <c r="F157" s="134"/>
      <c r="G157" s="135"/>
      <c r="H157" s="123"/>
      <c r="I157" s="123">
        <v>17</v>
      </c>
      <c r="J157" s="123">
        <v>14</v>
      </c>
      <c r="K157" s="123"/>
      <c r="L157" s="123"/>
      <c r="M157" s="123"/>
      <c r="N157" s="123"/>
      <c r="O157" s="123"/>
      <c r="P157" s="123"/>
      <c r="Q157" s="123"/>
      <c r="R157" s="123"/>
      <c r="S157" s="133">
        <f t="shared" si="30"/>
        <v>0</v>
      </c>
      <c r="T157" s="116">
        <f t="shared" si="43"/>
        <v>0</v>
      </c>
      <c r="U157" s="116">
        <f t="shared" si="32"/>
        <v>0</v>
      </c>
      <c r="V157" s="116">
        <f t="shared" si="41"/>
        <v>185584.72</v>
      </c>
      <c r="W157" s="116">
        <f t="shared" si="42"/>
        <v>186963.21</v>
      </c>
      <c r="X157" s="116">
        <f t="shared" si="33"/>
        <v>0</v>
      </c>
      <c r="Y157" s="116">
        <f t="shared" si="34"/>
        <v>0</v>
      </c>
      <c r="Z157" s="116">
        <f t="shared" si="35"/>
        <v>0</v>
      </c>
      <c r="AA157" s="116">
        <f t="shared" si="36"/>
        <v>0</v>
      </c>
      <c r="AB157" s="116">
        <f t="shared" si="37"/>
        <v>0</v>
      </c>
      <c r="AC157" s="116">
        <f t="shared" si="38"/>
        <v>0</v>
      </c>
      <c r="AD157" s="116">
        <f t="shared" si="39"/>
        <v>0</v>
      </c>
      <c r="AE157" s="116">
        <f t="shared" si="40"/>
        <v>0</v>
      </c>
    </row>
    <row r="158" spans="1:31">
      <c r="A158" s="131">
        <v>42816</v>
      </c>
      <c r="B158" s="131">
        <v>42847</v>
      </c>
      <c r="C158" s="123">
        <f t="shared" si="31"/>
        <v>31</v>
      </c>
      <c r="D158" s="123">
        <v>30</v>
      </c>
      <c r="E158" s="132">
        <v>187671.88</v>
      </c>
      <c r="F158" s="134"/>
      <c r="G158" s="135"/>
      <c r="H158" s="123"/>
      <c r="I158" s="123">
        <v>10</v>
      </c>
      <c r="J158" s="123">
        <v>21</v>
      </c>
      <c r="K158" s="123"/>
      <c r="L158" s="123"/>
      <c r="M158" s="123"/>
      <c r="N158" s="123"/>
      <c r="O158" s="123"/>
      <c r="P158" s="123"/>
      <c r="Q158" s="123"/>
      <c r="R158" s="123"/>
      <c r="S158" s="133">
        <f t="shared" si="30"/>
        <v>0</v>
      </c>
      <c r="T158" s="116">
        <f t="shared" si="43"/>
        <v>0</v>
      </c>
      <c r="U158" s="116">
        <f t="shared" si="32"/>
        <v>0</v>
      </c>
      <c r="V158" s="116">
        <v>844626.13</v>
      </c>
      <c r="W158" s="116">
        <v>1689252.26</v>
      </c>
      <c r="X158" s="116">
        <f t="shared" si="33"/>
        <v>0</v>
      </c>
      <c r="Y158" s="116">
        <f t="shared" si="34"/>
        <v>0</v>
      </c>
      <c r="Z158" s="116">
        <f t="shared" si="35"/>
        <v>0</v>
      </c>
      <c r="AA158" s="116">
        <f t="shared" si="36"/>
        <v>0</v>
      </c>
      <c r="AB158" s="116">
        <f t="shared" si="37"/>
        <v>0</v>
      </c>
      <c r="AC158" s="116">
        <f t="shared" si="38"/>
        <v>0</v>
      </c>
      <c r="AD158" s="116">
        <f t="shared" si="39"/>
        <v>0</v>
      </c>
      <c r="AE158" s="116">
        <f t="shared" si="40"/>
        <v>0</v>
      </c>
    </row>
    <row r="159" spans="1:31">
      <c r="A159" s="131">
        <v>42809</v>
      </c>
      <c r="B159" s="131">
        <v>42840</v>
      </c>
      <c r="C159" s="123">
        <f t="shared" si="31"/>
        <v>31</v>
      </c>
      <c r="D159" s="123"/>
      <c r="E159" s="132">
        <v>3941.17</v>
      </c>
      <c r="F159" s="134"/>
      <c r="G159" s="135"/>
      <c r="H159" s="123"/>
      <c r="I159" s="123">
        <v>17</v>
      </c>
      <c r="J159" s="123">
        <v>14</v>
      </c>
      <c r="K159" s="123"/>
      <c r="L159" s="123"/>
      <c r="M159" s="123"/>
      <c r="N159" s="123"/>
      <c r="O159" s="123"/>
      <c r="P159" s="123"/>
      <c r="Q159" s="123"/>
      <c r="R159" s="123"/>
      <c r="S159" s="133">
        <f t="shared" si="30"/>
        <v>0</v>
      </c>
      <c r="T159" s="116">
        <f t="shared" si="43"/>
        <v>0</v>
      </c>
      <c r="U159" s="116">
        <f t="shared" si="32"/>
        <v>0</v>
      </c>
      <c r="V159" s="116">
        <f t="shared" si="41"/>
        <v>25702.07</v>
      </c>
      <c r="W159" s="116">
        <f t="shared" si="42"/>
        <v>25892.98</v>
      </c>
      <c r="X159" s="116">
        <f t="shared" si="33"/>
        <v>0</v>
      </c>
      <c r="Y159" s="116">
        <f t="shared" si="34"/>
        <v>0</v>
      </c>
      <c r="Z159" s="116">
        <f t="shared" si="35"/>
        <v>0</v>
      </c>
      <c r="AA159" s="116">
        <f t="shared" si="36"/>
        <v>0</v>
      </c>
      <c r="AB159" s="116">
        <f t="shared" si="37"/>
        <v>0</v>
      </c>
      <c r="AC159" s="116">
        <f t="shared" si="38"/>
        <v>0</v>
      </c>
      <c r="AD159" s="116">
        <f t="shared" si="39"/>
        <v>0</v>
      </c>
      <c r="AE159" s="116">
        <f t="shared" si="40"/>
        <v>0</v>
      </c>
    </row>
    <row r="160" spans="1:31">
      <c r="A160" s="131">
        <v>42820</v>
      </c>
      <c r="B160" s="131">
        <v>42851</v>
      </c>
      <c r="C160" s="123">
        <f t="shared" si="31"/>
        <v>31</v>
      </c>
      <c r="D160" s="123"/>
      <c r="E160" s="132">
        <v>1067.32</v>
      </c>
      <c r="F160" s="134"/>
      <c r="G160" s="135"/>
      <c r="H160" s="123"/>
      <c r="I160" s="123">
        <v>6</v>
      </c>
      <c r="J160" s="123">
        <v>25</v>
      </c>
      <c r="K160" s="123"/>
      <c r="L160" s="123"/>
      <c r="M160" s="123"/>
      <c r="N160" s="123"/>
      <c r="O160" s="123"/>
      <c r="P160" s="123"/>
      <c r="Q160" s="123"/>
      <c r="R160" s="123"/>
      <c r="S160" s="133">
        <f t="shared" si="30"/>
        <v>0</v>
      </c>
      <c r="T160" s="116">
        <f t="shared" si="43"/>
        <v>0</v>
      </c>
      <c r="U160" s="116">
        <f t="shared" si="32"/>
        <v>0</v>
      </c>
      <c r="V160" s="116">
        <f t="shared" si="41"/>
        <v>2456.63</v>
      </c>
      <c r="W160" s="116">
        <f t="shared" si="42"/>
        <v>12521.7</v>
      </c>
      <c r="X160" s="116">
        <f t="shared" si="33"/>
        <v>0</v>
      </c>
      <c r="Y160" s="116">
        <f t="shared" si="34"/>
        <v>0</v>
      </c>
      <c r="Z160" s="116">
        <f t="shared" si="35"/>
        <v>0</v>
      </c>
      <c r="AA160" s="116">
        <f t="shared" si="36"/>
        <v>0</v>
      </c>
      <c r="AB160" s="116">
        <f t="shared" si="37"/>
        <v>0</v>
      </c>
      <c r="AC160" s="116">
        <f t="shared" si="38"/>
        <v>0</v>
      </c>
      <c r="AD160" s="116">
        <f t="shared" si="39"/>
        <v>0</v>
      </c>
      <c r="AE160" s="116">
        <f t="shared" si="40"/>
        <v>0</v>
      </c>
    </row>
    <row r="161" spans="1:31">
      <c r="A161" s="131">
        <v>42820</v>
      </c>
      <c r="B161" s="131">
        <v>42851</v>
      </c>
      <c r="C161" s="123">
        <f t="shared" si="31"/>
        <v>31</v>
      </c>
      <c r="D161" s="123"/>
      <c r="E161" s="132">
        <v>917.2</v>
      </c>
      <c r="F161" s="134"/>
      <c r="G161" s="135"/>
      <c r="H161" s="123"/>
      <c r="I161" s="123">
        <v>6</v>
      </c>
      <c r="J161" s="123">
        <v>25</v>
      </c>
      <c r="K161" s="123"/>
      <c r="L161" s="123"/>
      <c r="M161" s="123"/>
      <c r="N161" s="123"/>
      <c r="O161" s="123"/>
      <c r="P161" s="123"/>
      <c r="Q161" s="123"/>
      <c r="R161" s="123"/>
      <c r="S161" s="133">
        <f t="shared" si="30"/>
        <v>0</v>
      </c>
      <c r="T161" s="116">
        <f t="shared" si="43"/>
        <v>0</v>
      </c>
      <c r="U161" s="116">
        <f t="shared" si="32"/>
        <v>0</v>
      </c>
      <c r="V161" s="116">
        <f t="shared" si="41"/>
        <v>2111.1</v>
      </c>
      <c r="W161" s="116">
        <f t="shared" si="42"/>
        <v>10760.51</v>
      </c>
      <c r="X161" s="116">
        <f t="shared" si="33"/>
        <v>0</v>
      </c>
      <c r="Y161" s="116">
        <f t="shared" si="34"/>
        <v>0</v>
      </c>
      <c r="Z161" s="116">
        <f t="shared" si="35"/>
        <v>0</v>
      </c>
      <c r="AA161" s="116">
        <f t="shared" si="36"/>
        <v>0</v>
      </c>
      <c r="AB161" s="116">
        <f t="shared" si="37"/>
        <v>0</v>
      </c>
      <c r="AC161" s="116">
        <f t="shared" si="38"/>
        <v>0</v>
      </c>
      <c r="AD161" s="116">
        <f t="shared" si="39"/>
        <v>0</v>
      </c>
      <c r="AE161" s="116">
        <f t="shared" si="40"/>
        <v>0</v>
      </c>
    </row>
    <row r="162" spans="1:31">
      <c r="A162" s="131">
        <v>42822</v>
      </c>
      <c r="B162" s="131">
        <v>42853</v>
      </c>
      <c r="C162" s="123">
        <f t="shared" si="31"/>
        <v>31</v>
      </c>
      <c r="D162" s="123"/>
      <c r="E162" s="132">
        <v>180.89</v>
      </c>
      <c r="F162" s="134"/>
      <c r="G162" s="135"/>
      <c r="H162" s="123"/>
      <c r="I162" s="123">
        <v>4</v>
      </c>
      <c r="J162" s="123">
        <v>27</v>
      </c>
      <c r="K162" s="123"/>
      <c r="L162" s="123"/>
      <c r="M162" s="123"/>
      <c r="N162" s="123"/>
      <c r="O162" s="123"/>
      <c r="P162" s="123"/>
      <c r="Q162" s="123"/>
      <c r="R162" s="123"/>
      <c r="S162" s="133">
        <f t="shared" si="30"/>
        <v>0</v>
      </c>
      <c r="T162" s="116">
        <f t="shared" si="43"/>
        <v>0</v>
      </c>
      <c r="U162" s="116">
        <f t="shared" si="32"/>
        <v>0</v>
      </c>
      <c r="V162" s="116">
        <f t="shared" si="41"/>
        <v>277.57</v>
      </c>
      <c r="W162" s="116">
        <f t="shared" si="42"/>
        <v>2291.96</v>
      </c>
      <c r="X162" s="116">
        <f t="shared" si="33"/>
        <v>0</v>
      </c>
      <c r="Y162" s="116">
        <f t="shared" si="34"/>
        <v>0</v>
      </c>
      <c r="Z162" s="116">
        <f t="shared" si="35"/>
        <v>0</v>
      </c>
      <c r="AA162" s="116">
        <f t="shared" si="36"/>
        <v>0</v>
      </c>
      <c r="AB162" s="116">
        <f t="shared" si="37"/>
        <v>0</v>
      </c>
      <c r="AC162" s="116">
        <f t="shared" si="38"/>
        <v>0</v>
      </c>
      <c r="AD162" s="116">
        <f t="shared" si="39"/>
        <v>0</v>
      </c>
      <c r="AE162" s="116">
        <f t="shared" si="40"/>
        <v>0</v>
      </c>
    </row>
    <row r="163" spans="1:31">
      <c r="A163" s="131">
        <v>42826</v>
      </c>
      <c r="B163" s="131">
        <v>42856</v>
      </c>
      <c r="C163" s="123">
        <f t="shared" si="31"/>
        <v>30</v>
      </c>
      <c r="D163" s="123"/>
      <c r="E163" s="132">
        <v>149.81</v>
      </c>
      <c r="F163" s="134"/>
      <c r="G163" s="135"/>
      <c r="H163" s="123"/>
      <c r="I163" s="123"/>
      <c r="J163" s="123">
        <v>30</v>
      </c>
      <c r="K163" s="123"/>
      <c r="L163" s="123"/>
      <c r="M163" s="123"/>
      <c r="N163" s="123"/>
      <c r="O163" s="123"/>
      <c r="P163" s="123"/>
      <c r="Q163" s="123"/>
      <c r="R163" s="123"/>
      <c r="S163" s="133">
        <f t="shared" si="30"/>
        <v>0</v>
      </c>
      <c r="T163" s="116">
        <f t="shared" si="43"/>
        <v>0</v>
      </c>
      <c r="U163" s="116">
        <f t="shared" si="32"/>
        <v>0</v>
      </c>
      <c r="V163" s="116">
        <f t="shared" si="41"/>
        <v>0</v>
      </c>
      <c r="W163" s="116">
        <f t="shared" si="42"/>
        <v>2179.37</v>
      </c>
      <c r="X163" s="116">
        <f t="shared" si="33"/>
        <v>0</v>
      </c>
      <c r="Y163" s="116">
        <f t="shared" si="34"/>
        <v>0</v>
      </c>
      <c r="Z163" s="116">
        <f t="shared" si="35"/>
        <v>0</v>
      </c>
      <c r="AA163" s="116">
        <f t="shared" si="36"/>
        <v>0</v>
      </c>
      <c r="AB163" s="116">
        <f t="shared" si="37"/>
        <v>0</v>
      </c>
      <c r="AC163" s="116">
        <f t="shared" si="38"/>
        <v>0</v>
      </c>
      <c r="AD163" s="116">
        <f t="shared" si="39"/>
        <v>0</v>
      </c>
      <c r="AE163" s="116">
        <f t="shared" si="40"/>
        <v>0</v>
      </c>
    </row>
    <row r="164" spans="1:31">
      <c r="A164" s="131">
        <v>42822</v>
      </c>
      <c r="B164" s="131">
        <v>42853</v>
      </c>
      <c r="C164" s="123">
        <f t="shared" si="31"/>
        <v>31</v>
      </c>
      <c r="D164" s="123" t="s">
        <v>218</v>
      </c>
      <c r="E164" s="132">
        <v>3487.21</v>
      </c>
      <c r="F164" s="134"/>
      <c r="G164" s="135"/>
      <c r="H164" s="123"/>
      <c r="I164" s="123">
        <v>4</v>
      </c>
      <c r="J164" s="123">
        <v>27</v>
      </c>
      <c r="K164" s="123"/>
      <c r="L164" s="123"/>
      <c r="M164" s="123"/>
      <c r="N164" s="123"/>
      <c r="O164" s="123"/>
      <c r="P164" s="123"/>
      <c r="Q164" s="123"/>
      <c r="R164" s="123"/>
      <c r="S164" s="133">
        <f t="shared" si="30"/>
        <v>0</v>
      </c>
      <c r="T164" s="116">
        <f t="shared" si="43"/>
        <v>0</v>
      </c>
      <c r="U164" s="116">
        <f t="shared" si="32"/>
        <v>0</v>
      </c>
      <c r="V164" s="116">
        <f t="shared" si="41"/>
        <v>5350.96</v>
      </c>
      <c r="W164" s="116">
        <f t="shared" si="42"/>
        <v>44184.57</v>
      </c>
      <c r="X164" s="116">
        <f t="shared" si="33"/>
        <v>0</v>
      </c>
      <c r="Y164" s="116">
        <f t="shared" si="34"/>
        <v>0</v>
      </c>
      <c r="Z164" s="116">
        <f t="shared" si="35"/>
        <v>0</v>
      </c>
      <c r="AA164" s="116">
        <f t="shared" si="36"/>
        <v>0</v>
      </c>
      <c r="AB164" s="116">
        <f t="shared" si="37"/>
        <v>0</v>
      </c>
      <c r="AC164" s="116">
        <f t="shared" si="38"/>
        <v>0</v>
      </c>
      <c r="AD164" s="116">
        <f t="shared" si="39"/>
        <v>0</v>
      </c>
      <c r="AE164" s="116">
        <f t="shared" si="40"/>
        <v>0</v>
      </c>
    </row>
    <row r="165" spans="1:31">
      <c r="A165" s="131">
        <v>42826</v>
      </c>
      <c r="B165" s="131">
        <v>42856</v>
      </c>
      <c r="C165" s="123">
        <f t="shared" si="31"/>
        <v>30</v>
      </c>
      <c r="D165" s="123" t="s">
        <v>219</v>
      </c>
      <c r="E165" s="132">
        <v>3980.79</v>
      </c>
      <c r="F165" s="134"/>
      <c r="G165" s="135"/>
      <c r="H165" s="123"/>
      <c r="I165" s="123"/>
      <c r="J165" s="123">
        <v>30</v>
      </c>
      <c r="K165" s="123"/>
      <c r="L165" s="123"/>
      <c r="M165" s="123"/>
      <c r="N165" s="123"/>
      <c r="O165" s="123"/>
      <c r="P165" s="123"/>
      <c r="Q165" s="123"/>
      <c r="R165" s="123"/>
      <c r="S165" s="133">
        <f t="shared" si="30"/>
        <v>0</v>
      </c>
      <c r="T165" s="116">
        <f t="shared" si="43"/>
        <v>0</v>
      </c>
      <c r="U165" s="116">
        <f t="shared" si="32"/>
        <v>0</v>
      </c>
      <c r="V165" s="116">
        <f t="shared" si="41"/>
        <v>0</v>
      </c>
      <c r="W165" s="116">
        <f t="shared" si="42"/>
        <v>57910.82</v>
      </c>
      <c r="X165" s="116">
        <f t="shared" si="33"/>
        <v>0</v>
      </c>
      <c r="Y165" s="116">
        <f t="shared" si="34"/>
        <v>0</v>
      </c>
      <c r="Z165" s="116">
        <f t="shared" si="35"/>
        <v>0</v>
      </c>
      <c r="AA165" s="116">
        <f t="shared" si="36"/>
        <v>0</v>
      </c>
      <c r="AB165" s="116">
        <f t="shared" si="37"/>
        <v>0</v>
      </c>
      <c r="AC165" s="116">
        <f t="shared" si="38"/>
        <v>0</v>
      </c>
      <c r="AD165" s="116">
        <f t="shared" si="39"/>
        <v>0</v>
      </c>
      <c r="AE165" s="116">
        <f t="shared" si="40"/>
        <v>0</v>
      </c>
    </row>
    <row r="166" spans="1:31">
      <c r="A166" s="131">
        <v>42826</v>
      </c>
      <c r="B166" s="131">
        <v>42856</v>
      </c>
      <c r="C166" s="123">
        <f t="shared" si="31"/>
        <v>30</v>
      </c>
      <c r="D166" s="123"/>
      <c r="E166" s="132">
        <v>86293.67</v>
      </c>
      <c r="F166" s="134"/>
      <c r="G166" s="135"/>
      <c r="H166" s="123"/>
      <c r="I166" s="123"/>
      <c r="J166" s="123">
        <v>30</v>
      </c>
      <c r="K166" s="123"/>
      <c r="L166" s="123"/>
      <c r="M166" s="123"/>
      <c r="N166" s="123"/>
      <c r="O166" s="123"/>
      <c r="P166" s="123"/>
      <c r="Q166" s="123"/>
      <c r="R166" s="123"/>
      <c r="S166" s="133">
        <f t="shared" si="30"/>
        <v>0</v>
      </c>
      <c r="T166" s="116">
        <f t="shared" si="43"/>
        <v>0</v>
      </c>
      <c r="U166" s="116">
        <f t="shared" si="32"/>
        <v>0</v>
      </c>
      <c r="V166" s="116">
        <f t="shared" si="41"/>
        <v>0</v>
      </c>
      <c r="W166" s="116">
        <f t="shared" si="42"/>
        <v>1255363.25</v>
      </c>
      <c r="X166" s="116">
        <f t="shared" si="33"/>
        <v>0</v>
      </c>
      <c r="Y166" s="116">
        <f t="shared" si="34"/>
        <v>0</v>
      </c>
      <c r="Z166" s="116">
        <f t="shared" si="35"/>
        <v>0</v>
      </c>
      <c r="AA166" s="116">
        <f t="shared" si="36"/>
        <v>0</v>
      </c>
      <c r="AB166" s="116">
        <f t="shared" si="37"/>
        <v>0</v>
      </c>
      <c r="AC166" s="116">
        <f t="shared" si="38"/>
        <v>0</v>
      </c>
      <c r="AD166" s="116">
        <f t="shared" si="39"/>
        <v>0</v>
      </c>
      <c r="AE166" s="116">
        <f t="shared" si="40"/>
        <v>0</v>
      </c>
    </row>
    <row r="167" spans="1:31">
      <c r="A167" s="131">
        <v>42822</v>
      </c>
      <c r="B167" s="131">
        <v>42853</v>
      </c>
      <c r="C167" s="123">
        <f t="shared" si="31"/>
        <v>31</v>
      </c>
      <c r="D167" s="123"/>
      <c r="E167" s="132">
        <v>-2312.94</v>
      </c>
      <c r="F167" s="134"/>
      <c r="G167" s="135"/>
      <c r="H167" s="123"/>
      <c r="I167" s="123">
        <v>4</v>
      </c>
      <c r="J167" s="123">
        <v>27</v>
      </c>
      <c r="K167" s="123"/>
      <c r="L167" s="123"/>
      <c r="M167" s="123"/>
      <c r="N167" s="123"/>
      <c r="O167" s="123"/>
      <c r="P167" s="123"/>
      <c r="Q167" s="123"/>
      <c r="R167" s="123"/>
      <c r="S167" s="133">
        <f t="shared" si="30"/>
        <v>0</v>
      </c>
      <c r="T167" s="116">
        <f t="shared" si="43"/>
        <v>0</v>
      </c>
      <c r="U167" s="116">
        <f t="shared" si="32"/>
        <v>0</v>
      </c>
      <c r="V167" s="116">
        <f t="shared" si="41"/>
        <v>-3549.1</v>
      </c>
      <c r="W167" s="116">
        <f t="shared" si="42"/>
        <v>-29306.02</v>
      </c>
      <c r="X167" s="116">
        <f t="shared" si="33"/>
        <v>0</v>
      </c>
      <c r="Y167" s="116">
        <f t="shared" si="34"/>
        <v>0</v>
      </c>
      <c r="Z167" s="116">
        <f t="shared" si="35"/>
        <v>0</v>
      </c>
      <c r="AA167" s="116">
        <f t="shared" si="36"/>
        <v>0</v>
      </c>
      <c r="AB167" s="116">
        <f t="shared" si="37"/>
        <v>0</v>
      </c>
      <c r="AC167" s="116">
        <f t="shared" si="38"/>
        <v>0</v>
      </c>
      <c r="AD167" s="116">
        <f t="shared" si="39"/>
        <v>0</v>
      </c>
      <c r="AE167" s="116">
        <f t="shared" si="40"/>
        <v>0</v>
      </c>
    </row>
    <row r="168" spans="1:31">
      <c r="A168" s="131">
        <v>42816</v>
      </c>
      <c r="B168" s="131">
        <v>42847</v>
      </c>
      <c r="C168" s="123">
        <f t="shared" si="31"/>
        <v>31</v>
      </c>
      <c r="D168" s="123"/>
      <c r="E168" s="132">
        <v>-58.42</v>
      </c>
      <c r="F168" s="134"/>
      <c r="G168" s="135"/>
      <c r="H168" s="123"/>
      <c r="I168" s="123">
        <v>10</v>
      </c>
      <c r="J168" s="123">
        <v>21</v>
      </c>
      <c r="K168" s="123"/>
      <c r="L168" s="123"/>
      <c r="M168" s="123"/>
      <c r="N168" s="123"/>
      <c r="O168" s="123"/>
      <c r="P168" s="123"/>
      <c r="Q168" s="123"/>
      <c r="R168" s="123"/>
      <c r="S168" s="133">
        <f t="shared" si="30"/>
        <v>0</v>
      </c>
      <c r="T168" s="116">
        <f t="shared" si="43"/>
        <v>0</v>
      </c>
      <c r="U168" s="116">
        <f t="shared" si="32"/>
        <v>0</v>
      </c>
      <c r="V168" s="116">
        <f t="shared" si="41"/>
        <v>-224.11</v>
      </c>
      <c r="W168" s="116">
        <f t="shared" si="42"/>
        <v>-575.72</v>
      </c>
      <c r="X168" s="116">
        <f t="shared" si="33"/>
        <v>0</v>
      </c>
      <c r="Y168" s="116">
        <f t="shared" si="34"/>
        <v>0</v>
      </c>
      <c r="Z168" s="116">
        <f t="shared" si="35"/>
        <v>0</v>
      </c>
      <c r="AA168" s="116">
        <f t="shared" si="36"/>
        <v>0</v>
      </c>
      <c r="AB168" s="116">
        <f t="shared" si="37"/>
        <v>0</v>
      </c>
      <c r="AC168" s="116">
        <f t="shared" si="38"/>
        <v>0</v>
      </c>
      <c r="AD168" s="116">
        <f t="shared" si="39"/>
        <v>0</v>
      </c>
      <c r="AE168" s="116">
        <f t="shared" si="40"/>
        <v>0</v>
      </c>
    </row>
    <row r="169" spans="1:31">
      <c r="A169" s="131">
        <v>42840</v>
      </c>
      <c r="B169" s="131">
        <v>42856</v>
      </c>
      <c r="C169" s="123">
        <f t="shared" si="31"/>
        <v>16</v>
      </c>
      <c r="D169" s="123"/>
      <c r="E169" s="132">
        <v>9.56</v>
      </c>
      <c r="F169" s="134"/>
      <c r="G169" s="135"/>
      <c r="H169" s="123"/>
      <c r="I169" s="123"/>
      <c r="J169" s="123">
        <v>16</v>
      </c>
      <c r="K169" s="123"/>
      <c r="L169" s="123"/>
      <c r="M169" s="123"/>
      <c r="N169" s="123"/>
      <c r="O169" s="123"/>
      <c r="P169" s="123"/>
      <c r="Q169" s="123"/>
      <c r="R169" s="123"/>
      <c r="S169" s="133">
        <f t="shared" si="30"/>
        <v>0</v>
      </c>
      <c r="T169" s="116">
        <f t="shared" si="43"/>
        <v>0</v>
      </c>
      <c r="U169" s="116">
        <f t="shared" si="32"/>
        <v>0</v>
      </c>
      <c r="V169" s="116">
        <f t="shared" si="41"/>
        <v>0</v>
      </c>
      <c r="W169" s="116">
        <f t="shared" si="42"/>
        <v>139.07</v>
      </c>
      <c r="X169" s="116">
        <f t="shared" si="33"/>
        <v>0</v>
      </c>
      <c r="Y169" s="116">
        <f t="shared" si="34"/>
        <v>0</v>
      </c>
      <c r="Z169" s="116">
        <f t="shared" si="35"/>
        <v>0</v>
      </c>
      <c r="AA169" s="116">
        <f t="shared" si="36"/>
        <v>0</v>
      </c>
      <c r="AB169" s="116">
        <f t="shared" si="37"/>
        <v>0</v>
      </c>
      <c r="AC169" s="116">
        <f t="shared" si="38"/>
        <v>0</v>
      </c>
      <c r="AD169" s="116">
        <f t="shared" si="39"/>
        <v>0</v>
      </c>
      <c r="AE169" s="116">
        <f t="shared" si="40"/>
        <v>0</v>
      </c>
    </row>
    <row r="170" spans="1:31">
      <c r="A170" s="131">
        <v>42826</v>
      </c>
      <c r="B170" s="131">
        <v>42856</v>
      </c>
      <c r="C170" s="123">
        <f t="shared" si="31"/>
        <v>30</v>
      </c>
      <c r="D170" s="123"/>
      <c r="E170" s="132">
        <v>53928.35</v>
      </c>
      <c r="F170" s="134"/>
      <c r="G170" s="135"/>
      <c r="H170" s="123"/>
      <c r="I170" s="123"/>
      <c r="J170" s="123">
        <v>30</v>
      </c>
      <c r="K170" s="123"/>
      <c r="L170" s="123"/>
      <c r="M170" s="123"/>
      <c r="N170" s="123"/>
      <c r="O170" s="123"/>
      <c r="P170" s="123"/>
      <c r="Q170" s="123"/>
      <c r="R170" s="123"/>
      <c r="S170" s="133">
        <f t="shared" si="30"/>
        <v>0</v>
      </c>
      <c r="T170" s="116">
        <f t="shared" si="43"/>
        <v>0</v>
      </c>
      <c r="U170" s="116">
        <f t="shared" si="32"/>
        <v>0</v>
      </c>
      <c r="V170" s="116">
        <f t="shared" si="41"/>
        <v>0</v>
      </c>
      <c r="W170" s="116">
        <f t="shared" si="42"/>
        <v>784526.48</v>
      </c>
      <c r="X170" s="116">
        <f t="shared" si="33"/>
        <v>0</v>
      </c>
      <c r="Y170" s="116">
        <f t="shared" si="34"/>
        <v>0</v>
      </c>
      <c r="Z170" s="116">
        <f t="shared" si="35"/>
        <v>0</v>
      </c>
      <c r="AA170" s="116">
        <f t="shared" si="36"/>
        <v>0</v>
      </c>
      <c r="AB170" s="116">
        <f t="shared" si="37"/>
        <v>0</v>
      </c>
      <c r="AC170" s="116">
        <f t="shared" si="38"/>
        <v>0</v>
      </c>
      <c r="AD170" s="116">
        <f t="shared" si="39"/>
        <v>0</v>
      </c>
      <c r="AE170" s="116">
        <f t="shared" si="40"/>
        <v>0</v>
      </c>
    </row>
    <row r="171" spans="1:31">
      <c r="A171" s="131">
        <v>42822</v>
      </c>
      <c r="B171" s="131">
        <v>42853</v>
      </c>
      <c r="C171" s="123">
        <f t="shared" si="31"/>
        <v>31</v>
      </c>
      <c r="D171" s="123"/>
      <c r="E171" s="132">
        <v>1067.1500000000001</v>
      </c>
      <c r="F171" s="134"/>
      <c r="G171" s="135"/>
      <c r="H171" s="123"/>
      <c r="I171" s="123">
        <v>4</v>
      </c>
      <c r="J171" s="123">
        <v>27</v>
      </c>
      <c r="K171" s="123"/>
      <c r="L171" s="123"/>
      <c r="M171" s="123"/>
      <c r="N171" s="123"/>
      <c r="O171" s="123"/>
      <c r="P171" s="123"/>
      <c r="Q171" s="123"/>
      <c r="R171" s="123"/>
      <c r="S171" s="133">
        <f t="shared" si="30"/>
        <v>0</v>
      </c>
      <c r="T171" s="116">
        <f t="shared" si="43"/>
        <v>0</v>
      </c>
      <c r="U171" s="116">
        <f t="shared" si="32"/>
        <v>0</v>
      </c>
      <c r="V171" s="116">
        <f t="shared" si="41"/>
        <v>1637.49</v>
      </c>
      <c r="W171" s="116">
        <f t="shared" si="42"/>
        <v>13521.29</v>
      </c>
      <c r="X171" s="116">
        <f t="shared" si="33"/>
        <v>0</v>
      </c>
      <c r="Y171" s="116">
        <f t="shared" si="34"/>
        <v>0</v>
      </c>
      <c r="Z171" s="116">
        <f t="shared" si="35"/>
        <v>0</v>
      </c>
      <c r="AA171" s="116">
        <f t="shared" si="36"/>
        <v>0</v>
      </c>
      <c r="AB171" s="116">
        <f t="shared" si="37"/>
        <v>0</v>
      </c>
      <c r="AC171" s="116">
        <f t="shared" si="38"/>
        <v>0</v>
      </c>
      <c r="AD171" s="116">
        <f t="shared" si="39"/>
        <v>0</v>
      </c>
      <c r="AE171" s="116">
        <f t="shared" si="40"/>
        <v>0</v>
      </c>
    </row>
    <row r="172" spans="1:31">
      <c r="A172" s="131">
        <v>42826</v>
      </c>
      <c r="B172" s="131">
        <v>42856</v>
      </c>
      <c r="C172" s="123">
        <f t="shared" si="31"/>
        <v>30</v>
      </c>
      <c r="D172" s="123" t="s">
        <v>219</v>
      </c>
      <c r="E172" s="132">
        <v>2102.69</v>
      </c>
      <c r="F172" s="134"/>
      <c r="G172" s="135"/>
      <c r="H172" s="123"/>
      <c r="I172" s="123"/>
      <c r="J172" s="123">
        <v>30</v>
      </c>
      <c r="K172" s="123"/>
      <c r="L172" s="123"/>
      <c r="M172" s="123"/>
      <c r="N172" s="123"/>
      <c r="O172" s="123"/>
      <c r="P172" s="123"/>
      <c r="Q172" s="123"/>
      <c r="R172" s="123"/>
      <c r="S172" s="133">
        <f t="shared" si="30"/>
        <v>0</v>
      </c>
      <c r="T172" s="116">
        <f t="shared" si="43"/>
        <v>0</v>
      </c>
      <c r="U172" s="116">
        <f t="shared" si="32"/>
        <v>0</v>
      </c>
      <c r="V172" s="116">
        <f t="shared" si="41"/>
        <v>0</v>
      </c>
      <c r="W172" s="116">
        <f t="shared" si="42"/>
        <v>30589.03</v>
      </c>
      <c r="X172" s="116">
        <f t="shared" si="33"/>
        <v>0</v>
      </c>
      <c r="Y172" s="116">
        <f t="shared" si="34"/>
        <v>0</v>
      </c>
      <c r="Z172" s="116">
        <f t="shared" si="35"/>
        <v>0</v>
      </c>
      <c r="AA172" s="116">
        <f t="shared" si="36"/>
        <v>0</v>
      </c>
      <c r="AB172" s="116">
        <f t="shared" si="37"/>
        <v>0</v>
      </c>
      <c r="AC172" s="116">
        <f t="shared" si="38"/>
        <v>0</v>
      </c>
      <c r="AD172" s="116">
        <f t="shared" si="39"/>
        <v>0</v>
      </c>
      <c r="AE172" s="116">
        <f t="shared" si="40"/>
        <v>0</v>
      </c>
    </row>
    <row r="173" spans="1:31">
      <c r="A173" s="131">
        <v>42828</v>
      </c>
      <c r="B173" s="131">
        <v>42858</v>
      </c>
      <c r="C173" s="123">
        <f t="shared" si="31"/>
        <v>30</v>
      </c>
      <c r="D173" s="123"/>
      <c r="E173" s="132">
        <v>582.08000000000004</v>
      </c>
      <c r="F173" s="134"/>
      <c r="G173" s="135"/>
      <c r="H173" s="123"/>
      <c r="I173" s="123"/>
      <c r="J173" s="123">
        <v>28</v>
      </c>
      <c r="K173" s="123">
        <v>2</v>
      </c>
      <c r="L173" s="123"/>
      <c r="M173" s="123"/>
      <c r="N173" s="123"/>
      <c r="O173" s="123"/>
      <c r="P173" s="123"/>
      <c r="Q173" s="123"/>
      <c r="R173" s="123"/>
      <c r="S173" s="133">
        <f t="shared" si="30"/>
        <v>0</v>
      </c>
      <c r="T173" s="116">
        <f t="shared" si="43"/>
        <v>0</v>
      </c>
      <c r="U173" s="116">
        <f t="shared" si="32"/>
        <v>0</v>
      </c>
      <c r="V173" s="116">
        <f t="shared" si="41"/>
        <v>0</v>
      </c>
      <c r="W173" s="116">
        <f t="shared" si="42"/>
        <v>7903.33</v>
      </c>
      <c r="X173" s="116">
        <f t="shared" si="33"/>
        <v>365.3</v>
      </c>
      <c r="Y173" s="116">
        <f t="shared" si="34"/>
        <v>0</v>
      </c>
      <c r="Z173" s="116">
        <f t="shared" si="35"/>
        <v>0</v>
      </c>
      <c r="AA173" s="116">
        <f t="shared" si="36"/>
        <v>0</v>
      </c>
      <c r="AB173" s="116">
        <f t="shared" si="37"/>
        <v>0</v>
      </c>
      <c r="AC173" s="116">
        <f t="shared" si="38"/>
        <v>0</v>
      </c>
      <c r="AD173" s="116">
        <f t="shared" si="39"/>
        <v>0</v>
      </c>
      <c r="AE173" s="116">
        <f t="shared" si="40"/>
        <v>0</v>
      </c>
    </row>
    <row r="174" spans="1:31">
      <c r="A174" s="131">
        <v>42828</v>
      </c>
      <c r="B174" s="131">
        <v>42858</v>
      </c>
      <c r="C174" s="123">
        <f t="shared" si="31"/>
        <v>30</v>
      </c>
      <c r="D174" s="123"/>
      <c r="E174" s="132">
        <v>1629.28</v>
      </c>
      <c r="F174" s="134"/>
      <c r="G174" s="135"/>
      <c r="H174" s="123"/>
      <c r="I174" s="123"/>
      <c r="J174" s="123">
        <v>28</v>
      </c>
      <c r="K174" s="123">
        <v>2</v>
      </c>
      <c r="L174" s="123"/>
      <c r="M174" s="123"/>
      <c r="N174" s="123"/>
      <c r="O174" s="123"/>
      <c r="P174" s="123"/>
      <c r="Q174" s="123"/>
      <c r="R174" s="123"/>
      <c r="S174" s="133">
        <f t="shared" si="30"/>
        <v>0</v>
      </c>
      <c r="T174" s="116">
        <f t="shared" si="43"/>
        <v>0</v>
      </c>
      <c r="U174" s="116">
        <f t="shared" si="32"/>
        <v>0</v>
      </c>
      <c r="V174" s="116">
        <f t="shared" si="41"/>
        <v>0</v>
      </c>
      <c r="W174" s="116">
        <f t="shared" si="42"/>
        <v>22121.93</v>
      </c>
      <c r="X174" s="116">
        <f t="shared" si="33"/>
        <v>1022.49</v>
      </c>
      <c r="Y174" s="116">
        <f t="shared" si="34"/>
        <v>0</v>
      </c>
      <c r="Z174" s="116">
        <f t="shared" si="35"/>
        <v>0</v>
      </c>
      <c r="AA174" s="116">
        <f t="shared" si="36"/>
        <v>0</v>
      </c>
      <c r="AB174" s="116">
        <f t="shared" si="37"/>
        <v>0</v>
      </c>
      <c r="AC174" s="116">
        <f t="shared" si="38"/>
        <v>0</v>
      </c>
      <c r="AD174" s="116">
        <f t="shared" si="39"/>
        <v>0</v>
      </c>
      <c r="AE174" s="116">
        <f t="shared" si="40"/>
        <v>0</v>
      </c>
    </row>
    <row r="175" spans="1:31">
      <c r="A175" s="131">
        <v>42828</v>
      </c>
      <c r="B175" s="131">
        <v>42858</v>
      </c>
      <c r="C175" s="123">
        <f t="shared" si="31"/>
        <v>30</v>
      </c>
      <c r="D175" s="123"/>
      <c r="E175" s="132">
        <v>328.68</v>
      </c>
      <c r="F175" s="134"/>
      <c r="G175" s="135"/>
      <c r="H175" s="123"/>
      <c r="I175" s="123"/>
      <c r="J175" s="123">
        <v>28</v>
      </c>
      <c r="K175" s="123">
        <v>2</v>
      </c>
      <c r="L175" s="123"/>
      <c r="M175" s="123"/>
      <c r="N175" s="123"/>
      <c r="O175" s="123"/>
      <c r="P175" s="123"/>
      <c r="Q175" s="123"/>
      <c r="R175" s="123"/>
      <c r="S175" s="133">
        <f t="shared" si="30"/>
        <v>0</v>
      </c>
      <c r="T175" s="116">
        <f t="shared" si="43"/>
        <v>0</v>
      </c>
      <c r="U175" s="116">
        <f t="shared" si="32"/>
        <v>0</v>
      </c>
      <c r="V175" s="116">
        <f t="shared" si="41"/>
        <v>0</v>
      </c>
      <c r="W175" s="116">
        <f t="shared" si="42"/>
        <v>4462.7299999999996</v>
      </c>
      <c r="X175" s="116">
        <f t="shared" si="33"/>
        <v>206.27</v>
      </c>
      <c r="Y175" s="116">
        <f t="shared" si="34"/>
        <v>0</v>
      </c>
      <c r="Z175" s="116">
        <f t="shared" si="35"/>
        <v>0</v>
      </c>
      <c r="AA175" s="116">
        <f t="shared" si="36"/>
        <v>0</v>
      </c>
      <c r="AB175" s="116">
        <f t="shared" si="37"/>
        <v>0</v>
      </c>
      <c r="AC175" s="116">
        <f t="shared" si="38"/>
        <v>0</v>
      </c>
      <c r="AD175" s="116">
        <f t="shared" si="39"/>
        <v>0</v>
      </c>
      <c r="AE175" s="116">
        <f t="shared" si="40"/>
        <v>0</v>
      </c>
    </row>
    <row r="176" spans="1:31">
      <c r="A176" s="131">
        <v>42828</v>
      </c>
      <c r="B176" s="131">
        <v>42858</v>
      </c>
      <c r="C176" s="123">
        <f t="shared" si="31"/>
        <v>30</v>
      </c>
      <c r="D176" s="123"/>
      <c r="E176" s="132">
        <v>446.24</v>
      </c>
      <c r="F176" s="134"/>
      <c r="G176" s="135"/>
      <c r="H176" s="123"/>
      <c r="I176" s="123"/>
      <c r="J176" s="123">
        <v>28</v>
      </c>
      <c r="K176" s="123">
        <v>2</v>
      </c>
      <c r="L176" s="123"/>
      <c r="M176" s="123"/>
      <c r="N176" s="123"/>
      <c r="O176" s="123"/>
      <c r="P176" s="123"/>
      <c r="Q176" s="123"/>
      <c r="R176" s="123"/>
      <c r="S176" s="133">
        <f t="shared" si="30"/>
        <v>0</v>
      </c>
      <c r="T176" s="116">
        <f t="shared" si="43"/>
        <v>0</v>
      </c>
      <c r="U176" s="116">
        <f t="shared" si="32"/>
        <v>0</v>
      </c>
      <c r="V176" s="116">
        <f t="shared" si="41"/>
        <v>0</v>
      </c>
      <c r="W176" s="116">
        <f t="shared" si="42"/>
        <v>6058.93</v>
      </c>
      <c r="X176" s="116">
        <f t="shared" si="33"/>
        <v>280.05</v>
      </c>
      <c r="Y176" s="116">
        <f t="shared" si="34"/>
        <v>0</v>
      </c>
      <c r="Z176" s="116">
        <f t="shared" si="35"/>
        <v>0</v>
      </c>
      <c r="AA176" s="116">
        <f t="shared" si="36"/>
        <v>0</v>
      </c>
      <c r="AB176" s="116">
        <f t="shared" si="37"/>
        <v>0</v>
      </c>
      <c r="AC176" s="116">
        <f t="shared" si="38"/>
        <v>0</v>
      </c>
      <c r="AD176" s="116">
        <f t="shared" si="39"/>
        <v>0</v>
      </c>
      <c r="AE176" s="116">
        <f t="shared" si="40"/>
        <v>0</v>
      </c>
    </row>
    <row r="177" spans="1:31">
      <c r="A177" s="131">
        <v>42830</v>
      </c>
      <c r="B177" s="131">
        <v>42860</v>
      </c>
      <c r="C177" s="123">
        <f t="shared" si="31"/>
        <v>30</v>
      </c>
      <c r="D177" s="123"/>
      <c r="E177" s="132">
        <v>379.75</v>
      </c>
      <c r="F177" s="134"/>
      <c r="G177" s="135"/>
      <c r="H177" s="123"/>
      <c r="I177" s="123"/>
      <c r="J177" s="123">
        <v>26</v>
      </c>
      <c r="K177" s="123">
        <v>4</v>
      </c>
      <c r="L177" s="123"/>
      <c r="M177" s="123"/>
      <c r="N177" s="123"/>
      <c r="O177" s="123"/>
      <c r="P177" s="123"/>
      <c r="Q177" s="123"/>
      <c r="R177" s="123"/>
      <c r="S177" s="133">
        <f t="shared" si="30"/>
        <v>0</v>
      </c>
      <c r="T177" s="116">
        <f t="shared" si="43"/>
        <v>0</v>
      </c>
      <c r="U177" s="116">
        <f t="shared" si="32"/>
        <v>0</v>
      </c>
      <c r="V177" s="116">
        <f t="shared" si="41"/>
        <v>0</v>
      </c>
      <c r="W177" s="116">
        <f t="shared" si="42"/>
        <v>4787.8500000000004</v>
      </c>
      <c r="X177" s="116">
        <f t="shared" si="33"/>
        <v>476.64</v>
      </c>
      <c r="Y177" s="116">
        <f t="shared" si="34"/>
        <v>0</v>
      </c>
      <c r="Z177" s="116">
        <f t="shared" si="35"/>
        <v>0</v>
      </c>
      <c r="AA177" s="116">
        <f t="shared" si="36"/>
        <v>0</v>
      </c>
      <c r="AB177" s="116">
        <f t="shared" si="37"/>
        <v>0</v>
      </c>
      <c r="AC177" s="116">
        <f t="shared" si="38"/>
        <v>0</v>
      </c>
      <c r="AD177" s="116">
        <f t="shared" si="39"/>
        <v>0</v>
      </c>
      <c r="AE177" s="116">
        <f t="shared" si="40"/>
        <v>0</v>
      </c>
    </row>
    <row r="178" spans="1:31">
      <c r="A178" s="131">
        <v>42830</v>
      </c>
      <c r="B178" s="131">
        <v>42860</v>
      </c>
      <c r="C178" s="123">
        <f t="shared" si="31"/>
        <v>30</v>
      </c>
      <c r="D178" s="123"/>
      <c r="E178" s="132">
        <v>103.61</v>
      </c>
      <c r="F178" s="134"/>
      <c r="G178" s="135"/>
      <c r="H178" s="123"/>
      <c r="I178" s="123"/>
      <c r="J178" s="123">
        <v>26</v>
      </c>
      <c r="K178" s="123">
        <v>4</v>
      </c>
      <c r="L178" s="123"/>
      <c r="M178" s="123"/>
      <c r="N178" s="123"/>
      <c r="O178" s="123"/>
      <c r="P178" s="123"/>
      <c r="Q178" s="123"/>
      <c r="R178" s="123"/>
      <c r="S178" s="133">
        <f t="shared" si="30"/>
        <v>0</v>
      </c>
      <c r="T178" s="116">
        <f t="shared" si="43"/>
        <v>0</v>
      </c>
      <c r="U178" s="116">
        <f t="shared" si="32"/>
        <v>0</v>
      </c>
      <c r="V178" s="116">
        <f t="shared" si="41"/>
        <v>0</v>
      </c>
      <c r="W178" s="116">
        <f t="shared" si="42"/>
        <v>1306.3</v>
      </c>
      <c r="X178" s="116">
        <f t="shared" si="33"/>
        <v>130.04</v>
      </c>
      <c r="Y178" s="116">
        <f t="shared" si="34"/>
        <v>0</v>
      </c>
      <c r="Z178" s="116">
        <f t="shared" si="35"/>
        <v>0</v>
      </c>
      <c r="AA178" s="116">
        <f t="shared" si="36"/>
        <v>0</v>
      </c>
      <c r="AB178" s="116">
        <f t="shared" si="37"/>
        <v>0</v>
      </c>
      <c r="AC178" s="116">
        <f t="shared" si="38"/>
        <v>0</v>
      </c>
      <c r="AD178" s="116">
        <f t="shared" si="39"/>
        <v>0</v>
      </c>
      <c r="AE178" s="116">
        <f t="shared" si="40"/>
        <v>0</v>
      </c>
    </row>
    <row r="179" spans="1:31">
      <c r="A179" s="131">
        <v>42830</v>
      </c>
      <c r="B179" s="131">
        <v>42860</v>
      </c>
      <c r="C179" s="123">
        <f t="shared" si="31"/>
        <v>30</v>
      </c>
      <c r="D179" s="123"/>
      <c r="E179" s="132">
        <v>569.29</v>
      </c>
      <c r="F179" s="134"/>
      <c r="G179" s="135"/>
      <c r="H179" s="123"/>
      <c r="I179" s="123"/>
      <c r="J179" s="123">
        <v>26</v>
      </c>
      <c r="K179" s="123">
        <v>4</v>
      </c>
      <c r="L179" s="123"/>
      <c r="M179" s="123"/>
      <c r="N179" s="123"/>
      <c r="O179" s="123"/>
      <c r="P179" s="123"/>
      <c r="Q179" s="123"/>
      <c r="R179" s="123"/>
      <c r="S179" s="133">
        <f t="shared" si="30"/>
        <v>0</v>
      </c>
      <c r="T179" s="116">
        <f t="shared" si="43"/>
        <v>0</v>
      </c>
      <c r="U179" s="116">
        <f t="shared" si="32"/>
        <v>0</v>
      </c>
      <c r="V179" s="116">
        <f t="shared" si="41"/>
        <v>0</v>
      </c>
      <c r="W179" s="116">
        <f t="shared" si="42"/>
        <v>7177.55</v>
      </c>
      <c r="X179" s="116">
        <f t="shared" si="33"/>
        <v>714.54</v>
      </c>
      <c r="Y179" s="116">
        <f t="shared" si="34"/>
        <v>0</v>
      </c>
      <c r="Z179" s="116">
        <f t="shared" si="35"/>
        <v>0</v>
      </c>
      <c r="AA179" s="116">
        <f t="shared" si="36"/>
        <v>0</v>
      </c>
      <c r="AB179" s="116">
        <f t="shared" si="37"/>
        <v>0</v>
      </c>
      <c r="AC179" s="116">
        <f t="shared" si="38"/>
        <v>0</v>
      </c>
      <c r="AD179" s="116">
        <f t="shared" si="39"/>
        <v>0</v>
      </c>
      <c r="AE179" s="116">
        <f t="shared" si="40"/>
        <v>0</v>
      </c>
    </row>
    <row r="180" spans="1:31">
      <c r="A180" s="131">
        <v>42833</v>
      </c>
      <c r="B180" s="131">
        <v>42863</v>
      </c>
      <c r="C180" s="123">
        <f t="shared" si="31"/>
        <v>30</v>
      </c>
      <c r="D180" s="123"/>
      <c r="E180" s="132">
        <v>372.75</v>
      </c>
      <c r="F180" s="134"/>
      <c r="G180" s="135"/>
      <c r="H180" s="123"/>
      <c r="I180" s="123"/>
      <c r="J180" s="123">
        <v>23</v>
      </c>
      <c r="K180" s="123">
        <v>7</v>
      </c>
      <c r="L180" s="123"/>
      <c r="M180" s="123"/>
      <c r="N180" s="123"/>
      <c r="O180" s="123"/>
      <c r="P180" s="123"/>
      <c r="Q180" s="123"/>
      <c r="R180" s="123"/>
      <c r="S180" s="133">
        <f t="shared" si="30"/>
        <v>0</v>
      </c>
      <c r="T180" s="116">
        <f t="shared" si="43"/>
        <v>0</v>
      </c>
      <c r="U180" s="116">
        <f t="shared" si="32"/>
        <v>0</v>
      </c>
      <c r="V180" s="116">
        <f t="shared" si="41"/>
        <v>0</v>
      </c>
      <c r="W180" s="116">
        <f t="shared" si="42"/>
        <v>4157.33</v>
      </c>
      <c r="X180" s="116">
        <f t="shared" si="33"/>
        <v>818.74</v>
      </c>
      <c r="Y180" s="116">
        <f t="shared" si="34"/>
        <v>0</v>
      </c>
      <c r="Z180" s="116">
        <f t="shared" si="35"/>
        <v>0</v>
      </c>
      <c r="AA180" s="116">
        <f t="shared" si="36"/>
        <v>0</v>
      </c>
      <c r="AB180" s="116">
        <f t="shared" si="37"/>
        <v>0</v>
      </c>
      <c r="AC180" s="116">
        <f t="shared" si="38"/>
        <v>0</v>
      </c>
      <c r="AD180" s="116">
        <f t="shared" si="39"/>
        <v>0</v>
      </c>
      <c r="AE180" s="116">
        <f t="shared" si="40"/>
        <v>0</v>
      </c>
    </row>
    <row r="181" spans="1:31">
      <c r="A181" s="131">
        <v>42833</v>
      </c>
      <c r="B181" s="131">
        <v>42863</v>
      </c>
      <c r="C181" s="123">
        <f t="shared" si="31"/>
        <v>30</v>
      </c>
      <c r="D181" s="123"/>
      <c r="E181" s="132">
        <v>168.49</v>
      </c>
      <c r="F181" s="134"/>
      <c r="G181" s="135"/>
      <c r="H181" s="123"/>
      <c r="I181" s="123"/>
      <c r="J181" s="123">
        <v>23</v>
      </c>
      <c r="K181" s="123">
        <v>7</v>
      </c>
      <c r="L181" s="123"/>
      <c r="M181" s="123"/>
      <c r="N181" s="123"/>
      <c r="O181" s="123"/>
      <c r="P181" s="123"/>
      <c r="Q181" s="123"/>
      <c r="R181" s="123"/>
      <c r="S181" s="133">
        <f t="shared" si="30"/>
        <v>0</v>
      </c>
      <c r="T181" s="116">
        <f t="shared" si="43"/>
        <v>0</v>
      </c>
      <c r="U181" s="116">
        <f t="shared" si="32"/>
        <v>0</v>
      </c>
      <c r="V181" s="116">
        <f t="shared" si="41"/>
        <v>0</v>
      </c>
      <c r="W181" s="116">
        <f t="shared" si="42"/>
        <v>1879.19</v>
      </c>
      <c r="X181" s="116">
        <f t="shared" si="33"/>
        <v>370.09</v>
      </c>
      <c r="Y181" s="116">
        <f t="shared" si="34"/>
        <v>0</v>
      </c>
      <c r="Z181" s="116">
        <f t="shared" si="35"/>
        <v>0</v>
      </c>
      <c r="AA181" s="116">
        <f t="shared" si="36"/>
        <v>0</v>
      </c>
      <c r="AB181" s="116">
        <f t="shared" si="37"/>
        <v>0</v>
      </c>
      <c r="AC181" s="116">
        <f t="shared" si="38"/>
        <v>0</v>
      </c>
      <c r="AD181" s="116">
        <f t="shared" si="39"/>
        <v>0</v>
      </c>
      <c r="AE181" s="116">
        <f t="shared" si="40"/>
        <v>0</v>
      </c>
    </row>
    <row r="182" spans="1:31">
      <c r="A182" s="131">
        <v>42822</v>
      </c>
      <c r="B182" s="131">
        <v>42847</v>
      </c>
      <c r="C182" s="123">
        <f t="shared" si="31"/>
        <v>25</v>
      </c>
      <c r="D182" s="123"/>
      <c r="E182" s="132">
        <v>1934.13</v>
      </c>
      <c r="F182" s="134"/>
      <c r="G182" s="135"/>
      <c r="H182" s="123"/>
      <c r="I182" s="123">
        <v>4</v>
      </c>
      <c r="J182" s="123">
        <v>21</v>
      </c>
      <c r="K182" s="123"/>
      <c r="L182" s="123"/>
      <c r="M182" s="123"/>
      <c r="N182" s="123"/>
      <c r="O182" s="123"/>
      <c r="P182" s="123"/>
      <c r="Q182" s="123"/>
      <c r="R182" s="123"/>
      <c r="S182" s="133">
        <f t="shared" si="30"/>
        <v>0</v>
      </c>
      <c r="T182" s="116">
        <f t="shared" si="43"/>
        <v>0</v>
      </c>
      <c r="U182" s="116">
        <f t="shared" si="32"/>
        <v>0</v>
      </c>
      <c r="V182" s="116">
        <f t="shared" si="41"/>
        <v>3680.11</v>
      </c>
      <c r="W182" s="116">
        <f t="shared" si="42"/>
        <v>23634.99</v>
      </c>
      <c r="X182" s="116">
        <f t="shared" si="33"/>
        <v>0</v>
      </c>
      <c r="Y182" s="116">
        <f t="shared" si="34"/>
        <v>0</v>
      </c>
      <c r="Z182" s="116">
        <f t="shared" si="35"/>
        <v>0</v>
      </c>
      <c r="AA182" s="116">
        <f t="shared" si="36"/>
        <v>0</v>
      </c>
      <c r="AB182" s="116">
        <f t="shared" si="37"/>
        <v>0</v>
      </c>
      <c r="AC182" s="116">
        <f t="shared" si="38"/>
        <v>0</v>
      </c>
      <c r="AD182" s="116">
        <f t="shared" si="39"/>
        <v>0</v>
      </c>
      <c r="AE182" s="116">
        <f t="shared" si="40"/>
        <v>0</v>
      </c>
    </row>
    <row r="183" spans="1:31">
      <c r="A183" s="131">
        <v>42833</v>
      </c>
      <c r="B183" s="131">
        <v>42863</v>
      </c>
      <c r="C183" s="123">
        <f t="shared" si="31"/>
        <v>30</v>
      </c>
      <c r="D183" s="123"/>
      <c r="E183" s="132">
        <v>40.85</v>
      </c>
      <c r="F183" s="134"/>
      <c r="G183" s="135"/>
      <c r="H183" s="123"/>
      <c r="I183" s="123"/>
      <c r="J183" s="123">
        <v>23</v>
      </c>
      <c r="K183" s="123">
        <v>7</v>
      </c>
      <c r="L183" s="123"/>
      <c r="M183" s="123"/>
      <c r="N183" s="123"/>
      <c r="O183" s="123"/>
      <c r="P183" s="123"/>
      <c r="Q183" s="123"/>
      <c r="R183" s="123"/>
      <c r="S183" s="133">
        <f t="shared" si="30"/>
        <v>0</v>
      </c>
      <c r="T183" s="116">
        <f t="shared" si="43"/>
        <v>0</v>
      </c>
      <c r="U183" s="116">
        <f t="shared" si="32"/>
        <v>0</v>
      </c>
      <c r="V183" s="116">
        <f t="shared" si="41"/>
        <v>0</v>
      </c>
      <c r="W183" s="116">
        <f t="shared" si="42"/>
        <v>455.61</v>
      </c>
      <c r="X183" s="116">
        <f t="shared" si="33"/>
        <v>89.73</v>
      </c>
      <c r="Y183" s="116">
        <f t="shared" si="34"/>
        <v>0</v>
      </c>
      <c r="Z183" s="116">
        <f t="shared" si="35"/>
        <v>0</v>
      </c>
      <c r="AA183" s="116">
        <f t="shared" si="36"/>
        <v>0</v>
      </c>
      <c r="AB183" s="116">
        <f t="shared" si="37"/>
        <v>0</v>
      </c>
      <c r="AC183" s="116">
        <f t="shared" si="38"/>
        <v>0</v>
      </c>
      <c r="AD183" s="116">
        <f t="shared" si="39"/>
        <v>0</v>
      </c>
      <c r="AE183" s="116">
        <f t="shared" si="40"/>
        <v>0</v>
      </c>
    </row>
    <row r="184" spans="1:31">
      <c r="A184" s="131">
        <v>42833</v>
      </c>
      <c r="B184" s="131">
        <v>42863</v>
      </c>
      <c r="C184" s="123">
        <f t="shared" si="31"/>
        <v>30</v>
      </c>
      <c r="D184" s="123"/>
      <c r="E184" s="132">
        <v>320.28000000000003</v>
      </c>
      <c r="F184" s="134"/>
      <c r="G184" s="135"/>
      <c r="H184" s="123"/>
      <c r="I184" s="123"/>
      <c r="J184" s="123">
        <v>23</v>
      </c>
      <c r="K184" s="123">
        <v>7</v>
      </c>
      <c r="L184" s="123"/>
      <c r="M184" s="123"/>
      <c r="N184" s="123"/>
      <c r="O184" s="123"/>
      <c r="P184" s="123"/>
      <c r="Q184" s="123"/>
      <c r="R184" s="123"/>
      <c r="S184" s="133">
        <f t="shared" si="30"/>
        <v>0</v>
      </c>
      <c r="T184" s="116">
        <f t="shared" si="43"/>
        <v>0</v>
      </c>
      <c r="U184" s="116">
        <f t="shared" si="32"/>
        <v>0</v>
      </c>
      <c r="V184" s="116">
        <f t="shared" si="41"/>
        <v>0</v>
      </c>
      <c r="W184" s="116">
        <f t="shared" si="42"/>
        <v>3572.13</v>
      </c>
      <c r="X184" s="116">
        <f t="shared" si="33"/>
        <v>703.49</v>
      </c>
      <c r="Y184" s="116">
        <f t="shared" si="34"/>
        <v>0</v>
      </c>
      <c r="Z184" s="116">
        <f t="shared" si="35"/>
        <v>0</v>
      </c>
      <c r="AA184" s="116">
        <f t="shared" si="36"/>
        <v>0</v>
      </c>
      <c r="AB184" s="116">
        <f t="shared" si="37"/>
        <v>0</v>
      </c>
      <c r="AC184" s="116">
        <f t="shared" si="38"/>
        <v>0</v>
      </c>
      <c r="AD184" s="116">
        <f t="shared" si="39"/>
        <v>0</v>
      </c>
      <c r="AE184" s="116">
        <f t="shared" si="40"/>
        <v>0</v>
      </c>
    </row>
    <row r="185" spans="1:31">
      <c r="A185" s="131">
        <v>42826</v>
      </c>
      <c r="B185" s="131">
        <v>42856</v>
      </c>
      <c r="C185" s="123">
        <f t="shared" si="31"/>
        <v>30</v>
      </c>
      <c r="D185" s="123"/>
      <c r="E185" s="132">
        <v>1712.18</v>
      </c>
      <c r="F185" s="134"/>
      <c r="G185" s="135"/>
      <c r="H185" s="123"/>
      <c r="I185" s="123"/>
      <c r="J185" s="123">
        <v>30</v>
      </c>
      <c r="K185" s="123"/>
      <c r="L185" s="123"/>
      <c r="M185" s="123"/>
      <c r="N185" s="123"/>
      <c r="O185" s="123"/>
      <c r="P185" s="123"/>
      <c r="Q185" s="123"/>
      <c r="R185" s="123"/>
      <c r="S185" s="133">
        <f t="shared" si="30"/>
        <v>0</v>
      </c>
      <c r="T185" s="116">
        <f t="shared" si="43"/>
        <v>0</v>
      </c>
      <c r="U185" s="116">
        <f t="shared" si="32"/>
        <v>0</v>
      </c>
      <c r="V185" s="116">
        <f t="shared" si="41"/>
        <v>0</v>
      </c>
      <c r="W185" s="116">
        <f t="shared" si="42"/>
        <v>24908.06</v>
      </c>
      <c r="X185" s="116">
        <f t="shared" si="33"/>
        <v>0</v>
      </c>
      <c r="Y185" s="116">
        <f t="shared" si="34"/>
        <v>0</v>
      </c>
      <c r="Z185" s="116">
        <f t="shared" si="35"/>
        <v>0</v>
      </c>
      <c r="AA185" s="116">
        <f t="shared" si="36"/>
        <v>0</v>
      </c>
      <c r="AB185" s="116">
        <f t="shared" si="37"/>
        <v>0</v>
      </c>
      <c r="AC185" s="116">
        <f t="shared" si="38"/>
        <v>0</v>
      </c>
      <c r="AD185" s="116">
        <f t="shared" si="39"/>
        <v>0</v>
      </c>
      <c r="AE185" s="116">
        <f t="shared" si="40"/>
        <v>0</v>
      </c>
    </row>
    <row r="186" spans="1:31">
      <c r="A186" s="131">
        <v>42837</v>
      </c>
      <c r="B186" s="131">
        <v>42867</v>
      </c>
      <c r="C186" s="123">
        <f t="shared" si="31"/>
        <v>30</v>
      </c>
      <c r="D186" s="123"/>
      <c r="E186" s="132">
        <v>748.27</v>
      </c>
      <c r="F186" s="134"/>
      <c r="G186" s="135"/>
      <c r="H186" s="123"/>
      <c r="I186" s="123"/>
      <c r="J186" s="123">
        <v>19</v>
      </c>
      <c r="K186" s="123">
        <v>11</v>
      </c>
      <c r="L186" s="123"/>
      <c r="M186" s="123"/>
      <c r="N186" s="123"/>
      <c r="O186" s="123"/>
      <c r="P186" s="123"/>
      <c r="Q186" s="123"/>
      <c r="R186" s="123"/>
      <c r="S186" s="133">
        <f t="shared" si="30"/>
        <v>0</v>
      </c>
      <c r="T186" s="116">
        <f t="shared" si="43"/>
        <v>0</v>
      </c>
      <c r="U186" s="116">
        <f t="shared" si="32"/>
        <v>0</v>
      </c>
      <c r="V186" s="116">
        <f t="shared" si="41"/>
        <v>0</v>
      </c>
      <c r="W186" s="116">
        <f t="shared" si="42"/>
        <v>6894.16</v>
      </c>
      <c r="X186" s="116">
        <f t="shared" si="33"/>
        <v>2582.75</v>
      </c>
      <c r="Y186" s="116">
        <f t="shared" si="34"/>
        <v>0</v>
      </c>
      <c r="Z186" s="116">
        <f t="shared" si="35"/>
        <v>0</v>
      </c>
      <c r="AA186" s="116">
        <f t="shared" si="36"/>
        <v>0</v>
      </c>
      <c r="AB186" s="116">
        <f t="shared" si="37"/>
        <v>0</v>
      </c>
      <c r="AC186" s="116">
        <f t="shared" si="38"/>
        <v>0</v>
      </c>
      <c r="AD186" s="116">
        <f t="shared" si="39"/>
        <v>0</v>
      </c>
      <c r="AE186" s="116">
        <f t="shared" si="40"/>
        <v>0</v>
      </c>
    </row>
    <row r="187" spans="1:31">
      <c r="A187" s="131">
        <v>42837</v>
      </c>
      <c r="B187" s="131">
        <v>42867</v>
      </c>
      <c r="C187" s="123">
        <f t="shared" si="31"/>
        <v>30</v>
      </c>
      <c r="D187" s="123"/>
      <c r="E187" s="132">
        <v>578.78</v>
      </c>
      <c r="F187" s="134"/>
      <c r="G187" s="135"/>
      <c r="H187" s="123"/>
      <c r="I187" s="123"/>
      <c r="J187" s="123">
        <v>19</v>
      </c>
      <c r="K187" s="123">
        <v>11</v>
      </c>
      <c r="L187" s="123"/>
      <c r="M187" s="123"/>
      <c r="N187" s="123"/>
      <c r="O187" s="123"/>
      <c r="P187" s="123"/>
      <c r="Q187" s="123"/>
      <c r="R187" s="123"/>
      <c r="S187" s="133">
        <f t="shared" si="30"/>
        <v>0</v>
      </c>
      <c r="T187" s="116">
        <f t="shared" si="43"/>
        <v>0</v>
      </c>
      <c r="U187" s="116">
        <f t="shared" si="32"/>
        <v>0</v>
      </c>
      <c r="V187" s="116">
        <f t="shared" si="41"/>
        <v>0</v>
      </c>
      <c r="W187" s="116">
        <f t="shared" si="42"/>
        <v>5332.57</v>
      </c>
      <c r="X187" s="116">
        <f t="shared" si="33"/>
        <v>1997.73</v>
      </c>
      <c r="Y187" s="116">
        <f t="shared" si="34"/>
        <v>0</v>
      </c>
      <c r="Z187" s="116">
        <f t="shared" si="35"/>
        <v>0</v>
      </c>
      <c r="AA187" s="116">
        <f t="shared" si="36"/>
        <v>0</v>
      </c>
      <c r="AB187" s="116">
        <f t="shared" si="37"/>
        <v>0</v>
      </c>
      <c r="AC187" s="116">
        <f t="shared" si="38"/>
        <v>0</v>
      </c>
      <c r="AD187" s="116">
        <f t="shared" si="39"/>
        <v>0</v>
      </c>
      <c r="AE187" s="116">
        <f t="shared" si="40"/>
        <v>0</v>
      </c>
    </row>
    <row r="188" spans="1:31" ht="15.75" thickBot="1">
      <c r="A188" s="131">
        <v>42837</v>
      </c>
      <c r="B188" s="131">
        <v>42867</v>
      </c>
      <c r="C188" s="123">
        <f t="shared" si="31"/>
        <v>30</v>
      </c>
      <c r="D188" s="123"/>
      <c r="E188" s="132">
        <v>135.06</v>
      </c>
      <c r="F188" s="134"/>
      <c r="G188" s="135"/>
      <c r="H188" s="123"/>
      <c r="I188" s="123"/>
      <c r="J188" s="123">
        <v>19</v>
      </c>
      <c r="K188" s="123">
        <v>11</v>
      </c>
      <c r="L188" s="123"/>
      <c r="M188" s="123"/>
      <c r="N188" s="123"/>
      <c r="O188" s="123"/>
      <c r="P188" s="123"/>
      <c r="Q188" s="123"/>
      <c r="R188" s="123"/>
      <c r="S188" s="133">
        <f t="shared" si="30"/>
        <v>0</v>
      </c>
      <c r="T188" s="116">
        <f t="shared" si="43"/>
        <v>0</v>
      </c>
      <c r="U188" s="116">
        <f t="shared" si="32"/>
        <v>0</v>
      </c>
      <c r="V188" s="116">
        <f t="shared" si="41"/>
        <v>0</v>
      </c>
      <c r="W188" s="116">
        <f t="shared" si="42"/>
        <v>1244.3699999999999</v>
      </c>
      <c r="X188" s="116">
        <f t="shared" si="33"/>
        <v>466.18</v>
      </c>
      <c r="Y188" s="116">
        <f t="shared" si="34"/>
        <v>0</v>
      </c>
      <c r="Z188" s="116">
        <f t="shared" si="35"/>
        <v>0</v>
      </c>
      <c r="AA188" s="116">
        <f t="shared" si="36"/>
        <v>0</v>
      </c>
      <c r="AB188" s="116">
        <f t="shared" si="37"/>
        <v>0</v>
      </c>
      <c r="AC188" s="116">
        <f t="shared" si="38"/>
        <v>0</v>
      </c>
      <c r="AD188" s="116">
        <f t="shared" si="39"/>
        <v>0</v>
      </c>
      <c r="AE188" s="116">
        <f t="shared" si="40"/>
        <v>0</v>
      </c>
    </row>
    <row r="189" spans="1:31" ht="15.75" thickBot="1">
      <c r="A189" s="185" t="s">
        <v>40</v>
      </c>
      <c r="B189" s="186"/>
      <c r="C189" s="186"/>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E189" s="187"/>
    </row>
    <row r="190" spans="1:31">
      <c r="A190" s="131">
        <v>42840</v>
      </c>
      <c r="B190" s="131">
        <v>42870</v>
      </c>
      <c r="C190" s="123">
        <f t="shared" si="31"/>
        <v>30</v>
      </c>
      <c r="D190" s="123"/>
      <c r="E190" s="132">
        <v>9.75</v>
      </c>
      <c r="F190" s="134"/>
      <c r="G190" s="135"/>
      <c r="H190" s="123"/>
      <c r="I190" s="123"/>
      <c r="J190" s="123">
        <v>16</v>
      </c>
      <c r="K190" s="123">
        <v>14</v>
      </c>
      <c r="L190" s="123"/>
      <c r="M190" s="123"/>
      <c r="N190" s="123"/>
      <c r="O190" s="123"/>
      <c r="P190" s="123"/>
      <c r="Q190" s="123"/>
      <c r="R190" s="123"/>
      <c r="S190" s="133">
        <f t="shared" si="30"/>
        <v>0</v>
      </c>
      <c r="T190" s="116">
        <f t="shared" si="43"/>
        <v>0</v>
      </c>
      <c r="U190" s="116">
        <f t="shared" si="32"/>
        <v>0</v>
      </c>
      <c r="V190" s="116">
        <f t="shared" si="41"/>
        <v>0</v>
      </c>
      <c r="W190" s="116">
        <f t="shared" si="42"/>
        <v>75.650000000000006</v>
      </c>
      <c r="X190" s="116">
        <f t="shared" si="33"/>
        <v>42.83</v>
      </c>
      <c r="Y190" s="116">
        <f t="shared" si="34"/>
        <v>0</v>
      </c>
      <c r="Z190" s="116">
        <f t="shared" si="35"/>
        <v>0</v>
      </c>
      <c r="AA190" s="116">
        <f t="shared" si="36"/>
        <v>0</v>
      </c>
      <c r="AB190" s="116">
        <f t="shared" si="37"/>
        <v>0</v>
      </c>
      <c r="AC190" s="116">
        <f t="shared" si="38"/>
        <v>0</v>
      </c>
      <c r="AD190" s="116">
        <f t="shared" si="39"/>
        <v>0</v>
      </c>
      <c r="AE190" s="116">
        <f t="shared" si="40"/>
        <v>0</v>
      </c>
    </row>
    <row r="191" spans="1:31">
      <c r="A191" s="131">
        <v>42816</v>
      </c>
      <c r="B191" s="131">
        <v>42847</v>
      </c>
      <c r="C191" s="123">
        <f t="shared" si="31"/>
        <v>31</v>
      </c>
      <c r="D191" s="123">
        <v>30</v>
      </c>
      <c r="E191" s="132">
        <v>58.42</v>
      </c>
      <c r="F191" s="134"/>
      <c r="G191" s="135"/>
      <c r="H191" s="123"/>
      <c r="I191" s="123">
        <v>10</v>
      </c>
      <c r="J191" s="123">
        <v>21</v>
      </c>
      <c r="K191" s="123"/>
      <c r="L191" s="123"/>
      <c r="M191" s="123"/>
      <c r="N191" s="123"/>
      <c r="O191" s="123"/>
      <c r="P191" s="123"/>
      <c r="Q191" s="123"/>
      <c r="R191" s="123"/>
      <c r="S191" s="133">
        <f t="shared" si="30"/>
        <v>0</v>
      </c>
      <c r="T191" s="116">
        <f t="shared" si="43"/>
        <v>0</v>
      </c>
      <c r="U191" s="116">
        <f t="shared" si="32"/>
        <v>0</v>
      </c>
      <c r="V191" s="116">
        <f t="shared" si="41"/>
        <v>224.11</v>
      </c>
      <c r="W191" s="116">
        <f t="shared" si="42"/>
        <v>575.72</v>
      </c>
      <c r="X191" s="116">
        <f t="shared" si="33"/>
        <v>0</v>
      </c>
      <c r="Y191" s="116">
        <f t="shared" si="34"/>
        <v>0</v>
      </c>
      <c r="Z191" s="116">
        <f t="shared" si="35"/>
        <v>0</v>
      </c>
      <c r="AA191" s="116">
        <f t="shared" si="36"/>
        <v>0</v>
      </c>
      <c r="AB191" s="116">
        <f t="shared" si="37"/>
        <v>0</v>
      </c>
      <c r="AC191" s="116">
        <f t="shared" si="38"/>
        <v>0</v>
      </c>
      <c r="AD191" s="116">
        <f t="shared" si="39"/>
        <v>0</v>
      </c>
      <c r="AE191" s="116">
        <f t="shared" si="40"/>
        <v>0</v>
      </c>
    </row>
    <row r="192" spans="1:31">
      <c r="A192" s="131">
        <v>42840</v>
      </c>
      <c r="B192" s="131">
        <v>42870</v>
      </c>
      <c r="C192" s="123">
        <f t="shared" si="31"/>
        <v>30</v>
      </c>
      <c r="D192" s="123"/>
      <c r="E192" s="132">
        <v>1847.39</v>
      </c>
      <c r="F192" s="134"/>
      <c r="G192" s="135"/>
      <c r="H192" s="123"/>
      <c r="I192" s="123"/>
      <c r="J192" s="123">
        <v>16</v>
      </c>
      <c r="K192" s="123">
        <v>14</v>
      </c>
      <c r="L192" s="123"/>
      <c r="M192" s="123"/>
      <c r="N192" s="123"/>
      <c r="O192" s="123"/>
      <c r="P192" s="123"/>
      <c r="Q192" s="123"/>
      <c r="R192" s="123"/>
      <c r="S192" s="133">
        <f t="shared" si="30"/>
        <v>0</v>
      </c>
      <c r="T192" s="116">
        <f t="shared" si="43"/>
        <v>0</v>
      </c>
      <c r="U192" s="116">
        <f t="shared" si="32"/>
        <v>0</v>
      </c>
      <c r="V192" s="116">
        <f t="shared" si="41"/>
        <v>0</v>
      </c>
      <c r="W192" s="116">
        <f t="shared" si="42"/>
        <v>14333.35</v>
      </c>
      <c r="X192" s="116">
        <f t="shared" si="33"/>
        <v>8115.55</v>
      </c>
      <c r="Y192" s="116">
        <f t="shared" si="34"/>
        <v>0</v>
      </c>
      <c r="Z192" s="116">
        <f t="shared" si="35"/>
        <v>0</v>
      </c>
      <c r="AA192" s="116">
        <f t="shared" si="36"/>
        <v>0</v>
      </c>
      <c r="AB192" s="116">
        <f t="shared" si="37"/>
        <v>0</v>
      </c>
      <c r="AC192" s="116">
        <f t="shared" si="38"/>
        <v>0</v>
      </c>
      <c r="AD192" s="116">
        <f t="shared" si="39"/>
        <v>0</v>
      </c>
      <c r="AE192" s="116">
        <f t="shared" si="40"/>
        <v>0</v>
      </c>
    </row>
    <row r="193" spans="1:31">
      <c r="A193" s="131">
        <v>42840</v>
      </c>
      <c r="B193" s="131">
        <v>42870</v>
      </c>
      <c r="C193" s="123">
        <f t="shared" si="31"/>
        <v>30</v>
      </c>
      <c r="D193" s="123"/>
      <c r="E193" s="132">
        <v>4918.08</v>
      </c>
      <c r="F193" s="134"/>
      <c r="G193" s="135"/>
      <c r="H193" s="123"/>
      <c r="I193" s="123"/>
      <c r="J193" s="123">
        <v>16</v>
      </c>
      <c r="K193" s="123">
        <v>14</v>
      </c>
      <c r="L193" s="123"/>
      <c r="M193" s="123"/>
      <c r="N193" s="123"/>
      <c r="O193" s="123"/>
      <c r="P193" s="123"/>
      <c r="Q193" s="123"/>
      <c r="R193" s="123"/>
      <c r="S193" s="133">
        <f t="shared" si="30"/>
        <v>0</v>
      </c>
      <c r="T193" s="116">
        <f t="shared" si="43"/>
        <v>0</v>
      </c>
      <c r="U193" s="116">
        <f t="shared" si="32"/>
        <v>0</v>
      </c>
      <c r="V193" s="116">
        <f t="shared" si="41"/>
        <v>0</v>
      </c>
      <c r="W193" s="116">
        <f t="shared" si="42"/>
        <v>38157.93</v>
      </c>
      <c r="X193" s="116">
        <f t="shared" si="33"/>
        <v>21605.05</v>
      </c>
      <c r="Y193" s="116">
        <f t="shared" si="34"/>
        <v>0</v>
      </c>
      <c r="Z193" s="116">
        <f t="shared" si="35"/>
        <v>0</v>
      </c>
      <c r="AA193" s="116">
        <f t="shared" si="36"/>
        <v>0</v>
      </c>
      <c r="AB193" s="116">
        <f t="shared" si="37"/>
        <v>0</v>
      </c>
      <c r="AC193" s="116">
        <f t="shared" si="38"/>
        <v>0</v>
      </c>
      <c r="AD193" s="116">
        <f t="shared" si="39"/>
        <v>0</v>
      </c>
      <c r="AE193" s="116">
        <f t="shared" si="40"/>
        <v>0</v>
      </c>
    </row>
    <row r="194" spans="1:31">
      <c r="A194" s="131">
        <v>42840</v>
      </c>
      <c r="B194" s="131">
        <v>42870</v>
      </c>
      <c r="C194" s="123">
        <f t="shared" si="31"/>
        <v>30</v>
      </c>
      <c r="D194" s="123"/>
      <c r="E194" s="132">
        <v>25360.39</v>
      </c>
      <c r="F194" s="134"/>
      <c r="G194" s="135"/>
      <c r="H194" s="123"/>
      <c r="I194" s="123"/>
      <c r="J194" s="123">
        <v>16</v>
      </c>
      <c r="K194" s="123">
        <v>14</v>
      </c>
      <c r="L194" s="123"/>
      <c r="M194" s="123"/>
      <c r="N194" s="123"/>
      <c r="O194" s="123"/>
      <c r="P194" s="123"/>
      <c r="Q194" s="123"/>
      <c r="R194" s="123"/>
      <c r="S194" s="133">
        <f t="shared" si="30"/>
        <v>0</v>
      </c>
      <c r="T194" s="116">
        <f t="shared" si="43"/>
        <v>0</v>
      </c>
      <c r="U194" s="116">
        <f t="shared" si="32"/>
        <v>0</v>
      </c>
      <c r="V194" s="116">
        <f t="shared" si="41"/>
        <v>0</v>
      </c>
      <c r="W194" s="116">
        <f t="shared" si="42"/>
        <v>196763.77</v>
      </c>
      <c r="X194" s="116">
        <f t="shared" si="33"/>
        <v>111407.78</v>
      </c>
      <c r="Y194" s="116">
        <f t="shared" si="34"/>
        <v>0</v>
      </c>
      <c r="Z194" s="116">
        <f t="shared" si="35"/>
        <v>0</v>
      </c>
      <c r="AA194" s="116">
        <f t="shared" si="36"/>
        <v>0</v>
      </c>
      <c r="AB194" s="116">
        <f t="shared" si="37"/>
        <v>0</v>
      </c>
      <c r="AC194" s="116">
        <f t="shared" si="38"/>
        <v>0</v>
      </c>
      <c r="AD194" s="116">
        <f t="shared" si="39"/>
        <v>0</v>
      </c>
      <c r="AE194" s="116">
        <f t="shared" si="40"/>
        <v>0</v>
      </c>
    </row>
    <row r="195" spans="1:31">
      <c r="A195" s="131">
        <v>42844</v>
      </c>
      <c r="B195" s="131">
        <v>42874</v>
      </c>
      <c r="C195" s="123">
        <f t="shared" si="31"/>
        <v>30</v>
      </c>
      <c r="D195" s="123"/>
      <c r="E195" s="132">
        <v>454.47</v>
      </c>
      <c r="F195" s="134"/>
      <c r="G195" s="135"/>
      <c r="H195" s="123"/>
      <c r="I195" s="123"/>
      <c r="J195" s="123">
        <v>12</v>
      </c>
      <c r="K195" s="123">
        <v>18</v>
      </c>
      <c r="L195" s="123"/>
      <c r="M195" s="123"/>
      <c r="N195" s="123"/>
      <c r="O195" s="123"/>
      <c r="P195" s="123"/>
      <c r="Q195" s="123"/>
      <c r="R195" s="123"/>
      <c r="S195" s="133">
        <f t="shared" ref="S195:S259" si="44">C195-SUM(G195:R195)</f>
        <v>0</v>
      </c>
      <c r="T195" s="116">
        <f t="shared" si="43"/>
        <v>0</v>
      </c>
      <c r="U195" s="116">
        <f t="shared" si="32"/>
        <v>0</v>
      </c>
      <c r="V195" s="116">
        <f t="shared" si="41"/>
        <v>0</v>
      </c>
      <c r="W195" s="116">
        <f t="shared" si="42"/>
        <v>2644.57</v>
      </c>
      <c r="X195" s="116">
        <f t="shared" si="33"/>
        <v>2566.9</v>
      </c>
      <c r="Y195" s="116">
        <f t="shared" si="34"/>
        <v>0</v>
      </c>
      <c r="Z195" s="116">
        <f t="shared" si="35"/>
        <v>0</v>
      </c>
      <c r="AA195" s="116">
        <f t="shared" si="36"/>
        <v>0</v>
      </c>
      <c r="AB195" s="116">
        <f t="shared" si="37"/>
        <v>0</v>
      </c>
      <c r="AC195" s="116">
        <f t="shared" si="38"/>
        <v>0</v>
      </c>
      <c r="AD195" s="116">
        <f t="shared" si="39"/>
        <v>0</v>
      </c>
      <c r="AE195" s="116">
        <f t="shared" si="40"/>
        <v>0</v>
      </c>
    </row>
    <row r="196" spans="1:31">
      <c r="A196" s="131">
        <v>42844</v>
      </c>
      <c r="B196" s="131">
        <v>42874</v>
      </c>
      <c r="C196" s="123">
        <f t="shared" si="31"/>
        <v>30</v>
      </c>
      <c r="D196" s="123"/>
      <c r="E196" s="132">
        <v>576.74</v>
      </c>
      <c r="F196" s="134"/>
      <c r="G196" s="135"/>
      <c r="H196" s="123"/>
      <c r="I196" s="123"/>
      <c r="J196" s="123">
        <v>12</v>
      </c>
      <c r="K196" s="123">
        <v>18</v>
      </c>
      <c r="L196" s="123"/>
      <c r="M196" s="123"/>
      <c r="N196" s="123"/>
      <c r="O196" s="123"/>
      <c r="P196" s="123"/>
      <c r="Q196" s="123"/>
      <c r="R196" s="123"/>
      <c r="S196" s="133">
        <f t="shared" si="44"/>
        <v>0</v>
      </c>
      <c r="T196" s="116">
        <f t="shared" si="43"/>
        <v>0</v>
      </c>
      <c r="U196" s="116">
        <f t="shared" si="32"/>
        <v>0</v>
      </c>
      <c r="V196" s="116">
        <f t="shared" si="41"/>
        <v>0</v>
      </c>
      <c r="W196" s="116">
        <f t="shared" si="42"/>
        <v>3356.07</v>
      </c>
      <c r="X196" s="116">
        <f t="shared" si="33"/>
        <v>3257.5</v>
      </c>
      <c r="Y196" s="116">
        <f t="shared" si="34"/>
        <v>0</v>
      </c>
      <c r="Z196" s="116">
        <f t="shared" si="35"/>
        <v>0</v>
      </c>
      <c r="AA196" s="116">
        <f t="shared" si="36"/>
        <v>0</v>
      </c>
      <c r="AB196" s="116">
        <f t="shared" si="37"/>
        <v>0</v>
      </c>
      <c r="AC196" s="116">
        <f t="shared" si="38"/>
        <v>0</v>
      </c>
      <c r="AD196" s="116">
        <f t="shared" si="39"/>
        <v>0</v>
      </c>
      <c r="AE196" s="116">
        <f t="shared" si="40"/>
        <v>0</v>
      </c>
    </row>
    <row r="197" spans="1:31">
      <c r="A197" s="131">
        <v>42840</v>
      </c>
      <c r="B197" s="131">
        <v>42870</v>
      </c>
      <c r="C197" s="123">
        <f t="shared" si="31"/>
        <v>30</v>
      </c>
      <c r="D197" s="123"/>
      <c r="E197" s="132">
        <v>448.44</v>
      </c>
      <c r="F197" s="134"/>
      <c r="G197" s="135"/>
      <c r="H197" s="123"/>
      <c r="I197" s="123"/>
      <c r="J197" s="123">
        <v>16</v>
      </c>
      <c r="K197" s="123">
        <v>14</v>
      </c>
      <c r="L197" s="123"/>
      <c r="M197" s="123"/>
      <c r="N197" s="123"/>
      <c r="O197" s="123"/>
      <c r="P197" s="123"/>
      <c r="Q197" s="123"/>
      <c r="R197" s="123"/>
      <c r="S197" s="133">
        <f t="shared" si="44"/>
        <v>0</v>
      </c>
      <c r="T197" s="116">
        <f t="shared" si="43"/>
        <v>0</v>
      </c>
      <c r="U197" s="116">
        <f t="shared" si="32"/>
        <v>0</v>
      </c>
      <c r="V197" s="116">
        <f t="shared" si="41"/>
        <v>0</v>
      </c>
      <c r="W197" s="116">
        <f t="shared" si="42"/>
        <v>3479.31</v>
      </c>
      <c r="X197" s="116">
        <f t="shared" si="33"/>
        <v>1969.99</v>
      </c>
      <c r="Y197" s="116">
        <f t="shared" si="34"/>
        <v>0</v>
      </c>
      <c r="Z197" s="116">
        <f t="shared" si="35"/>
        <v>0</v>
      </c>
      <c r="AA197" s="116">
        <f t="shared" si="36"/>
        <v>0</v>
      </c>
      <c r="AB197" s="116">
        <f t="shared" si="37"/>
        <v>0</v>
      </c>
      <c r="AC197" s="116">
        <f t="shared" si="38"/>
        <v>0</v>
      </c>
      <c r="AD197" s="116">
        <f t="shared" si="39"/>
        <v>0</v>
      </c>
      <c r="AE197" s="116">
        <f t="shared" si="40"/>
        <v>0</v>
      </c>
    </row>
    <row r="198" spans="1:31">
      <c r="A198" s="131">
        <v>42844</v>
      </c>
      <c r="B198" s="131">
        <v>42874</v>
      </c>
      <c r="C198" s="123">
        <f t="shared" si="31"/>
        <v>30</v>
      </c>
      <c r="D198" s="123"/>
      <c r="E198" s="132">
        <v>1328.7</v>
      </c>
      <c r="F198" s="134"/>
      <c r="G198" s="135"/>
      <c r="H198" s="123"/>
      <c r="I198" s="123"/>
      <c r="J198" s="123">
        <v>12</v>
      </c>
      <c r="K198" s="123">
        <v>18</v>
      </c>
      <c r="L198" s="123"/>
      <c r="M198" s="123"/>
      <c r="N198" s="123"/>
      <c r="O198" s="123"/>
      <c r="P198" s="123"/>
      <c r="Q198" s="123"/>
      <c r="R198" s="123"/>
      <c r="S198" s="133">
        <f t="shared" si="44"/>
        <v>0</v>
      </c>
      <c r="T198" s="116">
        <f t="shared" si="43"/>
        <v>0</v>
      </c>
      <c r="U198" s="116">
        <f t="shared" si="32"/>
        <v>0</v>
      </c>
      <c r="V198" s="116">
        <f t="shared" si="41"/>
        <v>0</v>
      </c>
      <c r="W198" s="116">
        <f t="shared" si="42"/>
        <v>7731.74</v>
      </c>
      <c r="X198" s="116">
        <f t="shared" si="33"/>
        <v>7504.66</v>
      </c>
      <c r="Y198" s="116">
        <f t="shared" si="34"/>
        <v>0</v>
      </c>
      <c r="Z198" s="116">
        <f t="shared" si="35"/>
        <v>0</v>
      </c>
      <c r="AA198" s="116">
        <f t="shared" si="36"/>
        <v>0</v>
      </c>
      <c r="AB198" s="116">
        <f t="shared" si="37"/>
        <v>0</v>
      </c>
      <c r="AC198" s="116">
        <f t="shared" si="38"/>
        <v>0</v>
      </c>
      <c r="AD198" s="116">
        <f t="shared" si="39"/>
        <v>0</v>
      </c>
      <c r="AE198" s="116">
        <f t="shared" si="40"/>
        <v>0</v>
      </c>
    </row>
    <row r="199" spans="1:31">
      <c r="A199" s="131">
        <v>42847</v>
      </c>
      <c r="B199" s="131">
        <v>42877</v>
      </c>
      <c r="C199" s="123">
        <f t="shared" si="31"/>
        <v>30</v>
      </c>
      <c r="D199" s="123">
        <v>30</v>
      </c>
      <c r="E199" s="132">
        <v>209665.16</v>
      </c>
      <c r="F199" s="134"/>
      <c r="G199" s="135"/>
      <c r="H199" s="123"/>
      <c r="I199" s="123"/>
      <c r="J199" s="123">
        <v>9</v>
      </c>
      <c r="K199" s="123">
        <v>21</v>
      </c>
      <c r="L199" s="123"/>
      <c r="M199" s="123"/>
      <c r="N199" s="123"/>
      <c r="O199" s="123"/>
      <c r="P199" s="123"/>
      <c r="Q199" s="123"/>
      <c r="R199" s="123"/>
      <c r="S199" s="133">
        <f t="shared" si="44"/>
        <v>0</v>
      </c>
      <c r="T199" s="116">
        <f t="shared" si="43"/>
        <v>0</v>
      </c>
      <c r="U199" s="116">
        <f t="shared" si="32"/>
        <v>0</v>
      </c>
      <c r="V199" s="116">
        <f t="shared" si="41"/>
        <v>0</v>
      </c>
      <c r="W199" s="116">
        <v>661079.65</v>
      </c>
      <c r="X199" s="116">
        <v>1542519.18</v>
      </c>
      <c r="Y199" s="116">
        <f t="shared" si="34"/>
        <v>0</v>
      </c>
      <c r="Z199" s="116">
        <f t="shared" si="35"/>
        <v>0</v>
      </c>
      <c r="AA199" s="116">
        <f t="shared" si="36"/>
        <v>0</v>
      </c>
      <c r="AB199" s="116">
        <f t="shared" si="37"/>
        <v>0</v>
      </c>
      <c r="AC199" s="116">
        <f t="shared" si="38"/>
        <v>0</v>
      </c>
      <c r="AD199" s="116">
        <f t="shared" si="39"/>
        <v>0</v>
      </c>
      <c r="AE199" s="116">
        <f t="shared" si="40"/>
        <v>0</v>
      </c>
    </row>
    <row r="200" spans="1:31">
      <c r="A200" s="131">
        <v>42851</v>
      </c>
      <c r="B200" s="131">
        <v>42881</v>
      </c>
      <c r="C200" s="123">
        <f t="shared" si="31"/>
        <v>30</v>
      </c>
      <c r="D200" s="123"/>
      <c r="E200" s="132">
        <v>1274.43</v>
      </c>
      <c r="F200" s="134"/>
      <c r="G200" s="135"/>
      <c r="H200" s="123"/>
      <c r="I200" s="123"/>
      <c r="J200" s="123">
        <v>5</v>
      </c>
      <c r="K200" s="123">
        <v>25</v>
      </c>
      <c r="L200" s="123"/>
      <c r="M200" s="123"/>
      <c r="N200" s="123"/>
      <c r="O200" s="123"/>
      <c r="P200" s="123"/>
      <c r="Q200" s="123"/>
      <c r="R200" s="123"/>
      <c r="S200" s="133">
        <f t="shared" si="44"/>
        <v>0</v>
      </c>
      <c r="T200" s="116">
        <f t="shared" si="43"/>
        <v>0</v>
      </c>
      <c r="U200" s="116">
        <f t="shared" si="32"/>
        <v>0</v>
      </c>
      <c r="V200" s="116">
        <f t="shared" si="41"/>
        <v>0</v>
      </c>
      <c r="W200" s="116">
        <f t="shared" si="42"/>
        <v>3089.98</v>
      </c>
      <c r="X200" s="116">
        <f t="shared" si="33"/>
        <v>9997.41</v>
      </c>
      <c r="Y200" s="116">
        <f t="shared" si="34"/>
        <v>0</v>
      </c>
      <c r="Z200" s="116">
        <f t="shared" si="35"/>
        <v>0</v>
      </c>
      <c r="AA200" s="116">
        <f t="shared" si="36"/>
        <v>0</v>
      </c>
      <c r="AB200" s="116">
        <f t="shared" si="37"/>
        <v>0</v>
      </c>
      <c r="AC200" s="116">
        <f t="shared" si="38"/>
        <v>0</v>
      </c>
      <c r="AD200" s="116">
        <f t="shared" si="39"/>
        <v>0</v>
      </c>
      <c r="AE200" s="116">
        <f t="shared" si="40"/>
        <v>0</v>
      </c>
    </row>
    <row r="201" spans="1:31">
      <c r="A201" s="131">
        <v>42853</v>
      </c>
      <c r="B201" s="131">
        <v>42883</v>
      </c>
      <c r="C201" s="123">
        <f t="shared" si="31"/>
        <v>30</v>
      </c>
      <c r="D201" s="123"/>
      <c r="E201" s="132">
        <v>1304.6600000000001</v>
      </c>
      <c r="F201" s="134"/>
      <c r="G201" s="135"/>
      <c r="H201" s="123"/>
      <c r="I201" s="123"/>
      <c r="J201" s="123">
        <v>3</v>
      </c>
      <c r="K201" s="123">
        <v>27</v>
      </c>
      <c r="L201" s="123"/>
      <c r="M201" s="123"/>
      <c r="N201" s="123"/>
      <c r="O201" s="123"/>
      <c r="P201" s="123"/>
      <c r="Q201" s="123"/>
      <c r="R201" s="123"/>
      <c r="S201" s="133">
        <f t="shared" si="44"/>
        <v>0</v>
      </c>
      <c r="T201" s="116">
        <f t="shared" si="43"/>
        <v>0</v>
      </c>
      <c r="U201" s="116">
        <f t="shared" si="32"/>
        <v>0</v>
      </c>
      <c r="V201" s="116">
        <f t="shared" si="41"/>
        <v>0</v>
      </c>
      <c r="W201" s="116">
        <f t="shared" si="42"/>
        <v>1897.96</v>
      </c>
      <c r="X201" s="116">
        <f t="shared" si="33"/>
        <v>11053.32</v>
      </c>
      <c r="Y201" s="116">
        <f t="shared" si="34"/>
        <v>0</v>
      </c>
      <c r="Z201" s="116">
        <f t="shared" si="35"/>
        <v>0</v>
      </c>
      <c r="AA201" s="116">
        <f t="shared" si="36"/>
        <v>0</v>
      </c>
      <c r="AB201" s="116">
        <f t="shared" si="37"/>
        <v>0</v>
      </c>
      <c r="AC201" s="116">
        <f t="shared" si="38"/>
        <v>0</v>
      </c>
      <c r="AD201" s="116">
        <f t="shared" si="39"/>
        <v>0</v>
      </c>
      <c r="AE201" s="116">
        <f t="shared" si="40"/>
        <v>0</v>
      </c>
    </row>
    <row r="202" spans="1:31">
      <c r="A202" s="131">
        <v>42851</v>
      </c>
      <c r="B202" s="131">
        <v>42881</v>
      </c>
      <c r="C202" s="123">
        <f t="shared" si="31"/>
        <v>30</v>
      </c>
      <c r="D202" s="123"/>
      <c r="E202" s="132">
        <v>1133.49</v>
      </c>
      <c r="F202" s="134"/>
      <c r="G202" s="135"/>
      <c r="H202" s="123"/>
      <c r="I202" s="123"/>
      <c r="J202" s="123">
        <v>5</v>
      </c>
      <c r="K202" s="123">
        <v>25</v>
      </c>
      <c r="L202" s="123"/>
      <c r="M202" s="123"/>
      <c r="N202" s="123"/>
      <c r="O202" s="123"/>
      <c r="P202" s="123"/>
      <c r="Q202" s="123"/>
      <c r="R202" s="123"/>
      <c r="S202" s="133">
        <f t="shared" si="44"/>
        <v>0</v>
      </c>
      <c r="T202" s="116">
        <f t="shared" si="43"/>
        <v>0</v>
      </c>
      <c r="U202" s="116">
        <f t="shared" si="32"/>
        <v>0</v>
      </c>
      <c r="V202" s="116">
        <f t="shared" si="41"/>
        <v>0</v>
      </c>
      <c r="W202" s="116">
        <f t="shared" si="42"/>
        <v>2748.25</v>
      </c>
      <c r="X202" s="116">
        <f t="shared" si="33"/>
        <v>8891.7900000000009</v>
      </c>
      <c r="Y202" s="116">
        <f t="shared" si="34"/>
        <v>0</v>
      </c>
      <c r="Z202" s="116">
        <f t="shared" si="35"/>
        <v>0</v>
      </c>
      <c r="AA202" s="116">
        <f t="shared" si="36"/>
        <v>0</v>
      </c>
      <c r="AB202" s="116">
        <f t="shared" si="37"/>
        <v>0</v>
      </c>
      <c r="AC202" s="116">
        <f t="shared" si="38"/>
        <v>0</v>
      </c>
      <c r="AD202" s="116">
        <f t="shared" si="39"/>
        <v>0</v>
      </c>
      <c r="AE202" s="116">
        <f t="shared" si="40"/>
        <v>0</v>
      </c>
    </row>
    <row r="203" spans="1:31">
      <c r="A203" s="131">
        <v>42853</v>
      </c>
      <c r="B203" s="131">
        <v>42883</v>
      </c>
      <c r="C203" s="123">
        <f t="shared" si="31"/>
        <v>30</v>
      </c>
      <c r="D203" s="123"/>
      <c r="E203" s="132">
        <v>236.1</v>
      </c>
      <c r="F203" s="134"/>
      <c r="G203" s="135"/>
      <c r="H203" s="123"/>
      <c r="I203" s="123"/>
      <c r="J203" s="123">
        <v>3</v>
      </c>
      <c r="K203" s="123">
        <v>27</v>
      </c>
      <c r="L203" s="123"/>
      <c r="M203" s="123"/>
      <c r="N203" s="123"/>
      <c r="O203" s="123"/>
      <c r="P203" s="123"/>
      <c r="Q203" s="123"/>
      <c r="R203" s="123"/>
      <c r="S203" s="133">
        <f t="shared" si="44"/>
        <v>0</v>
      </c>
      <c r="T203" s="116">
        <f t="shared" si="43"/>
        <v>0</v>
      </c>
      <c r="U203" s="116">
        <f t="shared" si="32"/>
        <v>0</v>
      </c>
      <c r="V203" s="116">
        <f t="shared" si="41"/>
        <v>0</v>
      </c>
      <c r="W203" s="116">
        <f t="shared" si="42"/>
        <v>343.47</v>
      </c>
      <c r="X203" s="116">
        <f t="shared" si="33"/>
        <v>2000.28</v>
      </c>
      <c r="Y203" s="116">
        <f t="shared" si="34"/>
        <v>0</v>
      </c>
      <c r="Z203" s="116">
        <f t="shared" si="35"/>
        <v>0</v>
      </c>
      <c r="AA203" s="116">
        <f t="shared" si="36"/>
        <v>0</v>
      </c>
      <c r="AB203" s="116">
        <f t="shared" si="37"/>
        <v>0</v>
      </c>
      <c r="AC203" s="116">
        <f t="shared" si="38"/>
        <v>0</v>
      </c>
      <c r="AD203" s="116">
        <f t="shared" si="39"/>
        <v>0</v>
      </c>
      <c r="AE203" s="116">
        <f t="shared" si="40"/>
        <v>0</v>
      </c>
    </row>
    <row r="204" spans="1:31">
      <c r="A204" s="131">
        <v>42840</v>
      </c>
      <c r="B204" s="131">
        <v>42870</v>
      </c>
      <c r="C204" s="123">
        <f t="shared" si="31"/>
        <v>30</v>
      </c>
      <c r="D204" s="123"/>
      <c r="E204" s="132">
        <v>418.03</v>
      </c>
      <c r="F204" s="134"/>
      <c r="G204" s="135"/>
      <c r="H204" s="123"/>
      <c r="I204" s="123"/>
      <c r="J204" s="123">
        <v>16</v>
      </c>
      <c r="K204" s="123">
        <v>14</v>
      </c>
      <c r="L204" s="123"/>
      <c r="M204" s="123"/>
      <c r="N204" s="123"/>
      <c r="O204" s="123"/>
      <c r="P204" s="123"/>
      <c r="Q204" s="123"/>
      <c r="R204" s="123"/>
      <c r="S204" s="133">
        <f t="shared" si="44"/>
        <v>0</v>
      </c>
      <c r="T204" s="116">
        <f t="shared" si="43"/>
        <v>0</v>
      </c>
      <c r="U204" s="116">
        <f t="shared" si="32"/>
        <v>0</v>
      </c>
      <c r="V204" s="116">
        <f t="shared" si="41"/>
        <v>0</v>
      </c>
      <c r="W204" s="116">
        <f t="shared" si="42"/>
        <v>3243.37</v>
      </c>
      <c r="X204" s="116">
        <f t="shared" si="33"/>
        <v>1836.4</v>
      </c>
      <c r="Y204" s="116">
        <f t="shared" si="34"/>
        <v>0</v>
      </c>
      <c r="Z204" s="116">
        <f t="shared" si="35"/>
        <v>0</v>
      </c>
      <c r="AA204" s="116">
        <f t="shared" si="36"/>
        <v>0</v>
      </c>
      <c r="AB204" s="116">
        <f t="shared" si="37"/>
        <v>0</v>
      </c>
      <c r="AC204" s="116">
        <f t="shared" si="38"/>
        <v>0</v>
      </c>
      <c r="AD204" s="116">
        <f t="shared" si="39"/>
        <v>0</v>
      </c>
      <c r="AE204" s="116">
        <f t="shared" si="40"/>
        <v>0</v>
      </c>
    </row>
    <row r="205" spans="1:31">
      <c r="A205" s="131">
        <v>42856</v>
      </c>
      <c r="B205" s="131">
        <v>42887</v>
      </c>
      <c r="C205" s="123">
        <f t="shared" si="31"/>
        <v>31</v>
      </c>
      <c r="D205" s="123" t="s">
        <v>219</v>
      </c>
      <c r="E205" s="132">
        <v>5589.96</v>
      </c>
      <c r="F205" s="134"/>
      <c r="G205" s="135"/>
      <c r="H205" s="123"/>
      <c r="I205" s="123"/>
      <c r="J205" s="123"/>
      <c r="K205" s="123">
        <v>31</v>
      </c>
      <c r="L205" s="123"/>
      <c r="M205" s="123"/>
      <c r="N205" s="123"/>
      <c r="O205" s="123"/>
      <c r="P205" s="123"/>
      <c r="Q205" s="123"/>
      <c r="R205" s="123"/>
      <c r="S205" s="133">
        <f t="shared" si="44"/>
        <v>0</v>
      </c>
      <c r="T205" s="116">
        <f t="shared" si="43"/>
        <v>0</v>
      </c>
      <c r="U205" s="116">
        <f t="shared" si="32"/>
        <v>0</v>
      </c>
      <c r="V205" s="116">
        <f t="shared" si="41"/>
        <v>0</v>
      </c>
      <c r="W205" s="116">
        <f t="shared" si="42"/>
        <v>0</v>
      </c>
      <c r="X205" s="116">
        <f t="shared" si="33"/>
        <v>52621.29</v>
      </c>
      <c r="Y205" s="116">
        <f t="shared" si="34"/>
        <v>0</v>
      </c>
      <c r="Z205" s="116">
        <f t="shared" si="35"/>
        <v>0</v>
      </c>
      <c r="AA205" s="116">
        <f t="shared" si="36"/>
        <v>0</v>
      </c>
      <c r="AB205" s="116">
        <f t="shared" si="37"/>
        <v>0</v>
      </c>
      <c r="AC205" s="116">
        <f t="shared" si="38"/>
        <v>0</v>
      </c>
      <c r="AD205" s="116">
        <f t="shared" si="39"/>
        <v>0</v>
      </c>
      <c r="AE205" s="116">
        <f t="shared" si="40"/>
        <v>0</v>
      </c>
    </row>
    <row r="206" spans="1:31">
      <c r="A206" s="131">
        <v>42856</v>
      </c>
      <c r="B206" s="131">
        <v>42887</v>
      </c>
      <c r="C206" s="123">
        <f t="shared" si="31"/>
        <v>31</v>
      </c>
      <c r="D206" s="123"/>
      <c r="E206" s="132">
        <v>231.49</v>
      </c>
      <c r="F206" s="134"/>
      <c r="G206" s="135"/>
      <c r="H206" s="123"/>
      <c r="I206" s="123"/>
      <c r="J206" s="123"/>
      <c r="K206" s="123">
        <v>31</v>
      </c>
      <c r="L206" s="123"/>
      <c r="M206" s="123"/>
      <c r="N206" s="123"/>
      <c r="O206" s="123"/>
      <c r="P206" s="123"/>
      <c r="Q206" s="123"/>
      <c r="R206" s="123"/>
      <c r="S206" s="133">
        <f t="shared" si="44"/>
        <v>0</v>
      </c>
      <c r="T206" s="116">
        <f t="shared" si="43"/>
        <v>0</v>
      </c>
      <c r="U206" s="116">
        <f t="shared" si="32"/>
        <v>0</v>
      </c>
      <c r="V206" s="116">
        <f t="shared" si="41"/>
        <v>0</v>
      </c>
      <c r="W206" s="116">
        <f t="shared" si="42"/>
        <v>0</v>
      </c>
      <c r="X206" s="116">
        <f t="shared" si="33"/>
        <v>2179.14</v>
      </c>
      <c r="Y206" s="116">
        <f t="shared" si="34"/>
        <v>0</v>
      </c>
      <c r="Z206" s="116">
        <f t="shared" si="35"/>
        <v>0</v>
      </c>
      <c r="AA206" s="116">
        <f t="shared" si="36"/>
        <v>0</v>
      </c>
      <c r="AB206" s="116">
        <f t="shared" si="37"/>
        <v>0</v>
      </c>
      <c r="AC206" s="116">
        <f t="shared" si="38"/>
        <v>0</v>
      </c>
      <c r="AD206" s="116">
        <f t="shared" si="39"/>
        <v>0</v>
      </c>
      <c r="AE206" s="116">
        <f t="shared" si="40"/>
        <v>0</v>
      </c>
    </row>
    <row r="207" spans="1:31">
      <c r="A207" s="131">
        <v>42853</v>
      </c>
      <c r="B207" s="131">
        <v>42884</v>
      </c>
      <c r="C207" s="123">
        <f t="shared" si="31"/>
        <v>31</v>
      </c>
      <c r="D207" s="123" t="s">
        <v>218</v>
      </c>
      <c r="E207" s="132">
        <v>5407.46</v>
      </c>
      <c r="F207" s="134"/>
      <c r="G207" s="135"/>
      <c r="H207" s="123"/>
      <c r="I207" s="123"/>
      <c r="J207" s="123">
        <v>3</v>
      </c>
      <c r="K207" s="123">
        <v>28</v>
      </c>
      <c r="L207" s="123"/>
      <c r="M207" s="123"/>
      <c r="N207" s="123"/>
      <c r="O207" s="123"/>
      <c r="P207" s="123"/>
      <c r="Q207" s="123"/>
      <c r="R207" s="123"/>
      <c r="S207" s="133">
        <f t="shared" si="44"/>
        <v>0</v>
      </c>
      <c r="T207" s="116">
        <f t="shared" si="43"/>
        <v>0</v>
      </c>
      <c r="U207" s="116">
        <f t="shared" si="32"/>
        <v>0</v>
      </c>
      <c r="V207" s="116">
        <f t="shared" si="41"/>
        <v>0</v>
      </c>
      <c r="W207" s="116">
        <f t="shared" si="42"/>
        <v>7612.78</v>
      </c>
      <c r="X207" s="116">
        <f t="shared" si="33"/>
        <v>45977.19</v>
      </c>
      <c r="Y207" s="116">
        <f t="shared" si="34"/>
        <v>0</v>
      </c>
      <c r="Z207" s="116">
        <f t="shared" si="35"/>
        <v>0</v>
      </c>
      <c r="AA207" s="116">
        <f t="shared" si="36"/>
        <v>0</v>
      </c>
      <c r="AB207" s="116">
        <f t="shared" si="37"/>
        <v>0</v>
      </c>
      <c r="AC207" s="116">
        <f t="shared" si="38"/>
        <v>0</v>
      </c>
      <c r="AD207" s="116">
        <f t="shared" si="39"/>
        <v>0</v>
      </c>
      <c r="AE207" s="116">
        <f t="shared" si="40"/>
        <v>0</v>
      </c>
    </row>
    <row r="208" spans="1:31">
      <c r="A208" s="131">
        <v>42856</v>
      </c>
      <c r="B208" s="131">
        <v>42887</v>
      </c>
      <c r="C208" s="123">
        <f t="shared" si="31"/>
        <v>31</v>
      </c>
      <c r="D208" s="123"/>
      <c r="E208" s="132">
        <v>142735.17000000001</v>
      </c>
      <c r="F208" s="134"/>
      <c r="G208" s="135"/>
      <c r="H208" s="123"/>
      <c r="I208" s="123"/>
      <c r="J208" s="123"/>
      <c r="K208" s="123">
        <v>31</v>
      </c>
      <c r="L208" s="123"/>
      <c r="M208" s="123"/>
      <c r="N208" s="123"/>
      <c r="O208" s="123"/>
      <c r="P208" s="123"/>
      <c r="Q208" s="123"/>
      <c r="R208" s="123"/>
      <c r="S208" s="133">
        <f t="shared" si="44"/>
        <v>0</v>
      </c>
      <c r="T208" s="116">
        <f t="shared" si="43"/>
        <v>0</v>
      </c>
      <c r="U208" s="116">
        <f t="shared" si="32"/>
        <v>0</v>
      </c>
      <c r="V208" s="116">
        <f t="shared" si="41"/>
        <v>0</v>
      </c>
      <c r="W208" s="116">
        <f t="shared" si="42"/>
        <v>0</v>
      </c>
      <c r="X208" s="116">
        <f t="shared" si="33"/>
        <v>1343642.76</v>
      </c>
      <c r="Y208" s="116">
        <f t="shared" si="34"/>
        <v>0</v>
      </c>
      <c r="Z208" s="116">
        <f t="shared" si="35"/>
        <v>0</v>
      </c>
      <c r="AA208" s="116">
        <f t="shared" si="36"/>
        <v>0</v>
      </c>
      <c r="AB208" s="116">
        <f t="shared" si="37"/>
        <v>0</v>
      </c>
      <c r="AC208" s="116">
        <f t="shared" si="38"/>
        <v>0</v>
      </c>
      <c r="AD208" s="116">
        <f t="shared" si="39"/>
        <v>0</v>
      </c>
      <c r="AE208" s="116">
        <f t="shared" si="40"/>
        <v>0</v>
      </c>
    </row>
    <row r="209" spans="1:31">
      <c r="A209" s="131">
        <v>42856</v>
      </c>
      <c r="B209" s="131">
        <v>42887</v>
      </c>
      <c r="C209" s="123">
        <f t="shared" si="31"/>
        <v>31</v>
      </c>
      <c r="D209" s="123"/>
      <c r="E209" s="132">
        <v>209.29</v>
      </c>
      <c r="F209" s="134"/>
      <c r="G209" s="135"/>
      <c r="H209" s="123"/>
      <c r="I209" s="123"/>
      <c r="J209" s="123"/>
      <c r="K209" s="123">
        <v>31</v>
      </c>
      <c r="L209" s="123"/>
      <c r="M209" s="123"/>
      <c r="N209" s="123"/>
      <c r="O209" s="123"/>
      <c r="P209" s="123"/>
      <c r="Q209" s="123"/>
      <c r="R209" s="123"/>
      <c r="S209" s="133">
        <f t="shared" si="44"/>
        <v>0</v>
      </c>
      <c r="T209" s="116">
        <f t="shared" si="43"/>
        <v>0</v>
      </c>
      <c r="U209" s="116">
        <f t="shared" si="32"/>
        <v>0</v>
      </c>
      <c r="V209" s="116">
        <f t="shared" si="41"/>
        <v>0</v>
      </c>
      <c r="W209" s="116">
        <f t="shared" si="42"/>
        <v>0</v>
      </c>
      <c r="X209" s="116">
        <f t="shared" si="33"/>
        <v>1970.16</v>
      </c>
      <c r="Y209" s="116">
        <f t="shared" si="34"/>
        <v>0</v>
      </c>
      <c r="Z209" s="116">
        <f t="shared" si="35"/>
        <v>0</v>
      </c>
      <c r="AA209" s="116">
        <f t="shared" si="36"/>
        <v>0</v>
      </c>
      <c r="AB209" s="116">
        <f t="shared" si="37"/>
        <v>0</v>
      </c>
      <c r="AC209" s="116">
        <f t="shared" si="38"/>
        <v>0</v>
      </c>
      <c r="AD209" s="116">
        <f t="shared" si="39"/>
        <v>0</v>
      </c>
      <c r="AE209" s="116">
        <f t="shared" si="40"/>
        <v>0</v>
      </c>
    </row>
    <row r="210" spans="1:31">
      <c r="A210" s="131">
        <v>42856</v>
      </c>
      <c r="B210" s="131">
        <v>42887</v>
      </c>
      <c r="C210" s="123">
        <f t="shared" si="31"/>
        <v>31</v>
      </c>
      <c r="D210" s="123" t="s">
        <v>219</v>
      </c>
      <c r="E210" s="132">
        <v>2952.68</v>
      </c>
      <c r="F210" s="134"/>
      <c r="G210" s="135"/>
      <c r="H210" s="123"/>
      <c r="I210" s="123"/>
      <c r="J210" s="123"/>
      <c r="K210" s="123">
        <v>31</v>
      </c>
      <c r="L210" s="123"/>
      <c r="M210" s="123"/>
      <c r="N210" s="123"/>
      <c r="O210" s="123"/>
      <c r="P210" s="123"/>
      <c r="Q210" s="123"/>
      <c r="R210" s="123"/>
      <c r="S210" s="133">
        <f t="shared" si="44"/>
        <v>0</v>
      </c>
      <c r="T210" s="116">
        <f t="shared" si="43"/>
        <v>0</v>
      </c>
      <c r="U210" s="116">
        <f t="shared" si="32"/>
        <v>0</v>
      </c>
      <c r="V210" s="116">
        <f t="shared" si="41"/>
        <v>0</v>
      </c>
      <c r="W210" s="116">
        <f t="shared" si="42"/>
        <v>0</v>
      </c>
      <c r="X210" s="116">
        <f t="shared" si="33"/>
        <v>27795.16</v>
      </c>
      <c r="Y210" s="116">
        <f t="shared" si="34"/>
        <v>0</v>
      </c>
      <c r="Z210" s="116">
        <f t="shared" si="35"/>
        <v>0</v>
      </c>
      <c r="AA210" s="116">
        <f t="shared" si="36"/>
        <v>0</v>
      </c>
      <c r="AB210" s="116">
        <f t="shared" si="37"/>
        <v>0</v>
      </c>
      <c r="AC210" s="116">
        <f t="shared" si="38"/>
        <v>0</v>
      </c>
      <c r="AD210" s="116">
        <f t="shared" si="39"/>
        <v>0</v>
      </c>
      <c r="AE210" s="116">
        <f t="shared" si="40"/>
        <v>0</v>
      </c>
    </row>
    <row r="211" spans="1:31">
      <c r="A211" s="131">
        <v>42856</v>
      </c>
      <c r="B211" s="131">
        <v>42887</v>
      </c>
      <c r="C211" s="123">
        <f t="shared" si="31"/>
        <v>31</v>
      </c>
      <c r="D211" s="123"/>
      <c r="E211" s="132">
        <v>2662.37</v>
      </c>
      <c r="F211" s="134"/>
      <c r="G211" s="135"/>
      <c r="H211" s="123"/>
      <c r="I211" s="123"/>
      <c r="J211" s="123"/>
      <c r="K211" s="123">
        <v>31</v>
      </c>
      <c r="L211" s="123"/>
      <c r="M211" s="123"/>
      <c r="N211" s="123"/>
      <c r="O211" s="123"/>
      <c r="P211" s="123"/>
      <c r="Q211" s="123"/>
      <c r="R211" s="123"/>
      <c r="S211" s="133">
        <f t="shared" si="44"/>
        <v>0</v>
      </c>
      <c r="T211" s="116">
        <f t="shared" si="43"/>
        <v>0</v>
      </c>
      <c r="U211" s="116">
        <f t="shared" si="32"/>
        <v>0</v>
      </c>
      <c r="V211" s="116">
        <f t="shared" si="41"/>
        <v>0</v>
      </c>
      <c r="W211" s="116">
        <f t="shared" si="42"/>
        <v>0</v>
      </c>
      <c r="X211" s="116">
        <f t="shared" si="33"/>
        <v>25062.32</v>
      </c>
      <c r="Y211" s="116">
        <f t="shared" si="34"/>
        <v>0</v>
      </c>
      <c r="Z211" s="116">
        <f t="shared" si="35"/>
        <v>0</v>
      </c>
      <c r="AA211" s="116">
        <f t="shared" si="36"/>
        <v>0</v>
      </c>
      <c r="AB211" s="116">
        <f t="shared" si="37"/>
        <v>0</v>
      </c>
      <c r="AC211" s="116">
        <f t="shared" si="38"/>
        <v>0</v>
      </c>
      <c r="AD211" s="116">
        <f t="shared" si="39"/>
        <v>0</v>
      </c>
      <c r="AE211" s="116">
        <f t="shared" si="40"/>
        <v>0</v>
      </c>
    </row>
    <row r="212" spans="1:31">
      <c r="A212" s="131">
        <v>42860</v>
      </c>
      <c r="B212" s="131">
        <v>42891</v>
      </c>
      <c r="C212" s="123">
        <f t="shared" si="31"/>
        <v>31</v>
      </c>
      <c r="D212" s="123"/>
      <c r="E212" s="132">
        <v>825.09</v>
      </c>
      <c r="F212" s="134"/>
      <c r="G212" s="135"/>
      <c r="H212" s="123"/>
      <c r="I212" s="123"/>
      <c r="J212" s="123"/>
      <c r="K212" s="123">
        <v>27</v>
      </c>
      <c r="L212" s="123">
        <v>4</v>
      </c>
      <c r="M212" s="123"/>
      <c r="N212" s="123"/>
      <c r="O212" s="123"/>
      <c r="P212" s="123"/>
      <c r="Q212" s="123"/>
      <c r="R212" s="123"/>
      <c r="S212" s="133">
        <f t="shared" si="44"/>
        <v>0</v>
      </c>
      <c r="T212" s="116">
        <f t="shared" si="43"/>
        <v>0</v>
      </c>
      <c r="U212" s="116">
        <f t="shared" si="32"/>
        <v>0</v>
      </c>
      <c r="V212" s="116">
        <f t="shared" si="41"/>
        <v>0</v>
      </c>
      <c r="W212" s="116">
        <f t="shared" si="42"/>
        <v>0</v>
      </c>
      <c r="X212" s="116">
        <f t="shared" si="33"/>
        <v>6764.82</v>
      </c>
      <c r="Y212" s="116">
        <f t="shared" si="34"/>
        <v>890.61</v>
      </c>
      <c r="Z212" s="116">
        <f t="shared" si="35"/>
        <v>0</v>
      </c>
      <c r="AA212" s="116">
        <f t="shared" si="36"/>
        <v>0</v>
      </c>
      <c r="AB212" s="116">
        <f t="shared" si="37"/>
        <v>0</v>
      </c>
      <c r="AC212" s="116">
        <f t="shared" si="38"/>
        <v>0</v>
      </c>
      <c r="AD212" s="116">
        <f t="shared" si="39"/>
        <v>0</v>
      </c>
      <c r="AE212" s="116">
        <f t="shared" si="40"/>
        <v>0</v>
      </c>
    </row>
    <row r="213" spans="1:31">
      <c r="A213" s="131">
        <v>42858</v>
      </c>
      <c r="B213" s="131">
        <v>42889</v>
      </c>
      <c r="C213" s="123">
        <f t="shared" si="31"/>
        <v>31</v>
      </c>
      <c r="D213" s="123"/>
      <c r="E213" s="132">
        <v>469.33</v>
      </c>
      <c r="F213" s="134"/>
      <c r="G213" s="135"/>
      <c r="H213" s="123"/>
      <c r="I213" s="123"/>
      <c r="J213" s="123"/>
      <c r="K213" s="123">
        <v>29</v>
      </c>
      <c r="L213" s="123">
        <v>2</v>
      </c>
      <c r="M213" s="123"/>
      <c r="N213" s="123"/>
      <c r="O213" s="123"/>
      <c r="P213" s="123"/>
      <c r="Q213" s="123"/>
      <c r="R213" s="123"/>
      <c r="S213" s="133">
        <f t="shared" si="44"/>
        <v>0</v>
      </c>
      <c r="T213" s="116">
        <f t="shared" si="43"/>
        <v>0</v>
      </c>
      <c r="U213" s="116">
        <f t="shared" si="32"/>
        <v>0</v>
      </c>
      <c r="V213" s="116">
        <f t="shared" si="41"/>
        <v>0</v>
      </c>
      <c r="W213" s="116">
        <f t="shared" si="42"/>
        <v>0</v>
      </c>
      <c r="X213" s="116">
        <f t="shared" si="33"/>
        <v>4133.0200000000004</v>
      </c>
      <c r="Y213" s="116">
        <f t="shared" si="34"/>
        <v>253.3</v>
      </c>
      <c r="Z213" s="116">
        <f t="shared" si="35"/>
        <v>0</v>
      </c>
      <c r="AA213" s="116">
        <f t="shared" si="36"/>
        <v>0</v>
      </c>
      <c r="AB213" s="116">
        <f t="shared" si="37"/>
        <v>0</v>
      </c>
      <c r="AC213" s="116">
        <f t="shared" si="38"/>
        <v>0</v>
      </c>
      <c r="AD213" s="116">
        <f t="shared" si="39"/>
        <v>0</v>
      </c>
      <c r="AE213" s="116">
        <f t="shared" si="40"/>
        <v>0</v>
      </c>
    </row>
    <row r="214" spans="1:31">
      <c r="A214" s="131">
        <v>42858</v>
      </c>
      <c r="B214" s="131">
        <v>42889</v>
      </c>
      <c r="C214" s="123">
        <f t="shared" si="31"/>
        <v>31</v>
      </c>
      <c r="D214" s="123"/>
      <c r="E214" s="132">
        <v>462.7</v>
      </c>
      <c r="F214" s="134"/>
      <c r="G214" s="135"/>
      <c r="H214" s="123"/>
      <c r="I214" s="123"/>
      <c r="J214" s="123"/>
      <c r="K214" s="123">
        <v>29</v>
      </c>
      <c r="L214" s="123">
        <v>2</v>
      </c>
      <c r="M214" s="123"/>
      <c r="N214" s="123"/>
      <c r="O214" s="123"/>
      <c r="P214" s="123"/>
      <c r="Q214" s="123"/>
      <c r="R214" s="123"/>
      <c r="S214" s="133">
        <f t="shared" si="44"/>
        <v>0</v>
      </c>
      <c r="T214" s="116">
        <f t="shared" si="43"/>
        <v>0</v>
      </c>
      <c r="U214" s="116">
        <f t="shared" si="32"/>
        <v>0</v>
      </c>
      <c r="V214" s="116">
        <f t="shared" si="41"/>
        <v>0</v>
      </c>
      <c r="W214" s="116">
        <f t="shared" si="42"/>
        <v>0</v>
      </c>
      <c r="X214" s="116">
        <f t="shared" si="33"/>
        <v>4074.63</v>
      </c>
      <c r="Y214" s="116">
        <f t="shared" si="34"/>
        <v>249.72</v>
      </c>
      <c r="Z214" s="116">
        <f t="shared" si="35"/>
        <v>0</v>
      </c>
      <c r="AA214" s="116">
        <f t="shared" si="36"/>
        <v>0</v>
      </c>
      <c r="AB214" s="116">
        <f t="shared" si="37"/>
        <v>0</v>
      </c>
      <c r="AC214" s="116">
        <f t="shared" si="38"/>
        <v>0</v>
      </c>
      <c r="AD214" s="116">
        <f t="shared" si="39"/>
        <v>0</v>
      </c>
      <c r="AE214" s="116">
        <f t="shared" si="40"/>
        <v>0</v>
      </c>
    </row>
    <row r="215" spans="1:31">
      <c r="A215" s="131">
        <v>42858</v>
      </c>
      <c r="B215" s="131">
        <v>42889</v>
      </c>
      <c r="C215" s="123">
        <f t="shared" si="31"/>
        <v>31</v>
      </c>
      <c r="D215" s="123"/>
      <c r="E215" s="132">
        <v>767.17</v>
      </c>
      <c r="F215" s="134"/>
      <c r="G215" s="135"/>
      <c r="H215" s="123"/>
      <c r="I215" s="123"/>
      <c r="J215" s="123"/>
      <c r="K215" s="123">
        <v>29</v>
      </c>
      <c r="L215" s="123">
        <v>2</v>
      </c>
      <c r="M215" s="123"/>
      <c r="N215" s="123"/>
      <c r="O215" s="123"/>
      <c r="P215" s="123"/>
      <c r="Q215" s="123"/>
      <c r="R215" s="123"/>
      <c r="S215" s="133">
        <f t="shared" si="44"/>
        <v>0</v>
      </c>
      <c r="T215" s="116">
        <f t="shared" si="43"/>
        <v>0</v>
      </c>
      <c r="U215" s="116">
        <f t="shared" si="32"/>
        <v>0</v>
      </c>
      <c r="V215" s="116">
        <f t="shared" si="41"/>
        <v>0</v>
      </c>
      <c r="W215" s="116">
        <f t="shared" si="42"/>
        <v>0</v>
      </c>
      <c r="X215" s="116">
        <f t="shared" si="33"/>
        <v>6755.86</v>
      </c>
      <c r="Y215" s="116">
        <f t="shared" si="34"/>
        <v>414.04</v>
      </c>
      <c r="Z215" s="116">
        <f t="shared" si="35"/>
        <v>0</v>
      </c>
      <c r="AA215" s="116">
        <f t="shared" si="36"/>
        <v>0</v>
      </c>
      <c r="AB215" s="116">
        <f t="shared" si="37"/>
        <v>0</v>
      </c>
      <c r="AC215" s="116">
        <f t="shared" si="38"/>
        <v>0</v>
      </c>
      <c r="AD215" s="116">
        <f t="shared" si="39"/>
        <v>0</v>
      </c>
      <c r="AE215" s="116">
        <f t="shared" si="40"/>
        <v>0</v>
      </c>
    </row>
    <row r="216" spans="1:31">
      <c r="A216" s="131">
        <v>42870</v>
      </c>
      <c r="B216" s="131">
        <v>42887</v>
      </c>
      <c r="C216" s="123">
        <f t="shared" si="31"/>
        <v>17</v>
      </c>
      <c r="D216" s="123"/>
      <c r="E216" s="132">
        <v>28.38</v>
      </c>
      <c r="F216" s="134"/>
      <c r="G216" s="135"/>
      <c r="H216" s="123"/>
      <c r="I216" s="123"/>
      <c r="J216" s="123"/>
      <c r="K216" s="123">
        <v>17</v>
      </c>
      <c r="L216" s="123"/>
      <c r="M216" s="123"/>
      <c r="N216" s="123"/>
      <c r="O216" s="123"/>
      <c r="P216" s="123"/>
      <c r="Q216" s="123"/>
      <c r="R216" s="123"/>
      <c r="S216" s="133">
        <f t="shared" si="44"/>
        <v>0</v>
      </c>
      <c r="T216" s="116">
        <f t="shared" si="43"/>
        <v>0</v>
      </c>
      <c r="U216" s="116">
        <f t="shared" si="32"/>
        <v>0</v>
      </c>
      <c r="V216" s="116">
        <f t="shared" si="41"/>
        <v>0</v>
      </c>
      <c r="W216" s="116">
        <f t="shared" si="42"/>
        <v>0</v>
      </c>
      <c r="X216" s="116">
        <f t="shared" si="33"/>
        <v>267.16000000000003</v>
      </c>
      <c r="Y216" s="116">
        <f t="shared" si="34"/>
        <v>0</v>
      </c>
      <c r="Z216" s="116">
        <f t="shared" si="35"/>
        <v>0</v>
      </c>
      <c r="AA216" s="116">
        <f t="shared" si="36"/>
        <v>0</v>
      </c>
      <c r="AB216" s="116">
        <f t="shared" si="37"/>
        <v>0</v>
      </c>
      <c r="AC216" s="116">
        <f t="shared" si="38"/>
        <v>0</v>
      </c>
      <c r="AD216" s="116">
        <f t="shared" si="39"/>
        <v>0</v>
      </c>
      <c r="AE216" s="116">
        <f t="shared" si="40"/>
        <v>0</v>
      </c>
    </row>
    <row r="217" spans="1:31">
      <c r="A217" s="131">
        <v>42860</v>
      </c>
      <c r="B217" s="131">
        <v>42891</v>
      </c>
      <c r="C217" s="123">
        <f t="shared" si="31"/>
        <v>31</v>
      </c>
      <c r="D217" s="123"/>
      <c r="E217" s="132">
        <v>581.44000000000005</v>
      </c>
      <c r="F217" s="134"/>
      <c r="G217" s="135"/>
      <c r="H217" s="123"/>
      <c r="I217" s="123"/>
      <c r="J217" s="123"/>
      <c r="K217" s="123">
        <v>27</v>
      </c>
      <c r="L217" s="123">
        <v>4</v>
      </c>
      <c r="M217" s="123"/>
      <c r="N217" s="123"/>
      <c r="O217" s="123"/>
      <c r="P217" s="123"/>
      <c r="Q217" s="123"/>
      <c r="R217" s="123"/>
      <c r="S217" s="133">
        <f t="shared" si="44"/>
        <v>0</v>
      </c>
      <c r="T217" s="116">
        <f t="shared" si="43"/>
        <v>0</v>
      </c>
      <c r="U217" s="116">
        <f t="shared" si="32"/>
        <v>0</v>
      </c>
      <c r="V217" s="116">
        <f t="shared" si="41"/>
        <v>0</v>
      </c>
      <c r="W217" s="116">
        <f t="shared" si="42"/>
        <v>0</v>
      </c>
      <c r="X217" s="116">
        <f t="shared" si="33"/>
        <v>4767.16</v>
      </c>
      <c r="Y217" s="116">
        <f t="shared" si="34"/>
        <v>627.61</v>
      </c>
      <c r="Z217" s="116">
        <f t="shared" si="35"/>
        <v>0</v>
      </c>
      <c r="AA217" s="116">
        <f t="shared" si="36"/>
        <v>0</v>
      </c>
      <c r="AB217" s="116">
        <f t="shared" si="37"/>
        <v>0</v>
      </c>
      <c r="AC217" s="116">
        <f t="shared" si="38"/>
        <v>0</v>
      </c>
      <c r="AD217" s="116">
        <f t="shared" si="39"/>
        <v>0</v>
      </c>
      <c r="AE217" s="116">
        <f t="shared" si="40"/>
        <v>0</v>
      </c>
    </row>
    <row r="218" spans="1:31">
      <c r="A218" s="131">
        <v>42856</v>
      </c>
      <c r="B218" s="131">
        <v>42887</v>
      </c>
      <c r="C218" s="123">
        <f t="shared" ref="C218:C282" si="45">B218-A218</f>
        <v>31</v>
      </c>
      <c r="D218" s="123"/>
      <c r="E218" s="132">
        <v>60067.17</v>
      </c>
      <c r="F218" s="134"/>
      <c r="G218" s="135"/>
      <c r="H218" s="123"/>
      <c r="I218" s="123"/>
      <c r="J218" s="123"/>
      <c r="K218" s="123">
        <v>31</v>
      </c>
      <c r="L218" s="123"/>
      <c r="M218" s="123"/>
      <c r="N218" s="123"/>
      <c r="O218" s="123"/>
      <c r="P218" s="123"/>
      <c r="Q218" s="123"/>
      <c r="R218" s="123"/>
      <c r="S218" s="133">
        <f t="shared" si="44"/>
        <v>0</v>
      </c>
      <c r="T218" s="116">
        <f t="shared" si="43"/>
        <v>0</v>
      </c>
      <c r="U218" s="116">
        <f t="shared" ref="U218:U282" si="46">ROUND(($E218*$H218/$C218)/$C$7,2)</f>
        <v>0</v>
      </c>
      <c r="V218" s="116">
        <f t="shared" si="41"/>
        <v>0</v>
      </c>
      <c r="W218" s="116">
        <f t="shared" si="42"/>
        <v>0</v>
      </c>
      <c r="X218" s="116">
        <f t="shared" ref="X218:X282" si="47">ROUND(($E218*$K218/$C218)/$C$10,2)</f>
        <v>565444.51</v>
      </c>
      <c r="Y218" s="116">
        <f t="shared" ref="Y218:Y282" si="48">ROUND(($E218*$L218/$C218)/$C$11,2)</f>
        <v>0</v>
      </c>
      <c r="Z218" s="116">
        <f t="shared" ref="Z218:Z282" si="49">ROUND(($E218*$M218/$C218)/$C$12,2)</f>
        <v>0</v>
      </c>
      <c r="AA218" s="116">
        <f t="shared" ref="AA218:AA282" si="50">ROUND(($E218*$N218/$C218)/$C$13,2)</f>
        <v>0</v>
      </c>
      <c r="AB218" s="116">
        <f t="shared" ref="AB218:AB282" si="51">ROUND(($E218*$O218/$C218)/$C$14,2)</f>
        <v>0</v>
      </c>
      <c r="AC218" s="116">
        <f t="shared" ref="AC218:AC282" si="52">ROUND(($E218*$P218/$C218)/$C$15,2)</f>
        <v>0</v>
      </c>
      <c r="AD218" s="116">
        <f t="shared" ref="AD218:AD282" si="53">ROUND(($E218*$Q218/$C218)/$C$16,2)</f>
        <v>0</v>
      </c>
      <c r="AE218" s="116">
        <f t="shared" ref="AE218:AE282" si="54">ROUND(($E218*$R218/$C218)/$C$17,2)</f>
        <v>0</v>
      </c>
    </row>
    <row r="219" spans="1:31">
      <c r="A219" s="131">
        <v>42863</v>
      </c>
      <c r="B219" s="131">
        <v>42894</v>
      </c>
      <c r="C219" s="123">
        <f t="shared" si="45"/>
        <v>31</v>
      </c>
      <c r="D219" s="123"/>
      <c r="E219" s="132">
        <v>190.51</v>
      </c>
      <c r="F219" s="134"/>
      <c r="G219" s="135"/>
      <c r="H219" s="123"/>
      <c r="I219" s="123"/>
      <c r="J219" s="123"/>
      <c r="K219" s="123">
        <v>24</v>
      </c>
      <c r="L219" s="123">
        <v>7</v>
      </c>
      <c r="M219" s="123"/>
      <c r="N219" s="123"/>
      <c r="O219" s="123"/>
      <c r="P219" s="123"/>
      <c r="Q219" s="123"/>
      <c r="R219" s="123"/>
      <c r="S219" s="133">
        <f t="shared" si="44"/>
        <v>0</v>
      </c>
      <c r="T219" s="116">
        <f t="shared" si="43"/>
        <v>0</v>
      </c>
      <c r="U219" s="116">
        <f t="shared" si="46"/>
        <v>0</v>
      </c>
      <c r="V219" s="116">
        <f t="shared" ref="V219:V283" si="55">ROUND(($E219*$I219/$C219)/$C$8,2)</f>
        <v>0</v>
      </c>
      <c r="W219" s="116">
        <f t="shared" ref="W219:W283" si="56">ROUND(($E219*$J219/$C219)/$C$9,2)</f>
        <v>0</v>
      </c>
      <c r="X219" s="116">
        <f t="shared" si="47"/>
        <v>1388.42</v>
      </c>
      <c r="Y219" s="116">
        <f t="shared" si="48"/>
        <v>359.87</v>
      </c>
      <c r="Z219" s="116">
        <f t="shared" si="49"/>
        <v>0</v>
      </c>
      <c r="AA219" s="116">
        <f t="shared" si="50"/>
        <v>0</v>
      </c>
      <c r="AB219" s="116">
        <f t="shared" si="51"/>
        <v>0</v>
      </c>
      <c r="AC219" s="116">
        <f t="shared" si="52"/>
        <v>0</v>
      </c>
      <c r="AD219" s="116">
        <f t="shared" si="53"/>
        <v>0</v>
      </c>
      <c r="AE219" s="116">
        <f t="shared" si="54"/>
        <v>0</v>
      </c>
    </row>
    <row r="220" spans="1:31">
      <c r="A220" s="131">
        <v>42858</v>
      </c>
      <c r="B220" s="131">
        <v>42889</v>
      </c>
      <c r="C220" s="123">
        <f t="shared" si="45"/>
        <v>31</v>
      </c>
      <c r="D220" s="123"/>
      <c r="E220" s="132">
        <v>1550.29</v>
      </c>
      <c r="F220" s="134"/>
      <c r="G220" s="135"/>
      <c r="H220" s="123"/>
      <c r="I220" s="123"/>
      <c r="J220" s="123"/>
      <c r="K220" s="123">
        <v>29</v>
      </c>
      <c r="L220" s="123">
        <v>2</v>
      </c>
      <c r="M220" s="123"/>
      <c r="N220" s="123"/>
      <c r="O220" s="123"/>
      <c r="P220" s="123"/>
      <c r="Q220" s="123"/>
      <c r="R220" s="123"/>
      <c r="S220" s="133">
        <f t="shared" si="44"/>
        <v>0</v>
      </c>
      <c r="T220" s="116">
        <f t="shared" ref="T220:T284" si="57">ROUND((E220*G220/C220)/$C$6,2)</f>
        <v>0</v>
      </c>
      <c r="U220" s="116">
        <f t="shared" si="46"/>
        <v>0</v>
      </c>
      <c r="V220" s="116">
        <f t="shared" si="55"/>
        <v>0</v>
      </c>
      <c r="W220" s="116">
        <f t="shared" si="56"/>
        <v>0</v>
      </c>
      <c r="X220" s="116">
        <f t="shared" si="47"/>
        <v>13652.18</v>
      </c>
      <c r="Y220" s="116">
        <f t="shared" si="48"/>
        <v>836.7</v>
      </c>
      <c r="Z220" s="116">
        <f t="shared" si="49"/>
        <v>0</v>
      </c>
      <c r="AA220" s="116">
        <f t="shared" si="50"/>
        <v>0</v>
      </c>
      <c r="AB220" s="116">
        <f t="shared" si="51"/>
        <v>0</v>
      </c>
      <c r="AC220" s="116">
        <f t="shared" si="52"/>
        <v>0</v>
      </c>
      <c r="AD220" s="116">
        <f t="shared" si="53"/>
        <v>0</v>
      </c>
      <c r="AE220" s="116">
        <f t="shared" si="54"/>
        <v>0</v>
      </c>
    </row>
    <row r="221" spans="1:31">
      <c r="A221" s="131">
        <v>42860</v>
      </c>
      <c r="B221" s="131">
        <v>42891</v>
      </c>
      <c r="C221" s="123">
        <f t="shared" si="45"/>
        <v>31</v>
      </c>
      <c r="D221" s="123"/>
      <c r="E221" s="132">
        <v>74.460000000000008</v>
      </c>
      <c r="F221" s="134"/>
      <c r="G221" s="135"/>
      <c r="H221" s="123"/>
      <c r="I221" s="123"/>
      <c r="J221" s="123"/>
      <c r="K221" s="123">
        <v>27</v>
      </c>
      <c r="L221" s="123">
        <v>4</v>
      </c>
      <c r="M221" s="123"/>
      <c r="N221" s="123"/>
      <c r="O221" s="123"/>
      <c r="P221" s="123"/>
      <c r="Q221" s="123"/>
      <c r="R221" s="123"/>
      <c r="S221" s="133">
        <f t="shared" si="44"/>
        <v>0</v>
      </c>
      <c r="T221" s="116">
        <f t="shared" si="57"/>
        <v>0</v>
      </c>
      <c r="U221" s="116">
        <f t="shared" si="46"/>
        <v>0</v>
      </c>
      <c r="V221" s="116">
        <f t="shared" si="55"/>
        <v>0</v>
      </c>
      <c r="W221" s="116">
        <f t="shared" si="56"/>
        <v>0</v>
      </c>
      <c r="X221" s="116">
        <f t="shared" si="47"/>
        <v>610.49</v>
      </c>
      <c r="Y221" s="116">
        <f t="shared" si="48"/>
        <v>80.37</v>
      </c>
      <c r="Z221" s="116">
        <f t="shared" si="49"/>
        <v>0</v>
      </c>
      <c r="AA221" s="116">
        <f t="shared" si="50"/>
        <v>0</v>
      </c>
      <c r="AB221" s="116">
        <f t="shared" si="51"/>
        <v>0</v>
      </c>
      <c r="AC221" s="116">
        <f t="shared" si="52"/>
        <v>0</v>
      </c>
      <c r="AD221" s="116">
        <f t="shared" si="53"/>
        <v>0</v>
      </c>
      <c r="AE221" s="116">
        <f t="shared" si="54"/>
        <v>0</v>
      </c>
    </row>
    <row r="222" spans="1:31">
      <c r="A222" s="131">
        <v>42856</v>
      </c>
      <c r="B222" s="131">
        <v>42887</v>
      </c>
      <c r="C222" s="123">
        <f t="shared" si="45"/>
        <v>31</v>
      </c>
      <c r="D222" s="123"/>
      <c r="E222" s="132">
        <v>29964.35</v>
      </c>
      <c r="F222" s="134"/>
      <c r="G222" s="135"/>
      <c r="H222" s="123"/>
      <c r="I222" s="123"/>
      <c r="J222" s="123"/>
      <c r="K222" s="123">
        <v>31</v>
      </c>
      <c r="L222" s="123"/>
      <c r="M222" s="123"/>
      <c r="N222" s="123"/>
      <c r="O222" s="123"/>
      <c r="P222" s="123"/>
      <c r="Q222" s="123"/>
      <c r="R222" s="123"/>
      <c r="S222" s="133">
        <f t="shared" si="44"/>
        <v>0</v>
      </c>
      <c r="T222" s="116">
        <f t="shared" si="57"/>
        <v>0</v>
      </c>
      <c r="U222" s="116">
        <f t="shared" si="46"/>
        <v>0</v>
      </c>
      <c r="V222" s="116">
        <f t="shared" si="55"/>
        <v>0</v>
      </c>
      <c r="W222" s="116">
        <f t="shared" si="56"/>
        <v>0</v>
      </c>
      <c r="X222" s="116">
        <f t="shared" si="47"/>
        <v>282070.51</v>
      </c>
      <c r="Y222" s="116">
        <f t="shared" si="48"/>
        <v>0</v>
      </c>
      <c r="Z222" s="116">
        <f t="shared" si="49"/>
        <v>0</v>
      </c>
      <c r="AA222" s="116">
        <f t="shared" si="50"/>
        <v>0</v>
      </c>
      <c r="AB222" s="116">
        <f t="shared" si="51"/>
        <v>0</v>
      </c>
      <c r="AC222" s="116">
        <f t="shared" si="52"/>
        <v>0</v>
      </c>
      <c r="AD222" s="116">
        <f t="shared" si="53"/>
        <v>0</v>
      </c>
      <c r="AE222" s="116">
        <f t="shared" si="54"/>
        <v>0</v>
      </c>
    </row>
    <row r="223" spans="1:31">
      <c r="A223" s="131">
        <v>42860</v>
      </c>
      <c r="B223" s="131">
        <v>42891</v>
      </c>
      <c r="C223" s="123">
        <f t="shared" si="45"/>
        <v>31</v>
      </c>
      <c r="D223" s="123"/>
      <c r="E223" s="132">
        <v>93.19</v>
      </c>
      <c r="F223" s="134"/>
      <c r="G223" s="135"/>
      <c r="H223" s="123"/>
      <c r="I223" s="123"/>
      <c r="J223" s="123"/>
      <c r="K223" s="123">
        <v>27</v>
      </c>
      <c r="L223" s="123">
        <v>4</v>
      </c>
      <c r="M223" s="123"/>
      <c r="N223" s="123"/>
      <c r="O223" s="123"/>
      <c r="P223" s="123"/>
      <c r="Q223" s="123"/>
      <c r="R223" s="123"/>
      <c r="S223" s="133">
        <f t="shared" si="44"/>
        <v>0</v>
      </c>
      <c r="T223" s="116">
        <f t="shared" si="57"/>
        <v>0</v>
      </c>
      <c r="U223" s="116">
        <f t="shared" si="46"/>
        <v>0</v>
      </c>
      <c r="V223" s="116">
        <f t="shared" si="55"/>
        <v>0</v>
      </c>
      <c r="W223" s="116">
        <f t="shared" si="56"/>
        <v>0</v>
      </c>
      <c r="X223" s="116">
        <f t="shared" si="47"/>
        <v>764.05</v>
      </c>
      <c r="Y223" s="116">
        <f t="shared" si="48"/>
        <v>100.59</v>
      </c>
      <c r="Z223" s="116">
        <f t="shared" si="49"/>
        <v>0</v>
      </c>
      <c r="AA223" s="116">
        <f t="shared" si="50"/>
        <v>0</v>
      </c>
      <c r="AB223" s="116">
        <f t="shared" si="51"/>
        <v>0</v>
      </c>
      <c r="AC223" s="116">
        <f t="shared" si="52"/>
        <v>0</v>
      </c>
      <c r="AD223" s="116">
        <f t="shared" si="53"/>
        <v>0</v>
      </c>
      <c r="AE223" s="116">
        <f t="shared" si="54"/>
        <v>0</v>
      </c>
    </row>
    <row r="224" spans="1:31">
      <c r="A224" s="131">
        <v>42863</v>
      </c>
      <c r="B224" s="131">
        <v>42894</v>
      </c>
      <c r="C224" s="123">
        <f t="shared" si="45"/>
        <v>31</v>
      </c>
      <c r="D224" s="123"/>
      <c r="E224" s="132">
        <v>340.07</v>
      </c>
      <c r="F224" s="134"/>
      <c r="G224" s="135"/>
      <c r="H224" s="123"/>
      <c r="I224" s="123"/>
      <c r="J224" s="123"/>
      <c r="K224" s="123">
        <v>24</v>
      </c>
      <c r="L224" s="123">
        <v>7</v>
      </c>
      <c r="M224" s="123"/>
      <c r="N224" s="123"/>
      <c r="O224" s="123"/>
      <c r="P224" s="123"/>
      <c r="Q224" s="123"/>
      <c r="R224" s="123"/>
      <c r="S224" s="133">
        <f t="shared" si="44"/>
        <v>0</v>
      </c>
      <c r="T224" s="116">
        <f t="shared" si="57"/>
        <v>0</v>
      </c>
      <c r="U224" s="116">
        <f t="shared" si="46"/>
        <v>0</v>
      </c>
      <c r="V224" s="116">
        <f t="shared" si="55"/>
        <v>0</v>
      </c>
      <c r="W224" s="116">
        <f t="shared" si="56"/>
        <v>0</v>
      </c>
      <c r="X224" s="116">
        <f t="shared" si="47"/>
        <v>2478.4</v>
      </c>
      <c r="Y224" s="116">
        <f t="shared" si="48"/>
        <v>642.38</v>
      </c>
      <c r="Z224" s="116">
        <f t="shared" si="49"/>
        <v>0</v>
      </c>
      <c r="AA224" s="116">
        <f t="shared" si="50"/>
        <v>0</v>
      </c>
      <c r="AB224" s="116">
        <f t="shared" si="51"/>
        <v>0</v>
      </c>
      <c r="AC224" s="116">
        <f t="shared" si="52"/>
        <v>0</v>
      </c>
      <c r="AD224" s="116">
        <f t="shared" si="53"/>
        <v>0</v>
      </c>
      <c r="AE224" s="116">
        <f t="shared" si="54"/>
        <v>0</v>
      </c>
    </row>
    <row r="225" spans="1:31">
      <c r="A225" s="131">
        <v>42863</v>
      </c>
      <c r="B225" s="131">
        <v>42894</v>
      </c>
      <c r="C225" s="123">
        <f t="shared" si="45"/>
        <v>31</v>
      </c>
      <c r="D225" s="123"/>
      <c r="E225" s="132">
        <v>60.27</v>
      </c>
      <c r="F225" s="134"/>
      <c r="G225" s="135"/>
      <c r="H225" s="123"/>
      <c r="I225" s="123"/>
      <c r="J225" s="123"/>
      <c r="K225" s="123">
        <v>24</v>
      </c>
      <c r="L225" s="123">
        <v>7</v>
      </c>
      <c r="M225" s="123"/>
      <c r="N225" s="123"/>
      <c r="O225" s="123"/>
      <c r="P225" s="123"/>
      <c r="Q225" s="123"/>
      <c r="R225" s="123"/>
      <c r="S225" s="133">
        <f t="shared" si="44"/>
        <v>0</v>
      </c>
      <c r="T225" s="116">
        <f t="shared" si="57"/>
        <v>0</v>
      </c>
      <c r="U225" s="116">
        <f t="shared" si="46"/>
        <v>0</v>
      </c>
      <c r="V225" s="116">
        <f t="shared" si="55"/>
        <v>0</v>
      </c>
      <c r="W225" s="116">
        <f t="shared" si="56"/>
        <v>0</v>
      </c>
      <c r="X225" s="116">
        <f t="shared" si="47"/>
        <v>439.24</v>
      </c>
      <c r="Y225" s="116">
        <f t="shared" si="48"/>
        <v>113.85</v>
      </c>
      <c r="Z225" s="116">
        <f t="shared" si="49"/>
        <v>0</v>
      </c>
      <c r="AA225" s="116">
        <f t="shared" si="50"/>
        <v>0</v>
      </c>
      <c r="AB225" s="116">
        <f t="shared" si="51"/>
        <v>0</v>
      </c>
      <c r="AC225" s="116">
        <f t="shared" si="52"/>
        <v>0</v>
      </c>
      <c r="AD225" s="116">
        <f t="shared" si="53"/>
        <v>0</v>
      </c>
      <c r="AE225" s="116">
        <f t="shared" si="54"/>
        <v>0</v>
      </c>
    </row>
    <row r="226" spans="1:31">
      <c r="A226" s="131">
        <v>42867</v>
      </c>
      <c r="B226" s="131">
        <v>42898</v>
      </c>
      <c r="C226" s="123">
        <f t="shared" si="45"/>
        <v>31</v>
      </c>
      <c r="D226" s="123"/>
      <c r="E226" s="132">
        <v>672.82</v>
      </c>
      <c r="F226" s="134"/>
      <c r="G226" s="135"/>
      <c r="H226" s="123"/>
      <c r="I226" s="123"/>
      <c r="J226" s="123"/>
      <c r="K226" s="123">
        <v>20</v>
      </c>
      <c r="L226" s="123">
        <v>11</v>
      </c>
      <c r="M226" s="123"/>
      <c r="N226" s="123"/>
      <c r="O226" s="123"/>
      <c r="P226" s="123"/>
      <c r="Q226" s="123"/>
      <c r="R226" s="123"/>
      <c r="S226" s="133">
        <f t="shared" si="44"/>
        <v>0</v>
      </c>
      <c r="T226" s="116">
        <f t="shared" si="57"/>
        <v>0</v>
      </c>
      <c r="U226" s="116">
        <f t="shared" si="46"/>
        <v>0</v>
      </c>
      <c r="V226" s="116">
        <f t="shared" si="55"/>
        <v>0</v>
      </c>
      <c r="W226" s="116">
        <f t="shared" si="56"/>
        <v>0</v>
      </c>
      <c r="X226" s="116">
        <f t="shared" si="47"/>
        <v>4086.2</v>
      </c>
      <c r="Y226" s="116">
        <f t="shared" si="48"/>
        <v>1997.18</v>
      </c>
      <c r="Z226" s="116">
        <f t="shared" si="49"/>
        <v>0</v>
      </c>
      <c r="AA226" s="116">
        <f t="shared" si="50"/>
        <v>0</v>
      </c>
      <c r="AB226" s="116">
        <f t="shared" si="51"/>
        <v>0</v>
      </c>
      <c r="AC226" s="116">
        <f t="shared" si="52"/>
        <v>0</v>
      </c>
      <c r="AD226" s="116">
        <f t="shared" si="53"/>
        <v>0</v>
      </c>
      <c r="AE226" s="116">
        <f t="shared" si="54"/>
        <v>0</v>
      </c>
    </row>
    <row r="227" spans="1:31">
      <c r="A227" s="131">
        <v>42867</v>
      </c>
      <c r="B227" s="131">
        <v>42898</v>
      </c>
      <c r="C227" s="123">
        <f t="shared" si="45"/>
        <v>31</v>
      </c>
      <c r="D227" s="123"/>
      <c r="E227" s="132">
        <v>159.35</v>
      </c>
      <c r="F227" s="134"/>
      <c r="G227" s="135"/>
      <c r="H227" s="123"/>
      <c r="I227" s="123"/>
      <c r="J227" s="123"/>
      <c r="K227" s="123">
        <v>20</v>
      </c>
      <c r="L227" s="123">
        <v>11</v>
      </c>
      <c r="M227" s="123"/>
      <c r="N227" s="123"/>
      <c r="O227" s="123"/>
      <c r="P227" s="123"/>
      <c r="Q227" s="123"/>
      <c r="R227" s="123"/>
      <c r="S227" s="133">
        <f t="shared" si="44"/>
        <v>0</v>
      </c>
      <c r="T227" s="116">
        <f t="shared" si="57"/>
        <v>0</v>
      </c>
      <c r="U227" s="116">
        <f t="shared" si="46"/>
        <v>0</v>
      </c>
      <c r="V227" s="116">
        <f t="shared" si="55"/>
        <v>0</v>
      </c>
      <c r="W227" s="116">
        <f t="shared" si="56"/>
        <v>0</v>
      </c>
      <c r="X227" s="116">
        <f t="shared" si="47"/>
        <v>967.77</v>
      </c>
      <c r="Y227" s="116">
        <f t="shared" si="48"/>
        <v>473.01</v>
      </c>
      <c r="Z227" s="116">
        <f t="shared" si="49"/>
        <v>0</v>
      </c>
      <c r="AA227" s="116">
        <f t="shared" si="50"/>
        <v>0</v>
      </c>
      <c r="AB227" s="116">
        <f t="shared" si="51"/>
        <v>0</v>
      </c>
      <c r="AC227" s="116">
        <f t="shared" si="52"/>
        <v>0</v>
      </c>
      <c r="AD227" s="116">
        <f t="shared" si="53"/>
        <v>0</v>
      </c>
      <c r="AE227" s="116">
        <f t="shared" si="54"/>
        <v>0</v>
      </c>
    </row>
    <row r="228" spans="1:31">
      <c r="A228" s="131">
        <v>42867</v>
      </c>
      <c r="B228" s="131">
        <v>42898</v>
      </c>
      <c r="C228" s="123">
        <f t="shared" si="45"/>
        <v>31</v>
      </c>
      <c r="D228" s="123"/>
      <c r="E228" s="132">
        <v>100.01</v>
      </c>
      <c r="F228" s="134"/>
      <c r="G228" s="135"/>
      <c r="H228" s="123"/>
      <c r="I228" s="123"/>
      <c r="J228" s="123"/>
      <c r="K228" s="123">
        <v>20</v>
      </c>
      <c r="L228" s="123">
        <v>11</v>
      </c>
      <c r="M228" s="123"/>
      <c r="N228" s="123"/>
      <c r="O228" s="123"/>
      <c r="P228" s="123"/>
      <c r="Q228" s="123"/>
      <c r="R228" s="123"/>
      <c r="S228" s="133">
        <f t="shared" si="44"/>
        <v>0</v>
      </c>
      <c r="T228" s="116">
        <f t="shared" si="57"/>
        <v>0</v>
      </c>
      <c r="U228" s="116">
        <f t="shared" si="46"/>
        <v>0</v>
      </c>
      <c r="V228" s="116">
        <f t="shared" si="55"/>
        <v>0</v>
      </c>
      <c r="W228" s="116">
        <f t="shared" si="56"/>
        <v>0</v>
      </c>
      <c r="X228" s="116">
        <f t="shared" si="47"/>
        <v>607.39</v>
      </c>
      <c r="Y228" s="116">
        <f t="shared" si="48"/>
        <v>296.87</v>
      </c>
      <c r="Z228" s="116">
        <f t="shared" si="49"/>
        <v>0</v>
      </c>
      <c r="AA228" s="116">
        <f t="shared" si="50"/>
        <v>0</v>
      </c>
      <c r="AB228" s="116">
        <f t="shared" si="51"/>
        <v>0</v>
      </c>
      <c r="AC228" s="116">
        <f t="shared" si="52"/>
        <v>0</v>
      </c>
      <c r="AD228" s="116">
        <f t="shared" si="53"/>
        <v>0</v>
      </c>
      <c r="AE228" s="116">
        <f t="shared" si="54"/>
        <v>0</v>
      </c>
    </row>
    <row r="229" spans="1:31" ht="15.75" thickBot="1">
      <c r="A229" s="131">
        <v>42870</v>
      </c>
      <c r="B229" s="131">
        <v>42900</v>
      </c>
      <c r="C229" s="123">
        <f t="shared" si="45"/>
        <v>30</v>
      </c>
      <c r="D229" s="123"/>
      <c r="E229" s="132">
        <v>5.74</v>
      </c>
      <c r="F229" s="134"/>
      <c r="G229" s="135"/>
      <c r="H229" s="123"/>
      <c r="I229" s="123"/>
      <c r="J229" s="123"/>
      <c r="K229" s="123">
        <v>17</v>
      </c>
      <c r="L229" s="123">
        <v>13</v>
      </c>
      <c r="M229" s="123"/>
      <c r="N229" s="123"/>
      <c r="O229" s="123"/>
      <c r="P229" s="123"/>
      <c r="Q229" s="123"/>
      <c r="R229" s="123"/>
      <c r="S229" s="133">
        <f t="shared" si="44"/>
        <v>0</v>
      </c>
      <c r="T229" s="116">
        <f t="shared" si="57"/>
        <v>0</v>
      </c>
      <c r="U229" s="116">
        <f t="shared" si="46"/>
        <v>0</v>
      </c>
      <c r="V229" s="116">
        <f t="shared" si="55"/>
        <v>0</v>
      </c>
      <c r="W229" s="116">
        <f t="shared" si="56"/>
        <v>0</v>
      </c>
      <c r="X229" s="116">
        <f t="shared" si="47"/>
        <v>30.62</v>
      </c>
      <c r="Y229" s="116">
        <f t="shared" si="48"/>
        <v>20.81</v>
      </c>
      <c r="Z229" s="116">
        <f t="shared" si="49"/>
        <v>0</v>
      </c>
      <c r="AA229" s="116">
        <f t="shared" si="50"/>
        <v>0</v>
      </c>
      <c r="AB229" s="116">
        <f t="shared" si="51"/>
        <v>0</v>
      </c>
      <c r="AC229" s="116">
        <f t="shared" si="52"/>
        <v>0</v>
      </c>
      <c r="AD229" s="116">
        <f t="shared" si="53"/>
        <v>0</v>
      </c>
      <c r="AE229" s="116">
        <f t="shared" si="54"/>
        <v>0</v>
      </c>
    </row>
    <row r="230" spans="1:31" ht="15.75" thickBot="1">
      <c r="A230" s="185" t="s">
        <v>41</v>
      </c>
      <c r="B230" s="186"/>
      <c r="C230" s="186"/>
      <c r="D230" s="186"/>
      <c r="E230" s="186"/>
      <c r="F230" s="186"/>
      <c r="G230" s="186"/>
      <c r="H230" s="186"/>
      <c r="I230" s="186"/>
      <c r="J230" s="186"/>
      <c r="K230" s="186"/>
      <c r="L230" s="186"/>
      <c r="M230" s="186"/>
      <c r="N230" s="186"/>
      <c r="O230" s="186"/>
      <c r="P230" s="186"/>
      <c r="Q230" s="186"/>
      <c r="R230" s="186"/>
      <c r="S230" s="186"/>
      <c r="T230" s="186"/>
      <c r="U230" s="186"/>
      <c r="V230" s="186"/>
      <c r="W230" s="186"/>
      <c r="X230" s="186"/>
      <c r="Y230" s="186"/>
      <c r="Z230" s="186"/>
      <c r="AA230" s="186"/>
      <c r="AB230" s="186"/>
      <c r="AC230" s="186"/>
      <c r="AD230" s="186"/>
      <c r="AE230" s="187"/>
    </row>
    <row r="231" spans="1:31">
      <c r="A231" s="131">
        <v>42867</v>
      </c>
      <c r="B231" s="131">
        <v>42898</v>
      </c>
      <c r="C231" s="123">
        <f t="shared" si="45"/>
        <v>31</v>
      </c>
      <c r="D231" s="123"/>
      <c r="E231" s="132">
        <v>996.16</v>
      </c>
      <c r="F231" s="134"/>
      <c r="G231" s="135"/>
      <c r="H231" s="123"/>
      <c r="I231" s="123"/>
      <c r="J231" s="123"/>
      <c r="K231" s="123">
        <v>20</v>
      </c>
      <c r="L231" s="123">
        <v>11</v>
      </c>
      <c r="M231" s="123"/>
      <c r="N231" s="123"/>
      <c r="O231" s="123"/>
      <c r="P231" s="123"/>
      <c r="Q231" s="123"/>
      <c r="R231" s="123"/>
      <c r="S231" s="133">
        <f t="shared" si="44"/>
        <v>0</v>
      </c>
      <c r="T231" s="116">
        <f t="shared" si="57"/>
        <v>0</v>
      </c>
      <c r="U231" s="116">
        <f t="shared" si="46"/>
        <v>0</v>
      </c>
      <c r="V231" s="116">
        <f t="shared" si="55"/>
        <v>0</v>
      </c>
      <c r="W231" s="116">
        <f t="shared" si="56"/>
        <v>0</v>
      </c>
      <c r="X231" s="116">
        <f t="shared" si="47"/>
        <v>6049.93</v>
      </c>
      <c r="Y231" s="116">
        <f t="shared" si="48"/>
        <v>2956.97</v>
      </c>
      <c r="Z231" s="116">
        <f t="shared" si="49"/>
        <v>0</v>
      </c>
      <c r="AA231" s="116">
        <f t="shared" si="50"/>
        <v>0</v>
      </c>
      <c r="AB231" s="116">
        <f t="shared" si="51"/>
        <v>0</v>
      </c>
      <c r="AC231" s="116">
        <f t="shared" si="52"/>
        <v>0</v>
      </c>
      <c r="AD231" s="116">
        <f t="shared" si="53"/>
        <v>0</v>
      </c>
      <c r="AE231" s="116">
        <f t="shared" si="54"/>
        <v>0</v>
      </c>
    </row>
    <row r="232" spans="1:31">
      <c r="A232" s="131">
        <v>42863</v>
      </c>
      <c r="B232" s="131">
        <v>42894</v>
      </c>
      <c r="C232" s="123">
        <f t="shared" si="45"/>
        <v>31</v>
      </c>
      <c r="D232" s="123"/>
      <c r="E232" s="132">
        <v>465.61</v>
      </c>
      <c r="F232" s="134"/>
      <c r="G232" s="135"/>
      <c r="H232" s="123"/>
      <c r="I232" s="123"/>
      <c r="J232" s="123"/>
      <c r="K232" s="123">
        <v>24</v>
      </c>
      <c r="L232" s="123">
        <v>7</v>
      </c>
      <c r="M232" s="123"/>
      <c r="N232" s="123"/>
      <c r="O232" s="123"/>
      <c r="P232" s="123"/>
      <c r="Q232" s="123"/>
      <c r="R232" s="123"/>
      <c r="S232" s="133">
        <f t="shared" si="44"/>
        <v>0</v>
      </c>
      <c r="T232" s="116">
        <f t="shared" si="57"/>
        <v>0</v>
      </c>
      <c r="U232" s="116">
        <f t="shared" si="46"/>
        <v>0</v>
      </c>
      <c r="V232" s="116">
        <f t="shared" si="55"/>
        <v>0</v>
      </c>
      <c r="W232" s="116">
        <f t="shared" si="56"/>
        <v>0</v>
      </c>
      <c r="X232" s="116">
        <f t="shared" si="47"/>
        <v>3393.32</v>
      </c>
      <c r="Y232" s="116">
        <f t="shared" si="48"/>
        <v>879.52</v>
      </c>
      <c r="Z232" s="116">
        <f t="shared" si="49"/>
        <v>0</v>
      </c>
      <c r="AA232" s="116">
        <f t="shared" si="50"/>
        <v>0</v>
      </c>
      <c r="AB232" s="116">
        <f t="shared" si="51"/>
        <v>0</v>
      </c>
      <c r="AC232" s="116">
        <f t="shared" si="52"/>
        <v>0</v>
      </c>
      <c r="AD232" s="116">
        <f t="shared" si="53"/>
        <v>0</v>
      </c>
      <c r="AE232" s="116">
        <f t="shared" si="54"/>
        <v>0</v>
      </c>
    </row>
    <row r="233" spans="1:31">
      <c r="A233" s="131">
        <v>42870</v>
      </c>
      <c r="B233" s="131">
        <v>42901</v>
      </c>
      <c r="C233" s="123">
        <f t="shared" si="45"/>
        <v>31</v>
      </c>
      <c r="D233" s="123"/>
      <c r="E233" s="132">
        <v>2122.83</v>
      </c>
      <c r="F233" s="134"/>
      <c r="G233" s="135"/>
      <c r="H233" s="123"/>
      <c r="I233" s="123"/>
      <c r="J233" s="123"/>
      <c r="K233" s="123">
        <v>17</v>
      </c>
      <c r="L233" s="123">
        <v>14</v>
      </c>
      <c r="M233" s="123"/>
      <c r="N233" s="123"/>
      <c r="O233" s="123"/>
      <c r="P233" s="123"/>
      <c r="Q233" s="123"/>
      <c r="R233" s="123"/>
      <c r="S233" s="133">
        <f t="shared" si="44"/>
        <v>0</v>
      </c>
      <c r="T233" s="116">
        <f t="shared" si="57"/>
        <v>0</v>
      </c>
      <c r="U233" s="116">
        <f t="shared" si="46"/>
        <v>0</v>
      </c>
      <c r="V233" s="116">
        <f t="shared" si="55"/>
        <v>0</v>
      </c>
      <c r="W233" s="116">
        <f t="shared" si="56"/>
        <v>0</v>
      </c>
      <c r="X233" s="116">
        <f t="shared" si="47"/>
        <v>10958.6</v>
      </c>
      <c r="Y233" s="116">
        <f t="shared" si="48"/>
        <v>8019.89</v>
      </c>
      <c r="Z233" s="116">
        <f t="shared" si="49"/>
        <v>0</v>
      </c>
      <c r="AA233" s="116">
        <f t="shared" si="50"/>
        <v>0</v>
      </c>
      <c r="AB233" s="116">
        <f t="shared" si="51"/>
        <v>0</v>
      </c>
      <c r="AC233" s="116">
        <f t="shared" si="52"/>
        <v>0</v>
      </c>
      <c r="AD233" s="116">
        <f t="shared" si="53"/>
        <v>0</v>
      </c>
      <c r="AE233" s="116">
        <f t="shared" si="54"/>
        <v>0</v>
      </c>
    </row>
    <row r="234" spans="1:31">
      <c r="A234" s="131">
        <v>42870</v>
      </c>
      <c r="B234" s="131">
        <v>42901</v>
      </c>
      <c r="C234" s="123">
        <f t="shared" si="45"/>
        <v>31</v>
      </c>
      <c r="D234" s="123"/>
      <c r="E234" s="132">
        <v>247.44</v>
      </c>
      <c r="F234" s="134"/>
      <c r="G234" s="135"/>
      <c r="H234" s="123"/>
      <c r="I234" s="123"/>
      <c r="J234" s="123"/>
      <c r="K234" s="123">
        <v>17</v>
      </c>
      <c r="L234" s="123">
        <v>14</v>
      </c>
      <c r="M234" s="123"/>
      <c r="N234" s="123"/>
      <c r="O234" s="123"/>
      <c r="P234" s="123"/>
      <c r="Q234" s="123"/>
      <c r="R234" s="123"/>
      <c r="S234" s="133">
        <f t="shared" si="44"/>
        <v>0</v>
      </c>
      <c r="T234" s="116">
        <f t="shared" si="57"/>
        <v>0</v>
      </c>
      <c r="U234" s="116">
        <f t="shared" si="46"/>
        <v>0</v>
      </c>
      <c r="V234" s="116">
        <f t="shared" si="55"/>
        <v>0</v>
      </c>
      <c r="W234" s="116">
        <f t="shared" si="56"/>
        <v>0</v>
      </c>
      <c r="X234" s="116">
        <f t="shared" si="47"/>
        <v>1277.3499999999999</v>
      </c>
      <c r="Y234" s="116">
        <f t="shared" si="48"/>
        <v>934.81</v>
      </c>
      <c r="Z234" s="116">
        <f t="shared" si="49"/>
        <v>0</v>
      </c>
      <c r="AA234" s="116">
        <f t="shared" si="50"/>
        <v>0</v>
      </c>
      <c r="AB234" s="116">
        <f t="shared" si="51"/>
        <v>0</v>
      </c>
      <c r="AC234" s="116">
        <f t="shared" si="52"/>
        <v>0</v>
      </c>
      <c r="AD234" s="116">
        <f t="shared" si="53"/>
        <v>0</v>
      </c>
      <c r="AE234" s="116">
        <f t="shared" si="54"/>
        <v>0</v>
      </c>
    </row>
    <row r="235" spans="1:31">
      <c r="A235" s="131">
        <v>42870</v>
      </c>
      <c r="B235" s="131">
        <v>42901</v>
      </c>
      <c r="C235" s="123">
        <f t="shared" si="45"/>
        <v>31</v>
      </c>
      <c r="D235" s="123"/>
      <c r="E235" s="132">
        <v>8493.24</v>
      </c>
      <c r="F235" s="134"/>
      <c r="G235" s="135"/>
      <c r="H235" s="123"/>
      <c r="I235" s="123"/>
      <c r="J235" s="123"/>
      <c r="K235" s="123">
        <v>17</v>
      </c>
      <c r="L235" s="123">
        <v>14</v>
      </c>
      <c r="M235" s="123"/>
      <c r="N235" s="123"/>
      <c r="O235" s="123"/>
      <c r="P235" s="123"/>
      <c r="Q235" s="123"/>
      <c r="R235" s="123"/>
      <c r="S235" s="133">
        <f t="shared" si="44"/>
        <v>0</v>
      </c>
      <c r="T235" s="116">
        <f t="shared" si="57"/>
        <v>0</v>
      </c>
      <c r="U235" s="116">
        <f t="shared" si="46"/>
        <v>0</v>
      </c>
      <c r="V235" s="116">
        <f t="shared" si="55"/>
        <v>0</v>
      </c>
      <c r="W235" s="116">
        <f t="shared" si="56"/>
        <v>0</v>
      </c>
      <c r="X235" s="116">
        <f t="shared" si="47"/>
        <v>43844.33</v>
      </c>
      <c r="Y235" s="116">
        <f t="shared" si="48"/>
        <v>32086.81</v>
      </c>
      <c r="Z235" s="116">
        <f t="shared" si="49"/>
        <v>0</v>
      </c>
      <c r="AA235" s="116">
        <f t="shared" si="50"/>
        <v>0</v>
      </c>
      <c r="AB235" s="116">
        <f t="shared" si="51"/>
        <v>0</v>
      </c>
      <c r="AC235" s="116">
        <f t="shared" si="52"/>
        <v>0</v>
      </c>
      <c r="AD235" s="116">
        <f t="shared" si="53"/>
        <v>0</v>
      </c>
      <c r="AE235" s="116">
        <f t="shared" si="54"/>
        <v>0</v>
      </c>
    </row>
    <row r="236" spans="1:31">
      <c r="A236" s="131">
        <v>42870</v>
      </c>
      <c r="B236" s="131">
        <v>42901</v>
      </c>
      <c r="C236" s="123">
        <f t="shared" si="45"/>
        <v>31</v>
      </c>
      <c r="D236" s="123"/>
      <c r="E236" s="132">
        <v>22924.98</v>
      </c>
      <c r="F236" s="134"/>
      <c r="G236" s="135"/>
      <c r="H236" s="123"/>
      <c r="I236" s="123"/>
      <c r="J236" s="123"/>
      <c r="K236" s="123">
        <v>17</v>
      </c>
      <c r="L236" s="123">
        <v>14</v>
      </c>
      <c r="M236" s="123"/>
      <c r="N236" s="123"/>
      <c r="O236" s="123"/>
      <c r="P236" s="123"/>
      <c r="Q236" s="123"/>
      <c r="R236" s="123"/>
      <c r="S236" s="133">
        <f t="shared" si="44"/>
        <v>0</v>
      </c>
      <c r="T236" s="116">
        <f t="shared" si="57"/>
        <v>0</v>
      </c>
      <c r="U236" s="116">
        <f t="shared" si="46"/>
        <v>0</v>
      </c>
      <c r="V236" s="116">
        <f t="shared" si="55"/>
        <v>0</v>
      </c>
      <c r="W236" s="116">
        <f t="shared" si="56"/>
        <v>0</v>
      </c>
      <c r="X236" s="116">
        <f t="shared" si="47"/>
        <v>118344.75</v>
      </c>
      <c r="Y236" s="116">
        <f t="shared" si="48"/>
        <v>86608.81</v>
      </c>
      <c r="Z236" s="116">
        <f t="shared" si="49"/>
        <v>0</v>
      </c>
      <c r="AA236" s="116">
        <f t="shared" si="50"/>
        <v>0</v>
      </c>
      <c r="AB236" s="116">
        <f t="shared" si="51"/>
        <v>0</v>
      </c>
      <c r="AC236" s="116">
        <f t="shared" si="52"/>
        <v>0</v>
      </c>
      <c r="AD236" s="116">
        <f t="shared" si="53"/>
        <v>0</v>
      </c>
      <c r="AE236" s="116">
        <f t="shared" si="54"/>
        <v>0</v>
      </c>
    </row>
    <row r="237" spans="1:31">
      <c r="A237" s="131">
        <v>42874</v>
      </c>
      <c r="B237" s="131">
        <v>42905</v>
      </c>
      <c r="C237" s="123">
        <f t="shared" si="45"/>
        <v>31</v>
      </c>
      <c r="D237" s="123"/>
      <c r="E237" s="132">
        <v>643.02</v>
      </c>
      <c r="F237" s="134"/>
      <c r="G237" s="135"/>
      <c r="H237" s="123"/>
      <c r="I237" s="123"/>
      <c r="J237" s="123"/>
      <c r="K237" s="123">
        <v>13</v>
      </c>
      <c r="L237" s="123">
        <v>18</v>
      </c>
      <c r="M237" s="123"/>
      <c r="N237" s="123"/>
      <c r="O237" s="123"/>
      <c r="P237" s="123"/>
      <c r="Q237" s="123"/>
      <c r="R237" s="123"/>
      <c r="S237" s="133">
        <f t="shared" si="44"/>
        <v>0</v>
      </c>
      <c r="T237" s="116">
        <f t="shared" si="57"/>
        <v>0</v>
      </c>
      <c r="U237" s="116">
        <f t="shared" si="46"/>
        <v>0</v>
      </c>
      <c r="V237" s="116">
        <f t="shared" si="55"/>
        <v>0</v>
      </c>
      <c r="W237" s="116">
        <f t="shared" si="56"/>
        <v>0</v>
      </c>
      <c r="X237" s="116">
        <f t="shared" si="47"/>
        <v>2538.39</v>
      </c>
      <c r="Y237" s="116">
        <f t="shared" si="48"/>
        <v>3123.36</v>
      </c>
      <c r="Z237" s="116">
        <f t="shared" si="49"/>
        <v>0</v>
      </c>
      <c r="AA237" s="116">
        <f t="shared" si="50"/>
        <v>0</v>
      </c>
      <c r="AB237" s="116">
        <f t="shared" si="51"/>
        <v>0</v>
      </c>
      <c r="AC237" s="116">
        <f t="shared" si="52"/>
        <v>0</v>
      </c>
      <c r="AD237" s="116">
        <f t="shared" si="53"/>
        <v>0</v>
      </c>
      <c r="AE237" s="116">
        <f t="shared" si="54"/>
        <v>0</v>
      </c>
    </row>
    <row r="238" spans="1:31">
      <c r="A238" s="131">
        <v>42870</v>
      </c>
      <c r="B238" s="131">
        <v>42901</v>
      </c>
      <c r="C238" s="123">
        <f t="shared" si="45"/>
        <v>31</v>
      </c>
      <c r="D238" s="123"/>
      <c r="E238" s="132">
        <v>6874.81</v>
      </c>
      <c r="F238" s="134"/>
      <c r="G238" s="135"/>
      <c r="H238" s="123"/>
      <c r="I238" s="123"/>
      <c r="J238" s="123"/>
      <c r="K238" s="123">
        <v>17</v>
      </c>
      <c r="L238" s="123">
        <v>14</v>
      </c>
      <c r="M238" s="123"/>
      <c r="N238" s="123"/>
      <c r="O238" s="123"/>
      <c r="P238" s="123"/>
      <c r="Q238" s="123"/>
      <c r="R238" s="123"/>
      <c r="S238" s="133">
        <f t="shared" si="44"/>
        <v>0</v>
      </c>
      <c r="T238" s="116">
        <f t="shared" si="57"/>
        <v>0</v>
      </c>
      <c r="U238" s="116">
        <f t="shared" si="46"/>
        <v>0</v>
      </c>
      <c r="V238" s="116">
        <f t="shared" si="55"/>
        <v>0</v>
      </c>
      <c r="W238" s="116">
        <f t="shared" si="56"/>
        <v>0</v>
      </c>
      <c r="X238" s="116">
        <f t="shared" si="47"/>
        <v>35489.57</v>
      </c>
      <c r="Y238" s="116">
        <f t="shared" si="48"/>
        <v>25972.5</v>
      </c>
      <c r="Z238" s="116">
        <f t="shared" si="49"/>
        <v>0</v>
      </c>
      <c r="AA238" s="116">
        <f t="shared" si="50"/>
        <v>0</v>
      </c>
      <c r="AB238" s="116">
        <f t="shared" si="51"/>
        <v>0</v>
      </c>
      <c r="AC238" s="116">
        <f t="shared" si="52"/>
        <v>0</v>
      </c>
      <c r="AD238" s="116">
        <f t="shared" si="53"/>
        <v>0</v>
      </c>
      <c r="AE238" s="116">
        <f t="shared" si="54"/>
        <v>0</v>
      </c>
    </row>
    <row r="239" spans="1:31">
      <c r="A239" s="131">
        <v>42874</v>
      </c>
      <c r="B239" s="131">
        <v>42905</v>
      </c>
      <c r="C239" s="123">
        <f t="shared" si="45"/>
        <v>31</v>
      </c>
      <c r="D239" s="123"/>
      <c r="E239" s="132">
        <v>1828.4</v>
      </c>
      <c r="F239" s="134"/>
      <c r="G239" s="135"/>
      <c r="H239" s="123"/>
      <c r="I239" s="123"/>
      <c r="J239" s="123"/>
      <c r="K239" s="123">
        <v>13</v>
      </c>
      <c r="L239" s="123">
        <v>18</v>
      </c>
      <c r="M239" s="123"/>
      <c r="N239" s="123"/>
      <c r="O239" s="123"/>
      <c r="P239" s="123"/>
      <c r="Q239" s="123"/>
      <c r="R239" s="123"/>
      <c r="S239" s="133">
        <f t="shared" si="44"/>
        <v>0</v>
      </c>
      <c r="T239" s="116">
        <f t="shared" si="57"/>
        <v>0</v>
      </c>
      <c r="U239" s="116">
        <f t="shared" si="46"/>
        <v>0</v>
      </c>
      <c r="V239" s="116">
        <f t="shared" si="55"/>
        <v>0</v>
      </c>
      <c r="W239" s="116">
        <f t="shared" si="56"/>
        <v>0</v>
      </c>
      <c r="X239" s="116">
        <f t="shared" si="47"/>
        <v>7217.81</v>
      </c>
      <c r="Y239" s="116">
        <f t="shared" si="48"/>
        <v>8881.14</v>
      </c>
      <c r="Z239" s="116">
        <f t="shared" si="49"/>
        <v>0</v>
      </c>
      <c r="AA239" s="116">
        <f t="shared" si="50"/>
        <v>0</v>
      </c>
      <c r="AB239" s="116">
        <f t="shared" si="51"/>
        <v>0</v>
      </c>
      <c r="AC239" s="116">
        <f t="shared" si="52"/>
        <v>0</v>
      </c>
      <c r="AD239" s="116">
        <f t="shared" si="53"/>
        <v>0</v>
      </c>
      <c r="AE239" s="116">
        <f t="shared" si="54"/>
        <v>0</v>
      </c>
    </row>
    <row r="240" spans="1:31">
      <c r="A240" s="131">
        <v>42874</v>
      </c>
      <c r="B240" s="131">
        <v>42905</v>
      </c>
      <c r="C240" s="123">
        <f t="shared" si="45"/>
        <v>31</v>
      </c>
      <c r="D240" s="123"/>
      <c r="E240" s="132">
        <v>434.1</v>
      </c>
      <c r="F240" s="134"/>
      <c r="G240" s="135"/>
      <c r="H240" s="123"/>
      <c r="I240" s="123"/>
      <c r="J240" s="123"/>
      <c r="K240" s="123">
        <v>13</v>
      </c>
      <c r="L240" s="123">
        <v>18</v>
      </c>
      <c r="M240" s="123"/>
      <c r="N240" s="123"/>
      <c r="O240" s="123"/>
      <c r="P240" s="123"/>
      <c r="Q240" s="123"/>
      <c r="R240" s="123"/>
      <c r="S240" s="133">
        <f t="shared" si="44"/>
        <v>0</v>
      </c>
      <c r="T240" s="116">
        <f t="shared" si="57"/>
        <v>0</v>
      </c>
      <c r="U240" s="116">
        <f t="shared" si="46"/>
        <v>0</v>
      </c>
      <c r="V240" s="116">
        <f t="shared" si="55"/>
        <v>0</v>
      </c>
      <c r="W240" s="116">
        <f t="shared" si="56"/>
        <v>0</v>
      </c>
      <c r="X240" s="116">
        <f t="shared" si="47"/>
        <v>1713.66</v>
      </c>
      <c r="Y240" s="116">
        <f t="shared" si="48"/>
        <v>2108.5700000000002</v>
      </c>
      <c r="Z240" s="116">
        <f t="shared" si="49"/>
        <v>0</v>
      </c>
      <c r="AA240" s="116">
        <f t="shared" si="50"/>
        <v>0</v>
      </c>
      <c r="AB240" s="116">
        <f t="shared" si="51"/>
        <v>0</v>
      </c>
      <c r="AC240" s="116">
        <f t="shared" si="52"/>
        <v>0</v>
      </c>
      <c r="AD240" s="116">
        <f t="shared" si="53"/>
        <v>0</v>
      </c>
      <c r="AE240" s="116">
        <f t="shared" si="54"/>
        <v>0</v>
      </c>
    </row>
    <row r="241" spans="1:31">
      <c r="A241" s="131">
        <v>42877</v>
      </c>
      <c r="B241" s="131">
        <v>42908</v>
      </c>
      <c r="C241" s="123">
        <f t="shared" si="45"/>
        <v>31</v>
      </c>
      <c r="D241" s="123">
        <v>30</v>
      </c>
      <c r="E241" s="132">
        <v>280307.43</v>
      </c>
      <c r="F241" s="134"/>
      <c r="G241" s="135"/>
      <c r="H241" s="123"/>
      <c r="I241" s="123"/>
      <c r="J241" s="123"/>
      <c r="K241" s="123">
        <v>10</v>
      </c>
      <c r="L241" s="123">
        <v>21</v>
      </c>
      <c r="M241" s="123"/>
      <c r="N241" s="123"/>
      <c r="O241" s="123"/>
      <c r="P241" s="123"/>
      <c r="Q241" s="123"/>
      <c r="R241" s="123"/>
      <c r="S241" s="133">
        <f t="shared" si="44"/>
        <v>0</v>
      </c>
      <c r="T241" s="116">
        <f t="shared" si="57"/>
        <v>0</v>
      </c>
      <c r="U241" s="116">
        <f t="shared" si="46"/>
        <v>0</v>
      </c>
      <c r="V241" s="116">
        <f t="shared" si="55"/>
        <v>0</v>
      </c>
      <c r="W241" s="116">
        <f t="shared" si="56"/>
        <v>0</v>
      </c>
      <c r="X241" s="116">
        <v>809378.92</v>
      </c>
      <c r="Y241" s="116">
        <v>1618757.85</v>
      </c>
      <c r="Z241" s="116">
        <f t="shared" si="49"/>
        <v>0</v>
      </c>
      <c r="AA241" s="116">
        <f t="shared" si="50"/>
        <v>0</v>
      </c>
      <c r="AB241" s="116">
        <f t="shared" si="51"/>
        <v>0</v>
      </c>
      <c r="AC241" s="116">
        <f t="shared" si="52"/>
        <v>0</v>
      </c>
      <c r="AD241" s="116">
        <f t="shared" si="53"/>
        <v>0</v>
      </c>
      <c r="AE241" s="116">
        <f t="shared" si="54"/>
        <v>0</v>
      </c>
    </row>
    <row r="242" spans="1:31">
      <c r="A242" s="131">
        <v>42874</v>
      </c>
      <c r="B242" s="131">
        <v>42905</v>
      </c>
      <c r="C242" s="123">
        <f t="shared" si="45"/>
        <v>31</v>
      </c>
      <c r="D242" s="123"/>
      <c r="E242" s="132">
        <v>381.31</v>
      </c>
      <c r="F242" s="134"/>
      <c r="G242" s="135"/>
      <c r="H242" s="123"/>
      <c r="I242" s="123"/>
      <c r="J242" s="123"/>
      <c r="K242" s="123">
        <v>13</v>
      </c>
      <c r="L242" s="123">
        <v>18</v>
      </c>
      <c r="M242" s="123"/>
      <c r="N242" s="123"/>
      <c r="O242" s="123"/>
      <c r="P242" s="123"/>
      <c r="Q242" s="123"/>
      <c r="R242" s="123"/>
      <c r="S242" s="133">
        <f t="shared" si="44"/>
        <v>0</v>
      </c>
      <c r="T242" s="116">
        <f t="shared" si="57"/>
        <v>0</v>
      </c>
      <c r="U242" s="116">
        <f t="shared" si="46"/>
        <v>0</v>
      </c>
      <c r="V242" s="116">
        <f t="shared" si="55"/>
        <v>0</v>
      </c>
      <c r="W242" s="116">
        <f t="shared" si="56"/>
        <v>0</v>
      </c>
      <c r="X242" s="116">
        <f t="shared" si="47"/>
        <v>1505.26</v>
      </c>
      <c r="Y242" s="116">
        <f t="shared" si="48"/>
        <v>1852.15</v>
      </c>
      <c r="Z242" s="116">
        <f t="shared" si="49"/>
        <v>0</v>
      </c>
      <c r="AA242" s="116">
        <f t="shared" si="50"/>
        <v>0</v>
      </c>
      <c r="AB242" s="116">
        <f t="shared" si="51"/>
        <v>0</v>
      </c>
      <c r="AC242" s="116">
        <f t="shared" si="52"/>
        <v>0</v>
      </c>
      <c r="AD242" s="116">
        <f t="shared" si="53"/>
        <v>0</v>
      </c>
      <c r="AE242" s="116">
        <f t="shared" si="54"/>
        <v>0</v>
      </c>
    </row>
    <row r="243" spans="1:31">
      <c r="A243" s="131">
        <v>42881</v>
      </c>
      <c r="B243" s="131">
        <v>42912</v>
      </c>
      <c r="C243" s="123">
        <f t="shared" si="45"/>
        <v>31</v>
      </c>
      <c r="D243" s="123"/>
      <c r="E243" s="132">
        <v>1387.86</v>
      </c>
      <c r="F243" s="134"/>
      <c r="G243" s="135"/>
      <c r="H243" s="123"/>
      <c r="I243" s="123"/>
      <c r="J243" s="123"/>
      <c r="K243" s="123">
        <v>6</v>
      </c>
      <c r="L243" s="123">
        <v>25</v>
      </c>
      <c r="M243" s="123"/>
      <c r="N243" s="123"/>
      <c r="O243" s="123"/>
      <c r="P243" s="123"/>
      <c r="Q243" s="123"/>
      <c r="R243" s="123"/>
      <c r="S243" s="133">
        <f t="shared" si="44"/>
        <v>0</v>
      </c>
      <c r="T243" s="116">
        <f t="shared" si="57"/>
        <v>0</v>
      </c>
      <c r="U243" s="116">
        <f t="shared" si="46"/>
        <v>0</v>
      </c>
      <c r="V243" s="116">
        <f t="shared" si="55"/>
        <v>0</v>
      </c>
      <c r="W243" s="116">
        <f t="shared" si="56"/>
        <v>0</v>
      </c>
      <c r="X243" s="116">
        <f t="shared" si="47"/>
        <v>2528.65</v>
      </c>
      <c r="Y243" s="116">
        <f t="shared" si="48"/>
        <v>9362.91</v>
      </c>
      <c r="Z243" s="116">
        <f t="shared" si="49"/>
        <v>0</v>
      </c>
      <c r="AA243" s="116">
        <f t="shared" si="50"/>
        <v>0</v>
      </c>
      <c r="AB243" s="116">
        <f t="shared" si="51"/>
        <v>0</v>
      </c>
      <c r="AC243" s="116">
        <f t="shared" si="52"/>
        <v>0</v>
      </c>
      <c r="AD243" s="116">
        <f t="shared" si="53"/>
        <v>0</v>
      </c>
      <c r="AE243" s="116">
        <f t="shared" si="54"/>
        <v>0</v>
      </c>
    </row>
    <row r="244" spans="1:31">
      <c r="A244" s="131">
        <v>42881</v>
      </c>
      <c r="B244" s="131">
        <v>42912</v>
      </c>
      <c r="C244" s="123">
        <f t="shared" si="45"/>
        <v>31</v>
      </c>
      <c r="D244" s="123"/>
      <c r="E244" s="132">
        <v>83.77</v>
      </c>
      <c r="F244" s="134"/>
      <c r="G244" s="135"/>
      <c r="H244" s="123"/>
      <c r="I244" s="123"/>
      <c r="J244" s="123"/>
      <c r="K244" s="123">
        <v>6</v>
      </c>
      <c r="L244" s="123">
        <v>25</v>
      </c>
      <c r="M244" s="123"/>
      <c r="N244" s="123"/>
      <c r="O244" s="123"/>
      <c r="P244" s="123"/>
      <c r="Q244" s="123"/>
      <c r="R244" s="123"/>
      <c r="S244" s="133">
        <f t="shared" si="44"/>
        <v>0</v>
      </c>
      <c r="T244" s="116">
        <f t="shared" si="57"/>
        <v>0</v>
      </c>
      <c r="U244" s="116">
        <f t="shared" si="46"/>
        <v>0</v>
      </c>
      <c r="V244" s="116">
        <f t="shared" si="55"/>
        <v>0</v>
      </c>
      <c r="W244" s="116">
        <f t="shared" si="56"/>
        <v>0</v>
      </c>
      <c r="X244" s="116">
        <f t="shared" si="47"/>
        <v>152.63</v>
      </c>
      <c r="Y244" s="116">
        <f t="shared" si="48"/>
        <v>565.14</v>
      </c>
      <c r="Z244" s="116">
        <f t="shared" si="49"/>
        <v>0</v>
      </c>
      <c r="AA244" s="116">
        <f t="shared" si="50"/>
        <v>0</v>
      </c>
      <c r="AB244" s="116">
        <f t="shared" si="51"/>
        <v>0</v>
      </c>
      <c r="AC244" s="116">
        <f t="shared" si="52"/>
        <v>0</v>
      </c>
      <c r="AD244" s="116">
        <f t="shared" si="53"/>
        <v>0</v>
      </c>
      <c r="AE244" s="116">
        <f t="shared" si="54"/>
        <v>0</v>
      </c>
    </row>
    <row r="245" spans="1:31">
      <c r="A245" s="131">
        <v>42881</v>
      </c>
      <c r="B245" s="131">
        <v>42912</v>
      </c>
      <c r="C245" s="123">
        <f t="shared" si="45"/>
        <v>31</v>
      </c>
      <c r="D245" s="123"/>
      <c r="E245" s="132">
        <v>335.41</v>
      </c>
      <c r="F245" s="134"/>
      <c r="G245" s="135"/>
      <c r="H245" s="123"/>
      <c r="I245" s="123"/>
      <c r="J245" s="123"/>
      <c r="K245" s="123">
        <v>6</v>
      </c>
      <c r="L245" s="123">
        <v>25</v>
      </c>
      <c r="M245" s="123"/>
      <c r="N245" s="123"/>
      <c r="O245" s="123"/>
      <c r="P245" s="123"/>
      <c r="Q245" s="123"/>
      <c r="R245" s="123"/>
      <c r="S245" s="133">
        <f t="shared" si="44"/>
        <v>0</v>
      </c>
      <c r="T245" s="116">
        <f t="shared" si="57"/>
        <v>0</v>
      </c>
      <c r="U245" s="116">
        <f t="shared" si="46"/>
        <v>0</v>
      </c>
      <c r="V245" s="116">
        <f t="shared" si="55"/>
        <v>0</v>
      </c>
      <c r="W245" s="116">
        <f t="shared" si="56"/>
        <v>0</v>
      </c>
      <c r="X245" s="116">
        <f t="shared" si="47"/>
        <v>611.11</v>
      </c>
      <c r="Y245" s="116">
        <f t="shared" si="48"/>
        <v>2262.77</v>
      </c>
      <c r="Z245" s="116">
        <f t="shared" si="49"/>
        <v>0</v>
      </c>
      <c r="AA245" s="116">
        <f t="shared" si="50"/>
        <v>0</v>
      </c>
      <c r="AB245" s="116">
        <f t="shared" si="51"/>
        <v>0</v>
      </c>
      <c r="AC245" s="116">
        <f t="shared" si="52"/>
        <v>0</v>
      </c>
      <c r="AD245" s="116">
        <f t="shared" si="53"/>
        <v>0</v>
      </c>
      <c r="AE245" s="116">
        <f t="shared" si="54"/>
        <v>0</v>
      </c>
    </row>
    <row r="246" spans="1:31">
      <c r="A246" s="131">
        <v>42881</v>
      </c>
      <c r="B246" s="131">
        <v>42912</v>
      </c>
      <c r="C246" s="123">
        <f t="shared" si="45"/>
        <v>31</v>
      </c>
      <c r="D246" s="123"/>
      <c r="E246" s="132">
        <v>1084.4000000000001</v>
      </c>
      <c r="F246" s="134"/>
      <c r="G246" s="135"/>
      <c r="H246" s="123"/>
      <c r="I246" s="123"/>
      <c r="J246" s="123"/>
      <c r="K246" s="123">
        <v>6</v>
      </c>
      <c r="L246" s="123">
        <v>25</v>
      </c>
      <c r="M246" s="123"/>
      <c r="N246" s="123"/>
      <c r="O246" s="123"/>
      <c r="P246" s="123"/>
      <c r="Q246" s="123"/>
      <c r="R246" s="123"/>
      <c r="S246" s="133">
        <f t="shared" si="44"/>
        <v>0</v>
      </c>
      <c r="T246" s="116">
        <f t="shared" si="57"/>
        <v>0</v>
      </c>
      <c r="U246" s="116">
        <f t="shared" si="46"/>
        <v>0</v>
      </c>
      <c r="V246" s="116">
        <f t="shared" si="55"/>
        <v>0</v>
      </c>
      <c r="W246" s="116">
        <f t="shared" si="56"/>
        <v>0</v>
      </c>
      <c r="X246" s="116">
        <f t="shared" si="47"/>
        <v>1975.75</v>
      </c>
      <c r="Y246" s="116">
        <f t="shared" si="48"/>
        <v>7315.68</v>
      </c>
      <c r="Z246" s="116">
        <f t="shared" si="49"/>
        <v>0</v>
      </c>
      <c r="AA246" s="116">
        <f t="shared" si="50"/>
        <v>0</v>
      </c>
      <c r="AB246" s="116">
        <f t="shared" si="51"/>
        <v>0</v>
      </c>
      <c r="AC246" s="116">
        <f t="shared" si="52"/>
        <v>0</v>
      </c>
      <c r="AD246" s="116">
        <f t="shared" si="53"/>
        <v>0</v>
      </c>
      <c r="AE246" s="116">
        <f t="shared" si="54"/>
        <v>0</v>
      </c>
    </row>
    <row r="247" spans="1:31">
      <c r="A247" s="131">
        <v>42883</v>
      </c>
      <c r="B247" s="131">
        <v>42914</v>
      </c>
      <c r="C247" s="123">
        <f t="shared" si="45"/>
        <v>31</v>
      </c>
      <c r="D247" s="123"/>
      <c r="E247" s="132">
        <v>1511.39</v>
      </c>
      <c r="F247" s="134"/>
      <c r="G247" s="135"/>
      <c r="H247" s="123"/>
      <c r="I247" s="123"/>
      <c r="J247" s="123"/>
      <c r="K247" s="123">
        <v>4</v>
      </c>
      <c r="L247" s="123">
        <v>27</v>
      </c>
      <c r="M247" s="123"/>
      <c r="N247" s="123"/>
      <c r="O247" s="123"/>
      <c r="P247" s="123"/>
      <c r="Q247" s="123"/>
      <c r="R247" s="123"/>
      <c r="S247" s="133">
        <f t="shared" si="44"/>
        <v>0</v>
      </c>
      <c r="T247" s="116">
        <f t="shared" si="57"/>
        <v>0</v>
      </c>
      <c r="U247" s="116">
        <f t="shared" si="46"/>
        <v>0</v>
      </c>
      <c r="V247" s="116">
        <f t="shared" si="55"/>
        <v>0</v>
      </c>
      <c r="W247" s="116">
        <f t="shared" si="56"/>
        <v>0</v>
      </c>
      <c r="X247" s="116">
        <f t="shared" si="47"/>
        <v>1835.81</v>
      </c>
      <c r="Y247" s="116">
        <f t="shared" si="48"/>
        <v>11011.98</v>
      </c>
      <c r="Z247" s="116">
        <f t="shared" si="49"/>
        <v>0</v>
      </c>
      <c r="AA247" s="116">
        <f t="shared" si="50"/>
        <v>0</v>
      </c>
      <c r="AB247" s="116">
        <f t="shared" si="51"/>
        <v>0</v>
      </c>
      <c r="AC247" s="116">
        <f t="shared" si="52"/>
        <v>0</v>
      </c>
      <c r="AD247" s="116">
        <f t="shared" si="53"/>
        <v>0</v>
      </c>
      <c r="AE247" s="116">
        <f t="shared" si="54"/>
        <v>0</v>
      </c>
    </row>
    <row r="248" spans="1:31">
      <c r="A248" s="131">
        <v>42883</v>
      </c>
      <c r="B248" s="131">
        <v>42914</v>
      </c>
      <c r="C248" s="123">
        <f t="shared" si="45"/>
        <v>31</v>
      </c>
      <c r="D248" s="123"/>
      <c r="E248" s="132">
        <v>320.60000000000002</v>
      </c>
      <c r="F248" s="134"/>
      <c r="G248" s="135"/>
      <c r="H248" s="123"/>
      <c r="I248" s="123"/>
      <c r="J248" s="123"/>
      <c r="K248" s="123">
        <v>4</v>
      </c>
      <c r="L248" s="123">
        <v>27</v>
      </c>
      <c r="M248" s="123"/>
      <c r="N248" s="123"/>
      <c r="O248" s="123"/>
      <c r="P248" s="123"/>
      <c r="Q248" s="123"/>
      <c r="R248" s="123"/>
      <c r="S248" s="133">
        <f t="shared" si="44"/>
        <v>0</v>
      </c>
      <c r="T248" s="116">
        <f t="shared" si="57"/>
        <v>0</v>
      </c>
      <c r="U248" s="116">
        <f t="shared" si="46"/>
        <v>0</v>
      </c>
      <c r="V248" s="116">
        <f t="shared" si="55"/>
        <v>0</v>
      </c>
      <c r="W248" s="116">
        <f t="shared" si="56"/>
        <v>0</v>
      </c>
      <c r="X248" s="116">
        <f t="shared" si="47"/>
        <v>389.42</v>
      </c>
      <c r="Y248" s="116">
        <f t="shared" si="48"/>
        <v>2335.89</v>
      </c>
      <c r="Z248" s="116">
        <f t="shared" si="49"/>
        <v>0</v>
      </c>
      <c r="AA248" s="116">
        <f t="shared" si="50"/>
        <v>0</v>
      </c>
      <c r="AB248" s="116">
        <f t="shared" si="51"/>
        <v>0</v>
      </c>
      <c r="AC248" s="116">
        <f t="shared" si="52"/>
        <v>0</v>
      </c>
      <c r="AD248" s="116">
        <f t="shared" si="53"/>
        <v>0</v>
      </c>
      <c r="AE248" s="116">
        <f t="shared" si="54"/>
        <v>0</v>
      </c>
    </row>
    <row r="249" spans="1:31">
      <c r="A249" s="131">
        <v>42887</v>
      </c>
      <c r="B249" s="131">
        <v>42917</v>
      </c>
      <c r="C249" s="123">
        <f t="shared" si="45"/>
        <v>30</v>
      </c>
      <c r="D249" s="123"/>
      <c r="E249" s="132">
        <v>260.51</v>
      </c>
      <c r="F249" s="134"/>
      <c r="G249" s="135"/>
      <c r="H249" s="123"/>
      <c r="I249" s="123"/>
      <c r="J249" s="123"/>
      <c r="K249" s="123"/>
      <c r="L249" s="123">
        <v>30</v>
      </c>
      <c r="M249" s="123"/>
      <c r="N249" s="123"/>
      <c r="O249" s="123"/>
      <c r="P249" s="123"/>
      <c r="Q249" s="123"/>
      <c r="R249" s="123"/>
      <c r="S249" s="133">
        <f t="shared" si="44"/>
        <v>0</v>
      </c>
      <c r="T249" s="116">
        <f t="shared" si="57"/>
        <v>0</v>
      </c>
      <c r="U249" s="116">
        <f t="shared" si="46"/>
        <v>0</v>
      </c>
      <c r="V249" s="116">
        <f t="shared" si="55"/>
        <v>0</v>
      </c>
      <c r="W249" s="116">
        <f t="shared" si="56"/>
        <v>0</v>
      </c>
      <c r="X249" s="116">
        <f t="shared" si="47"/>
        <v>0</v>
      </c>
      <c r="Y249" s="116">
        <f t="shared" si="48"/>
        <v>2179.27</v>
      </c>
      <c r="Z249" s="116">
        <f t="shared" si="49"/>
        <v>0</v>
      </c>
      <c r="AA249" s="116">
        <f t="shared" si="50"/>
        <v>0</v>
      </c>
      <c r="AB249" s="116">
        <f t="shared" si="51"/>
        <v>0</v>
      </c>
      <c r="AC249" s="116">
        <f t="shared" si="52"/>
        <v>0</v>
      </c>
      <c r="AD249" s="116">
        <f t="shared" si="53"/>
        <v>0</v>
      </c>
      <c r="AE249" s="116">
        <f t="shared" si="54"/>
        <v>0</v>
      </c>
    </row>
    <row r="250" spans="1:31">
      <c r="A250" s="131">
        <v>42884</v>
      </c>
      <c r="B250" s="131">
        <v>42914</v>
      </c>
      <c r="C250" s="123">
        <f t="shared" si="45"/>
        <v>30</v>
      </c>
      <c r="D250" s="123" t="s">
        <v>218</v>
      </c>
      <c r="E250" s="132">
        <v>6536.52</v>
      </c>
      <c r="F250" s="134"/>
      <c r="G250" s="135"/>
      <c r="H250" s="123"/>
      <c r="I250" s="123"/>
      <c r="J250" s="123"/>
      <c r="K250" s="123">
        <v>3</v>
      </c>
      <c r="L250" s="123">
        <v>27</v>
      </c>
      <c r="M250" s="123"/>
      <c r="N250" s="123"/>
      <c r="O250" s="123"/>
      <c r="P250" s="123"/>
      <c r="Q250" s="123"/>
      <c r="R250" s="123"/>
      <c r="S250" s="133">
        <f t="shared" si="44"/>
        <v>0</v>
      </c>
      <c r="T250" s="116">
        <f t="shared" si="57"/>
        <v>0</v>
      </c>
      <c r="U250" s="116">
        <f t="shared" si="46"/>
        <v>0</v>
      </c>
      <c r="V250" s="116">
        <f t="shared" si="55"/>
        <v>0</v>
      </c>
      <c r="W250" s="116">
        <f t="shared" si="56"/>
        <v>0</v>
      </c>
      <c r="X250" s="116">
        <f t="shared" si="47"/>
        <v>6153.18</v>
      </c>
      <c r="Y250" s="116">
        <f t="shared" si="48"/>
        <v>49212.55</v>
      </c>
      <c r="Z250" s="116">
        <f t="shared" si="49"/>
        <v>0</v>
      </c>
      <c r="AA250" s="116">
        <f t="shared" si="50"/>
        <v>0</v>
      </c>
      <c r="AB250" s="116">
        <f t="shared" si="51"/>
        <v>0</v>
      </c>
      <c r="AC250" s="116">
        <f t="shared" si="52"/>
        <v>0</v>
      </c>
      <c r="AD250" s="116">
        <f t="shared" si="53"/>
        <v>0</v>
      </c>
      <c r="AE250" s="116">
        <f t="shared" si="54"/>
        <v>0</v>
      </c>
    </row>
    <row r="251" spans="1:31">
      <c r="A251" s="131">
        <v>42887</v>
      </c>
      <c r="B251" s="131">
        <v>42917</v>
      </c>
      <c r="C251" s="123">
        <f t="shared" si="45"/>
        <v>30</v>
      </c>
      <c r="D251" s="123" t="s">
        <v>219</v>
      </c>
      <c r="E251" s="132">
        <v>5668.96</v>
      </c>
      <c r="F251" s="134"/>
      <c r="G251" s="135"/>
      <c r="H251" s="123"/>
      <c r="I251" s="123"/>
      <c r="J251" s="123"/>
      <c r="K251" s="123"/>
      <c r="L251" s="123">
        <v>30</v>
      </c>
      <c r="M251" s="123"/>
      <c r="N251" s="123"/>
      <c r="O251" s="123"/>
      <c r="P251" s="123"/>
      <c r="Q251" s="123"/>
      <c r="R251" s="123"/>
      <c r="S251" s="133">
        <f t="shared" si="44"/>
        <v>0</v>
      </c>
      <c r="T251" s="116">
        <f t="shared" si="57"/>
        <v>0</v>
      </c>
      <c r="U251" s="116">
        <f t="shared" si="46"/>
        <v>0</v>
      </c>
      <c r="V251" s="116">
        <f t="shared" si="55"/>
        <v>0</v>
      </c>
      <c r="W251" s="116">
        <f t="shared" si="56"/>
        <v>0</v>
      </c>
      <c r="X251" s="116">
        <f t="shared" si="47"/>
        <v>0</v>
      </c>
      <c r="Y251" s="116">
        <f t="shared" si="48"/>
        <v>47423.12</v>
      </c>
      <c r="Z251" s="116">
        <f t="shared" si="49"/>
        <v>0</v>
      </c>
      <c r="AA251" s="116">
        <f t="shared" si="50"/>
        <v>0</v>
      </c>
      <c r="AB251" s="116">
        <f t="shared" si="51"/>
        <v>0</v>
      </c>
      <c r="AC251" s="116">
        <f t="shared" si="52"/>
        <v>0</v>
      </c>
      <c r="AD251" s="116">
        <f t="shared" si="53"/>
        <v>0</v>
      </c>
      <c r="AE251" s="116">
        <f t="shared" si="54"/>
        <v>0</v>
      </c>
    </row>
    <row r="252" spans="1:31">
      <c r="A252" s="131">
        <v>42887</v>
      </c>
      <c r="B252" s="131">
        <v>42917</v>
      </c>
      <c r="C252" s="123">
        <f t="shared" si="45"/>
        <v>30</v>
      </c>
      <c r="D252" s="123"/>
      <c r="E252" s="132">
        <v>171386.08</v>
      </c>
      <c r="F252" s="134"/>
      <c r="G252" s="135"/>
      <c r="H252" s="123"/>
      <c r="I252" s="123"/>
      <c r="J252" s="123"/>
      <c r="K252" s="123"/>
      <c r="L252" s="123">
        <v>30</v>
      </c>
      <c r="M252" s="123"/>
      <c r="N252" s="123"/>
      <c r="O252" s="123"/>
      <c r="P252" s="123"/>
      <c r="Q252" s="123"/>
      <c r="R252" s="123"/>
      <c r="S252" s="133">
        <f t="shared" si="44"/>
        <v>0</v>
      </c>
      <c r="T252" s="116">
        <f t="shared" si="57"/>
        <v>0</v>
      </c>
      <c r="U252" s="116">
        <f t="shared" si="46"/>
        <v>0</v>
      </c>
      <c r="V252" s="116">
        <f t="shared" si="55"/>
        <v>0</v>
      </c>
      <c r="W252" s="116">
        <f t="shared" si="56"/>
        <v>0</v>
      </c>
      <c r="X252" s="116">
        <f t="shared" si="47"/>
        <v>0</v>
      </c>
      <c r="Y252" s="116">
        <f t="shared" si="48"/>
        <v>1433713.23</v>
      </c>
      <c r="Z252" s="116">
        <f t="shared" si="49"/>
        <v>0</v>
      </c>
      <c r="AA252" s="116">
        <f t="shared" si="50"/>
        <v>0</v>
      </c>
      <c r="AB252" s="116">
        <f t="shared" si="51"/>
        <v>0</v>
      </c>
      <c r="AC252" s="116">
        <f t="shared" si="52"/>
        <v>0</v>
      </c>
      <c r="AD252" s="116">
        <f t="shared" si="53"/>
        <v>0</v>
      </c>
      <c r="AE252" s="116">
        <f t="shared" si="54"/>
        <v>0</v>
      </c>
    </row>
    <row r="253" spans="1:31">
      <c r="A253" s="131">
        <v>42887</v>
      </c>
      <c r="B253" s="131">
        <v>42917</v>
      </c>
      <c r="C253" s="123">
        <f t="shared" si="45"/>
        <v>30</v>
      </c>
      <c r="D253" s="123"/>
      <c r="E253" s="132">
        <v>109861.15</v>
      </c>
      <c r="F253" s="134"/>
      <c r="G253" s="135"/>
      <c r="H253" s="123"/>
      <c r="I253" s="123"/>
      <c r="J253" s="123"/>
      <c r="K253" s="123"/>
      <c r="L253" s="123">
        <v>30</v>
      </c>
      <c r="M253" s="123"/>
      <c r="N253" s="123"/>
      <c r="O253" s="123"/>
      <c r="P253" s="123"/>
      <c r="Q253" s="123"/>
      <c r="R253" s="123"/>
      <c r="S253" s="133">
        <f t="shared" si="44"/>
        <v>0</v>
      </c>
      <c r="T253" s="116">
        <f t="shared" si="57"/>
        <v>0</v>
      </c>
      <c r="U253" s="116">
        <f t="shared" si="46"/>
        <v>0</v>
      </c>
      <c r="V253" s="116">
        <f t="shared" si="55"/>
        <v>0</v>
      </c>
      <c r="W253" s="116">
        <f t="shared" si="56"/>
        <v>0</v>
      </c>
      <c r="X253" s="116">
        <f t="shared" si="47"/>
        <v>0</v>
      </c>
      <c r="Y253" s="116">
        <f t="shared" si="48"/>
        <v>919032.54</v>
      </c>
      <c r="Z253" s="116">
        <f t="shared" si="49"/>
        <v>0</v>
      </c>
      <c r="AA253" s="116">
        <f t="shared" si="50"/>
        <v>0</v>
      </c>
      <c r="AB253" s="116">
        <f t="shared" si="51"/>
        <v>0</v>
      </c>
      <c r="AC253" s="116">
        <f t="shared" si="52"/>
        <v>0</v>
      </c>
      <c r="AD253" s="116">
        <f t="shared" si="53"/>
        <v>0</v>
      </c>
      <c r="AE253" s="116">
        <f t="shared" si="54"/>
        <v>0</v>
      </c>
    </row>
    <row r="254" spans="1:31">
      <c r="A254" s="131">
        <v>42908</v>
      </c>
      <c r="B254" s="131">
        <v>42914</v>
      </c>
      <c r="C254" s="123">
        <f t="shared" si="45"/>
        <v>6</v>
      </c>
      <c r="D254" s="123"/>
      <c r="E254" s="132">
        <v>663.77</v>
      </c>
      <c r="F254" s="134"/>
      <c r="G254" s="135"/>
      <c r="H254" s="123"/>
      <c r="I254" s="123"/>
      <c r="J254" s="123"/>
      <c r="K254" s="123"/>
      <c r="L254" s="123">
        <v>6</v>
      </c>
      <c r="M254" s="123"/>
      <c r="N254" s="123"/>
      <c r="O254" s="123"/>
      <c r="P254" s="123"/>
      <c r="Q254" s="123"/>
      <c r="R254" s="123"/>
      <c r="S254" s="133">
        <f t="shared" si="44"/>
        <v>0</v>
      </c>
      <c r="T254" s="116">
        <f t="shared" si="57"/>
        <v>0</v>
      </c>
      <c r="U254" s="116">
        <f t="shared" si="46"/>
        <v>0</v>
      </c>
      <c r="V254" s="116">
        <f t="shared" si="55"/>
        <v>0</v>
      </c>
      <c r="W254" s="116">
        <f t="shared" si="56"/>
        <v>0</v>
      </c>
      <c r="X254" s="116">
        <f t="shared" si="47"/>
        <v>0</v>
      </c>
      <c r="Y254" s="116">
        <f t="shared" si="48"/>
        <v>5552.7</v>
      </c>
      <c r="Z254" s="116">
        <f t="shared" si="49"/>
        <v>0</v>
      </c>
      <c r="AA254" s="116">
        <f t="shared" si="50"/>
        <v>0</v>
      </c>
      <c r="AB254" s="116">
        <f t="shared" si="51"/>
        <v>0</v>
      </c>
      <c r="AC254" s="116">
        <f t="shared" si="52"/>
        <v>0</v>
      </c>
      <c r="AD254" s="116">
        <f t="shared" si="53"/>
        <v>0</v>
      </c>
      <c r="AE254" s="116">
        <f t="shared" si="54"/>
        <v>0</v>
      </c>
    </row>
    <row r="255" spans="1:31">
      <c r="A255" s="131">
        <v>42889</v>
      </c>
      <c r="B255" s="131">
        <v>42919</v>
      </c>
      <c r="C255" s="123">
        <f t="shared" si="45"/>
        <v>30</v>
      </c>
      <c r="D255" s="123"/>
      <c r="E255" s="132">
        <v>480.84</v>
      </c>
      <c r="F255" s="134"/>
      <c r="G255" s="135"/>
      <c r="H255" s="123"/>
      <c r="I255" s="123"/>
      <c r="J255" s="123"/>
      <c r="K255" s="123"/>
      <c r="L255" s="123">
        <v>28</v>
      </c>
      <c r="M255" s="123">
        <v>2</v>
      </c>
      <c r="N255" s="123"/>
      <c r="O255" s="123"/>
      <c r="P255" s="123"/>
      <c r="Q255" s="123"/>
      <c r="R255" s="123"/>
      <c r="S255" s="133">
        <f t="shared" si="44"/>
        <v>0</v>
      </c>
      <c r="T255" s="116">
        <f t="shared" si="57"/>
        <v>0</v>
      </c>
      <c r="U255" s="116">
        <f t="shared" si="46"/>
        <v>0</v>
      </c>
      <c r="V255" s="116">
        <f t="shared" si="55"/>
        <v>0</v>
      </c>
      <c r="W255" s="116">
        <f t="shared" si="56"/>
        <v>0</v>
      </c>
      <c r="X255" s="116">
        <f t="shared" si="47"/>
        <v>0</v>
      </c>
      <c r="Y255" s="116">
        <f t="shared" si="48"/>
        <v>3754.26</v>
      </c>
      <c r="Z255" s="116">
        <f t="shared" si="49"/>
        <v>300.94</v>
      </c>
      <c r="AA255" s="116">
        <f t="shared" si="50"/>
        <v>0</v>
      </c>
      <c r="AB255" s="116">
        <f t="shared" si="51"/>
        <v>0</v>
      </c>
      <c r="AC255" s="116">
        <f t="shared" si="52"/>
        <v>0</v>
      </c>
      <c r="AD255" s="116">
        <f t="shared" si="53"/>
        <v>0</v>
      </c>
      <c r="AE255" s="116">
        <f t="shared" si="54"/>
        <v>0</v>
      </c>
    </row>
    <row r="256" spans="1:31">
      <c r="A256" s="131">
        <v>42887</v>
      </c>
      <c r="B256" s="131">
        <v>42917</v>
      </c>
      <c r="C256" s="123">
        <f t="shared" si="45"/>
        <v>30</v>
      </c>
      <c r="D256" s="123"/>
      <c r="E256" s="132">
        <v>3129.88</v>
      </c>
      <c r="F256" s="134"/>
      <c r="G256" s="135"/>
      <c r="H256" s="123"/>
      <c r="I256" s="123"/>
      <c r="J256" s="123"/>
      <c r="K256" s="123"/>
      <c r="L256" s="123">
        <v>30</v>
      </c>
      <c r="M256" s="123"/>
      <c r="N256" s="123"/>
      <c r="O256" s="123"/>
      <c r="P256" s="123"/>
      <c r="Q256" s="123"/>
      <c r="R256" s="123"/>
      <c r="S256" s="133">
        <f t="shared" si="44"/>
        <v>0</v>
      </c>
      <c r="T256" s="116">
        <f t="shared" si="57"/>
        <v>0</v>
      </c>
      <c r="U256" s="116">
        <f t="shared" si="46"/>
        <v>0</v>
      </c>
      <c r="V256" s="116">
        <f t="shared" si="55"/>
        <v>0</v>
      </c>
      <c r="W256" s="116">
        <f t="shared" si="56"/>
        <v>0</v>
      </c>
      <c r="X256" s="116">
        <f t="shared" si="47"/>
        <v>0</v>
      </c>
      <c r="Y256" s="116">
        <f t="shared" si="48"/>
        <v>26182.7</v>
      </c>
      <c r="Z256" s="116">
        <f t="shared" si="49"/>
        <v>0</v>
      </c>
      <c r="AA256" s="116">
        <f t="shared" si="50"/>
        <v>0</v>
      </c>
      <c r="AB256" s="116">
        <f t="shared" si="51"/>
        <v>0</v>
      </c>
      <c r="AC256" s="116">
        <f t="shared" si="52"/>
        <v>0</v>
      </c>
      <c r="AD256" s="116">
        <f t="shared" si="53"/>
        <v>0</v>
      </c>
      <c r="AE256" s="116">
        <f t="shared" si="54"/>
        <v>0</v>
      </c>
    </row>
    <row r="257" spans="1:31">
      <c r="A257" s="131">
        <v>42887</v>
      </c>
      <c r="B257" s="131">
        <v>42917</v>
      </c>
      <c r="C257" s="123">
        <f t="shared" si="45"/>
        <v>30</v>
      </c>
      <c r="D257" s="123" t="s">
        <v>219</v>
      </c>
      <c r="E257" s="132">
        <v>2994.4</v>
      </c>
      <c r="F257" s="134"/>
      <c r="G257" s="135"/>
      <c r="H257" s="123"/>
      <c r="I257" s="123"/>
      <c r="J257" s="123"/>
      <c r="K257" s="123"/>
      <c r="L257" s="123">
        <v>30</v>
      </c>
      <c r="M257" s="123"/>
      <c r="N257" s="123"/>
      <c r="O257" s="123"/>
      <c r="P257" s="123"/>
      <c r="Q257" s="123"/>
      <c r="R257" s="123"/>
      <c r="S257" s="133">
        <f t="shared" si="44"/>
        <v>0</v>
      </c>
      <c r="T257" s="116">
        <f t="shared" si="57"/>
        <v>0</v>
      </c>
      <c r="U257" s="116">
        <f t="shared" si="46"/>
        <v>0</v>
      </c>
      <c r="V257" s="116">
        <f t="shared" si="55"/>
        <v>0</v>
      </c>
      <c r="W257" s="116">
        <f t="shared" si="56"/>
        <v>0</v>
      </c>
      <c r="X257" s="116">
        <f t="shared" si="47"/>
        <v>0</v>
      </c>
      <c r="Y257" s="116">
        <f t="shared" si="48"/>
        <v>25049.360000000001</v>
      </c>
      <c r="Z257" s="116">
        <f t="shared" si="49"/>
        <v>0</v>
      </c>
      <c r="AA257" s="116">
        <f t="shared" si="50"/>
        <v>0</v>
      </c>
      <c r="AB257" s="116">
        <f t="shared" si="51"/>
        <v>0</v>
      </c>
      <c r="AC257" s="116">
        <f t="shared" si="52"/>
        <v>0</v>
      </c>
      <c r="AD257" s="116">
        <f t="shared" si="53"/>
        <v>0</v>
      </c>
      <c r="AE257" s="116">
        <f t="shared" si="54"/>
        <v>0</v>
      </c>
    </row>
    <row r="258" spans="1:31">
      <c r="A258" s="131">
        <v>42901</v>
      </c>
      <c r="B258" s="131">
        <v>42921</v>
      </c>
      <c r="C258" s="123">
        <f t="shared" si="45"/>
        <v>20</v>
      </c>
      <c r="D258" s="123"/>
      <c r="E258" s="132">
        <v>101.39</v>
      </c>
      <c r="F258" s="134"/>
      <c r="G258" s="135"/>
      <c r="H258" s="123"/>
      <c r="I258" s="123"/>
      <c r="J258" s="123"/>
      <c r="K258" s="123"/>
      <c r="L258" s="123">
        <v>16</v>
      </c>
      <c r="M258" s="123">
        <v>4</v>
      </c>
      <c r="N258" s="123"/>
      <c r="O258" s="123"/>
      <c r="P258" s="123"/>
      <c r="Q258" s="123"/>
      <c r="R258" s="123"/>
      <c r="S258" s="133">
        <f t="shared" si="44"/>
        <v>0</v>
      </c>
      <c r="T258" s="116">
        <f t="shared" si="57"/>
        <v>0</v>
      </c>
      <c r="U258" s="116">
        <f t="shared" si="46"/>
        <v>0</v>
      </c>
      <c r="V258" s="116">
        <f t="shared" si="55"/>
        <v>0</v>
      </c>
      <c r="W258" s="116">
        <f t="shared" si="56"/>
        <v>0</v>
      </c>
      <c r="X258" s="116">
        <f t="shared" si="47"/>
        <v>0</v>
      </c>
      <c r="Y258" s="116">
        <f t="shared" si="48"/>
        <v>678.53</v>
      </c>
      <c r="Z258" s="116">
        <f t="shared" si="49"/>
        <v>190.37</v>
      </c>
      <c r="AA258" s="116">
        <f t="shared" si="50"/>
        <v>0</v>
      </c>
      <c r="AB258" s="116">
        <f t="shared" si="51"/>
        <v>0</v>
      </c>
      <c r="AC258" s="116">
        <f t="shared" si="52"/>
        <v>0</v>
      </c>
      <c r="AD258" s="116">
        <f t="shared" si="53"/>
        <v>0</v>
      </c>
      <c r="AE258" s="116">
        <f t="shared" si="54"/>
        <v>0</v>
      </c>
    </row>
    <row r="259" spans="1:31">
      <c r="A259" s="131">
        <v>42889</v>
      </c>
      <c r="B259" s="131">
        <v>42919</v>
      </c>
      <c r="C259" s="123">
        <f t="shared" si="45"/>
        <v>30</v>
      </c>
      <c r="D259" s="123"/>
      <c r="E259" s="132">
        <v>527.14</v>
      </c>
      <c r="F259" s="134"/>
      <c r="G259" s="135"/>
      <c r="H259" s="123"/>
      <c r="I259" s="123"/>
      <c r="J259" s="123"/>
      <c r="K259" s="123"/>
      <c r="L259" s="123">
        <v>28</v>
      </c>
      <c r="M259" s="123">
        <v>2</v>
      </c>
      <c r="N259" s="123"/>
      <c r="O259" s="123"/>
      <c r="P259" s="123"/>
      <c r="Q259" s="123"/>
      <c r="R259" s="123"/>
      <c r="S259" s="133">
        <f t="shared" si="44"/>
        <v>0</v>
      </c>
      <c r="T259" s="116">
        <f t="shared" si="57"/>
        <v>0</v>
      </c>
      <c r="U259" s="116">
        <f t="shared" si="46"/>
        <v>0</v>
      </c>
      <c r="V259" s="116">
        <f t="shared" si="55"/>
        <v>0</v>
      </c>
      <c r="W259" s="116">
        <f t="shared" si="56"/>
        <v>0</v>
      </c>
      <c r="X259" s="116">
        <f t="shared" si="47"/>
        <v>0</v>
      </c>
      <c r="Y259" s="116">
        <f t="shared" si="48"/>
        <v>4115.75</v>
      </c>
      <c r="Z259" s="116">
        <f t="shared" si="49"/>
        <v>329.92</v>
      </c>
      <c r="AA259" s="116">
        <f t="shared" si="50"/>
        <v>0</v>
      </c>
      <c r="AB259" s="116">
        <f t="shared" si="51"/>
        <v>0</v>
      </c>
      <c r="AC259" s="116">
        <f t="shared" si="52"/>
        <v>0</v>
      </c>
      <c r="AD259" s="116">
        <f t="shared" si="53"/>
        <v>0</v>
      </c>
      <c r="AE259" s="116">
        <f t="shared" si="54"/>
        <v>0</v>
      </c>
    </row>
    <row r="260" spans="1:31">
      <c r="A260" s="131">
        <v>42891</v>
      </c>
      <c r="B260" s="131">
        <v>42921</v>
      </c>
      <c r="C260" s="123">
        <f t="shared" si="45"/>
        <v>30</v>
      </c>
      <c r="D260" s="123"/>
      <c r="E260" s="132">
        <v>963.18</v>
      </c>
      <c r="F260" s="134"/>
      <c r="G260" s="135"/>
      <c r="H260" s="123"/>
      <c r="I260" s="123"/>
      <c r="J260" s="123"/>
      <c r="K260" s="123"/>
      <c r="L260" s="123">
        <v>26</v>
      </c>
      <c r="M260" s="123">
        <v>4</v>
      </c>
      <c r="N260" s="123"/>
      <c r="O260" s="123"/>
      <c r="P260" s="123"/>
      <c r="Q260" s="123"/>
      <c r="R260" s="123"/>
      <c r="S260" s="133">
        <f t="shared" ref="S260:S325" si="58">C260-SUM(G260:R260)</f>
        <v>0</v>
      </c>
      <c r="T260" s="116">
        <f t="shared" si="57"/>
        <v>0</v>
      </c>
      <c r="U260" s="116">
        <f t="shared" si="46"/>
        <v>0</v>
      </c>
      <c r="V260" s="116">
        <f t="shared" si="55"/>
        <v>0</v>
      </c>
      <c r="W260" s="116">
        <f t="shared" si="56"/>
        <v>0</v>
      </c>
      <c r="X260" s="116">
        <f t="shared" si="47"/>
        <v>0</v>
      </c>
      <c r="Y260" s="116">
        <f t="shared" si="48"/>
        <v>6983.07</v>
      </c>
      <c r="Z260" s="116">
        <f t="shared" si="49"/>
        <v>1205.6300000000001</v>
      </c>
      <c r="AA260" s="116">
        <f t="shared" si="50"/>
        <v>0</v>
      </c>
      <c r="AB260" s="116">
        <f t="shared" si="51"/>
        <v>0</v>
      </c>
      <c r="AC260" s="116">
        <f t="shared" si="52"/>
        <v>0</v>
      </c>
      <c r="AD260" s="116">
        <f t="shared" si="53"/>
        <v>0</v>
      </c>
      <c r="AE260" s="116">
        <f t="shared" si="54"/>
        <v>0</v>
      </c>
    </row>
    <row r="261" spans="1:31">
      <c r="A261" s="131">
        <v>42889</v>
      </c>
      <c r="B261" s="131">
        <v>42919</v>
      </c>
      <c r="C261" s="123">
        <f t="shared" si="45"/>
        <v>30</v>
      </c>
      <c r="D261" s="123"/>
      <c r="E261" s="132">
        <v>1580.24</v>
      </c>
      <c r="F261" s="134"/>
      <c r="G261" s="135"/>
      <c r="H261" s="123"/>
      <c r="I261" s="123"/>
      <c r="J261" s="123"/>
      <c r="K261" s="123"/>
      <c r="L261" s="123">
        <v>28</v>
      </c>
      <c r="M261" s="123">
        <v>2</v>
      </c>
      <c r="N261" s="123"/>
      <c r="O261" s="123"/>
      <c r="P261" s="123"/>
      <c r="Q261" s="123"/>
      <c r="R261" s="123"/>
      <c r="S261" s="133">
        <f t="shared" si="58"/>
        <v>0</v>
      </c>
      <c r="T261" s="116">
        <f t="shared" si="57"/>
        <v>0</v>
      </c>
      <c r="U261" s="116">
        <f t="shared" si="46"/>
        <v>0</v>
      </c>
      <c r="V261" s="116">
        <f t="shared" si="55"/>
        <v>0</v>
      </c>
      <c r="W261" s="116">
        <f t="shared" si="56"/>
        <v>0</v>
      </c>
      <c r="X261" s="116">
        <f t="shared" si="47"/>
        <v>0</v>
      </c>
      <c r="Y261" s="116">
        <f t="shared" si="48"/>
        <v>12338.05</v>
      </c>
      <c r="Z261" s="116">
        <f t="shared" si="49"/>
        <v>989.01</v>
      </c>
      <c r="AA261" s="116">
        <f t="shared" si="50"/>
        <v>0</v>
      </c>
      <c r="AB261" s="116">
        <f t="shared" si="51"/>
        <v>0</v>
      </c>
      <c r="AC261" s="116">
        <f t="shared" si="52"/>
        <v>0</v>
      </c>
      <c r="AD261" s="116">
        <f t="shared" si="53"/>
        <v>0</v>
      </c>
      <c r="AE261" s="116">
        <f t="shared" si="54"/>
        <v>0</v>
      </c>
    </row>
    <row r="262" spans="1:31">
      <c r="A262" s="131">
        <v>42889</v>
      </c>
      <c r="B262" s="131">
        <v>42919</v>
      </c>
      <c r="C262" s="123">
        <f t="shared" si="45"/>
        <v>30</v>
      </c>
      <c r="D262" s="123"/>
      <c r="E262" s="132">
        <v>34.619999999999997</v>
      </c>
      <c r="F262" s="134"/>
      <c r="G262" s="135"/>
      <c r="H262" s="123"/>
      <c r="I262" s="123"/>
      <c r="J262" s="123"/>
      <c r="K262" s="123"/>
      <c r="L262" s="123">
        <v>28</v>
      </c>
      <c r="M262" s="123">
        <v>2</v>
      </c>
      <c r="N262" s="123"/>
      <c r="O262" s="123"/>
      <c r="P262" s="123"/>
      <c r="Q262" s="123"/>
      <c r="R262" s="123"/>
      <c r="S262" s="133">
        <f t="shared" si="58"/>
        <v>0</v>
      </c>
      <c r="T262" s="116">
        <f t="shared" si="57"/>
        <v>0</v>
      </c>
      <c r="U262" s="116">
        <f t="shared" si="46"/>
        <v>0</v>
      </c>
      <c r="V262" s="116">
        <f t="shared" si="55"/>
        <v>0</v>
      </c>
      <c r="W262" s="116">
        <f t="shared" si="56"/>
        <v>0</v>
      </c>
      <c r="X262" s="116">
        <f t="shared" si="47"/>
        <v>0</v>
      </c>
      <c r="Y262" s="116">
        <f t="shared" si="48"/>
        <v>270.3</v>
      </c>
      <c r="Z262" s="116">
        <f t="shared" si="49"/>
        <v>21.67</v>
      </c>
      <c r="AA262" s="116">
        <f t="shared" si="50"/>
        <v>0</v>
      </c>
      <c r="AB262" s="116">
        <f t="shared" si="51"/>
        <v>0</v>
      </c>
      <c r="AC262" s="116">
        <f t="shared" si="52"/>
        <v>0</v>
      </c>
      <c r="AD262" s="116">
        <f t="shared" si="53"/>
        <v>0</v>
      </c>
      <c r="AE262" s="116">
        <f t="shared" si="54"/>
        <v>0</v>
      </c>
    </row>
    <row r="263" spans="1:31">
      <c r="A263" s="131">
        <v>42889</v>
      </c>
      <c r="B263" s="131">
        <v>42919</v>
      </c>
      <c r="C263" s="123">
        <f t="shared" si="45"/>
        <v>30</v>
      </c>
      <c r="D263" s="123"/>
      <c r="E263" s="132">
        <v>851.49</v>
      </c>
      <c r="F263" s="134"/>
      <c r="G263" s="135"/>
      <c r="H263" s="123"/>
      <c r="I263" s="123"/>
      <c r="J263" s="123"/>
      <c r="K263" s="123"/>
      <c r="L263" s="123">
        <v>28</v>
      </c>
      <c r="M263" s="123">
        <v>2</v>
      </c>
      <c r="N263" s="123"/>
      <c r="O263" s="123"/>
      <c r="P263" s="123"/>
      <c r="Q263" s="123"/>
      <c r="R263" s="123"/>
      <c r="S263" s="133">
        <f t="shared" si="58"/>
        <v>0</v>
      </c>
      <c r="T263" s="116">
        <f t="shared" si="57"/>
        <v>0</v>
      </c>
      <c r="U263" s="116">
        <f t="shared" si="46"/>
        <v>0</v>
      </c>
      <c r="V263" s="116">
        <f t="shared" si="55"/>
        <v>0</v>
      </c>
      <c r="W263" s="116">
        <f t="shared" si="56"/>
        <v>0</v>
      </c>
      <c r="X263" s="116">
        <f t="shared" si="47"/>
        <v>0</v>
      </c>
      <c r="Y263" s="116">
        <f t="shared" si="48"/>
        <v>6648.18</v>
      </c>
      <c r="Z263" s="116">
        <f t="shared" si="49"/>
        <v>532.91</v>
      </c>
      <c r="AA263" s="116">
        <f t="shared" si="50"/>
        <v>0</v>
      </c>
      <c r="AB263" s="116">
        <f t="shared" si="51"/>
        <v>0</v>
      </c>
      <c r="AC263" s="116">
        <f t="shared" si="52"/>
        <v>0</v>
      </c>
      <c r="AD263" s="116">
        <f t="shared" si="53"/>
        <v>0</v>
      </c>
      <c r="AE263" s="116">
        <f t="shared" si="54"/>
        <v>0</v>
      </c>
    </row>
    <row r="264" spans="1:31">
      <c r="A264" s="131">
        <v>42891</v>
      </c>
      <c r="B264" s="131">
        <v>42921</v>
      </c>
      <c r="C264" s="123">
        <f t="shared" si="45"/>
        <v>30</v>
      </c>
      <c r="D264" s="123"/>
      <c r="E264" s="132">
        <v>189.14</v>
      </c>
      <c r="F264" s="134"/>
      <c r="G264" s="135"/>
      <c r="H264" s="123"/>
      <c r="I264" s="123"/>
      <c r="J264" s="123"/>
      <c r="K264" s="123"/>
      <c r="L264" s="123">
        <v>26</v>
      </c>
      <c r="M264" s="123">
        <v>4</v>
      </c>
      <c r="N264" s="123"/>
      <c r="O264" s="123"/>
      <c r="P264" s="123"/>
      <c r="Q264" s="123"/>
      <c r="R264" s="123"/>
      <c r="S264" s="133">
        <f t="shared" si="58"/>
        <v>0</v>
      </c>
      <c r="T264" s="116">
        <f t="shared" si="57"/>
        <v>0</v>
      </c>
      <c r="U264" s="116">
        <f t="shared" si="46"/>
        <v>0</v>
      </c>
      <c r="V264" s="116">
        <f t="shared" si="55"/>
        <v>0</v>
      </c>
      <c r="W264" s="116">
        <f t="shared" si="56"/>
        <v>0</v>
      </c>
      <c r="X264" s="116">
        <f t="shared" si="47"/>
        <v>0</v>
      </c>
      <c r="Y264" s="116">
        <f t="shared" si="48"/>
        <v>1371.27</v>
      </c>
      <c r="Z264" s="116">
        <f t="shared" si="49"/>
        <v>236.75</v>
      </c>
      <c r="AA264" s="116">
        <f t="shared" si="50"/>
        <v>0</v>
      </c>
      <c r="AB264" s="116">
        <f t="shared" si="51"/>
        <v>0</v>
      </c>
      <c r="AC264" s="116">
        <f t="shared" si="52"/>
        <v>0</v>
      </c>
      <c r="AD264" s="116">
        <f t="shared" si="53"/>
        <v>0</v>
      </c>
      <c r="AE264" s="116">
        <f t="shared" si="54"/>
        <v>0</v>
      </c>
    </row>
    <row r="265" spans="1:31">
      <c r="A265" s="131">
        <v>42894</v>
      </c>
      <c r="B265" s="131">
        <v>42924</v>
      </c>
      <c r="C265" s="123">
        <f t="shared" si="45"/>
        <v>30</v>
      </c>
      <c r="D265" s="123"/>
      <c r="E265" s="132">
        <v>223.16</v>
      </c>
      <c r="F265" s="134"/>
      <c r="G265" s="135"/>
      <c r="H265" s="123"/>
      <c r="I265" s="123"/>
      <c r="J265" s="123"/>
      <c r="K265" s="123"/>
      <c r="L265" s="123">
        <v>23</v>
      </c>
      <c r="M265" s="123">
        <v>7</v>
      </c>
      <c r="N265" s="123"/>
      <c r="O265" s="123"/>
      <c r="P265" s="123"/>
      <c r="Q265" s="123"/>
      <c r="R265" s="123"/>
      <c r="S265" s="133">
        <f t="shared" si="58"/>
        <v>0</v>
      </c>
      <c r="T265" s="116">
        <f t="shared" si="57"/>
        <v>0</v>
      </c>
      <c r="U265" s="116">
        <f t="shared" si="46"/>
        <v>0</v>
      </c>
      <c r="V265" s="116">
        <f t="shared" si="55"/>
        <v>0</v>
      </c>
      <c r="W265" s="116">
        <f t="shared" si="56"/>
        <v>0</v>
      </c>
      <c r="X265" s="116">
        <f t="shared" si="47"/>
        <v>0</v>
      </c>
      <c r="Y265" s="116">
        <f t="shared" si="48"/>
        <v>1431.23</v>
      </c>
      <c r="Z265" s="116">
        <f t="shared" si="49"/>
        <v>488.83</v>
      </c>
      <c r="AA265" s="116">
        <f t="shared" si="50"/>
        <v>0</v>
      </c>
      <c r="AB265" s="116">
        <f t="shared" si="51"/>
        <v>0</v>
      </c>
      <c r="AC265" s="116">
        <f t="shared" si="52"/>
        <v>0</v>
      </c>
      <c r="AD265" s="116">
        <f t="shared" si="53"/>
        <v>0</v>
      </c>
      <c r="AE265" s="116">
        <f t="shared" si="54"/>
        <v>0</v>
      </c>
    </row>
    <row r="266" spans="1:31">
      <c r="A266" s="131">
        <v>42894</v>
      </c>
      <c r="B266" s="131">
        <v>42924</v>
      </c>
      <c r="C266" s="123">
        <f t="shared" si="45"/>
        <v>30</v>
      </c>
      <c r="D266" s="123"/>
      <c r="E266" s="132">
        <v>414.98</v>
      </c>
      <c r="F266" s="134"/>
      <c r="G266" s="135"/>
      <c r="H266" s="123"/>
      <c r="I266" s="123"/>
      <c r="J266" s="123"/>
      <c r="K266" s="123"/>
      <c r="L266" s="123">
        <v>23</v>
      </c>
      <c r="M266" s="123">
        <v>7</v>
      </c>
      <c r="N266" s="123"/>
      <c r="O266" s="123"/>
      <c r="P266" s="123"/>
      <c r="Q266" s="123"/>
      <c r="R266" s="123"/>
      <c r="S266" s="133">
        <f t="shared" si="58"/>
        <v>0</v>
      </c>
      <c r="T266" s="116">
        <f t="shared" si="57"/>
        <v>0</v>
      </c>
      <c r="U266" s="116">
        <f t="shared" si="46"/>
        <v>0</v>
      </c>
      <c r="V266" s="116">
        <f t="shared" si="55"/>
        <v>0</v>
      </c>
      <c r="W266" s="116">
        <f t="shared" si="56"/>
        <v>0</v>
      </c>
      <c r="X266" s="116">
        <f t="shared" si="47"/>
        <v>0</v>
      </c>
      <c r="Y266" s="116">
        <f t="shared" si="48"/>
        <v>2661.46</v>
      </c>
      <c r="Z266" s="116">
        <f t="shared" si="49"/>
        <v>909.02</v>
      </c>
      <c r="AA266" s="116">
        <f t="shared" si="50"/>
        <v>0</v>
      </c>
      <c r="AB266" s="116">
        <f t="shared" si="51"/>
        <v>0</v>
      </c>
      <c r="AC266" s="116">
        <f t="shared" si="52"/>
        <v>0</v>
      </c>
      <c r="AD266" s="116">
        <f t="shared" si="53"/>
        <v>0</v>
      </c>
      <c r="AE266" s="116">
        <f t="shared" si="54"/>
        <v>0</v>
      </c>
    </row>
    <row r="267" spans="1:31">
      <c r="A267" s="131">
        <v>42891</v>
      </c>
      <c r="B267" s="131">
        <v>42921</v>
      </c>
      <c r="C267" s="123">
        <f t="shared" si="45"/>
        <v>30</v>
      </c>
      <c r="D267" s="123"/>
      <c r="E267" s="132">
        <v>688.7</v>
      </c>
      <c r="F267" s="134"/>
      <c r="G267" s="135"/>
      <c r="H267" s="123"/>
      <c r="I267" s="123"/>
      <c r="J267" s="123"/>
      <c r="K267" s="123"/>
      <c r="L267" s="123">
        <v>26</v>
      </c>
      <c r="M267" s="123">
        <v>4</v>
      </c>
      <c r="N267" s="123"/>
      <c r="O267" s="123"/>
      <c r="P267" s="123"/>
      <c r="Q267" s="123"/>
      <c r="R267" s="123"/>
      <c r="S267" s="133">
        <f t="shared" si="58"/>
        <v>0</v>
      </c>
      <c r="T267" s="116">
        <f t="shared" si="57"/>
        <v>0</v>
      </c>
      <c r="U267" s="116">
        <f t="shared" si="46"/>
        <v>0</v>
      </c>
      <c r="V267" s="116">
        <f t="shared" si="55"/>
        <v>0</v>
      </c>
      <c r="W267" s="116">
        <f t="shared" si="56"/>
        <v>0</v>
      </c>
      <c r="X267" s="116">
        <f t="shared" si="47"/>
        <v>0</v>
      </c>
      <c r="Y267" s="116">
        <f t="shared" si="48"/>
        <v>4993.08</v>
      </c>
      <c r="Z267" s="116">
        <f t="shared" si="49"/>
        <v>862.06</v>
      </c>
      <c r="AA267" s="116">
        <f t="shared" si="50"/>
        <v>0</v>
      </c>
      <c r="AB267" s="116">
        <f t="shared" si="51"/>
        <v>0</v>
      </c>
      <c r="AC267" s="116">
        <f t="shared" si="52"/>
        <v>0</v>
      </c>
      <c r="AD267" s="116">
        <f t="shared" si="53"/>
        <v>0</v>
      </c>
      <c r="AE267" s="116">
        <f t="shared" si="54"/>
        <v>0</v>
      </c>
    </row>
    <row r="268" spans="1:31">
      <c r="A268" s="131">
        <v>42894</v>
      </c>
      <c r="B268" s="131">
        <v>42924</v>
      </c>
      <c r="C268" s="123">
        <f t="shared" si="45"/>
        <v>30</v>
      </c>
      <c r="D268" s="123"/>
      <c r="E268" s="132">
        <v>588.15</v>
      </c>
      <c r="F268" s="134"/>
      <c r="G268" s="135"/>
      <c r="H268" s="123"/>
      <c r="I268" s="123"/>
      <c r="J268" s="123"/>
      <c r="K268" s="123"/>
      <c r="L268" s="123">
        <v>23</v>
      </c>
      <c r="M268" s="123">
        <v>7</v>
      </c>
      <c r="N268" s="123"/>
      <c r="O268" s="123"/>
      <c r="P268" s="123"/>
      <c r="Q268" s="123"/>
      <c r="R268" s="123"/>
      <c r="S268" s="133">
        <f t="shared" si="58"/>
        <v>0</v>
      </c>
      <c r="T268" s="116">
        <f t="shared" si="57"/>
        <v>0</v>
      </c>
      <c r="U268" s="116">
        <f t="shared" si="46"/>
        <v>0</v>
      </c>
      <c r="V268" s="116">
        <f t="shared" si="55"/>
        <v>0</v>
      </c>
      <c r="W268" s="116">
        <f t="shared" si="56"/>
        <v>0</v>
      </c>
      <c r="X268" s="116">
        <f t="shared" si="47"/>
        <v>0</v>
      </c>
      <c r="Y268" s="116">
        <f t="shared" si="48"/>
        <v>3772.08</v>
      </c>
      <c r="Z268" s="116">
        <f t="shared" si="49"/>
        <v>1288.3499999999999</v>
      </c>
      <c r="AA268" s="116">
        <f t="shared" si="50"/>
        <v>0</v>
      </c>
      <c r="AB268" s="116">
        <f t="shared" si="51"/>
        <v>0</v>
      </c>
      <c r="AC268" s="116">
        <f t="shared" si="52"/>
        <v>0</v>
      </c>
      <c r="AD268" s="116">
        <f t="shared" si="53"/>
        <v>0</v>
      </c>
      <c r="AE268" s="116">
        <f t="shared" si="54"/>
        <v>0</v>
      </c>
    </row>
    <row r="269" spans="1:31">
      <c r="A269" s="131">
        <v>42894</v>
      </c>
      <c r="B269" s="131">
        <v>42924</v>
      </c>
      <c r="C269" s="123">
        <f t="shared" si="45"/>
        <v>30</v>
      </c>
      <c r="D269" s="123"/>
      <c r="E269" s="132">
        <v>95.89</v>
      </c>
      <c r="F269" s="134"/>
      <c r="G269" s="135"/>
      <c r="H269" s="123"/>
      <c r="I269" s="123"/>
      <c r="J269" s="123"/>
      <c r="K269" s="123"/>
      <c r="L269" s="123">
        <v>23</v>
      </c>
      <c r="M269" s="123">
        <v>7</v>
      </c>
      <c r="N269" s="123"/>
      <c r="O269" s="123"/>
      <c r="P269" s="123"/>
      <c r="Q269" s="123"/>
      <c r="R269" s="123"/>
      <c r="S269" s="133">
        <f t="shared" si="58"/>
        <v>0</v>
      </c>
      <c r="T269" s="116">
        <f t="shared" si="57"/>
        <v>0</v>
      </c>
      <c r="U269" s="116">
        <f t="shared" si="46"/>
        <v>0</v>
      </c>
      <c r="V269" s="116">
        <f t="shared" si="55"/>
        <v>0</v>
      </c>
      <c r="W269" s="116">
        <f t="shared" si="56"/>
        <v>0</v>
      </c>
      <c r="X269" s="116">
        <f t="shared" si="47"/>
        <v>0</v>
      </c>
      <c r="Y269" s="116">
        <f t="shared" si="48"/>
        <v>614.99</v>
      </c>
      <c r="Z269" s="116">
        <f t="shared" si="49"/>
        <v>210.05</v>
      </c>
      <c r="AA269" s="116">
        <f t="shared" si="50"/>
        <v>0</v>
      </c>
      <c r="AB269" s="116">
        <f t="shared" si="51"/>
        <v>0</v>
      </c>
      <c r="AC269" s="116">
        <f t="shared" si="52"/>
        <v>0</v>
      </c>
      <c r="AD269" s="116">
        <f t="shared" si="53"/>
        <v>0</v>
      </c>
      <c r="AE269" s="116">
        <f t="shared" si="54"/>
        <v>0</v>
      </c>
    </row>
    <row r="270" spans="1:31">
      <c r="A270" s="131">
        <v>42901</v>
      </c>
      <c r="B270" s="131">
        <v>42928</v>
      </c>
      <c r="C270" s="123">
        <f t="shared" si="45"/>
        <v>27</v>
      </c>
      <c r="D270" s="123"/>
      <c r="E270" s="132">
        <v>20.53</v>
      </c>
      <c r="F270" s="134"/>
      <c r="G270" s="135"/>
      <c r="H270" s="123"/>
      <c r="I270" s="123"/>
      <c r="J270" s="123"/>
      <c r="K270" s="123"/>
      <c r="L270" s="123">
        <v>16</v>
      </c>
      <c r="M270" s="123">
        <v>11</v>
      </c>
      <c r="N270" s="123"/>
      <c r="O270" s="123"/>
      <c r="P270" s="123"/>
      <c r="Q270" s="123"/>
      <c r="R270" s="123"/>
      <c r="S270" s="133">
        <f t="shared" si="58"/>
        <v>0</v>
      </c>
      <c r="T270" s="116">
        <f t="shared" si="57"/>
        <v>0</v>
      </c>
      <c r="U270" s="116">
        <f t="shared" si="46"/>
        <v>0</v>
      </c>
      <c r="V270" s="116">
        <f t="shared" si="55"/>
        <v>0</v>
      </c>
      <c r="W270" s="116">
        <f t="shared" si="56"/>
        <v>0</v>
      </c>
      <c r="X270" s="116">
        <f t="shared" si="47"/>
        <v>0</v>
      </c>
      <c r="Y270" s="116">
        <f t="shared" si="48"/>
        <v>101.77</v>
      </c>
      <c r="Z270" s="116">
        <f t="shared" si="49"/>
        <v>78.52</v>
      </c>
      <c r="AA270" s="116">
        <f t="shared" si="50"/>
        <v>0</v>
      </c>
      <c r="AB270" s="116">
        <f t="shared" si="51"/>
        <v>0</v>
      </c>
      <c r="AC270" s="116">
        <f t="shared" si="52"/>
        <v>0</v>
      </c>
      <c r="AD270" s="116">
        <f t="shared" si="53"/>
        <v>0</v>
      </c>
      <c r="AE270" s="116">
        <f t="shared" si="54"/>
        <v>0</v>
      </c>
    </row>
    <row r="271" spans="1:31">
      <c r="A271" s="131">
        <v>42898</v>
      </c>
      <c r="B271" s="131">
        <v>42928</v>
      </c>
      <c r="C271" s="123">
        <f t="shared" si="45"/>
        <v>30</v>
      </c>
      <c r="D271" s="123"/>
      <c r="E271" s="132">
        <v>1049.6200000000001</v>
      </c>
      <c r="F271" s="134"/>
      <c r="G271" s="135"/>
      <c r="H271" s="123"/>
      <c r="I271" s="123"/>
      <c r="J271" s="123"/>
      <c r="K271" s="123"/>
      <c r="L271" s="123">
        <v>19</v>
      </c>
      <c r="M271" s="123">
        <v>11</v>
      </c>
      <c r="N271" s="123"/>
      <c r="O271" s="123"/>
      <c r="P271" s="123"/>
      <c r="Q271" s="123"/>
      <c r="R271" s="123"/>
      <c r="S271" s="133">
        <f t="shared" si="58"/>
        <v>0</v>
      </c>
      <c r="T271" s="116">
        <f t="shared" si="57"/>
        <v>0</v>
      </c>
      <c r="U271" s="116">
        <f t="shared" si="46"/>
        <v>0</v>
      </c>
      <c r="V271" s="116">
        <f t="shared" si="55"/>
        <v>0</v>
      </c>
      <c r="W271" s="116">
        <f t="shared" si="56"/>
        <v>0</v>
      </c>
      <c r="X271" s="116">
        <f t="shared" si="47"/>
        <v>0</v>
      </c>
      <c r="Y271" s="116">
        <f t="shared" si="48"/>
        <v>5560.98</v>
      </c>
      <c r="Z271" s="116">
        <f t="shared" si="49"/>
        <v>3613.04</v>
      </c>
      <c r="AA271" s="116">
        <f t="shared" si="50"/>
        <v>0</v>
      </c>
      <c r="AB271" s="116">
        <f t="shared" si="51"/>
        <v>0</v>
      </c>
      <c r="AC271" s="116">
        <f t="shared" si="52"/>
        <v>0</v>
      </c>
      <c r="AD271" s="116">
        <f t="shared" si="53"/>
        <v>0</v>
      </c>
      <c r="AE271" s="116">
        <f t="shared" si="54"/>
        <v>0</v>
      </c>
    </row>
    <row r="272" spans="1:31">
      <c r="A272" s="131">
        <v>42898</v>
      </c>
      <c r="B272" s="131">
        <v>42928</v>
      </c>
      <c r="C272" s="123">
        <f t="shared" si="45"/>
        <v>30</v>
      </c>
      <c r="D272" s="123"/>
      <c r="E272" s="132">
        <v>854.14</v>
      </c>
      <c r="F272" s="134"/>
      <c r="G272" s="135"/>
      <c r="H272" s="123"/>
      <c r="I272" s="123"/>
      <c r="J272" s="123"/>
      <c r="K272" s="123"/>
      <c r="L272" s="123">
        <v>19</v>
      </c>
      <c r="M272" s="123">
        <v>11</v>
      </c>
      <c r="N272" s="123"/>
      <c r="O272" s="123"/>
      <c r="P272" s="123"/>
      <c r="Q272" s="123"/>
      <c r="R272" s="123"/>
      <c r="S272" s="133">
        <f t="shared" si="58"/>
        <v>0</v>
      </c>
      <c r="T272" s="116">
        <f t="shared" si="57"/>
        <v>0</v>
      </c>
      <c r="U272" s="116">
        <f t="shared" si="46"/>
        <v>0</v>
      </c>
      <c r="V272" s="116">
        <f t="shared" si="55"/>
        <v>0</v>
      </c>
      <c r="W272" s="116">
        <f t="shared" si="56"/>
        <v>0</v>
      </c>
      <c r="X272" s="116">
        <f t="shared" si="47"/>
        <v>0</v>
      </c>
      <c r="Y272" s="116">
        <f t="shared" si="48"/>
        <v>4525.3100000000004</v>
      </c>
      <c r="Z272" s="116">
        <f t="shared" si="49"/>
        <v>2940.15</v>
      </c>
      <c r="AA272" s="116">
        <f t="shared" si="50"/>
        <v>0</v>
      </c>
      <c r="AB272" s="116">
        <f t="shared" si="51"/>
        <v>0</v>
      </c>
      <c r="AC272" s="116">
        <f t="shared" si="52"/>
        <v>0</v>
      </c>
      <c r="AD272" s="116">
        <f t="shared" si="53"/>
        <v>0</v>
      </c>
      <c r="AE272" s="116">
        <f t="shared" si="54"/>
        <v>0</v>
      </c>
    </row>
    <row r="273" spans="1:31" ht="15.75" thickBot="1">
      <c r="A273" s="131">
        <v>42898</v>
      </c>
      <c r="B273" s="131">
        <v>42928</v>
      </c>
      <c r="C273" s="123">
        <f t="shared" si="45"/>
        <v>30</v>
      </c>
      <c r="D273" s="123"/>
      <c r="E273" s="132">
        <v>178.79</v>
      </c>
      <c r="F273" s="134"/>
      <c r="G273" s="135"/>
      <c r="H273" s="123"/>
      <c r="I273" s="123"/>
      <c r="J273" s="123"/>
      <c r="K273" s="123"/>
      <c r="L273" s="123">
        <v>19</v>
      </c>
      <c r="M273" s="123">
        <v>11</v>
      </c>
      <c r="N273" s="123"/>
      <c r="O273" s="123"/>
      <c r="P273" s="123"/>
      <c r="Q273" s="123"/>
      <c r="R273" s="123"/>
      <c r="S273" s="133">
        <f t="shared" si="58"/>
        <v>0</v>
      </c>
      <c r="T273" s="116">
        <f t="shared" si="57"/>
        <v>0</v>
      </c>
      <c r="U273" s="116">
        <f t="shared" si="46"/>
        <v>0</v>
      </c>
      <c r="V273" s="116">
        <f t="shared" si="55"/>
        <v>0</v>
      </c>
      <c r="W273" s="116">
        <f t="shared" si="56"/>
        <v>0</v>
      </c>
      <c r="X273" s="116">
        <f t="shared" si="47"/>
        <v>0</v>
      </c>
      <c r="Y273" s="116">
        <f t="shared" si="48"/>
        <v>947.24</v>
      </c>
      <c r="Z273" s="116">
        <f t="shared" si="49"/>
        <v>615.44000000000005</v>
      </c>
      <c r="AA273" s="116">
        <f t="shared" si="50"/>
        <v>0</v>
      </c>
      <c r="AB273" s="116">
        <f t="shared" si="51"/>
        <v>0</v>
      </c>
      <c r="AC273" s="116">
        <f t="shared" si="52"/>
        <v>0</v>
      </c>
      <c r="AD273" s="116">
        <f t="shared" si="53"/>
        <v>0</v>
      </c>
      <c r="AE273" s="116">
        <f t="shared" si="54"/>
        <v>0</v>
      </c>
    </row>
    <row r="274" spans="1:31" ht="15.75" thickBot="1">
      <c r="A274" s="185" t="s">
        <v>42</v>
      </c>
      <c r="B274" s="186"/>
      <c r="C274" s="186"/>
      <c r="D274" s="186"/>
      <c r="E274" s="186"/>
      <c r="F274" s="186"/>
      <c r="G274" s="186"/>
      <c r="H274" s="186"/>
      <c r="I274" s="186"/>
      <c r="J274" s="186"/>
      <c r="K274" s="186"/>
      <c r="L274" s="186"/>
      <c r="M274" s="186"/>
      <c r="N274" s="186"/>
      <c r="O274" s="186"/>
      <c r="P274" s="186"/>
      <c r="Q274" s="186"/>
      <c r="R274" s="186"/>
      <c r="S274" s="186"/>
      <c r="T274" s="186"/>
      <c r="U274" s="186"/>
      <c r="V274" s="186"/>
      <c r="W274" s="186"/>
      <c r="X274" s="186"/>
      <c r="Y274" s="186"/>
      <c r="Z274" s="186"/>
      <c r="AA274" s="186"/>
      <c r="AB274" s="186"/>
      <c r="AC274" s="186"/>
      <c r="AD274" s="186"/>
      <c r="AE274" s="187"/>
    </row>
    <row r="275" spans="1:31">
      <c r="A275" s="131">
        <v>42905</v>
      </c>
      <c r="B275" s="131">
        <v>42935</v>
      </c>
      <c r="C275" s="123">
        <f t="shared" si="45"/>
        <v>30</v>
      </c>
      <c r="D275" s="123"/>
      <c r="E275" s="132">
        <v>815.89</v>
      </c>
      <c r="F275" s="134"/>
      <c r="G275" s="135"/>
      <c r="H275" s="123"/>
      <c r="I275" s="123"/>
      <c r="J275" s="123"/>
      <c r="K275" s="123"/>
      <c r="L275" s="123">
        <v>12</v>
      </c>
      <c r="M275" s="123">
        <v>18</v>
      </c>
      <c r="N275" s="123"/>
      <c r="O275" s="123"/>
      <c r="P275" s="123"/>
      <c r="Q275" s="123"/>
      <c r="R275" s="123"/>
      <c r="S275" s="133">
        <f t="shared" si="58"/>
        <v>0</v>
      </c>
      <c r="T275" s="116">
        <f t="shared" si="57"/>
        <v>0</v>
      </c>
      <c r="U275" s="116">
        <f t="shared" si="46"/>
        <v>0</v>
      </c>
      <c r="V275" s="116">
        <f t="shared" si="55"/>
        <v>0</v>
      </c>
      <c r="W275" s="116">
        <f t="shared" si="56"/>
        <v>0</v>
      </c>
      <c r="X275" s="116">
        <f t="shared" si="47"/>
        <v>0</v>
      </c>
      <c r="Y275" s="116">
        <f t="shared" si="48"/>
        <v>2730.1</v>
      </c>
      <c r="Z275" s="116">
        <f t="shared" si="49"/>
        <v>4595.7</v>
      </c>
      <c r="AA275" s="116">
        <f t="shared" si="50"/>
        <v>0</v>
      </c>
      <c r="AB275" s="116">
        <f t="shared" si="51"/>
        <v>0</v>
      </c>
      <c r="AC275" s="116">
        <f t="shared" si="52"/>
        <v>0</v>
      </c>
      <c r="AD275" s="116">
        <f t="shared" si="53"/>
        <v>0</v>
      </c>
      <c r="AE275" s="116">
        <f t="shared" si="54"/>
        <v>0</v>
      </c>
    </row>
    <row r="276" spans="1:31">
      <c r="A276" s="131">
        <v>42905</v>
      </c>
      <c r="B276" s="131">
        <v>42935</v>
      </c>
      <c r="C276" s="123">
        <f t="shared" si="45"/>
        <v>30</v>
      </c>
      <c r="D276" s="123"/>
      <c r="E276" s="132">
        <v>649.31000000000006</v>
      </c>
      <c r="F276" s="134"/>
      <c r="G276" s="135"/>
      <c r="H276" s="123"/>
      <c r="I276" s="123"/>
      <c r="J276" s="123"/>
      <c r="K276" s="123"/>
      <c r="L276" s="123">
        <v>12</v>
      </c>
      <c r="M276" s="123">
        <v>18</v>
      </c>
      <c r="N276" s="123"/>
      <c r="O276" s="123"/>
      <c r="P276" s="123"/>
      <c r="Q276" s="123"/>
      <c r="R276" s="123"/>
      <c r="S276" s="133">
        <f t="shared" si="58"/>
        <v>0</v>
      </c>
      <c r="T276" s="116">
        <f t="shared" si="57"/>
        <v>0</v>
      </c>
      <c r="U276" s="116">
        <f t="shared" si="46"/>
        <v>0</v>
      </c>
      <c r="V276" s="116">
        <f t="shared" si="55"/>
        <v>0</v>
      </c>
      <c r="W276" s="116">
        <f t="shared" si="56"/>
        <v>0</v>
      </c>
      <c r="X276" s="116">
        <f t="shared" si="47"/>
        <v>0</v>
      </c>
      <c r="Y276" s="116">
        <f t="shared" si="48"/>
        <v>2172.6999999999998</v>
      </c>
      <c r="Z276" s="116">
        <f t="shared" si="49"/>
        <v>3657.4</v>
      </c>
      <c r="AA276" s="116">
        <f t="shared" si="50"/>
        <v>0</v>
      </c>
      <c r="AB276" s="116">
        <f t="shared" si="51"/>
        <v>0</v>
      </c>
      <c r="AC276" s="116">
        <f t="shared" si="52"/>
        <v>0</v>
      </c>
      <c r="AD276" s="116">
        <f t="shared" si="53"/>
        <v>0</v>
      </c>
      <c r="AE276" s="116">
        <f t="shared" si="54"/>
        <v>0</v>
      </c>
    </row>
    <row r="277" spans="1:31">
      <c r="A277" s="131">
        <v>42905</v>
      </c>
      <c r="B277" s="131">
        <v>42940</v>
      </c>
      <c r="C277" s="123">
        <f t="shared" si="45"/>
        <v>35</v>
      </c>
      <c r="D277" s="123"/>
      <c r="E277" s="132">
        <v>72.350000000000009</v>
      </c>
      <c r="F277" s="134"/>
      <c r="G277" s="135"/>
      <c r="H277" s="123"/>
      <c r="I277" s="123"/>
      <c r="J277" s="123"/>
      <c r="K277" s="123"/>
      <c r="L277" s="123">
        <v>12</v>
      </c>
      <c r="M277" s="123">
        <v>23</v>
      </c>
      <c r="N277" s="123"/>
      <c r="O277" s="123"/>
      <c r="P277" s="123"/>
      <c r="Q277" s="123"/>
      <c r="R277" s="123"/>
      <c r="S277" s="133">
        <f t="shared" si="58"/>
        <v>0</v>
      </c>
      <c r="T277" s="116">
        <f t="shared" si="57"/>
        <v>0</v>
      </c>
      <c r="U277" s="116">
        <f t="shared" si="46"/>
        <v>0</v>
      </c>
      <c r="V277" s="116">
        <f t="shared" si="55"/>
        <v>0</v>
      </c>
      <c r="W277" s="116">
        <f t="shared" si="56"/>
        <v>0</v>
      </c>
      <c r="X277" s="116">
        <f t="shared" si="47"/>
        <v>0</v>
      </c>
      <c r="Y277" s="116">
        <f t="shared" si="48"/>
        <v>207.51</v>
      </c>
      <c r="Z277" s="116">
        <f t="shared" si="49"/>
        <v>446.34</v>
      </c>
      <c r="AA277" s="116">
        <f t="shared" si="50"/>
        <v>0</v>
      </c>
      <c r="AB277" s="116">
        <f t="shared" si="51"/>
        <v>0</v>
      </c>
      <c r="AC277" s="116">
        <f t="shared" si="52"/>
        <v>0</v>
      </c>
      <c r="AD277" s="116">
        <f t="shared" si="53"/>
        <v>0</v>
      </c>
      <c r="AE277" s="116">
        <f t="shared" si="54"/>
        <v>0</v>
      </c>
    </row>
    <row r="278" spans="1:31">
      <c r="A278" s="131">
        <v>42905</v>
      </c>
      <c r="B278" s="131">
        <v>42935</v>
      </c>
      <c r="C278" s="123">
        <f t="shared" si="45"/>
        <v>30</v>
      </c>
      <c r="D278" s="123"/>
      <c r="E278" s="132">
        <v>1878.49</v>
      </c>
      <c r="F278" s="134"/>
      <c r="G278" s="135"/>
      <c r="H278" s="123"/>
      <c r="I278" s="123"/>
      <c r="J278" s="123"/>
      <c r="K278" s="123"/>
      <c r="L278" s="123">
        <v>12</v>
      </c>
      <c r="M278" s="123">
        <v>18</v>
      </c>
      <c r="N278" s="123"/>
      <c r="O278" s="123"/>
      <c r="P278" s="123"/>
      <c r="Q278" s="123"/>
      <c r="R278" s="123"/>
      <c r="S278" s="133">
        <f t="shared" si="58"/>
        <v>0</v>
      </c>
      <c r="T278" s="116">
        <f t="shared" si="57"/>
        <v>0</v>
      </c>
      <c r="U278" s="116">
        <f t="shared" si="46"/>
        <v>0</v>
      </c>
      <c r="V278" s="116">
        <f t="shared" si="55"/>
        <v>0</v>
      </c>
      <c r="W278" s="116">
        <f t="shared" si="56"/>
        <v>0</v>
      </c>
      <c r="X278" s="116">
        <f t="shared" si="47"/>
        <v>0</v>
      </c>
      <c r="Y278" s="116">
        <f t="shared" si="48"/>
        <v>6285.73</v>
      </c>
      <c r="Z278" s="116">
        <f t="shared" si="49"/>
        <v>10581.06</v>
      </c>
      <c r="AA278" s="116">
        <f t="shared" si="50"/>
        <v>0</v>
      </c>
      <c r="AB278" s="116">
        <f t="shared" si="51"/>
        <v>0</v>
      </c>
      <c r="AC278" s="116">
        <f t="shared" si="52"/>
        <v>0</v>
      </c>
      <c r="AD278" s="116">
        <f t="shared" si="53"/>
        <v>0</v>
      </c>
      <c r="AE278" s="116">
        <f t="shared" si="54"/>
        <v>0</v>
      </c>
    </row>
    <row r="279" spans="1:31">
      <c r="A279" s="131">
        <v>42901</v>
      </c>
      <c r="B279" s="131">
        <v>42931</v>
      </c>
      <c r="C279" s="123">
        <f t="shared" si="45"/>
        <v>30</v>
      </c>
      <c r="D279" s="123"/>
      <c r="E279" s="132">
        <v>2404.7600000000002</v>
      </c>
      <c r="F279" s="134"/>
      <c r="G279" s="135"/>
      <c r="H279" s="123"/>
      <c r="I279" s="123"/>
      <c r="J279" s="123"/>
      <c r="K279" s="123"/>
      <c r="L279" s="123">
        <v>16</v>
      </c>
      <c r="M279" s="123">
        <v>14</v>
      </c>
      <c r="N279" s="123"/>
      <c r="O279" s="123"/>
      <c r="P279" s="123"/>
      <c r="Q279" s="123"/>
      <c r="R279" s="123"/>
      <c r="S279" s="133">
        <f t="shared" si="58"/>
        <v>0</v>
      </c>
      <c r="T279" s="116">
        <f t="shared" si="57"/>
        <v>0</v>
      </c>
      <c r="U279" s="116">
        <f t="shared" si="46"/>
        <v>0</v>
      </c>
      <c r="V279" s="116">
        <f t="shared" si="55"/>
        <v>0</v>
      </c>
      <c r="W279" s="116">
        <f t="shared" si="56"/>
        <v>0</v>
      </c>
      <c r="X279" s="116">
        <f t="shared" si="47"/>
        <v>0</v>
      </c>
      <c r="Y279" s="116">
        <f t="shared" si="48"/>
        <v>10728.95</v>
      </c>
      <c r="Z279" s="116">
        <f t="shared" si="49"/>
        <v>10535.31</v>
      </c>
      <c r="AA279" s="116">
        <f t="shared" si="50"/>
        <v>0</v>
      </c>
      <c r="AB279" s="116">
        <f t="shared" si="51"/>
        <v>0</v>
      </c>
      <c r="AC279" s="116">
        <f t="shared" si="52"/>
        <v>0</v>
      </c>
      <c r="AD279" s="116">
        <f t="shared" si="53"/>
        <v>0</v>
      </c>
      <c r="AE279" s="116">
        <f t="shared" si="54"/>
        <v>0</v>
      </c>
    </row>
    <row r="280" spans="1:31">
      <c r="A280" s="131">
        <v>42901</v>
      </c>
      <c r="B280" s="131">
        <v>42931</v>
      </c>
      <c r="C280" s="123">
        <f t="shared" si="45"/>
        <v>30</v>
      </c>
      <c r="D280" s="123"/>
      <c r="E280" s="132">
        <v>9258.44</v>
      </c>
      <c r="F280" s="134"/>
      <c r="G280" s="135"/>
      <c r="H280" s="123"/>
      <c r="I280" s="123"/>
      <c r="J280" s="123"/>
      <c r="K280" s="123"/>
      <c r="L280" s="123">
        <v>16</v>
      </c>
      <c r="M280" s="123">
        <v>14</v>
      </c>
      <c r="N280" s="123"/>
      <c r="O280" s="123"/>
      <c r="P280" s="123"/>
      <c r="Q280" s="123"/>
      <c r="R280" s="123"/>
      <c r="S280" s="133">
        <f t="shared" si="58"/>
        <v>0</v>
      </c>
      <c r="T280" s="116">
        <f t="shared" si="57"/>
        <v>0</v>
      </c>
      <c r="U280" s="116">
        <f t="shared" si="46"/>
        <v>0</v>
      </c>
      <c r="V280" s="116">
        <f t="shared" si="55"/>
        <v>0</v>
      </c>
      <c r="W280" s="116">
        <f t="shared" si="56"/>
        <v>0</v>
      </c>
      <c r="X280" s="116">
        <f t="shared" si="47"/>
        <v>0</v>
      </c>
      <c r="Y280" s="116">
        <f t="shared" si="48"/>
        <v>41306.97</v>
      </c>
      <c r="Z280" s="116">
        <f t="shared" si="49"/>
        <v>40561.449999999997</v>
      </c>
      <c r="AA280" s="116">
        <f t="shared" si="50"/>
        <v>0</v>
      </c>
      <c r="AB280" s="116">
        <f t="shared" si="51"/>
        <v>0</v>
      </c>
      <c r="AC280" s="116">
        <f t="shared" si="52"/>
        <v>0</v>
      </c>
      <c r="AD280" s="116">
        <f t="shared" si="53"/>
        <v>0</v>
      </c>
      <c r="AE280" s="116">
        <f t="shared" si="54"/>
        <v>0</v>
      </c>
    </row>
    <row r="281" spans="1:31">
      <c r="A281" s="131">
        <v>42901</v>
      </c>
      <c r="B281" s="131">
        <v>42931</v>
      </c>
      <c r="C281" s="123">
        <f t="shared" si="45"/>
        <v>30</v>
      </c>
      <c r="D281" s="123"/>
      <c r="E281" s="132">
        <v>30517.71</v>
      </c>
      <c r="F281" s="134"/>
      <c r="G281" s="135"/>
      <c r="H281" s="123"/>
      <c r="I281" s="123"/>
      <c r="J281" s="123"/>
      <c r="K281" s="123"/>
      <c r="L281" s="123">
        <v>16</v>
      </c>
      <c r="M281" s="123">
        <v>14</v>
      </c>
      <c r="N281" s="123"/>
      <c r="O281" s="123"/>
      <c r="P281" s="123"/>
      <c r="Q281" s="123"/>
      <c r="R281" s="123"/>
      <c r="S281" s="133">
        <f t="shared" si="58"/>
        <v>0</v>
      </c>
      <c r="T281" s="116">
        <f t="shared" si="57"/>
        <v>0</v>
      </c>
      <c r="U281" s="116">
        <f t="shared" si="46"/>
        <v>0</v>
      </c>
      <c r="V281" s="116">
        <f t="shared" si="55"/>
        <v>0</v>
      </c>
      <c r="W281" s="116">
        <f t="shared" si="56"/>
        <v>0</v>
      </c>
      <c r="X281" s="116">
        <f t="shared" si="47"/>
        <v>0</v>
      </c>
      <c r="Y281" s="116">
        <f t="shared" si="48"/>
        <v>136156.20000000001</v>
      </c>
      <c r="Z281" s="116">
        <f t="shared" si="49"/>
        <v>133698.82</v>
      </c>
      <c r="AA281" s="116">
        <f t="shared" si="50"/>
        <v>0</v>
      </c>
      <c r="AB281" s="116">
        <f t="shared" si="51"/>
        <v>0</v>
      </c>
      <c r="AC281" s="116">
        <f t="shared" si="52"/>
        <v>0</v>
      </c>
      <c r="AD281" s="116">
        <f t="shared" si="53"/>
        <v>0</v>
      </c>
      <c r="AE281" s="116">
        <f t="shared" si="54"/>
        <v>0</v>
      </c>
    </row>
    <row r="282" spans="1:31">
      <c r="A282" s="131">
        <v>42912</v>
      </c>
      <c r="B282" s="131">
        <v>42942</v>
      </c>
      <c r="C282" s="123">
        <f t="shared" si="45"/>
        <v>30</v>
      </c>
      <c r="D282" s="123"/>
      <c r="E282" s="132">
        <v>1388.98</v>
      </c>
      <c r="F282" s="134"/>
      <c r="G282" s="135"/>
      <c r="H282" s="123"/>
      <c r="I282" s="123"/>
      <c r="J282" s="123"/>
      <c r="K282" s="123"/>
      <c r="L282" s="123">
        <v>5</v>
      </c>
      <c r="M282" s="123">
        <v>25</v>
      </c>
      <c r="N282" s="123"/>
      <c r="O282" s="123"/>
      <c r="P282" s="123"/>
      <c r="Q282" s="123"/>
      <c r="R282" s="123"/>
      <c r="S282" s="133">
        <f t="shared" si="58"/>
        <v>0</v>
      </c>
      <c r="T282" s="116">
        <f t="shared" si="57"/>
        <v>0</v>
      </c>
      <c r="U282" s="116">
        <f t="shared" si="46"/>
        <v>0</v>
      </c>
      <c r="V282" s="116">
        <f t="shared" si="55"/>
        <v>0</v>
      </c>
      <c r="W282" s="116">
        <f t="shared" si="56"/>
        <v>0</v>
      </c>
      <c r="X282" s="116">
        <f t="shared" si="47"/>
        <v>0</v>
      </c>
      <c r="Y282" s="116">
        <f t="shared" si="48"/>
        <v>1936.56</v>
      </c>
      <c r="Z282" s="116">
        <f t="shared" si="49"/>
        <v>10866.35</v>
      </c>
      <c r="AA282" s="116">
        <f t="shared" si="50"/>
        <v>0</v>
      </c>
      <c r="AB282" s="116">
        <f t="shared" si="51"/>
        <v>0</v>
      </c>
      <c r="AC282" s="116">
        <f t="shared" si="52"/>
        <v>0</v>
      </c>
      <c r="AD282" s="116">
        <f t="shared" si="53"/>
        <v>0</v>
      </c>
      <c r="AE282" s="116">
        <f t="shared" si="54"/>
        <v>0</v>
      </c>
    </row>
    <row r="283" spans="1:31">
      <c r="A283" s="131">
        <v>42912</v>
      </c>
      <c r="B283" s="131">
        <v>42942</v>
      </c>
      <c r="C283" s="123">
        <f t="shared" ref="C283:C348" si="59">B283-A283</f>
        <v>30</v>
      </c>
      <c r="D283" s="123"/>
      <c r="E283" s="132">
        <v>1317.04</v>
      </c>
      <c r="F283" s="134"/>
      <c r="G283" s="135"/>
      <c r="H283" s="123"/>
      <c r="I283" s="123"/>
      <c r="J283" s="123"/>
      <c r="K283" s="123"/>
      <c r="L283" s="123">
        <v>5</v>
      </c>
      <c r="M283" s="123">
        <v>25</v>
      </c>
      <c r="N283" s="123"/>
      <c r="O283" s="123"/>
      <c r="P283" s="123"/>
      <c r="Q283" s="123"/>
      <c r="R283" s="123"/>
      <c r="S283" s="133">
        <f t="shared" si="58"/>
        <v>0</v>
      </c>
      <c r="T283" s="116">
        <f t="shared" si="57"/>
        <v>0</v>
      </c>
      <c r="U283" s="116">
        <f t="shared" ref="U283:U348" si="60">ROUND(($E283*$H283/$C283)/$C$7,2)</f>
        <v>0</v>
      </c>
      <c r="V283" s="116">
        <f t="shared" si="55"/>
        <v>0</v>
      </c>
      <c r="W283" s="116">
        <f t="shared" si="56"/>
        <v>0</v>
      </c>
      <c r="X283" s="116">
        <f t="shared" ref="X283:X348" si="61">ROUND(($E283*$K283/$C283)/$C$10,2)</f>
        <v>0</v>
      </c>
      <c r="Y283" s="116">
        <f t="shared" ref="Y283:Y348" si="62">ROUND(($E283*$L283/$C283)/$C$11,2)</f>
        <v>1836.26</v>
      </c>
      <c r="Z283" s="116">
        <f t="shared" ref="Z283:Z348" si="63">ROUND(($E283*$M283/$C283)/$C$12,2)</f>
        <v>10303.540000000001</v>
      </c>
      <c r="AA283" s="116">
        <f t="shared" ref="AA283:AA348" si="64">ROUND(($E283*$N283/$C283)/$C$13,2)</f>
        <v>0</v>
      </c>
      <c r="AB283" s="116">
        <f t="shared" ref="AB283:AB348" si="65">ROUND(($E283*$O283/$C283)/$C$14,2)</f>
        <v>0</v>
      </c>
      <c r="AC283" s="116">
        <f t="shared" ref="AC283:AC348" si="66">ROUND(($E283*$P283/$C283)/$C$15,2)</f>
        <v>0</v>
      </c>
      <c r="AD283" s="116">
        <f t="shared" ref="AD283:AD348" si="67">ROUND(($E283*$Q283/$C283)/$C$16,2)</f>
        <v>0</v>
      </c>
      <c r="AE283" s="116">
        <f t="shared" ref="AE283:AE348" si="68">ROUND(($E283*$R283/$C283)/$C$17,2)</f>
        <v>0</v>
      </c>
    </row>
    <row r="284" spans="1:31">
      <c r="A284" s="131">
        <v>42908</v>
      </c>
      <c r="B284" s="131">
        <v>42938</v>
      </c>
      <c r="C284" s="123">
        <f t="shared" si="59"/>
        <v>30</v>
      </c>
      <c r="D284" s="123">
        <v>30</v>
      </c>
      <c r="E284" s="132">
        <v>264643.72000000003</v>
      </c>
      <c r="F284" s="134"/>
      <c r="G284" s="135"/>
      <c r="H284" s="123"/>
      <c r="I284" s="123"/>
      <c r="J284" s="123"/>
      <c r="K284" s="123"/>
      <c r="L284" s="123">
        <v>9</v>
      </c>
      <c r="M284" s="123">
        <v>21</v>
      </c>
      <c r="N284" s="123"/>
      <c r="O284" s="123"/>
      <c r="P284" s="123"/>
      <c r="Q284" s="123"/>
      <c r="R284" s="123"/>
      <c r="S284" s="133">
        <f t="shared" si="58"/>
        <v>0</v>
      </c>
      <c r="T284" s="116">
        <f t="shared" si="57"/>
        <v>0</v>
      </c>
      <c r="U284" s="116">
        <f t="shared" si="60"/>
        <v>0</v>
      </c>
      <c r="V284" s="116">
        <f t="shared" ref="V284:V349" si="69">ROUND(($E284*$I284/$C284)/$C$8,2)</f>
        <v>0</v>
      </c>
      <c r="W284" s="116">
        <f t="shared" ref="W284:W349" si="70">ROUND(($E284*$J284/$C284)/$C$9,2)</f>
        <v>0</v>
      </c>
      <c r="X284" s="116">
        <f t="shared" si="61"/>
        <v>0</v>
      </c>
      <c r="Y284" s="116">
        <v>720591.09</v>
      </c>
      <c r="Z284" s="116">
        <v>1681379.2</v>
      </c>
      <c r="AA284" s="116">
        <f t="shared" si="64"/>
        <v>0</v>
      </c>
      <c r="AB284" s="116">
        <f t="shared" si="65"/>
        <v>0</v>
      </c>
      <c r="AC284" s="116">
        <f t="shared" si="66"/>
        <v>0</v>
      </c>
      <c r="AD284" s="116">
        <f t="shared" si="67"/>
        <v>0</v>
      </c>
      <c r="AE284" s="116">
        <f t="shared" si="68"/>
        <v>0</v>
      </c>
    </row>
    <row r="285" spans="1:31">
      <c r="A285" s="131">
        <v>42917</v>
      </c>
      <c r="B285" s="131">
        <v>42943</v>
      </c>
      <c r="C285" s="123">
        <f t="shared" si="59"/>
        <v>26</v>
      </c>
      <c r="D285" s="123"/>
      <c r="E285" s="132">
        <v>13.59</v>
      </c>
      <c r="F285" s="134"/>
      <c r="G285" s="135"/>
      <c r="H285" s="123"/>
      <c r="I285" s="123"/>
      <c r="J285" s="123"/>
      <c r="K285" s="123"/>
      <c r="L285" s="123"/>
      <c r="M285" s="123">
        <v>26</v>
      </c>
      <c r="N285" s="123"/>
      <c r="O285" s="123"/>
      <c r="P285" s="123"/>
      <c r="Q285" s="123"/>
      <c r="R285" s="123"/>
      <c r="S285" s="133">
        <f t="shared" si="58"/>
        <v>0</v>
      </c>
      <c r="T285" s="116">
        <f t="shared" ref="T285:T348" si="71">ROUND((E285*G285/C285)/$C$6,2)</f>
        <v>0</v>
      </c>
      <c r="U285" s="116">
        <f t="shared" si="60"/>
        <v>0</v>
      </c>
      <c r="V285" s="116">
        <f t="shared" si="69"/>
        <v>0</v>
      </c>
      <c r="W285" s="116">
        <f t="shared" si="70"/>
        <v>0</v>
      </c>
      <c r="X285" s="116">
        <f t="shared" si="61"/>
        <v>0</v>
      </c>
      <c r="Y285" s="116">
        <f t="shared" si="62"/>
        <v>0</v>
      </c>
      <c r="Z285" s="116">
        <f t="shared" si="63"/>
        <v>127.58</v>
      </c>
      <c r="AA285" s="116">
        <f t="shared" si="64"/>
        <v>0</v>
      </c>
      <c r="AB285" s="116">
        <f t="shared" si="65"/>
        <v>0</v>
      </c>
      <c r="AC285" s="116">
        <f t="shared" si="66"/>
        <v>0</v>
      </c>
      <c r="AD285" s="116">
        <f t="shared" si="67"/>
        <v>0</v>
      </c>
      <c r="AE285" s="116">
        <f t="shared" si="68"/>
        <v>0</v>
      </c>
    </row>
    <row r="286" spans="1:31">
      <c r="A286" s="131">
        <v>42914</v>
      </c>
      <c r="B286" s="131">
        <v>42944</v>
      </c>
      <c r="C286" s="123">
        <f t="shared" si="59"/>
        <v>30</v>
      </c>
      <c r="D286" s="123"/>
      <c r="E286" s="132">
        <v>1194.6300000000001</v>
      </c>
      <c r="F286" s="134"/>
      <c r="G286" s="135"/>
      <c r="H286" s="123"/>
      <c r="I286" s="123"/>
      <c r="J286" s="123"/>
      <c r="K286" s="123"/>
      <c r="L286" s="123">
        <v>3</v>
      </c>
      <c r="M286" s="123">
        <v>27</v>
      </c>
      <c r="N286" s="123"/>
      <c r="O286" s="123"/>
      <c r="P286" s="123"/>
      <c r="Q286" s="123"/>
      <c r="R286" s="123"/>
      <c r="S286" s="133">
        <f t="shared" si="58"/>
        <v>0</v>
      </c>
      <c r="T286" s="116">
        <f t="shared" si="71"/>
        <v>0</v>
      </c>
      <c r="U286" s="116">
        <f t="shared" si="60"/>
        <v>0</v>
      </c>
      <c r="V286" s="116">
        <f t="shared" si="69"/>
        <v>0</v>
      </c>
      <c r="W286" s="116">
        <f t="shared" si="70"/>
        <v>0</v>
      </c>
      <c r="X286" s="116">
        <f t="shared" si="61"/>
        <v>0</v>
      </c>
      <c r="Y286" s="116">
        <f t="shared" si="62"/>
        <v>999.36</v>
      </c>
      <c r="Z286" s="116">
        <f t="shared" si="63"/>
        <v>10093.57</v>
      </c>
      <c r="AA286" s="116">
        <f t="shared" si="64"/>
        <v>0</v>
      </c>
      <c r="AB286" s="116">
        <f t="shared" si="65"/>
        <v>0</v>
      </c>
      <c r="AC286" s="116">
        <f t="shared" si="66"/>
        <v>0</v>
      </c>
      <c r="AD286" s="116">
        <f t="shared" si="67"/>
        <v>0</v>
      </c>
      <c r="AE286" s="116">
        <f t="shared" si="68"/>
        <v>0</v>
      </c>
    </row>
    <row r="287" spans="1:31">
      <c r="A287" s="131">
        <v>42924</v>
      </c>
      <c r="B287" s="131">
        <v>42944</v>
      </c>
      <c r="C287" s="123">
        <f t="shared" si="59"/>
        <v>20</v>
      </c>
      <c r="D287" s="123"/>
      <c r="E287" s="132">
        <v>28.07</v>
      </c>
      <c r="F287" s="134"/>
      <c r="G287" s="135"/>
      <c r="H287" s="123"/>
      <c r="I287" s="123"/>
      <c r="J287" s="123"/>
      <c r="K287" s="123"/>
      <c r="L287" s="123"/>
      <c r="M287" s="123">
        <v>20</v>
      </c>
      <c r="N287" s="123"/>
      <c r="O287" s="123"/>
      <c r="P287" s="123"/>
      <c r="Q287" s="123"/>
      <c r="R287" s="123"/>
      <c r="S287" s="133">
        <f t="shared" si="58"/>
        <v>0</v>
      </c>
      <c r="T287" s="116">
        <f t="shared" si="71"/>
        <v>0</v>
      </c>
      <c r="U287" s="116">
        <f t="shared" si="60"/>
        <v>0</v>
      </c>
      <c r="V287" s="116">
        <f t="shared" si="69"/>
        <v>0</v>
      </c>
      <c r="W287" s="116">
        <f t="shared" si="70"/>
        <v>0</v>
      </c>
      <c r="X287" s="116">
        <f t="shared" si="61"/>
        <v>0</v>
      </c>
      <c r="Y287" s="116">
        <f t="shared" si="62"/>
        <v>0</v>
      </c>
      <c r="Z287" s="116">
        <f t="shared" si="63"/>
        <v>263.52</v>
      </c>
      <c r="AA287" s="116">
        <f t="shared" si="64"/>
        <v>0</v>
      </c>
      <c r="AB287" s="116">
        <f t="shared" si="65"/>
        <v>0</v>
      </c>
      <c r="AC287" s="116">
        <f t="shared" si="66"/>
        <v>0</v>
      </c>
      <c r="AD287" s="116">
        <f t="shared" si="67"/>
        <v>0</v>
      </c>
      <c r="AE287" s="116">
        <f t="shared" si="68"/>
        <v>0</v>
      </c>
    </row>
    <row r="288" spans="1:31">
      <c r="A288" s="131">
        <v>42914</v>
      </c>
      <c r="B288" s="131">
        <v>42944</v>
      </c>
      <c r="C288" s="123">
        <f t="shared" si="59"/>
        <v>30</v>
      </c>
      <c r="D288" s="123"/>
      <c r="E288" s="132">
        <v>306.47000000000003</v>
      </c>
      <c r="F288" s="134"/>
      <c r="G288" s="135"/>
      <c r="H288" s="123"/>
      <c r="I288" s="123"/>
      <c r="J288" s="123"/>
      <c r="K288" s="123"/>
      <c r="L288" s="123">
        <v>3</v>
      </c>
      <c r="M288" s="123">
        <v>27</v>
      </c>
      <c r="N288" s="123"/>
      <c r="O288" s="123"/>
      <c r="P288" s="123"/>
      <c r="Q288" s="123"/>
      <c r="R288" s="123"/>
      <c r="S288" s="133">
        <f t="shared" si="58"/>
        <v>0</v>
      </c>
      <c r="T288" s="116">
        <f t="shared" si="71"/>
        <v>0</v>
      </c>
      <c r="U288" s="116">
        <f t="shared" si="60"/>
        <v>0</v>
      </c>
      <c r="V288" s="116">
        <f t="shared" si="69"/>
        <v>0</v>
      </c>
      <c r="W288" s="116">
        <f t="shared" si="70"/>
        <v>0</v>
      </c>
      <c r="X288" s="116">
        <f t="shared" si="61"/>
        <v>0</v>
      </c>
      <c r="Y288" s="116">
        <f t="shared" si="62"/>
        <v>256.37</v>
      </c>
      <c r="Z288" s="116">
        <f t="shared" si="63"/>
        <v>2589.4</v>
      </c>
      <c r="AA288" s="116">
        <f t="shared" si="64"/>
        <v>0</v>
      </c>
      <c r="AB288" s="116">
        <f t="shared" si="65"/>
        <v>0</v>
      </c>
      <c r="AC288" s="116">
        <f t="shared" si="66"/>
        <v>0</v>
      </c>
      <c r="AD288" s="116">
        <f t="shared" si="67"/>
        <v>0</v>
      </c>
      <c r="AE288" s="116">
        <f t="shared" si="68"/>
        <v>0</v>
      </c>
    </row>
    <row r="289" spans="1:31">
      <c r="A289" s="131">
        <v>42917</v>
      </c>
      <c r="B289" s="131">
        <v>42948</v>
      </c>
      <c r="C289" s="123">
        <f t="shared" si="59"/>
        <v>31</v>
      </c>
      <c r="D289" s="123"/>
      <c r="E289" s="132">
        <v>232.14</v>
      </c>
      <c r="F289" s="134"/>
      <c r="G289" s="135"/>
      <c r="H289" s="123"/>
      <c r="I289" s="123"/>
      <c r="J289" s="123"/>
      <c r="K289" s="123"/>
      <c r="L289" s="123"/>
      <c r="M289" s="123">
        <v>31</v>
      </c>
      <c r="N289" s="123"/>
      <c r="O289" s="123"/>
      <c r="P289" s="123"/>
      <c r="Q289" s="123"/>
      <c r="R289" s="123"/>
      <c r="S289" s="133">
        <f t="shared" si="58"/>
        <v>0</v>
      </c>
      <c r="T289" s="116">
        <f t="shared" si="71"/>
        <v>0</v>
      </c>
      <c r="U289" s="116">
        <f t="shared" si="60"/>
        <v>0</v>
      </c>
      <c r="V289" s="116">
        <f t="shared" si="69"/>
        <v>0</v>
      </c>
      <c r="W289" s="116">
        <f t="shared" si="70"/>
        <v>0</v>
      </c>
      <c r="X289" s="116">
        <f t="shared" si="61"/>
        <v>0</v>
      </c>
      <c r="Y289" s="116">
        <f t="shared" si="62"/>
        <v>0</v>
      </c>
      <c r="Z289" s="116">
        <f t="shared" si="63"/>
        <v>2179.31</v>
      </c>
      <c r="AA289" s="116">
        <f t="shared" si="64"/>
        <v>0</v>
      </c>
      <c r="AB289" s="116">
        <f t="shared" si="65"/>
        <v>0</v>
      </c>
      <c r="AC289" s="116">
        <f t="shared" si="66"/>
        <v>0</v>
      </c>
      <c r="AD289" s="116">
        <f t="shared" si="67"/>
        <v>0</v>
      </c>
      <c r="AE289" s="116">
        <f t="shared" si="68"/>
        <v>0</v>
      </c>
    </row>
    <row r="290" spans="1:31">
      <c r="A290" s="131">
        <v>42917</v>
      </c>
      <c r="B290" s="131">
        <v>42948</v>
      </c>
      <c r="C290" s="123">
        <f t="shared" si="59"/>
        <v>31</v>
      </c>
      <c r="D290" s="123" t="s">
        <v>219</v>
      </c>
      <c r="E290" s="132">
        <v>5416.86</v>
      </c>
      <c r="F290" s="134"/>
      <c r="G290" s="135"/>
      <c r="H290" s="123"/>
      <c r="I290" s="123"/>
      <c r="J290" s="123"/>
      <c r="K290" s="123"/>
      <c r="L290" s="123"/>
      <c r="M290" s="123">
        <v>31</v>
      </c>
      <c r="N290" s="123"/>
      <c r="O290" s="123"/>
      <c r="P290" s="123"/>
      <c r="Q290" s="123"/>
      <c r="R290" s="123"/>
      <c r="S290" s="133">
        <f t="shared" si="58"/>
        <v>0</v>
      </c>
      <c r="T290" s="116">
        <f t="shared" si="71"/>
        <v>0</v>
      </c>
      <c r="U290" s="116">
        <f t="shared" si="60"/>
        <v>0</v>
      </c>
      <c r="V290" s="116">
        <f t="shared" si="69"/>
        <v>0</v>
      </c>
      <c r="W290" s="116">
        <f t="shared" si="70"/>
        <v>0</v>
      </c>
      <c r="X290" s="116">
        <f t="shared" si="61"/>
        <v>0</v>
      </c>
      <c r="Y290" s="116">
        <f t="shared" si="62"/>
        <v>0</v>
      </c>
      <c r="Z290" s="116">
        <f t="shared" si="63"/>
        <v>50852.99</v>
      </c>
      <c r="AA290" s="116">
        <f t="shared" si="64"/>
        <v>0</v>
      </c>
      <c r="AB290" s="116">
        <f t="shared" si="65"/>
        <v>0</v>
      </c>
      <c r="AC290" s="116">
        <f t="shared" si="66"/>
        <v>0</v>
      </c>
      <c r="AD290" s="116">
        <f t="shared" si="67"/>
        <v>0</v>
      </c>
      <c r="AE290" s="116">
        <f t="shared" si="68"/>
        <v>0</v>
      </c>
    </row>
    <row r="291" spans="1:31">
      <c r="A291" s="131">
        <v>42914</v>
      </c>
      <c r="B291" s="131">
        <v>42943</v>
      </c>
      <c r="C291" s="123">
        <f t="shared" si="59"/>
        <v>29</v>
      </c>
      <c r="D291" s="123" t="s">
        <v>218</v>
      </c>
      <c r="E291" s="132">
        <v>6119.01</v>
      </c>
      <c r="F291" s="134"/>
      <c r="G291" s="135"/>
      <c r="H291" s="123"/>
      <c r="I291" s="123"/>
      <c r="J291" s="123"/>
      <c r="K291" s="123"/>
      <c r="L291" s="123">
        <v>3</v>
      </c>
      <c r="M291" s="123">
        <v>26</v>
      </c>
      <c r="N291" s="123"/>
      <c r="O291" s="123"/>
      <c r="P291" s="123"/>
      <c r="Q291" s="123"/>
      <c r="R291" s="123"/>
      <c r="S291" s="133">
        <f t="shared" si="58"/>
        <v>0</v>
      </c>
      <c r="T291" s="116">
        <f t="shared" si="71"/>
        <v>0</v>
      </c>
      <c r="U291" s="116">
        <f t="shared" si="60"/>
        <v>0</v>
      </c>
      <c r="V291" s="116">
        <f t="shared" si="69"/>
        <v>0</v>
      </c>
      <c r="W291" s="116">
        <f t="shared" si="70"/>
        <v>0</v>
      </c>
      <c r="X291" s="116">
        <f t="shared" si="61"/>
        <v>0</v>
      </c>
      <c r="Y291" s="116">
        <f t="shared" si="62"/>
        <v>5295.31</v>
      </c>
      <c r="Z291" s="116">
        <f t="shared" si="63"/>
        <v>51502.15</v>
      </c>
      <c r="AA291" s="116">
        <f t="shared" si="64"/>
        <v>0</v>
      </c>
      <c r="AB291" s="116">
        <f t="shared" si="65"/>
        <v>0</v>
      </c>
      <c r="AC291" s="116">
        <f t="shared" si="66"/>
        <v>0</v>
      </c>
      <c r="AD291" s="116">
        <f t="shared" si="67"/>
        <v>0</v>
      </c>
      <c r="AE291" s="116">
        <f t="shared" si="68"/>
        <v>0</v>
      </c>
    </row>
    <row r="292" spans="1:31">
      <c r="A292" s="131">
        <v>42917</v>
      </c>
      <c r="B292" s="131">
        <v>42948</v>
      </c>
      <c r="C292" s="123">
        <f t="shared" si="59"/>
        <v>31</v>
      </c>
      <c r="D292" s="123"/>
      <c r="E292" s="132">
        <v>167704.46</v>
      </c>
      <c r="F292" s="134"/>
      <c r="G292" s="135"/>
      <c r="H292" s="123"/>
      <c r="I292" s="123"/>
      <c r="J292" s="123"/>
      <c r="K292" s="123"/>
      <c r="L292" s="123"/>
      <c r="M292" s="123">
        <v>31</v>
      </c>
      <c r="N292" s="123"/>
      <c r="O292" s="123"/>
      <c r="P292" s="123"/>
      <c r="Q292" s="123"/>
      <c r="R292" s="123"/>
      <c r="S292" s="133">
        <f t="shared" si="58"/>
        <v>0</v>
      </c>
      <c r="T292" s="116">
        <f t="shared" si="71"/>
        <v>0</v>
      </c>
      <c r="U292" s="116">
        <f t="shared" si="60"/>
        <v>0</v>
      </c>
      <c r="V292" s="116">
        <f t="shared" si="69"/>
        <v>0</v>
      </c>
      <c r="W292" s="116">
        <f t="shared" si="70"/>
        <v>0</v>
      </c>
      <c r="X292" s="116">
        <f t="shared" si="61"/>
        <v>0</v>
      </c>
      <c r="Y292" s="116">
        <f t="shared" si="62"/>
        <v>0</v>
      </c>
      <c r="Z292" s="116">
        <f t="shared" si="63"/>
        <v>1574394.1</v>
      </c>
      <c r="AA292" s="116">
        <f t="shared" si="64"/>
        <v>0</v>
      </c>
      <c r="AB292" s="116">
        <f t="shared" si="65"/>
        <v>0</v>
      </c>
      <c r="AC292" s="116">
        <f t="shared" si="66"/>
        <v>0</v>
      </c>
      <c r="AD292" s="116">
        <f t="shared" si="67"/>
        <v>0</v>
      </c>
      <c r="AE292" s="116">
        <f t="shared" si="68"/>
        <v>0</v>
      </c>
    </row>
    <row r="293" spans="1:31">
      <c r="A293" s="131">
        <v>42917</v>
      </c>
      <c r="B293" s="131">
        <v>42948</v>
      </c>
      <c r="C293" s="123">
        <f t="shared" si="59"/>
        <v>31</v>
      </c>
      <c r="D293" s="123"/>
      <c r="E293" s="132">
        <v>108465.38</v>
      </c>
      <c r="F293" s="134"/>
      <c r="G293" s="135"/>
      <c r="H293" s="123"/>
      <c r="I293" s="123"/>
      <c r="J293" s="123"/>
      <c r="K293" s="123"/>
      <c r="L293" s="123"/>
      <c r="M293" s="123">
        <v>31</v>
      </c>
      <c r="N293" s="123"/>
      <c r="O293" s="123"/>
      <c r="P293" s="123"/>
      <c r="Q293" s="123"/>
      <c r="R293" s="123"/>
      <c r="S293" s="133">
        <f t="shared" si="58"/>
        <v>0</v>
      </c>
      <c r="T293" s="116">
        <f t="shared" si="71"/>
        <v>0</v>
      </c>
      <c r="U293" s="116">
        <f t="shared" si="60"/>
        <v>0</v>
      </c>
      <c r="V293" s="116">
        <f t="shared" si="69"/>
        <v>0</v>
      </c>
      <c r="W293" s="116">
        <f t="shared" si="70"/>
        <v>0</v>
      </c>
      <c r="X293" s="116">
        <f t="shared" si="61"/>
        <v>0</v>
      </c>
      <c r="Y293" s="116">
        <f t="shared" si="62"/>
        <v>0</v>
      </c>
      <c r="Z293" s="116">
        <f t="shared" si="63"/>
        <v>1018263.05</v>
      </c>
      <c r="AA293" s="116">
        <f t="shared" si="64"/>
        <v>0</v>
      </c>
      <c r="AB293" s="116">
        <f t="shared" si="65"/>
        <v>0</v>
      </c>
      <c r="AC293" s="116">
        <f t="shared" si="66"/>
        <v>0</v>
      </c>
      <c r="AD293" s="116">
        <f t="shared" si="67"/>
        <v>0</v>
      </c>
      <c r="AE293" s="116">
        <f t="shared" si="68"/>
        <v>0</v>
      </c>
    </row>
    <row r="294" spans="1:31">
      <c r="A294" s="131">
        <v>42917</v>
      </c>
      <c r="B294" s="131">
        <v>42948</v>
      </c>
      <c r="C294" s="123">
        <f t="shared" si="59"/>
        <v>31</v>
      </c>
      <c r="D294" s="123" t="s">
        <v>219</v>
      </c>
      <c r="E294" s="132">
        <v>2861.24</v>
      </c>
      <c r="F294" s="134"/>
      <c r="G294" s="135"/>
      <c r="H294" s="123"/>
      <c r="I294" s="123"/>
      <c r="J294" s="123"/>
      <c r="K294" s="123"/>
      <c r="L294" s="123"/>
      <c r="M294" s="123">
        <v>31</v>
      </c>
      <c r="N294" s="123"/>
      <c r="O294" s="123"/>
      <c r="P294" s="123"/>
      <c r="Q294" s="123"/>
      <c r="R294" s="123"/>
      <c r="S294" s="133">
        <f t="shared" si="58"/>
        <v>0</v>
      </c>
      <c r="T294" s="116">
        <f t="shared" si="71"/>
        <v>0</v>
      </c>
      <c r="U294" s="116">
        <f t="shared" si="60"/>
        <v>0</v>
      </c>
      <c r="V294" s="116">
        <f t="shared" si="69"/>
        <v>0</v>
      </c>
      <c r="W294" s="116">
        <f t="shared" si="70"/>
        <v>0</v>
      </c>
      <c r="X294" s="116">
        <f t="shared" si="61"/>
        <v>0</v>
      </c>
      <c r="Y294" s="116">
        <f t="shared" si="62"/>
        <v>0</v>
      </c>
      <c r="Z294" s="116">
        <f t="shared" si="63"/>
        <v>26861.06</v>
      </c>
      <c r="AA294" s="116">
        <f t="shared" si="64"/>
        <v>0</v>
      </c>
      <c r="AB294" s="116">
        <f t="shared" si="65"/>
        <v>0</v>
      </c>
      <c r="AC294" s="116">
        <f t="shared" si="66"/>
        <v>0</v>
      </c>
      <c r="AD294" s="116">
        <f t="shared" si="67"/>
        <v>0</v>
      </c>
      <c r="AE294" s="116">
        <f t="shared" si="68"/>
        <v>0</v>
      </c>
    </row>
    <row r="295" spans="1:31">
      <c r="A295" s="131">
        <v>42917</v>
      </c>
      <c r="B295" s="131">
        <v>42948</v>
      </c>
      <c r="C295" s="123">
        <f t="shared" si="59"/>
        <v>31</v>
      </c>
      <c r="D295" s="123"/>
      <c r="E295" s="132">
        <v>91.9</v>
      </c>
      <c r="F295" s="134"/>
      <c r="G295" s="135"/>
      <c r="H295" s="123"/>
      <c r="I295" s="123"/>
      <c r="J295" s="123"/>
      <c r="K295" s="123"/>
      <c r="L295" s="123"/>
      <c r="M295" s="123">
        <v>31</v>
      </c>
      <c r="N295" s="123"/>
      <c r="O295" s="123"/>
      <c r="P295" s="123"/>
      <c r="Q295" s="123"/>
      <c r="R295" s="123"/>
      <c r="S295" s="133">
        <f t="shared" si="58"/>
        <v>0</v>
      </c>
      <c r="T295" s="116">
        <f t="shared" si="71"/>
        <v>0</v>
      </c>
      <c r="U295" s="116">
        <f t="shared" si="60"/>
        <v>0</v>
      </c>
      <c r="V295" s="116">
        <f t="shared" si="69"/>
        <v>0</v>
      </c>
      <c r="W295" s="116">
        <f t="shared" si="70"/>
        <v>0</v>
      </c>
      <c r="X295" s="116">
        <f t="shared" si="61"/>
        <v>0</v>
      </c>
      <c r="Y295" s="116">
        <f t="shared" si="62"/>
        <v>0</v>
      </c>
      <c r="Z295" s="116">
        <f t="shared" si="63"/>
        <v>862.75</v>
      </c>
      <c r="AA295" s="116">
        <f t="shared" si="64"/>
        <v>0</v>
      </c>
      <c r="AB295" s="116">
        <f t="shared" si="65"/>
        <v>0</v>
      </c>
      <c r="AC295" s="116">
        <f t="shared" si="66"/>
        <v>0</v>
      </c>
      <c r="AD295" s="116">
        <f t="shared" si="67"/>
        <v>0</v>
      </c>
      <c r="AE295" s="116">
        <f t="shared" si="68"/>
        <v>0</v>
      </c>
    </row>
    <row r="296" spans="1:31">
      <c r="A296" s="131">
        <v>42917</v>
      </c>
      <c r="B296" s="131">
        <v>42948</v>
      </c>
      <c r="C296" s="123">
        <f t="shared" si="59"/>
        <v>31</v>
      </c>
      <c r="D296" s="123"/>
      <c r="E296" s="132">
        <v>63.93</v>
      </c>
      <c r="F296" s="134"/>
      <c r="G296" s="135"/>
      <c r="H296" s="123"/>
      <c r="I296" s="123"/>
      <c r="J296" s="123"/>
      <c r="K296" s="123"/>
      <c r="L296" s="123"/>
      <c r="M296" s="123">
        <v>31</v>
      </c>
      <c r="N296" s="123"/>
      <c r="O296" s="123"/>
      <c r="P296" s="123"/>
      <c r="Q296" s="123"/>
      <c r="R296" s="123"/>
      <c r="S296" s="133">
        <f t="shared" si="58"/>
        <v>0</v>
      </c>
      <c r="T296" s="116">
        <f t="shared" si="71"/>
        <v>0</v>
      </c>
      <c r="U296" s="116">
        <f t="shared" si="60"/>
        <v>0</v>
      </c>
      <c r="V296" s="116">
        <f t="shared" si="69"/>
        <v>0</v>
      </c>
      <c r="W296" s="116">
        <f t="shared" si="70"/>
        <v>0</v>
      </c>
      <c r="X296" s="116">
        <f t="shared" si="61"/>
        <v>0</v>
      </c>
      <c r="Y296" s="116">
        <f t="shared" si="62"/>
        <v>0</v>
      </c>
      <c r="Z296" s="116">
        <f t="shared" si="63"/>
        <v>600.16999999999996</v>
      </c>
      <c r="AA296" s="116">
        <f t="shared" si="64"/>
        <v>0</v>
      </c>
      <c r="AB296" s="116">
        <f t="shared" si="65"/>
        <v>0</v>
      </c>
      <c r="AC296" s="116">
        <f t="shared" si="66"/>
        <v>0</v>
      </c>
      <c r="AD296" s="116">
        <f t="shared" si="67"/>
        <v>0</v>
      </c>
      <c r="AE296" s="116">
        <f t="shared" si="68"/>
        <v>0</v>
      </c>
    </row>
    <row r="297" spans="1:31">
      <c r="A297" s="131">
        <v>42919</v>
      </c>
      <c r="B297" s="131">
        <v>42950</v>
      </c>
      <c r="C297" s="123">
        <f t="shared" si="59"/>
        <v>31</v>
      </c>
      <c r="D297" s="123"/>
      <c r="E297" s="132">
        <v>1487.99</v>
      </c>
      <c r="F297" s="134"/>
      <c r="G297" s="135"/>
      <c r="H297" s="123"/>
      <c r="I297" s="123"/>
      <c r="J297" s="123"/>
      <c r="K297" s="123"/>
      <c r="L297" s="123"/>
      <c r="M297" s="123">
        <v>29</v>
      </c>
      <c r="N297" s="123">
        <v>2</v>
      </c>
      <c r="O297" s="123"/>
      <c r="P297" s="123"/>
      <c r="Q297" s="123"/>
      <c r="R297" s="123"/>
      <c r="S297" s="133">
        <f t="shared" si="58"/>
        <v>0</v>
      </c>
      <c r="T297" s="116">
        <f t="shared" si="71"/>
        <v>0</v>
      </c>
      <c r="U297" s="116">
        <f t="shared" si="60"/>
        <v>0</v>
      </c>
      <c r="V297" s="116">
        <f t="shared" si="69"/>
        <v>0</v>
      </c>
      <c r="W297" s="116">
        <f t="shared" si="70"/>
        <v>0</v>
      </c>
      <c r="X297" s="116">
        <f t="shared" si="61"/>
        <v>0</v>
      </c>
      <c r="Y297" s="116">
        <f t="shared" si="62"/>
        <v>0</v>
      </c>
      <c r="Z297" s="116">
        <f t="shared" si="63"/>
        <v>13067.88</v>
      </c>
      <c r="AA297" s="116">
        <f t="shared" si="64"/>
        <v>834.78</v>
      </c>
      <c r="AB297" s="116">
        <f t="shared" si="65"/>
        <v>0</v>
      </c>
      <c r="AC297" s="116">
        <f t="shared" si="66"/>
        <v>0</v>
      </c>
      <c r="AD297" s="116">
        <f t="shared" si="67"/>
        <v>0</v>
      </c>
      <c r="AE297" s="116">
        <f t="shared" si="68"/>
        <v>0</v>
      </c>
    </row>
    <row r="298" spans="1:31">
      <c r="A298" s="131">
        <v>42921</v>
      </c>
      <c r="B298" s="131">
        <v>42952</v>
      </c>
      <c r="C298" s="123">
        <f t="shared" si="59"/>
        <v>31</v>
      </c>
      <c r="D298" s="123"/>
      <c r="E298" s="132">
        <v>1021.88</v>
      </c>
      <c r="F298" s="134"/>
      <c r="G298" s="135"/>
      <c r="H298" s="123"/>
      <c r="I298" s="123"/>
      <c r="J298" s="123"/>
      <c r="K298" s="123"/>
      <c r="L298" s="123"/>
      <c r="M298" s="123">
        <v>27</v>
      </c>
      <c r="N298" s="123">
        <v>4</v>
      </c>
      <c r="O298" s="123"/>
      <c r="P298" s="123"/>
      <c r="Q298" s="123"/>
      <c r="R298" s="123"/>
      <c r="S298" s="133">
        <f t="shared" si="58"/>
        <v>0</v>
      </c>
      <c r="T298" s="116">
        <f t="shared" si="71"/>
        <v>0</v>
      </c>
      <c r="U298" s="116">
        <f t="shared" si="60"/>
        <v>0</v>
      </c>
      <c r="V298" s="116">
        <f t="shared" si="69"/>
        <v>0</v>
      </c>
      <c r="W298" s="116">
        <f t="shared" si="70"/>
        <v>0</v>
      </c>
      <c r="X298" s="116">
        <f t="shared" si="61"/>
        <v>0</v>
      </c>
      <c r="Y298" s="116">
        <f t="shared" si="62"/>
        <v>0</v>
      </c>
      <c r="Z298" s="116">
        <f t="shared" si="63"/>
        <v>8355.4699999999993</v>
      </c>
      <c r="AA298" s="116">
        <f t="shared" si="64"/>
        <v>1146.57</v>
      </c>
      <c r="AB298" s="116">
        <f t="shared" si="65"/>
        <v>0</v>
      </c>
      <c r="AC298" s="116">
        <f t="shared" si="66"/>
        <v>0</v>
      </c>
      <c r="AD298" s="116">
        <f t="shared" si="67"/>
        <v>0</v>
      </c>
      <c r="AE298" s="116">
        <f t="shared" si="68"/>
        <v>0</v>
      </c>
    </row>
    <row r="299" spans="1:31">
      <c r="A299" s="131">
        <v>42919</v>
      </c>
      <c r="B299" s="131">
        <v>42950</v>
      </c>
      <c r="C299" s="123">
        <f t="shared" si="59"/>
        <v>31</v>
      </c>
      <c r="D299" s="123"/>
      <c r="E299" s="132">
        <v>599.14</v>
      </c>
      <c r="F299" s="134"/>
      <c r="G299" s="135"/>
      <c r="H299" s="123"/>
      <c r="I299" s="123"/>
      <c r="J299" s="123"/>
      <c r="K299" s="123"/>
      <c r="L299" s="123"/>
      <c r="M299" s="123">
        <v>29</v>
      </c>
      <c r="N299" s="123">
        <v>2</v>
      </c>
      <c r="O299" s="123"/>
      <c r="P299" s="123"/>
      <c r="Q299" s="123"/>
      <c r="R299" s="123"/>
      <c r="S299" s="133">
        <f t="shared" si="58"/>
        <v>0</v>
      </c>
      <c r="T299" s="116">
        <f t="shared" si="71"/>
        <v>0</v>
      </c>
      <c r="U299" s="116">
        <f t="shared" si="60"/>
        <v>0</v>
      </c>
      <c r="V299" s="116">
        <f t="shared" si="69"/>
        <v>0</v>
      </c>
      <c r="W299" s="116">
        <f t="shared" si="70"/>
        <v>0</v>
      </c>
      <c r="X299" s="116">
        <f t="shared" si="61"/>
        <v>0</v>
      </c>
      <c r="Y299" s="116">
        <f t="shared" si="62"/>
        <v>0</v>
      </c>
      <c r="Z299" s="116">
        <f t="shared" si="63"/>
        <v>5261.79</v>
      </c>
      <c r="AA299" s="116">
        <f t="shared" si="64"/>
        <v>336.12</v>
      </c>
      <c r="AB299" s="116">
        <f t="shared" si="65"/>
        <v>0</v>
      </c>
      <c r="AC299" s="116">
        <f t="shared" si="66"/>
        <v>0</v>
      </c>
      <c r="AD299" s="116">
        <f t="shared" si="67"/>
        <v>0</v>
      </c>
      <c r="AE299" s="116">
        <f t="shared" si="68"/>
        <v>0</v>
      </c>
    </row>
    <row r="300" spans="1:31">
      <c r="A300" s="131">
        <v>42919</v>
      </c>
      <c r="B300" s="131">
        <v>42950</v>
      </c>
      <c r="C300" s="123">
        <f t="shared" si="59"/>
        <v>31</v>
      </c>
      <c r="D300" s="123"/>
      <c r="E300" s="132">
        <v>538.95000000000005</v>
      </c>
      <c r="F300" s="134"/>
      <c r="G300" s="135"/>
      <c r="H300" s="123"/>
      <c r="I300" s="123"/>
      <c r="J300" s="123"/>
      <c r="K300" s="123"/>
      <c r="L300" s="123"/>
      <c r="M300" s="123">
        <v>29</v>
      </c>
      <c r="N300" s="123">
        <v>2</v>
      </c>
      <c r="O300" s="123"/>
      <c r="P300" s="123"/>
      <c r="Q300" s="123"/>
      <c r="R300" s="123"/>
      <c r="S300" s="133">
        <f t="shared" si="58"/>
        <v>0</v>
      </c>
      <c r="T300" s="116">
        <f t="shared" si="71"/>
        <v>0</v>
      </c>
      <c r="U300" s="116">
        <f t="shared" si="60"/>
        <v>0</v>
      </c>
      <c r="V300" s="116">
        <f t="shared" si="69"/>
        <v>0</v>
      </c>
      <c r="W300" s="116">
        <f t="shared" si="70"/>
        <v>0</v>
      </c>
      <c r="X300" s="116">
        <f t="shared" si="61"/>
        <v>0</v>
      </c>
      <c r="Y300" s="116">
        <f t="shared" si="62"/>
        <v>0</v>
      </c>
      <c r="Z300" s="116">
        <f t="shared" si="63"/>
        <v>4733.1899999999996</v>
      </c>
      <c r="AA300" s="116">
        <f t="shared" si="64"/>
        <v>302.36</v>
      </c>
      <c r="AB300" s="116">
        <f t="shared" si="65"/>
        <v>0</v>
      </c>
      <c r="AC300" s="116">
        <f t="shared" si="66"/>
        <v>0</v>
      </c>
      <c r="AD300" s="116">
        <f t="shared" si="67"/>
        <v>0</v>
      </c>
      <c r="AE300" s="116">
        <f t="shared" si="68"/>
        <v>0</v>
      </c>
    </row>
    <row r="301" spans="1:31">
      <c r="A301" s="131">
        <v>42917</v>
      </c>
      <c r="B301" s="131">
        <v>42948</v>
      </c>
      <c r="C301" s="123">
        <f t="shared" si="59"/>
        <v>31</v>
      </c>
      <c r="D301" s="123"/>
      <c r="E301" s="132">
        <v>2675.67</v>
      </c>
      <c r="F301" s="134"/>
      <c r="G301" s="135"/>
      <c r="H301" s="123"/>
      <c r="I301" s="123"/>
      <c r="J301" s="123"/>
      <c r="K301" s="123"/>
      <c r="L301" s="123"/>
      <c r="M301" s="123">
        <v>31</v>
      </c>
      <c r="N301" s="123"/>
      <c r="O301" s="123"/>
      <c r="P301" s="123"/>
      <c r="Q301" s="123"/>
      <c r="R301" s="123"/>
      <c r="S301" s="133">
        <f t="shared" si="58"/>
        <v>0</v>
      </c>
      <c r="T301" s="116">
        <f t="shared" si="71"/>
        <v>0</v>
      </c>
      <c r="U301" s="116">
        <f t="shared" si="60"/>
        <v>0</v>
      </c>
      <c r="V301" s="116">
        <f t="shared" si="69"/>
        <v>0</v>
      </c>
      <c r="W301" s="116">
        <f t="shared" si="70"/>
        <v>0</v>
      </c>
      <c r="X301" s="116">
        <f t="shared" si="61"/>
        <v>0</v>
      </c>
      <c r="Y301" s="116">
        <f t="shared" si="62"/>
        <v>0</v>
      </c>
      <c r="Z301" s="116">
        <f t="shared" si="63"/>
        <v>25118.94</v>
      </c>
      <c r="AA301" s="116">
        <f t="shared" si="64"/>
        <v>0</v>
      </c>
      <c r="AB301" s="116">
        <f t="shared" si="65"/>
        <v>0</v>
      </c>
      <c r="AC301" s="116">
        <f t="shared" si="66"/>
        <v>0</v>
      </c>
      <c r="AD301" s="116">
        <f t="shared" si="67"/>
        <v>0</v>
      </c>
      <c r="AE301" s="116">
        <f t="shared" si="68"/>
        <v>0</v>
      </c>
    </row>
    <row r="302" spans="1:31">
      <c r="A302" s="131">
        <v>42919</v>
      </c>
      <c r="B302" s="131">
        <v>42950</v>
      </c>
      <c r="C302" s="123">
        <f t="shared" si="59"/>
        <v>31</v>
      </c>
      <c r="D302" s="123"/>
      <c r="E302" s="132">
        <v>894.39</v>
      </c>
      <c r="F302" s="134"/>
      <c r="G302" s="135"/>
      <c r="H302" s="123"/>
      <c r="I302" s="123"/>
      <c r="J302" s="123"/>
      <c r="K302" s="123"/>
      <c r="L302" s="123"/>
      <c r="M302" s="123">
        <v>29</v>
      </c>
      <c r="N302" s="123">
        <v>2</v>
      </c>
      <c r="O302" s="123"/>
      <c r="P302" s="123"/>
      <c r="Q302" s="123"/>
      <c r="R302" s="123"/>
      <c r="S302" s="133">
        <f t="shared" si="58"/>
        <v>0</v>
      </c>
      <c r="T302" s="116">
        <f t="shared" si="71"/>
        <v>0</v>
      </c>
      <c r="U302" s="116">
        <f t="shared" si="60"/>
        <v>0</v>
      </c>
      <c r="V302" s="116">
        <f t="shared" si="69"/>
        <v>0</v>
      </c>
      <c r="W302" s="116">
        <f t="shared" si="70"/>
        <v>0</v>
      </c>
      <c r="X302" s="116">
        <f t="shared" si="61"/>
        <v>0</v>
      </c>
      <c r="Y302" s="116">
        <f t="shared" si="62"/>
        <v>0</v>
      </c>
      <c r="Z302" s="116">
        <f t="shared" si="63"/>
        <v>7854.74</v>
      </c>
      <c r="AA302" s="116">
        <f t="shared" si="64"/>
        <v>501.76</v>
      </c>
      <c r="AB302" s="116">
        <f t="shared" si="65"/>
        <v>0</v>
      </c>
      <c r="AC302" s="116">
        <f t="shared" si="66"/>
        <v>0</v>
      </c>
      <c r="AD302" s="116">
        <f t="shared" si="67"/>
        <v>0</v>
      </c>
      <c r="AE302" s="116">
        <f t="shared" si="68"/>
        <v>0</v>
      </c>
    </row>
    <row r="303" spans="1:31">
      <c r="A303" s="131">
        <v>42921</v>
      </c>
      <c r="B303" s="131">
        <v>42952</v>
      </c>
      <c r="C303" s="123">
        <f t="shared" si="59"/>
        <v>31</v>
      </c>
      <c r="D303" s="123"/>
      <c r="E303" s="132">
        <v>200.04</v>
      </c>
      <c r="F303" s="134"/>
      <c r="G303" s="135"/>
      <c r="H303" s="123"/>
      <c r="I303" s="123"/>
      <c r="J303" s="123"/>
      <c r="K303" s="123"/>
      <c r="L303" s="123"/>
      <c r="M303" s="123">
        <v>27</v>
      </c>
      <c r="N303" s="123">
        <v>4</v>
      </c>
      <c r="O303" s="123"/>
      <c r="P303" s="123"/>
      <c r="Q303" s="123"/>
      <c r="R303" s="123"/>
      <c r="S303" s="133">
        <f t="shared" si="58"/>
        <v>0</v>
      </c>
      <c r="T303" s="116">
        <f t="shared" si="71"/>
        <v>0</v>
      </c>
      <c r="U303" s="116">
        <f t="shared" si="60"/>
        <v>0</v>
      </c>
      <c r="V303" s="116">
        <f t="shared" si="69"/>
        <v>0</v>
      </c>
      <c r="W303" s="116">
        <f t="shared" si="70"/>
        <v>0</v>
      </c>
      <c r="X303" s="116">
        <f t="shared" si="61"/>
        <v>0</v>
      </c>
      <c r="Y303" s="116">
        <f t="shared" si="62"/>
        <v>0</v>
      </c>
      <c r="Z303" s="116">
        <f t="shared" si="63"/>
        <v>1635.64</v>
      </c>
      <c r="AA303" s="116">
        <f t="shared" si="64"/>
        <v>224.45</v>
      </c>
      <c r="AB303" s="116">
        <f t="shared" si="65"/>
        <v>0</v>
      </c>
      <c r="AC303" s="116">
        <f t="shared" si="66"/>
        <v>0</v>
      </c>
      <c r="AD303" s="116">
        <f t="shared" si="67"/>
        <v>0</v>
      </c>
      <c r="AE303" s="116">
        <f t="shared" si="68"/>
        <v>0</v>
      </c>
    </row>
    <row r="304" spans="1:31">
      <c r="A304" s="131">
        <v>42921</v>
      </c>
      <c r="B304" s="131">
        <v>42952</v>
      </c>
      <c r="C304" s="123">
        <f t="shared" si="59"/>
        <v>31</v>
      </c>
      <c r="D304" s="123"/>
      <c r="E304" s="132">
        <v>693.39</v>
      </c>
      <c r="F304" s="134"/>
      <c r="G304" s="135"/>
      <c r="H304" s="123"/>
      <c r="I304" s="123"/>
      <c r="J304" s="123"/>
      <c r="K304" s="123"/>
      <c r="L304" s="123"/>
      <c r="M304" s="123">
        <v>27</v>
      </c>
      <c r="N304" s="123">
        <v>4</v>
      </c>
      <c r="O304" s="123"/>
      <c r="P304" s="123"/>
      <c r="Q304" s="123"/>
      <c r="R304" s="123"/>
      <c r="S304" s="133">
        <f t="shared" si="58"/>
        <v>0</v>
      </c>
      <c r="T304" s="116">
        <f t="shared" si="71"/>
        <v>0</v>
      </c>
      <c r="U304" s="116">
        <f t="shared" si="60"/>
        <v>0</v>
      </c>
      <c r="V304" s="116">
        <f t="shared" si="69"/>
        <v>0</v>
      </c>
      <c r="W304" s="116">
        <f t="shared" si="70"/>
        <v>0</v>
      </c>
      <c r="X304" s="116">
        <f t="shared" si="61"/>
        <v>0</v>
      </c>
      <c r="Y304" s="116">
        <f t="shared" si="62"/>
        <v>0</v>
      </c>
      <c r="Z304" s="116">
        <f t="shared" si="63"/>
        <v>5669.55</v>
      </c>
      <c r="AA304" s="116">
        <f t="shared" si="64"/>
        <v>778</v>
      </c>
      <c r="AB304" s="116">
        <f t="shared" si="65"/>
        <v>0</v>
      </c>
      <c r="AC304" s="116">
        <f t="shared" si="66"/>
        <v>0</v>
      </c>
      <c r="AD304" s="116">
        <f t="shared" si="67"/>
        <v>0</v>
      </c>
      <c r="AE304" s="116">
        <f t="shared" si="68"/>
        <v>0</v>
      </c>
    </row>
    <row r="305" spans="1:31">
      <c r="A305" s="131">
        <v>42924</v>
      </c>
      <c r="B305" s="131">
        <v>42955</v>
      </c>
      <c r="C305" s="123">
        <f t="shared" si="59"/>
        <v>31</v>
      </c>
      <c r="D305" s="123"/>
      <c r="E305" s="132">
        <v>673.69</v>
      </c>
      <c r="F305" s="134"/>
      <c r="G305" s="135"/>
      <c r="H305" s="123"/>
      <c r="I305" s="123"/>
      <c r="J305" s="123"/>
      <c r="K305" s="123"/>
      <c r="L305" s="123"/>
      <c r="M305" s="123">
        <v>24</v>
      </c>
      <c r="N305" s="123">
        <v>7</v>
      </c>
      <c r="O305" s="123"/>
      <c r="P305" s="123"/>
      <c r="Q305" s="123"/>
      <c r="R305" s="123"/>
      <c r="S305" s="133">
        <f t="shared" si="58"/>
        <v>0</v>
      </c>
      <c r="T305" s="116">
        <f t="shared" si="71"/>
        <v>0</v>
      </c>
      <c r="U305" s="116">
        <f t="shared" si="60"/>
        <v>0</v>
      </c>
      <c r="V305" s="116">
        <f t="shared" si="69"/>
        <v>0</v>
      </c>
      <c r="W305" s="116">
        <f t="shared" si="70"/>
        <v>0</v>
      </c>
      <c r="X305" s="116">
        <f t="shared" si="61"/>
        <v>0</v>
      </c>
      <c r="Y305" s="116">
        <f t="shared" si="62"/>
        <v>0</v>
      </c>
      <c r="Z305" s="116">
        <f t="shared" si="63"/>
        <v>4896.42</v>
      </c>
      <c r="AA305" s="116">
        <f t="shared" si="64"/>
        <v>1322.81</v>
      </c>
      <c r="AB305" s="116">
        <f t="shared" si="65"/>
        <v>0</v>
      </c>
      <c r="AC305" s="116">
        <f t="shared" si="66"/>
        <v>0</v>
      </c>
      <c r="AD305" s="116">
        <f t="shared" si="67"/>
        <v>0</v>
      </c>
      <c r="AE305" s="116">
        <f t="shared" si="68"/>
        <v>0</v>
      </c>
    </row>
    <row r="306" spans="1:31">
      <c r="A306" s="131">
        <v>42924</v>
      </c>
      <c r="B306" s="131">
        <v>42955</v>
      </c>
      <c r="C306" s="123">
        <f t="shared" si="59"/>
        <v>31</v>
      </c>
      <c r="D306" s="123"/>
      <c r="E306" s="132">
        <v>96.07</v>
      </c>
      <c r="F306" s="134"/>
      <c r="G306" s="135"/>
      <c r="H306" s="123"/>
      <c r="I306" s="123"/>
      <c r="J306" s="123"/>
      <c r="K306" s="123"/>
      <c r="L306" s="123"/>
      <c r="M306" s="123">
        <v>24</v>
      </c>
      <c r="N306" s="123">
        <v>7</v>
      </c>
      <c r="O306" s="123"/>
      <c r="P306" s="123"/>
      <c r="Q306" s="123"/>
      <c r="R306" s="123"/>
      <c r="S306" s="133">
        <f t="shared" si="58"/>
        <v>0</v>
      </c>
      <c r="T306" s="116">
        <f t="shared" si="71"/>
        <v>0</v>
      </c>
      <c r="U306" s="116">
        <f t="shared" si="60"/>
        <v>0</v>
      </c>
      <c r="V306" s="116">
        <f t="shared" si="69"/>
        <v>0</v>
      </c>
      <c r="W306" s="116">
        <f t="shared" si="70"/>
        <v>0</v>
      </c>
      <c r="X306" s="116">
        <f t="shared" si="61"/>
        <v>0</v>
      </c>
      <c r="Y306" s="116">
        <f t="shared" si="62"/>
        <v>0</v>
      </c>
      <c r="Z306" s="116">
        <f t="shared" si="63"/>
        <v>698.24</v>
      </c>
      <c r="AA306" s="116">
        <f t="shared" si="64"/>
        <v>188.64</v>
      </c>
      <c r="AB306" s="116">
        <f t="shared" si="65"/>
        <v>0</v>
      </c>
      <c r="AC306" s="116">
        <f t="shared" si="66"/>
        <v>0</v>
      </c>
      <c r="AD306" s="116">
        <f t="shared" si="67"/>
        <v>0</v>
      </c>
      <c r="AE306" s="116">
        <f t="shared" si="68"/>
        <v>0</v>
      </c>
    </row>
    <row r="307" spans="1:31">
      <c r="A307" s="131">
        <v>42924</v>
      </c>
      <c r="B307" s="131">
        <v>42955</v>
      </c>
      <c r="C307" s="123">
        <f t="shared" si="59"/>
        <v>31</v>
      </c>
      <c r="D307" s="123"/>
      <c r="E307" s="132">
        <v>421.65</v>
      </c>
      <c r="F307" s="134"/>
      <c r="G307" s="135"/>
      <c r="H307" s="123"/>
      <c r="I307" s="123"/>
      <c r="J307" s="123"/>
      <c r="K307" s="123"/>
      <c r="L307" s="123"/>
      <c r="M307" s="123">
        <v>24</v>
      </c>
      <c r="N307" s="123">
        <v>7</v>
      </c>
      <c r="O307" s="123"/>
      <c r="P307" s="123"/>
      <c r="Q307" s="123"/>
      <c r="R307" s="123"/>
      <c r="S307" s="133">
        <f t="shared" si="58"/>
        <v>0</v>
      </c>
      <c r="T307" s="116">
        <f t="shared" si="71"/>
        <v>0</v>
      </c>
      <c r="U307" s="116">
        <f t="shared" si="60"/>
        <v>0</v>
      </c>
      <c r="V307" s="116">
        <f t="shared" si="69"/>
        <v>0</v>
      </c>
      <c r="W307" s="116">
        <f t="shared" si="70"/>
        <v>0</v>
      </c>
      <c r="X307" s="116">
        <f t="shared" si="61"/>
        <v>0</v>
      </c>
      <c r="Y307" s="116">
        <f t="shared" si="62"/>
        <v>0</v>
      </c>
      <c r="Z307" s="116">
        <f t="shared" si="63"/>
        <v>3064.58</v>
      </c>
      <c r="AA307" s="116">
        <f t="shared" si="64"/>
        <v>827.92</v>
      </c>
      <c r="AB307" s="116">
        <f t="shared" si="65"/>
        <v>0</v>
      </c>
      <c r="AC307" s="116">
        <f t="shared" si="66"/>
        <v>0</v>
      </c>
      <c r="AD307" s="116">
        <f t="shared" si="67"/>
        <v>0</v>
      </c>
      <c r="AE307" s="116">
        <f t="shared" si="68"/>
        <v>0</v>
      </c>
    </row>
    <row r="308" spans="1:31">
      <c r="A308" s="131">
        <v>42924</v>
      </c>
      <c r="B308" s="131">
        <v>42955</v>
      </c>
      <c r="C308" s="123">
        <f t="shared" si="59"/>
        <v>31</v>
      </c>
      <c r="D308" s="123"/>
      <c r="E308" s="132">
        <v>222.2</v>
      </c>
      <c r="F308" s="134"/>
      <c r="G308" s="135"/>
      <c r="H308" s="123"/>
      <c r="I308" s="123"/>
      <c r="J308" s="123"/>
      <c r="K308" s="123"/>
      <c r="L308" s="123"/>
      <c r="M308" s="123">
        <v>24</v>
      </c>
      <c r="N308" s="123">
        <v>7</v>
      </c>
      <c r="O308" s="123"/>
      <c r="P308" s="123"/>
      <c r="Q308" s="123"/>
      <c r="R308" s="123"/>
      <c r="S308" s="133">
        <f t="shared" si="58"/>
        <v>0</v>
      </c>
      <c r="T308" s="116">
        <f t="shared" si="71"/>
        <v>0</v>
      </c>
      <c r="U308" s="116">
        <f t="shared" si="60"/>
        <v>0</v>
      </c>
      <c r="V308" s="116">
        <f t="shared" si="69"/>
        <v>0</v>
      </c>
      <c r="W308" s="116">
        <f t="shared" si="70"/>
        <v>0</v>
      </c>
      <c r="X308" s="116">
        <f t="shared" si="61"/>
        <v>0</v>
      </c>
      <c r="Y308" s="116">
        <f t="shared" si="62"/>
        <v>0</v>
      </c>
      <c r="Z308" s="116">
        <f t="shared" si="63"/>
        <v>1614.96</v>
      </c>
      <c r="AA308" s="116">
        <f t="shared" si="64"/>
        <v>436.3</v>
      </c>
      <c r="AB308" s="116">
        <f t="shared" si="65"/>
        <v>0</v>
      </c>
      <c r="AC308" s="116">
        <f t="shared" si="66"/>
        <v>0</v>
      </c>
      <c r="AD308" s="116">
        <f t="shared" si="67"/>
        <v>0</v>
      </c>
      <c r="AE308" s="116">
        <f t="shared" si="68"/>
        <v>0</v>
      </c>
    </row>
    <row r="309" spans="1:31">
      <c r="A309" s="131">
        <v>42917</v>
      </c>
      <c r="B309" s="131">
        <v>42958</v>
      </c>
      <c r="C309" s="123">
        <f t="shared" si="59"/>
        <v>41</v>
      </c>
      <c r="D309" s="123"/>
      <c r="E309" s="132">
        <v>92.98</v>
      </c>
      <c r="F309" s="134"/>
      <c r="G309" s="135"/>
      <c r="H309" s="123"/>
      <c r="I309" s="123"/>
      <c r="J309" s="123"/>
      <c r="K309" s="123"/>
      <c r="L309" s="123"/>
      <c r="M309" s="123">
        <v>31</v>
      </c>
      <c r="N309" s="123">
        <v>10</v>
      </c>
      <c r="O309" s="123"/>
      <c r="P309" s="123"/>
      <c r="Q309" s="123"/>
      <c r="R309" s="123"/>
      <c r="S309" s="133">
        <f t="shared" si="58"/>
        <v>0</v>
      </c>
      <c r="T309" s="116">
        <f t="shared" si="71"/>
        <v>0</v>
      </c>
      <c r="U309" s="116">
        <f t="shared" si="60"/>
        <v>0</v>
      </c>
      <c r="V309" s="116">
        <f t="shared" si="69"/>
        <v>0</v>
      </c>
      <c r="W309" s="116">
        <f t="shared" si="70"/>
        <v>0</v>
      </c>
      <c r="X309" s="116">
        <f t="shared" si="61"/>
        <v>0</v>
      </c>
      <c r="Y309" s="116">
        <f t="shared" si="62"/>
        <v>0</v>
      </c>
      <c r="Z309" s="116">
        <f t="shared" si="63"/>
        <v>659.99</v>
      </c>
      <c r="AA309" s="116">
        <f t="shared" si="64"/>
        <v>197.2</v>
      </c>
      <c r="AB309" s="116">
        <f t="shared" si="65"/>
        <v>0</v>
      </c>
      <c r="AC309" s="116">
        <f t="shared" si="66"/>
        <v>0</v>
      </c>
      <c r="AD309" s="116">
        <f t="shared" si="67"/>
        <v>0</v>
      </c>
      <c r="AE309" s="116">
        <f t="shared" si="68"/>
        <v>0</v>
      </c>
    </row>
    <row r="310" spans="1:31">
      <c r="A310" s="131">
        <v>42917</v>
      </c>
      <c r="B310" s="131">
        <v>42958</v>
      </c>
      <c r="C310" s="123">
        <f t="shared" si="59"/>
        <v>41</v>
      </c>
      <c r="D310" s="123"/>
      <c r="E310" s="132">
        <v>48.48</v>
      </c>
      <c r="F310" s="134"/>
      <c r="G310" s="135"/>
      <c r="H310" s="123"/>
      <c r="I310" s="123"/>
      <c r="J310" s="123"/>
      <c r="K310" s="123"/>
      <c r="L310" s="123"/>
      <c r="M310" s="123">
        <v>31</v>
      </c>
      <c r="N310" s="123">
        <v>10</v>
      </c>
      <c r="O310" s="123"/>
      <c r="P310" s="123"/>
      <c r="Q310" s="123"/>
      <c r="R310" s="123"/>
      <c r="S310" s="133">
        <f t="shared" si="58"/>
        <v>0</v>
      </c>
      <c r="T310" s="116">
        <f t="shared" si="71"/>
        <v>0</v>
      </c>
      <c r="U310" s="116">
        <f t="shared" si="60"/>
        <v>0</v>
      </c>
      <c r="V310" s="116">
        <f t="shared" si="69"/>
        <v>0</v>
      </c>
      <c r="W310" s="116">
        <f t="shared" si="70"/>
        <v>0</v>
      </c>
      <c r="X310" s="116">
        <f t="shared" si="61"/>
        <v>0</v>
      </c>
      <c r="Y310" s="116">
        <f t="shared" si="62"/>
        <v>0</v>
      </c>
      <c r="Z310" s="116">
        <f t="shared" si="63"/>
        <v>344.12</v>
      </c>
      <c r="AA310" s="116">
        <f t="shared" si="64"/>
        <v>102.82</v>
      </c>
      <c r="AB310" s="116">
        <f t="shared" si="65"/>
        <v>0</v>
      </c>
      <c r="AC310" s="116">
        <f t="shared" si="66"/>
        <v>0</v>
      </c>
      <c r="AD310" s="116">
        <f t="shared" si="67"/>
        <v>0</v>
      </c>
      <c r="AE310" s="116">
        <f t="shared" si="68"/>
        <v>0</v>
      </c>
    </row>
    <row r="311" spans="1:31">
      <c r="A311" s="131">
        <v>42928</v>
      </c>
      <c r="B311" s="131">
        <v>42959</v>
      </c>
      <c r="C311" s="123">
        <f t="shared" si="59"/>
        <v>31</v>
      </c>
      <c r="D311" s="123"/>
      <c r="E311" s="132">
        <v>913.36</v>
      </c>
      <c r="F311" s="134"/>
      <c r="G311" s="135"/>
      <c r="H311" s="123"/>
      <c r="I311" s="123"/>
      <c r="J311" s="123"/>
      <c r="K311" s="123"/>
      <c r="L311" s="123"/>
      <c r="M311" s="123">
        <v>20</v>
      </c>
      <c r="N311" s="123">
        <v>11</v>
      </c>
      <c r="O311" s="123"/>
      <c r="P311" s="123"/>
      <c r="Q311" s="123"/>
      <c r="R311" s="123"/>
      <c r="S311" s="133">
        <f t="shared" si="58"/>
        <v>0</v>
      </c>
      <c r="T311" s="116">
        <f t="shared" si="71"/>
        <v>0</v>
      </c>
      <c r="U311" s="116">
        <f t="shared" si="60"/>
        <v>0</v>
      </c>
      <c r="V311" s="116">
        <f t="shared" si="69"/>
        <v>0</v>
      </c>
      <c r="W311" s="116">
        <f t="shared" si="70"/>
        <v>0</v>
      </c>
      <c r="X311" s="116">
        <f t="shared" si="61"/>
        <v>0</v>
      </c>
      <c r="Y311" s="116">
        <f t="shared" si="62"/>
        <v>0</v>
      </c>
      <c r="Z311" s="116">
        <f t="shared" si="63"/>
        <v>5531.96</v>
      </c>
      <c r="AA311" s="116">
        <f t="shared" si="64"/>
        <v>2818.22</v>
      </c>
      <c r="AB311" s="116">
        <f t="shared" si="65"/>
        <v>0</v>
      </c>
      <c r="AC311" s="116">
        <f t="shared" si="66"/>
        <v>0</v>
      </c>
      <c r="AD311" s="116">
        <f t="shared" si="67"/>
        <v>0</v>
      </c>
      <c r="AE311" s="116">
        <f t="shared" si="68"/>
        <v>0</v>
      </c>
    </row>
    <row r="312" spans="1:31">
      <c r="A312" s="131">
        <v>42928</v>
      </c>
      <c r="B312" s="131">
        <v>42959</v>
      </c>
      <c r="C312" s="123">
        <f t="shared" si="59"/>
        <v>31</v>
      </c>
      <c r="D312" s="123"/>
      <c r="E312" s="132">
        <v>1104.97</v>
      </c>
      <c r="F312" s="134"/>
      <c r="G312" s="135"/>
      <c r="H312" s="123"/>
      <c r="I312" s="123"/>
      <c r="J312" s="123"/>
      <c r="K312" s="123"/>
      <c r="L312" s="123"/>
      <c r="M312" s="123">
        <v>20</v>
      </c>
      <c r="N312" s="123">
        <v>11</v>
      </c>
      <c r="O312" s="123"/>
      <c r="P312" s="123"/>
      <c r="Q312" s="123"/>
      <c r="R312" s="123"/>
      <c r="S312" s="133">
        <f t="shared" si="58"/>
        <v>0</v>
      </c>
      <c r="T312" s="116">
        <f t="shared" si="71"/>
        <v>0</v>
      </c>
      <c r="U312" s="116">
        <f t="shared" si="60"/>
        <v>0</v>
      </c>
      <c r="V312" s="116">
        <f t="shared" si="69"/>
        <v>0</v>
      </c>
      <c r="W312" s="116">
        <f t="shared" si="70"/>
        <v>0</v>
      </c>
      <c r="X312" s="116">
        <f t="shared" si="61"/>
        <v>0</v>
      </c>
      <c r="Y312" s="116">
        <f t="shared" si="62"/>
        <v>0</v>
      </c>
      <c r="Z312" s="116">
        <f t="shared" si="63"/>
        <v>6692.49</v>
      </c>
      <c r="AA312" s="116">
        <f t="shared" si="64"/>
        <v>3409.44</v>
      </c>
      <c r="AB312" s="116">
        <f t="shared" si="65"/>
        <v>0</v>
      </c>
      <c r="AC312" s="116">
        <f t="shared" si="66"/>
        <v>0</v>
      </c>
      <c r="AD312" s="116">
        <f t="shared" si="67"/>
        <v>0</v>
      </c>
      <c r="AE312" s="116">
        <f t="shared" si="68"/>
        <v>0</v>
      </c>
    </row>
    <row r="313" spans="1:31" ht="15.75" thickBot="1">
      <c r="A313" s="131">
        <v>42928</v>
      </c>
      <c r="B313" s="131">
        <v>42959</v>
      </c>
      <c r="C313" s="123">
        <f t="shared" si="59"/>
        <v>31</v>
      </c>
      <c r="D313" s="123"/>
      <c r="E313" s="132">
        <v>194.08</v>
      </c>
      <c r="F313" s="134"/>
      <c r="G313" s="135"/>
      <c r="H313" s="123"/>
      <c r="I313" s="123"/>
      <c r="J313" s="123"/>
      <c r="K313" s="123"/>
      <c r="L313" s="123"/>
      <c r="M313" s="123">
        <v>20</v>
      </c>
      <c r="N313" s="123">
        <v>11</v>
      </c>
      <c r="O313" s="123"/>
      <c r="P313" s="123"/>
      <c r="Q313" s="123"/>
      <c r="R313" s="123"/>
      <c r="S313" s="133">
        <f t="shared" si="58"/>
        <v>0</v>
      </c>
      <c r="T313" s="116">
        <f t="shared" si="71"/>
        <v>0</v>
      </c>
      <c r="U313" s="116">
        <f t="shared" si="60"/>
        <v>0</v>
      </c>
      <c r="V313" s="116">
        <f t="shared" si="69"/>
        <v>0</v>
      </c>
      <c r="W313" s="116">
        <f t="shared" si="70"/>
        <v>0</v>
      </c>
      <c r="X313" s="116">
        <f t="shared" si="61"/>
        <v>0</v>
      </c>
      <c r="Y313" s="116">
        <f t="shared" si="62"/>
        <v>0</v>
      </c>
      <c r="Z313" s="116">
        <f t="shared" si="63"/>
        <v>1175.49</v>
      </c>
      <c r="AA313" s="116">
        <f t="shared" si="64"/>
        <v>598.84</v>
      </c>
      <c r="AB313" s="116">
        <f t="shared" si="65"/>
        <v>0</v>
      </c>
      <c r="AC313" s="116">
        <f t="shared" si="66"/>
        <v>0</v>
      </c>
      <c r="AD313" s="116">
        <f t="shared" si="67"/>
        <v>0</v>
      </c>
      <c r="AE313" s="116">
        <f t="shared" si="68"/>
        <v>0</v>
      </c>
    </row>
    <row r="314" spans="1:31" ht="15.75" thickBot="1">
      <c r="A314" s="185" t="s">
        <v>43</v>
      </c>
      <c r="B314" s="186"/>
      <c r="C314" s="186"/>
      <c r="D314" s="186"/>
      <c r="E314" s="186"/>
      <c r="F314" s="186"/>
      <c r="G314" s="186"/>
      <c r="H314" s="186"/>
      <c r="I314" s="186"/>
      <c r="J314" s="186"/>
      <c r="K314" s="186"/>
      <c r="L314" s="186"/>
      <c r="M314" s="186"/>
      <c r="N314" s="186"/>
      <c r="O314" s="186"/>
      <c r="P314" s="186"/>
      <c r="Q314" s="186"/>
      <c r="R314" s="186"/>
      <c r="S314" s="186"/>
      <c r="T314" s="186"/>
      <c r="U314" s="186"/>
      <c r="V314" s="186"/>
      <c r="W314" s="186"/>
      <c r="X314" s="186"/>
      <c r="Y314" s="186"/>
      <c r="Z314" s="186"/>
      <c r="AA314" s="186"/>
      <c r="AB314" s="186"/>
      <c r="AC314" s="186"/>
      <c r="AD314" s="186"/>
      <c r="AE314" s="187"/>
    </row>
    <row r="315" spans="1:31">
      <c r="A315" s="131">
        <v>42931</v>
      </c>
      <c r="B315" s="131">
        <v>42962</v>
      </c>
      <c r="C315" s="123">
        <f t="shared" si="59"/>
        <v>31</v>
      </c>
      <c r="D315" s="123"/>
      <c r="E315" s="132">
        <v>9559.44</v>
      </c>
      <c r="F315" s="134"/>
      <c r="G315" s="135"/>
      <c r="H315" s="123"/>
      <c r="I315" s="123"/>
      <c r="J315" s="123"/>
      <c r="K315" s="123"/>
      <c r="L315" s="123"/>
      <c r="M315" s="123">
        <v>17</v>
      </c>
      <c r="N315" s="123">
        <v>14</v>
      </c>
      <c r="O315" s="123"/>
      <c r="P315" s="123"/>
      <c r="Q315" s="123"/>
      <c r="R315" s="123"/>
      <c r="S315" s="133">
        <f t="shared" si="58"/>
        <v>0</v>
      </c>
      <c r="T315" s="116">
        <f t="shared" si="71"/>
        <v>0</v>
      </c>
      <c r="U315" s="116">
        <f t="shared" si="60"/>
        <v>0</v>
      </c>
      <c r="V315" s="116">
        <f t="shared" si="69"/>
        <v>0</v>
      </c>
      <c r="W315" s="116">
        <f t="shared" si="70"/>
        <v>0</v>
      </c>
      <c r="X315" s="116">
        <f t="shared" si="61"/>
        <v>0</v>
      </c>
      <c r="Y315" s="116">
        <f t="shared" si="62"/>
        <v>0</v>
      </c>
      <c r="Z315" s="116">
        <f t="shared" si="63"/>
        <v>49213.98</v>
      </c>
      <c r="AA315" s="116">
        <f t="shared" si="64"/>
        <v>37540.58</v>
      </c>
      <c r="AB315" s="116">
        <f t="shared" si="65"/>
        <v>0</v>
      </c>
      <c r="AC315" s="116">
        <f t="shared" si="66"/>
        <v>0</v>
      </c>
      <c r="AD315" s="116">
        <f t="shared" si="67"/>
        <v>0</v>
      </c>
      <c r="AE315" s="116">
        <f t="shared" si="68"/>
        <v>0</v>
      </c>
    </row>
    <row r="316" spans="1:31">
      <c r="A316" s="131">
        <v>42931</v>
      </c>
      <c r="B316" s="131">
        <v>42962</v>
      </c>
      <c r="C316" s="123">
        <f t="shared" si="59"/>
        <v>31</v>
      </c>
      <c r="D316" s="123"/>
      <c r="E316" s="132">
        <v>2777.32</v>
      </c>
      <c r="F316" s="134"/>
      <c r="G316" s="135"/>
      <c r="H316" s="123"/>
      <c r="I316" s="123"/>
      <c r="J316" s="123"/>
      <c r="K316" s="123"/>
      <c r="L316" s="123"/>
      <c r="M316" s="123">
        <v>17</v>
      </c>
      <c r="N316" s="123">
        <v>14</v>
      </c>
      <c r="O316" s="123"/>
      <c r="P316" s="123"/>
      <c r="Q316" s="123"/>
      <c r="R316" s="123"/>
      <c r="S316" s="133">
        <f t="shared" si="58"/>
        <v>0</v>
      </c>
      <c r="T316" s="116">
        <f t="shared" si="71"/>
        <v>0</v>
      </c>
      <c r="U316" s="116">
        <f t="shared" si="60"/>
        <v>0</v>
      </c>
      <c r="V316" s="116">
        <f t="shared" si="69"/>
        <v>0</v>
      </c>
      <c r="W316" s="116">
        <f t="shared" si="70"/>
        <v>0</v>
      </c>
      <c r="X316" s="116">
        <f t="shared" si="61"/>
        <v>0</v>
      </c>
      <c r="Y316" s="116">
        <f t="shared" si="62"/>
        <v>0</v>
      </c>
      <c r="Z316" s="116">
        <f t="shared" si="63"/>
        <v>14298.22</v>
      </c>
      <c r="AA316" s="116">
        <f t="shared" si="64"/>
        <v>10906.73</v>
      </c>
      <c r="AB316" s="116">
        <f t="shared" si="65"/>
        <v>0</v>
      </c>
      <c r="AC316" s="116">
        <f t="shared" si="66"/>
        <v>0</v>
      </c>
      <c r="AD316" s="116">
        <f t="shared" si="67"/>
        <v>0</v>
      </c>
      <c r="AE316" s="116">
        <f t="shared" si="68"/>
        <v>0</v>
      </c>
    </row>
    <row r="317" spans="1:31">
      <c r="A317" s="131">
        <v>42931</v>
      </c>
      <c r="B317" s="131">
        <v>42962</v>
      </c>
      <c r="C317" s="123">
        <f t="shared" si="59"/>
        <v>31</v>
      </c>
      <c r="D317" s="123"/>
      <c r="E317" s="132">
        <v>25376.79</v>
      </c>
      <c r="F317" s="134"/>
      <c r="G317" s="135"/>
      <c r="H317" s="123"/>
      <c r="I317" s="123"/>
      <c r="J317" s="123"/>
      <c r="K317" s="123"/>
      <c r="L317" s="123"/>
      <c r="M317" s="123">
        <v>17</v>
      </c>
      <c r="N317" s="123">
        <v>14</v>
      </c>
      <c r="O317" s="123"/>
      <c r="P317" s="123"/>
      <c r="Q317" s="123"/>
      <c r="R317" s="123"/>
      <c r="S317" s="133">
        <f t="shared" si="58"/>
        <v>0</v>
      </c>
      <c r="T317" s="116">
        <f t="shared" si="71"/>
        <v>0</v>
      </c>
      <c r="U317" s="116">
        <f t="shared" si="60"/>
        <v>0</v>
      </c>
      <c r="V317" s="116">
        <f t="shared" si="69"/>
        <v>0</v>
      </c>
      <c r="W317" s="116">
        <f t="shared" si="70"/>
        <v>0</v>
      </c>
      <c r="X317" s="116">
        <f t="shared" si="61"/>
        <v>0</v>
      </c>
      <c r="Y317" s="116">
        <f t="shared" si="62"/>
        <v>0</v>
      </c>
      <c r="Z317" s="116">
        <f t="shared" si="63"/>
        <v>130644.99</v>
      </c>
      <c r="AA317" s="116">
        <f t="shared" si="64"/>
        <v>99656.4</v>
      </c>
      <c r="AB317" s="116">
        <f t="shared" si="65"/>
        <v>0</v>
      </c>
      <c r="AC317" s="116">
        <f t="shared" si="66"/>
        <v>0</v>
      </c>
      <c r="AD317" s="116">
        <f t="shared" si="67"/>
        <v>0</v>
      </c>
      <c r="AE317" s="116">
        <f t="shared" si="68"/>
        <v>0</v>
      </c>
    </row>
    <row r="318" spans="1:31">
      <c r="A318" s="131">
        <v>42935</v>
      </c>
      <c r="B318" s="131">
        <v>42966</v>
      </c>
      <c r="C318" s="123">
        <f t="shared" si="59"/>
        <v>31</v>
      </c>
      <c r="D318" s="123"/>
      <c r="E318" s="132">
        <v>751.42</v>
      </c>
      <c r="F318" s="134"/>
      <c r="G318" s="135"/>
      <c r="H318" s="123"/>
      <c r="I318" s="123"/>
      <c r="J318" s="123"/>
      <c r="K318" s="123"/>
      <c r="L318" s="123"/>
      <c r="M318" s="123">
        <v>13</v>
      </c>
      <c r="N318" s="123">
        <v>18</v>
      </c>
      <c r="O318" s="123"/>
      <c r="P318" s="123"/>
      <c r="Q318" s="123"/>
      <c r="R318" s="123"/>
      <c r="S318" s="133">
        <f t="shared" si="58"/>
        <v>0</v>
      </c>
      <c r="T318" s="116">
        <f t="shared" si="71"/>
        <v>0</v>
      </c>
      <c r="U318" s="116">
        <f t="shared" si="60"/>
        <v>0</v>
      </c>
      <c r="V318" s="116">
        <f t="shared" si="69"/>
        <v>0</v>
      </c>
      <c r="W318" s="116">
        <f t="shared" si="70"/>
        <v>0</v>
      </c>
      <c r="X318" s="116">
        <f t="shared" si="61"/>
        <v>0</v>
      </c>
      <c r="Y318" s="116">
        <f t="shared" si="62"/>
        <v>0</v>
      </c>
      <c r="Z318" s="116">
        <f t="shared" si="63"/>
        <v>2958.24</v>
      </c>
      <c r="AA318" s="116">
        <f t="shared" si="64"/>
        <v>3793.99</v>
      </c>
      <c r="AB318" s="116">
        <f t="shared" si="65"/>
        <v>0</v>
      </c>
      <c r="AC318" s="116">
        <f t="shared" si="66"/>
        <v>0</v>
      </c>
      <c r="AD318" s="116">
        <f t="shared" si="67"/>
        <v>0</v>
      </c>
      <c r="AE318" s="116">
        <f t="shared" si="68"/>
        <v>0</v>
      </c>
    </row>
    <row r="319" spans="1:31">
      <c r="A319" s="131">
        <v>42935</v>
      </c>
      <c r="B319" s="131">
        <v>42966</v>
      </c>
      <c r="C319" s="123">
        <f t="shared" si="59"/>
        <v>31</v>
      </c>
      <c r="D319" s="123"/>
      <c r="E319" s="132">
        <v>794.18</v>
      </c>
      <c r="F319" s="134"/>
      <c r="G319" s="135"/>
      <c r="H319" s="123"/>
      <c r="I319" s="123"/>
      <c r="J319" s="123"/>
      <c r="K319" s="123"/>
      <c r="L319" s="123"/>
      <c r="M319" s="123">
        <v>13</v>
      </c>
      <c r="N319" s="123">
        <v>18</v>
      </c>
      <c r="O319" s="123"/>
      <c r="P319" s="123"/>
      <c r="Q319" s="123"/>
      <c r="R319" s="123"/>
      <c r="S319" s="133">
        <f t="shared" si="58"/>
        <v>0</v>
      </c>
      <c r="T319" s="116">
        <f t="shared" si="71"/>
        <v>0</v>
      </c>
      <c r="U319" s="116">
        <f t="shared" si="60"/>
        <v>0</v>
      </c>
      <c r="V319" s="116">
        <f t="shared" si="69"/>
        <v>0</v>
      </c>
      <c r="W319" s="116">
        <f t="shared" si="70"/>
        <v>0</v>
      </c>
      <c r="X319" s="116">
        <f t="shared" si="61"/>
        <v>0</v>
      </c>
      <c r="Y319" s="116">
        <f t="shared" si="62"/>
        <v>0</v>
      </c>
      <c r="Z319" s="116">
        <f t="shared" si="63"/>
        <v>3126.58</v>
      </c>
      <c r="AA319" s="116">
        <f t="shared" si="64"/>
        <v>4009.88</v>
      </c>
      <c r="AB319" s="116">
        <f t="shared" si="65"/>
        <v>0</v>
      </c>
      <c r="AC319" s="116">
        <f t="shared" si="66"/>
        <v>0</v>
      </c>
      <c r="AD319" s="116">
        <f t="shared" si="67"/>
        <v>0</v>
      </c>
      <c r="AE319" s="116">
        <f t="shared" si="68"/>
        <v>0</v>
      </c>
    </row>
    <row r="320" spans="1:31">
      <c r="A320" s="131">
        <v>42935</v>
      </c>
      <c r="B320" s="131">
        <v>42966</v>
      </c>
      <c r="C320" s="123">
        <f t="shared" si="59"/>
        <v>31</v>
      </c>
      <c r="D320" s="123"/>
      <c r="E320" s="132">
        <v>2139.48</v>
      </c>
      <c r="F320" s="134"/>
      <c r="G320" s="135"/>
      <c r="H320" s="123"/>
      <c r="I320" s="123"/>
      <c r="J320" s="123"/>
      <c r="K320" s="123"/>
      <c r="L320" s="123"/>
      <c r="M320" s="123">
        <v>13</v>
      </c>
      <c r="N320" s="123">
        <v>18</v>
      </c>
      <c r="O320" s="123"/>
      <c r="P320" s="123"/>
      <c r="Q320" s="123"/>
      <c r="R320" s="123"/>
      <c r="S320" s="133">
        <f t="shared" si="58"/>
        <v>0</v>
      </c>
      <c r="T320" s="116">
        <f t="shared" si="71"/>
        <v>0</v>
      </c>
      <c r="U320" s="116">
        <f t="shared" si="60"/>
        <v>0</v>
      </c>
      <c r="V320" s="116">
        <f t="shared" si="69"/>
        <v>0</v>
      </c>
      <c r="W320" s="116">
        <f t="shared" si="70"/>
        <v>0</v>
      </c>
      <c r="X320" s="116">
        <f t="shared" si="61"/>
        <v>0</v>
      </c>
      <c r="Y320" s="116">
        <f t="shared" si="62"/>
        <v>0</v>
      </c>
      <c r="Z320" s="116">
        <f t="shared" si="63"/>
        <v>8422.84</v>
      </c>
      <c r="AA320" s="116">
        <f t="shared" si="64"/>
        <v>10802.42</v>
      </c>
      <c r="AB320" s="116">
        <f t="shared" si="65"/>
        <v>0</v>
      </c>
      <c r="AC320" s="116">
        <f t="shared" si="66"/>
        <v>0</v>
      </c>
      <c r="AD320" s="116">
        <f t="shared" si="67"/>
        <v>0</v>
      </c>
      <c r="AE320" s="116">
        <f t="shared" si="68"/>
        <v>0</v>
      </c>
    </row>
    <row r="321" spans="1:31">
      <c r="A321" s="131">
        <v>42938</v>
      </c>
      <c r="B321" s="131">
        <v>42969</v>
      </c>
      <c r="C321" s="123">
        <f t="shared" si="59"/>
        <v>31</v>
      </c>
      <c r="D321" s="123">
        <v>30</v>
      </c>
      <c r="E321" s="132">
        <v>279746.07</v>
      </c>
      <c r="F321" s="134"/>
      <c r="G321" s="135"/>
      <c r="H321" s="123"/>
      <c r="I321" s="123"/>
      <c r="J321" s="123"/>
      <c r="K321" s="123"/>
      <c r="L321" s="123"/>
      <c r="M321" s="123">
        <v>10</v>
      </c>
      <c r="N321" s="123">
        <v>21</v>
      </c>
      <c r="O321" s="123"/>
      <c r="P321" s="123"/>
      <c r="Q321" s="123"/>
      <c r="R321" s="123"/>
      <c r="S321" s="133">
        <f t="shared" si="58"/>
        <v>0</v>
      </c>
      <c r="T321" s="116">
        <f t="shared" si="71"/>
        <v>0</v>
      </c>
      <c r="U321" s="116">
        <f t="shared" si="60"/>
        <v>0</v>
      </c>
      <c r="V321" s="116">
        <f t="shared" si="69"/>
        <v>0</v>
      </c>
      <c r="W321" s="116">
        <f t="shared" si="70"/>
        <v>0</v>
      </c>
      <c r="X321" s="116">
        <f t="shared" si="61"/>
        <v>0</v>
      </c>
      <c r="Y321" s="116">
        <f t="shared" si="62"/>
        <v>0</v>
      </c>
      <c r="Z321" s="116">
        <v>830074.44</v>
      </c>
      <c r="AA321" s="116">
        <v>1660148.87</v>
      </c>
      <c r="AB321" s="116">
        <f t="shared" si="65"/>
        <v>0</v>
      </c>
      <c r="AC321" s="116">
        <f t="shared" si="66"/>
        <v>0</v>
      </c>
      <c r="AD321" s="116">
        <f t="shared" si="67"/>
        <v>0</v>
      </c>
      <c r="AE321" s="116">
        <f t="shared" si="68"/>
        <v>0</v>
      </c>
    </row>
    <row r="322" spans="1:31">
      <c r="A322" s="131">
        <v>42942</v>
      </c>
      <c r="B322" s="131">
        <v>42973</v>
      </c>
      <c r="C322" s="123">
        <f t="shared" si="59"/>
        <v>31</v>
      </c>
      <c r="D322" s="123"/>
      <c r="E322" s="132">
        <v>1215.17</v>
      </c>
      <c r="F322" s="134"/>
      <c r="G322" s="135"/>
      <c r="H322" s="123"/>
      <c r="I322" s="123"/>
      <c r="J322" s="123"/>
      <c r="K322" s="123"/>
      <c r="L322" s="123"/>
      <c r="M322" s="123">
        <v>6</v>
      </c>
      <c r="N322" s="123">
        <v>25</v>
      </c>
      <c r="O322" s="123"/>
      <c r="P322" s="123"/>
      <c r="Q322" s="123"/>
      <c r="R322" s="123"/>
      <c r="S322" s="133">
        <f t="shared" si="58"/>
        <v>0</v>
      </c>
      <c r="T322" s="116">
        <f t="shared" si="71"/>
        <v>0</v>
      </c>
      <c r="U322" s="116">
        <f t="shared" si="60"/>
        <v>0</v>
      </c>
      <c r="V322" s="116">
        <f t="shared" si="69"/>
        <v>0</v>
      </c>
      <c r="W322" s="116">
        <f t="shared" si="70"/>
        <v>0</v>
      </c>
      <c r="X322" s="116">
        <f t="shared" si="61"/>
        <v>0</v>
      </c>
      <c r="Y322" s="116">
        <f t="shared" si="62"/>
        <v>0</v>
      </c>
      <c r="Z322" s="116">
        <f t="shared" si="63"/>
        <v>2207.98</v>
      </c>
      <c r="AA322" s="116">
        <f t="shared" si="64"/>
        <v>8521.5300000000007</v>
      </c>
      <c r="AB322" s="116">
        <f t="shared" si="65"/>
        <v>0</v>
      </c>
      <c r="AC322" s="116">
        <f t="shared" si="66"/>
        <v>0</v>
      </c>
      <c r="AD322" s="116">
        <f t="shared" si="67"/>
        <v>0</v>
      </c>
      <c r="AE322" s="116">
        <f t="shared" si="68"/>
        <v>0</v>
      </c>
    </row>
    <row r="323" spans="1:31">
      <c r="A323" s="131">
        <v>42942</v>
      </c>
      <c r="B323" s="131">
        <v>42973</v>
      </c>
      <c r="C323" s="123">
        <f t="shared" si="59"/>
        <v>31</v>
      </c>
      <c r="D323" s="123"/>
      <c r="E323" s="132">
        <v>1566.29</v>
      </c>
      <c r="F323" s="134"/>
      <c r="G323" s="135"/>
      <c r="H323" s="123"/>
      <c r="I323" s="123"/>
      <c r="J323" s="123"/>
      <c r="K323" s="123"/>
      <c r="L323" s="123"/>
      <c r="M323" s="123">
        <v>6</v>
      </c>
      <c r="N323" s="123">
        <v>25</v>
      </c>
      <c r="O323" s="123"/>
      <c r="P323" s="123"/>
      <c r="Q323" s="123"/>
      <c r="R323" s="123"/>
      <c r="S323" s="133">
        <f t="shared" si="58"/>
        <v>0</v>
      </c>
      <c r="T323" s="116">
        <f t="shared" si="71"/>
        <v>0</v>
      </c>
      <c r="U323" s="116">
        <f t="shared" si="60"/>
        <v>0</v>
      </c>
      <c r="V323" s="116">
        <f t="shared" si="69"/>
        <v>0</v>
      </c>
      <c r="W323" s="116">
        <f t="shared" si="70"/>
        <v>0</v>
      </c>
      <c r="X323" s="116">
        <f t="shared" si="61"/>
        <v>0</v>
      </c>
      <c r="Y323" s="116">
        <f t="shared" si="62"/>
        <v>0</v>
      </c>
      <c r="Z323" s="116">
        <f t="shared" si="63"/>
        <v>2845.97</v>
      </c>
      <c r="AA323" s="116">
        <f t="shared" si="64"/>
        <v>10983.8</v>
      </c>
      <c r="AB323" s="116">
        <f t="shared" si="65"/>
        <v>0</v>
      </c>
      <c r="AC323" s="116">
        <f t="shared" si="66"/>
        <v>0</v>
      </c>
      <c r="AD323" s="116">
        <f t="shared" si="67"/>
        <v>0</v>
      </c>
      <c r="AE323" s="116">
        <f t="shared" si="68"/>
        <v>0</v>
      </c>
    </row>
    <row r="324" spans="1:31">
      <c r="A324" s="131">
        <v>42944</v>
      </c>
      <c r="B324" s="131">
        <v>42975</v>
      </c>
      <c r="C324" s="123">
        <f t="shared" si="59"/>
        <v>31</v>
      </c>
      <c r="D324" s="123"/>
      <c r="E324" s="132">
        <v>1228.81</v>
      </c>
      <c r="F324" s="134"/>
      <c r="G324" s="135"/>
      <c r="H324" s="123"/>
      <c r="I324" s="123"/>
      <c r="J324" s="123"/>
      <c r="K324" s="123"/>
      <c r="L324" s="123"/>
      <c r="M324" s="123">
        <v>4</v>
      </c>
      <c r="N324" s="123">
        <v>27</v>
      </c>
      <c r="O324" s="123"/>
      <c r="P324" s="123"/>
      <c r="Q324" s="123"/>
      <c r="R324" s="123"/>
      <c r="S324" s="133">
        <f t="shared" si="58"/>
        <v>0</v>
      </c>
      <c r="T324" s="116">
        <f t="shared" si="71"/>
        <v>0</v>
      </c>
      <c r="U324" s="116">
        <f t="shared" si="60"/>
        <v>0</v>
      </c>
      <c r="V324" s="116">
        <f t="shared" si="69"/>
        <v>0</v>
      </c>
      <c r="W324" s="116">
        <f t="shared" si="70"/>
        <v>0</v>
      </c>
      <c r="X324" s="116">
        <f t="shared" si="61"/>
        <v>0</v>
      </c>
      <c r="Y324" s="116">
        <f t="shared" si="62"/>
        <v>0</v>
      </c>
      <c r="Z324" s="116">
        <f t="shared" si="63"/>
        <v>1488.51</v>
      </c>
      <c r="AA324" s="116">
        <f t="shared" si="64"/>
        <v>9306.56</v>
      </c>
      <c r="AB324" s="116">
        <f t="shared" si="65"/>
        <v>0</v>
      </c>
      <c r="AC324" s="116">
        <f t="shared" si="66"/>
        <v>0</v>
      </c>
      <c r="AD324" s="116">
        <f t="shared" si="67"/>
        <v>0</v>
      </c>
      <c r="AE324" s="116">
        <f t="shared" si="68"/>
        <v>0</v>
      </c>
    </row>
    <row r="325" spans="1:31">
      <c r="A325" s="131">
        <v>42944</v>
      </c>
      <c r="B325" s="131">
        <v>42975</v>
      </c>
      <c r="C325" s="123">
        <f t="shared" si="59"/>
        <v>31</v>
      </c>
      <c r="D325" s="123"/>
      <c r="E325" s="132">
        <v>319.19</v>
      </c>
      <c r="F325" s="134"/>
      <c r="G325" s="135"/>
      <c r="H325" s="123"/>
      <c r="I325" s="123"/>
      <c r="J325" s="123"/>
      <c r="K325" s="123"/>
      <c r="L325" s="123"/>
      <c r="M325" s="123">
        <v>4</v>
      </c>
      <c r="N325" s="123">
        <v>27</v>
      </c>
      <c r="O325" s="123"/>
      <c r="P325" s="123"/>
      <c r="Q325" s="123"/>
      <c r="R325" s="123"/>
      <c r="S325" s="133">
        <f t="shared" si="58"/>
        <v>0</v>
      </c>
      <c r="T325" s="116">
        <f t="shared" si="71"/>
        <v>0</v>
      </c>
      <c r="U325" s="116">
        <f t="shared" si="60"/>
        <v>0</v>
      </c>
      <c r="V325" s="116">
        <f t="shared" si="69"/>
        <v>0</v>
      </c>
      <c r="W325" s="116">
        <f t="shared" si="70"/>
        <v>0</v>
      </c>
      <c r="X325" s="116">
        <f t="shared" si="61"/>
        <v>0</v>
      </c>
      <c r="Y325" s="116">
        <f t="shared" si="62"/>
        <v>0</v>
      </c>
      <c r="Z325" s="116">
        <f t="shared" si="63"/>
        <v>386.65</v>
      </c>
      <c r="AA325" s="116">
        <f t="shared" si="64"/>
        <v>2417.4299999999998</v>
      </c>
      <c r="AB325" s="116">
        <f t="shared" si="65"/>
        <v>0</v>
      </c>
      <c r="AC325" s="116">
        <f t="shared" si="66"/>
        <v>0</v>
      </c>
      <c r="AD325" s="116">
        <f t="shared" si="67"/>
        <v>0</v>
      </c>
      <c r="AE325" s="116">
        <f t="shared" si="68"/>
        <v>0</v>
      </c>
    </row>
    <row r="326" spans="1:31">
      <c r="A326" s="131">
        <v>42948</v>
      </c>
      <c r="B326" s="131">
        <v>42979</v>
      </c>
      <c r="C326" s="123">
        <f t="shared" si="59"/>
        <v>31</v>
      </c>
      <c r="D326" s="123"/>
      <c r="E326" s="132">
        <v>250.62</v>
      </c>
      <c r="F326" s="134"/>
      <c r="G326" s="135"/>
      <c r="H326" s="123"/>
      <c r="I326" s="123"/>
      <c r="J326" s="123"/>
      <c r="K326" s="123"/>
      <c r="L326" s="123"/>
      <c r="M326" s="123"/>
      <c r="N326" s="123">
        <v>31</v>
      </c>
      <c r="O326" s="123"/>
      <c r="P326" s="123"/>
      <c r="Q326" s="123"/>
      <c r="R326" s="123"/>
      <c r="S326" s="133">
        <f t="shared" ref="S326:S391" si="72">C326-SUM(G326:R326)</f>
        <v>0</v>
      </c>
      <c r="T326" s="116">
        <f t="shared" si="71"/>
        <v>0</v>
      </c>
      <c r="U326" s="116">
        <f t="shared" si="60"/>
        <v>0</v>
      </c>
      <c r="V326" s="116">
        <f t="shared" si="69"/>
        <v>0</v>
      </c>
      <c r="W326" s="116">
        <f t="shared" si="70"/>
        <v>0</v>
      </c>
      <c r="X326" s="116">
        <f t="shared" si="61"/>
        <v>0</v>
      </c>
      <c r="Y326" s="116">
        <f t="shared" si="62"/>
        <v>0</v>
      </c>
      <c r="Z326" s="116">
        <f t="shared" si="63"/>
        <v>0</v>
      </c>
      <c r="AA326" s="116">
        <f t="shared" si="64"/>
        <v>2179.3000000000002</v>
      </c>
      <c r="AB326" s="116">
        <f t="shared" si="65"/>
        <v>0</v>
      </c>
      <c r="AC326" s="116">
        <f t="shared" si="66"/>
        <v>0</v>
      </c>
      <c r="AD326" s="116">
        <f t="shared" si="67"/>
        <v>0</v>
      </c>
      <c r="AE326" s="116">
        <f t="shared" si="68"/>
        <v>0</v>
      </c>
    </row>
    <row r="327" spans="1:31">
      <c r="A327" s="131">
        <v>42943</v>
      </c>
      <c r="B327" s="131">
        <v>42975</v>
      </c>
      <c r="C327" s="123">
        <f t="shared" si="59"/>
        <v>32</v>
      </c>
      <c r="D327" s="123" t="s">
        <v>218</v>
      </c>
      <c r="E327" s="132">
        <v>6624.14</v>
      </c>
      <c r="F327" s="134"/>
      <c r="G327" s="135"/>
      <c r="H327" s="123"/>
      <c r="I327" s="123"/>
      <c r="J327" s="123"/>
      <c r="K327" s="123"/>
      <c r="L327" s="123"/>
      <c r="M327" s="123">
        <v>5</v>
      </c>
      <c r="N327" s="123">
        <v>27</v>
      </c>
      <c r="O327" s="123"/>
      <c r="P327" s="123"/>
      <c r="Q327" s="123"/>
      <c r="R327" s="123"/>
      <c r="S327" s="133">
        <f t="shared" si="72"/>
        <v>0</v>
      </c>
      <c r="T327" s="116">
        <f t="shared" si="71"/>
        <v>0</v>
      </c>
      <c r="U327" s="116">
        <f t="shared" si="60"/>
        <v>0</v>
      </c>
      <c r="V327" s="116">
        <f t="shared" si="69"/>
        <v>0</v>
      </c>
      <c r="W327" s="116">
        <f t="shared" si="70"/>
        <v>0</v>
      </c>
      <c r="X327" s="116">
        <f t="shared" si="61"/>
        <v>0</v>
      </c>
      <c r="Y327" s="116">
        <f t="shared" si="62"/>
        <v>0</v>
      </c>
      <c r="Z327" s="116">
        <f t="shared" si="63"/>
        <v>9716.69</v>
      </c>
      <c r="AA327" s="116">
        <f t="shared" si="64"/>
        <v>48601.03</v>
      </c>
      <c r="AB327" s="116">
        <f t="shared" si="65"/>
        <v>0</v>
      </c>
      <c r="AC327" s="116">
        <f t="shared" si="66"/>
        <v>0</v>
      </c>
      <c r="AD327" s="116">
        <f t="shared" si="67"/>
        <v>0</v>
      </c>
      <c r="AE327" s="116">
        <f t="shared" si="68"/>
        <v>0</v>
      </c>
    </row>
    <row r="328" spans="1:31">
      <c r="A328" s="131">
        <v>42948</v>
      </c>
      <c r="B328" s="131">
        <v>42979</v>
      </c>
      <c r="C328" s="123">
        <f t="shared" si="59"/>
        <v>31</v>
      </c>
      <c r="D328" s="123" t="s">
        <v>219</v>
      </c>
      <c r="E328" s="132">
        <v>6584.35</v>
      </c>
      <c r="F328" s="134"/>
      <c r="G328" s="135"/>
      <c r="H328" s="123"/>
      <c r="I328" s="123"/>
      <c r="J328" s="123"/>
      <c r="K328" s="123"/>
      <c r="L328" s="123"/>
      <c r="M328" s="123"/>
      <c r="N328" s="123">
        <v>31</v>
      </c>
      <c r="O328" s="123"/>
      <c r="P328" s="123"/>
      <c r="Q328" s="123"/>
      <c r="R328" s="123"/>
      <c r="S328" s="133">
        <f t="shared" si="72"/>
        <v>0</v>
      </c>
      <c r="T328" s="116">
        <f t="shared" si="71"/>
        <v>0</v>
      </c>
      <c r="U328" s="116">
        <f t="shared" si="60"/>
        <v>0</v>
      </c>
      <c r="V328" s="116">
        <f t="shared" si="69"/>
        <v>0</v>
      </c>
      <c r="W328" s="116">
        <f t="shared" si="70"/>
        <v>0</v>
      </c>
      <c r="X328" s="116">
        <f t="shared" si="61"/>
        <v>0</v>
      </c>
      <c r="Y328" s="116">
        <f t="shared" si="62"/>
        <v>0</v>
      </c>
      <c r="Z328" s="116">
        <f t="shared" si="63"/>
        <v>0</v>
      </c>
      <c r="AA328" s="116">
        <f t="shared" si="64"/>
        <v>57255.22</v>
      </c>
      <c r="AB328" s="116">
        <f t="shared" si="65"/>
        <v>0</v>
      </c>
      <c r="AC328" s="116">
        <f t="shared" si="66"/>
        <v>0</v>
      </c>
      <c r="AD328" s="116">
        <f t="shared" si="67"/>
        <v>0</v>
      </c>
      <c r="AE328" s="116">
        <f t="shared" si="68"/>
        <v>0</v>
      </c>
    </row>
    <row r="329" spans="1:31">
      <c r="A329" s="131">
        <v>42948</v>
      </c>
      <c r="B329" s="131">
        <v>42979</v>
      </c>
      <c r="C329" s="123">
        <f t="shared" si="59"/>
        <v>31</v>
      </c>
      <c r="D329" s="123"/>
      <c r="E329" s="132">
        <v>175115.12</v>
      </c>
      <c r="F329" s="134"/>
      <c r="G329" s="135"/>
      <c r="H329" s="123"/>
      <c r="I329" s="123"/>
      <c r="J329" s="123"/>
      <c r="K329" s="123"/>
      <c r="L329" s="123"/>
      <c r="M329" s="123"/>
      <c r="N329" s="123">
        <v>31</v>
      </c>
      <c r="O329" s="123"/>
      <c r="P329" s="123"/>
      <c r="Q329" s="123"/>
      <c r="R329" s="123"/>
      <c r="S329" s="133">
        <f t="shared" si="72"/>
        <v>0</v>
      </c>
      <c r="T329" s="116">
        <f t="shared" si="71"/>
        <v>0</v>
      </c>
      <c r="U329" s="116">
        <f t="shared" si="60"/>
        <v>0</v>
      </c>
      <c r="V329" s="116">
        <f t="shared" si="69"/>
        <v>0</v>
      </c>
      <c r="W329" s="116">
        <f t="shared" si="70"/>
        <v>0</v>
      </c>
      <c r="X329" s="116">
        <f t="shared" si="61"/>
        <v>0</v>
      </c>
      <c r="Y329" s="116">
        <f t="shared" si="62"/>
        <v>0</v>
      </c>
      <c r="Z329" s="116">
        <f t="shared" si="63"/>
        <v>0</v>
      </c>
      <c r="AA329" s="116">
        <f t="shared" si="64"/>
        <v>1522740.17</v>
      </c>
      <c r="AB329" s="116">
        <f t="shared" si="65"/>
        <v>0</v>
      </c>
      <c r="AC329" s="116">
        <f t="shared" si="66"/>
        <v>0</v>
      </c>
      <c r="AD329" s="116">
        <f t="shared" si="67"/>
        <v>0</v>
      </c>
      <c r="AE329" s="116">
        <f t="shared" si="68"/>
        <v>0</v>
      </c>
    </row>
    <row r="330" spans="1:31">
      <c r="A330" s="131">
        <v>42948</v>
      </c>
      <c r="B330" s="131">
        <v>42979</v>
      </c>
      <c r="C330" s="123">
        <f t="shared" si="59"/>
        <v>31</v>
      </c>
      <c r="D330" s="123" t="s">
        <v>219</v>
      </c>
      <c r="E330" s="132">
        <v>3477.94</v>
      </c>
      <c r="F330" s="134"/>
      <c r="G330" s="135"/>
      <c r="H330" s="123"/>
      <c r="I330" s="123"/>
      <c r="J330" s="123"/>
      <c r="K330" s="123"/>
      <c r="L330" s="123"/>
      <c r="M330" s="123"/>
      <c r="N330" s="123">
        <v>31</v>
      </c>
      <c r="O330" s="123"/>
      <c r="P330" s="123"/>
      <c r="Q330" s="123"/>
      <c r="R330" s="123"/>
      <c r="S330" s="133">
        <f t="shared" si="72"/>
        <v>0</v>
      </c>
      <c r="T330" s="116">
        <f t="shared" si="71"/>
        <v>0</v>
      </c>
      <c r="U330" s="116">
        <f t="shared" si="60"/>
        <v>0</v>
      </c>
      <c r="V330" s="116">
        <f t="shared" si="69"/>
        <v>0</v>
      </c>
      <c r="W330" s="116">
        <f t="shared" si="70"/>
        <v>0</v>
      </c>
      <c r="X330" s="116">
        <f t="shared" si="61"/>
        <v>0</v>
      </c>
      <c r="Y330" s="116">
        <f t="shared" si="62"/>
        <v>0</v>
      </c>
      <c r="Z330" s="116">
        <f t="shared" si="63"/>
        <v>0</v>
      </c>
      <c r="AA330" s="116">
        <f t="shared" si="64"/>
        <v>30242.959999999999</v>
      </c>
      <c r="AB330" s="116">
        <f t="shared" si="65"/>
        <v>0</v>
      </c>
      <c r="AC330" s="116">
        <f t="shared" si="66"/>
        <v>0</v>
      </c>
      <c r="AD330" s="116">
        <f t="shared" si="67"/>
        <v>0</v>
      </c>
      <c r="AE330" s="116">
        <f t="shared" si="68"/>
        <v>0</v>
      </c>
    </row>
    <row r="331" spans="1:31">
      <c r="A331" s="131">
        <v>42948</v>
      </c>
      <c r="B331" s="131">
        <v>42979</v>
      </c>
      <c r="C331" s="123">
        <f t="shared" si="59"/>
        <v>31</v>
      </c>
      <c r="D331" s="123"/>
      <c r="E331" s="132">
        <v>117636.92</v>
      </c>
      <c r="F331" s="134"/>
      <c r="G331" s="135"/>
      <c r="H331" s="123"/>
      <c r="I331" s="123"/>
      <c r="J331" s="123"/>
      <c r="K331" s="123"/>
      <c r="L331" s="123"/>
      <c r="M331" s="123"/>
      <c r="N331" s="123">
        <v>31</v>
      </c>
      <c r="O331" s="123"/>
      <c r="P331" s="123"/>
      <c r="Q331" s="123"/>
      <c r="R331" s="123"/>
      <c r="S331" s="133">
        <f t="shared" si="72"/>
        <v>0</v>
      </c>
      <c r="T331" s="116">
        <f t="shared" si="71"/>
        <v>0</v>
      </c>
      <c r="U331" s="116">
        <f t="shared" si="60"/>
        <v>0</v>
      </c>
      <c r="V331" s="116">
        <f t="shared" si="69"/>
        <v>0</v>
      </c>
      <c r="W331" s="116">
        <f t="shared" si="70"/>
        <v>0</v>
      </c>
      <c r="X331" s="116">
        <f t="shared" si="61"/>
        <v>0</v>
      </c>
      <c r="Y331" s="116">
        <f t="shared" si="62"/>
        <v>0</v>
      </c>
      <c r="Z331" s="116">
        <f t="shared" si="63"/>
        <v>0</v>
      </c>
      <c r="AA331" s="116">
        <f t="shared" si="64"/>
        <v>1022929.74</v>
      </c>
      <c r="AB331" s="116">
        <f t="shared" si="65"/>
        <v>0</v>
      </c>
      <c r="AC331" s="116">
        <f t="shared" si="66"/>
        <v>0</v>
      </c>
      <c r="AD331" s="116">
        <f t="shared" si="67"/>
        <v>0</v>
      </c>
      <c r="AE331" s="116">
        <f t="shared" si="68"/>
        <v>0</v>
      </c>
    </row>
    <row r="332" spans="1:31">
      <c r="A332" s="131">
        <v>42950</v>
      </c>
      <c r="B332" s="131">
        <v>42981</v>
      </c>
      <c r="C332" s="123">
        <f t="shared" si="59"/>
        <v>31</v>
      </c>
      <c r="D332" s="123"/>
      <c r="E332" s="132">
        <v>779.55</v>
      </c>
      <c r="F332" s="134"/>
      <c r="G332" s="135"/>
      <c r="H332" s="123"/>
      <c r="I332" s="123"/>
      <c r="J332" s="123"/>
      <c r="K332" s="123"/>
      <c r="L332" s="123"/>
      <c r="M332" s="123"/>
      <c r="N332" s="123">
        <v>29</v>
      </c>
      <c r="O332" s="123">
        <v>2</v>
      </c>
      <c r="P332" s="123"/>
      <c r="Q332" s="123"/>
      <c r="R332" s="123"/>
      <c r="S332" s="133">
        <f t="shared" si="72"/>
        <v>0</v>
      </c>
      <c r="T332" s="116">
        <f t="shared" si="71"/>
        <v>0</v>
      </c>
      <c r="U332" s="116">
        <f t="shared" si="60"/>
        <v>0</v>
      </c>
      <c r="V332" s="116">
        <f t="shared" si="69"/>
        <v>0</v>
      </c>
      <c r="W332" s="116">
        <f t="shared" si="70"/>
        <v>0</v>
      </c>
      <c r="X332" s="116">
        <f t="shared" si="61"/>
        <v>0</v>
      </c>
      <c r="Y332" s="116">
        <f t="shared" si="62"/>
        <v>0</v>
      </c>
      <c r="Z332" s="116">
        <f t="shared" si="63"/>
        <v>0</v>
      </c>
      <c r="AA332" s="116">
        <f t="shared" si="64"/>
        <v>6341.36</v>
      </c>
      <c r="AB332" s="116">
        <f t="shared" si="65"/>
        <v>394.8</v>
      </c>
      <c r="AC332" s="116">
        <f t="shared" si="66"/>
        <v>0</v>
      </c>
      <c r="AD332" s="116">
        <f t="shared" si="67"/>
        <v>0</v>
      </c>
      <c r="AE332" s="116">
        <f t="shared" si="68"/>
        <v>0</v>
      </c>
    </row>
    <row r="333" spans="1:31">
      <c r="A333" s="131">
        <v>42950</v>
      </c>
      <c r="B333" s="131">
        <v>42979</v>
      </c>
      <c r="C333" s="123">
        <f t="shared" si="59"/>
        <v>29</v>
      </c>
      <c r="D333" s="123"/>
      <c r="E333" s="132">
        <v>34.76</v>
      </c>
      <c r="F333" s="134"/>
      <c r="G333" s="135"/>
      <c r="H333" s="123"/>
      <c r="I333" s="123"/>
      <c r="J333" s="123"/>
      <c r="K333" s="123"/>
      <c r="L333" s="123"/>
      <c r="M333" s="123"/>
      <c r="N333" s="123">
        <v>29</v>
      </c>
      <c r="O333" s="123"/>
      <c r="P333" s="123"/>
      <c r="Q333" s="123"/>
      <c r="R333" s="123"/>
      <c r="S333" s="133">
        <f t="shared" si="72"/>
        <v>0</v>
      </c>
      <c r="T333" s="116">
        <f t="shared" si="71"/>
        <v>0</v>
      </c>
      <c r="U333" s="116">
        <f t="shared" si="60"/>
        <v>0</v>
      </c>
      <c r="V333" s="116">
        <f t="shared" si="69"/>
        <v>0</v>
      </c>
      <c r="W333" s="116">
        <f t="shared" si="70"/>
        <v>0</v>
      </c>
      <c r="X333" s="116">
        <f t="shared" si="61"/>
        <v>0</v>
      </c>
      <c r="Y333" s="116">
        <f t="shared" si="62"/>
        <v>0</v>
      </c>
      <c r="Z333" s="116">
        <f t="shared" si="63"/>
        <v>0</v>
      </c>
      <c r="AA333" s="116">
        <f t="shared" si="64"/>
        <v>302.26</v>
      </c>
      <c r="AB333" s="116">
        <f t="shared" si="65"/>
        <v>0</v>
      </c>
      <c r="AC333" s="116">
        <f t="shared" si="66"/>
        <v>0</v>
      </c>
      <c r="AD333" s="116">
        <f t="shared" si="67"/>
        <v>0</v>
      </c>
      <c r="AE333" s="116">
        <f t="shared" si="68"/>
        <v>0</v>
      </c>
    </row>
    <row r="334" spans="1:31">
      <c r="A334" s="131">
        <v>42948</v>
      </c>
      <c r="B334" s="131">
        <v>42979</v>
      </c>
      <c r="C334" s="123">
        <f t="shared" si="59"/>
        <v>31</v>
      </c>
      <c r="D334" s="123"/>
      <c r="E334" s="132">
        <v>2754.4</v>
      </c>
      <c r="F334" s="134"/>
      <c r="G334" s="135"/>
      <c r="H334" s="123"/>
      <c r="I334" s="123"/>
      <c r="J334" s="123"/>
      <c r="K334" s="123"/>
      <c r="L334" s="123"/>
      <c r="M334" s="123"/>
      <c r="N334" s="123">
        <v>31</v>
      </c>
      <c r="O334" s="123"/>
      <c r="P334" s="123"/>
      <c r="Q334" s="123"/>
      <c r="R334" s="123"/>
      <c r="S334" s="133">
        <f t="shared" si="72"/>
        <v>0</v>
      </c>
      <c r="T334" s="116">
        <f t="shared" si="71"/>
        <v>0</v>
      </c>
      <c r="U334" s="116">
        <f t="shared" si="60"/>
        <v>0</v>
      </c>
      <c r="V334" s="116">
        <f t="shared" si="69"/>
        <v>0</v>
      </c>
      <c r="W334" s="116">
        <f t="shared" si="70"/>
        <v>0</v>
      </c>
      <c r="X334" s="116">
        <f t="shared" si="61"/>
        <v>0</v>
      </c>
      <c r="Y334" s="116">
        <f t="shared" si="62"/>
        <v>0</v>
      </c>
      <c r="Z334" s="116">
        <f t="shared" si="63"/>
        <v>0</v>
      </c>
      <c r="AA334" s="116">
        <f t="shared" si="64"/>
        <v>23951.3</v>
      </c>
      <c r="AB334" s="116">
        <f t="shared" si="65"/>
        <v>0</v>
      </c>
      <c r="AC334" s="116">
        <f t="shared" si="66"/>
        <v>0</v>
      </c>
      <c r="AD334" s="116">
        <f t="shared" si="67"/>
        <v>0</v>
      </c>
      <c r="AE334" s="116">
        <f t="shared" si="68"/>
        <v>0</v>
      </c>
    </row>
    <row r="335" spans="1:31">
      <c r="A335" s="131">
        <v>42952</v>
      </c>
      <c r="B335" s="131">
        <v>42983</v>
      </c>
      <c r="C335" s="123">
        <f t="shared" si="59"/>
        <v>31</v>
      </c>
      <c r="D335" s="123"/>
      <c r="E335" s="132">
        <v>1162.29</v>
      </c>
      <c r="F335" s="134"/>
      <c r="G335" s="135"/>
      <c r="H335" s="123"/>
      <c r="I335" s="123"/>
      <c r="J335" s="123"/>
      <c r="K335" s="123"/>
      <c r="L335" s="123"/>
      <c r="M335" s="123"/>
      <c r="N335" s="123">
        <v>27</v>
      </c>
      <c r="O335" s="123">
        <v>4</v>
      </c>
      <c r="P335" s="123"/>
      <c r="Q335" s="123"/>
      <c r="R335" s="123"/>
      <c r="S335" s="133">
        <f t="shared" si="72"/>
        <v>0</v>
      </c>
      <c r="T335" s="116">
        <f t="shared" si="71"/>
        <v>0</v>
      </c>
      <c r="U335" s="116">
        <f t="shared" si="60"/>
        <v>0</v>
      </c>
      <c r="V335" s="116">
        <f t="shared" si="69"/>
        <v>0</v>
      </c>
      <c r="W335" s="116">
        <f t="shared" si="70"/>
        <v>0</v>
      </c>
      <c r="X335" s="116">
        <f t="shared" si="61"/>
        <v>0</v>
      </c>
      <c r="Y335" s="116">
        <f t="shared" si="62"/>
        <v>0</v>
      </c>
      <c r="Z335" s="116">
        <f t="shared" si="63"/>
        <v>0</v>
      </c>
      <c r="AA335" s="116">
        <f t="shared" si="64"/>
        <v>8802.76</v>
      </c>
      <c r="AB335" s="116">
        <f t="shared" si="65"/>
        <v>1177.27</v>
      </c>
      <c r="AC335" s="116">
        <f t="shared" si="66"/>
        <v>0</v>
      </c>
      <c r="AD335" s="116">
        <f t="shared" si="67"/>
        <v>0</v>
      </c>
      <c r="AE335" s="116">
        <f t="shared" si="68"/>
        <v>0</v>
      </c>
    </row>
    <row r="336" spans="1:31">
      <c r="A336" s="131">
        <v>42950</v>
      </c>
      <c r="B336" s="131">
        <v>42981</v>
      </c>
      <c r="C336" s="123">
        <f t="shared" si="59"/>
        <v>31</v>
      </c>
      <c r="D336" s="123"/>
      <c r="E336" s="132">
        <v>1586.64</v>
      </c>
      <c r="F336" s="134"/>
      <c r="G336" s="135"/>
      <c r="H336" s="123"/>
      <c r="I336" s="123"/>
      <c r="J336" s="123"/>
      <c r="K336" s="123"/>
      <c r="L336" s="123"/>
      <c r="M336" s="123"/>
      <c r="N336" s="123">
        <v>29</v>
      </c>
      <c r="O336" s="123">
        <v>2</v>
      </c>
      <c r="P336" s="123"/>
      <c r="Q336" s="123"/>
      <c r="R336" s="123"/>
      <c r="S336" s="133">
        <f t="shared" si="72"/>
        <v>0</v>
      </c>
      <c r="T336" s="116">
        <f t="shared" si="71"/>
        <v>0</v>
      </c>
      <c r="U336" s="116">
        <f t="shared" si="60"/>
        <v>0</v>
      </c>
      <c r="V336" s="116">
        <f t="shared" si="69"/>
        <v>0</v>
      </c>
      <c r="W336" s="116">
        <f t="shared" si="70"/>
        <v>0</v>
      </c>
      <c r="X336" s="116">
        <f t="shared" si="61"/>
        <v>0</v>
      </c>
      <c r="Y336" s="116">
        <f t="shared" si="62"/>
        <v>0</v>
      </c>
      <c r="Z336" s="116">
        <f t="shared" si="63"/>
        <v>0</v>
      </c>
      <c r="AA336" s="116">
        <f t="shared" si="64"/>
        <v>12906.75</v>
      </c>
      <c r="AB336" s="116">
        <f t="shared" si="65"/>
        <v>803.55</v>
      </c>
      <c r="AC336" s="116">
        <f t="shared" si="66"/>
        <v>0</v>
      </c>
      <c r="AD336" s="116">
        <f t="shared" si="67"/>
        <v>0</v>
      </c>
      <c r="AE336" s="116">
        <f t="shared" si="68"/>
        <v>0</v>
      </c>
    </row>
    <row r="337" spans="1:31">
      <c r="A337" s="131">
        <v>42950</v>
      </c>
      <c r="B337" s="131">
        <v>42981</v>
      </c>
      <c r="C337" s="123">
        <f t="shared" si="59"/>
        <v>31</v>
      </c>
      <c r="D337" s="123"/>
      <c r="E337" s="132">
        <v>485.88</v>
      </c>
      <c r="F337" s="134"/>
      <c r="G337" s="135"/>
      <c r="H337" s="123"/>
      <c r="I337" s="123"/>
      <c r="J337" s="123"/>
      <c r="K337" s="123"/>
      <c r="L337" s="123"/>
      <c r="M337" s="123"/>
      <c r="N337" s="123">
        <v>29</v>
      </c>
      <c r="O337" s="123">
        <v>2</v>
      </c>
      <c r="P337" s="123"/>
      <c r="Q337" s="123"/>
      <c r="R337" s="123"/>
      <c r="S337" s="133">
        <f t="shared" si="72"/>
        <v>0</v>
      </c>
      <c r="T337" s="116">
        <f t="shared" si="71"/>
        <v>0</v>
      </c>
      <c r="U337" s="116">
        <f t="shared" si="60"/>
        <v>0</v>
      </c>
      <c r="V337" s="116">
        <f t="shared" si="69"/>
        <v>0</v>
      </c>
      <c r="W337" s="116">
        <f t="shared" si="70"/>
        <v>0</v>
      </c>
      <c r="X337" s="116">
        <f t="shared" si="61"/>
        <v>0</v>
      </c>
      <c r="Y337" s="116">
        <f t="shared" si="62"/>
        <v>0</v>
      </c>
      <c r="Z337" s="116">
        <f t="shared" si="63"/>
        <v>0</v>
      </c>
      <c r="AA337" s="116">
        <f t="shared" si="64"/>
        <v>3952.46</v>
      </c>
      <c r="AB337" s="116">
        <f t="shared" si="65"/>
        <v>246.07</v>
      </c>
      <c r="AC337" s="116">
        <f t="shared" si="66"/>
        <v>0</v>
      </c>
      <c r="AD337" s="116">
        <f t="shared" si="67"/>
        <v>0</v>
      </c>
      <c r="AE337" s="116">
        <f t="shared" si="68"/>
        <v>0</v>
      </c>
    </row>
    <row r="338" spans="1:31">
      <c r="A338" s="131">
        <v>42950</v>
      </c>
      <c r="B338" s="131">
        <v>42981</v>
      </c>
      <c r="C338" s="123">
        <f t="shared" si="59"/>
        <v>31</v>
      </c>
      <c r="D338" s="123"/>
      <c r="E338" s="132">
        <v>508.74</v>
      </c>
      <c r="F338" s="134"/>
      <c r="G338" s="135"/>
      <c r="H338" s="123"/>
      <c r="I338" s="123"/>
      <c r="J338" s="123"/>
      <c r="K338" s="123"/>
      <c r="L338" s="123"/>
      <c r="M338" s="123"/>
      <c r="N338" s="123">
        <v>29</v>
      </c>
      <c r="O338" s="123">
        <v>2</v>
      </c>
      <c r="P338" s="123"/>
      <c r="Q338" s="123"/>
      <c r="R338" s="123"/>
      <c r="S338" s="133">
        <f t="shared" si="72"/>
        <v>0</v>
      </c>
      <c r="T338" s="116">
        <f t="shared" si="71"/>
        <v>0</v>
      </c>
      <c r="U338" s="116">
        <f t="shared" si="60"/>
        <v>0</v>
      </c>
      <c r="V338" s="116">
        <f t="shared" si="69"/>
        <v>0</v>
      </c>
      <c r="W338" s="116">
        <f t="shared" si="70"/>
        <v>0</v>
      </c>
      <c r="X338" s="116">
        <f t="shared" si="61"/>
        <v>0</v>
      </c>
      <c r="Y338" s="116">
        <f t="shared" si="62"/>
        <v>0</v>
      </c>
      <c r="Z338" s="116">
        <f t="shared" si="63"/>
        <v>0</v>
      </c>
      <c r="AA338" s="116">
        <f t="shared" si="64"/>
        <v>4138.42</v>
      </c>
      <c r="AB338" s="116">
        <f t="shared" si="65"/>
        <v>257.64999999999998</v>
      </c>
      <c r="AC338" s="116">
        <f t="shared" si="66"/>
        <v>0</v>
      </c>
      <c r="AD338" s="116">
        <f t="shared" si="67"/>
        <v>0</v>
      </c>
      <c r="AE338" s="116">
        <f t="shared" si="68"/>
        <v>0</v>
      </c>
    </row>
    <row r="339" spans="1:31">
      <c r="A339" s="131">
        <v>42952</v>
      </c>
      <c r="B339" s="131">
        <v>42983</v>
      </c>
      <c r="C339" s="123">
        <f t="shared" si="59"/>
        <v>31</v>
      </c>
      <c r="D339" s="123"/>
      <c r="E339" s="132">
        <v>670.64</v>
      </c>
      <c r="F339" s="134"/>
      <c r="G339" s="135"/>
      <c r="H339" s="123"/>
      <c r="I339" s="123"/>
      <c r="J339" s="123"/>
      <c r="K339" s="123"/>
      <c r="L339" s="123"/>
      <c r="M339" s="123"/>
      <c r="N339" s="123">
        <v>27</v>
      </c>
      <c r="O339" s="123">
        <v>4</v>
      </c>
      <c r="P339" s="123"/>
      <c r="Q339" s="123"/>
      <c r="R339" s="123"/>
      <c r="S339" s="133">
        <f t="shared" si="72"/>
        <v>0</v>
      </c>
      <c r="T339" s="116">
        <f t="shared" si="71"/>
        <v>0</v>
      </c>
      <c r="U339" s="116">
        <f t="shared" si="60"/>
        <v>0</v>
      </c>
      <c r="V339" s="116">
        <f t="shared" si="69"/>
        <v>0</v>
      </c>
      <c r="W339" s="116">
        <f t="shared" si="70"/>
        <v>0</v>
      </c>
      <c r="X339" s="116">
        <f t="shared" si="61"/>
        <v>0</v>
      </c>
      <c r="Y339" s="116">
        <f t="shared" si="62"/>
        <v>0</v>
      </c>
      <c r="Z339" s="116">
        <f t="shared" si="63"/>
        <v>0</v>
      </c>
      <c r="AA339" s="116">
        <f t="shared" si="64"/>
        <v>5079.18</v>
      </c>
      <c r="AB339" s="116">
        <f t="shared" si="65"/>
        <v>679.29</v>
      </c>
      <c r="AC339" s="116">
        <f t="shared" si="66"/>
        <v>0</v>
      </c>
      <c r="AD339" s="116">
        <f t="shared" si="67"/>
        <v>0</v>
      </c>
      <c r="AE339" s="116">
        <f t="shared" si="68"/>
        <v>0</v>
      </c>
    </row>
    <row r="340" spans="1:31">
      <c r="A340" s="131">
        <v>42952</v>
      </c>
      <c r="B340" s="131">
        <v>42983</v>
      </c>
      <c r="C340" s="123">
        <f t="shared" si="59"/>
        <v>31</v>
      </c>
      <c r="D340" s="123"/>
      <c r="E340" s="132">
        <v>155.51</v>
      </c>
      <c r="F340" s="134"/>
      <c r="G340" s="135"/>
      <c r="H340" s="123"/>
      <c r="I340" s="123"/>
      <c r="J340" s="123"/>
      <c r="K340" s="123"/>
      <c r="L340" s="123"/>
      <c r="M340" s="123"/>
      <c r="N340" s="123">
        <v>27</v>
      </c>
      <c r="O340" s="123">
        <v>4</v>
      </c>
      <c r="P340" s="123"/>
      <c r="Q340" s="123"/>
      <c r="R340" s="123"/>
      <c r="S340" s="133">
        <f t="shared" si="72"/>
        <v>0</v>
      </c>
      <c r="T340" s="116">
        <f t="shared" si="71"/>
        <v>0</v>
      </c>
      <c r="U340" s="116">
        <f t="shared" si="60"/>
        <v>0</v>
      </c>
      <c r="V340" s="116">
        <f t="shared" si="69"/>
        <v>0</v>
      </c>
      <c r="W340" s="116">
        <f t="shared" si="70"/>
        <v>0</v>
      </c>
      <c r="X340" s="116">
        <f t="shared" si="61"/>
        <v>0</v>
      </c>
      <c r="Y340" s="116">
        <f t="shared" si="62"/>
        <v>0</v>
      </c>
      <c r="Z340" s="116">
        <f t="shared" si="63"/>
        <v>0</v>
      </c>
      <c r="AA340" s="116">
        <f t="shared" si="64"/>
        <v>1177.78</v>
      </c>
      <c r="AB340" s="116">
        <f t="shared" si="65"/>
        <v>157.51</v>
      </c>
      <c r="AC340" s="116">
        <f t="shared" si="66"/>
        <v>0</v>
      </c>
      <c r="AD340" s="116">
        <f t="shared" si="67"/>
        <v>0</v>
      </c>
      <c r="AE340" s="116">
        <f t="shared" si="68"/>
        <v>0</v>
      </c>
    </row>
    <row r="341" spans="1:31">
      <c r="A341" s="131">
        <v>42955</v>
      </c>
      <c r="B341" s="131">
        <v>42986</v>
      </c>
      <c r="C341" s="123">
        <f t="shared" si="59"/>
        <v>31</v>
      </c>
      <c r="D341" s="123"/>
      <c r="E341" s="132">
        <v>561.71</v>
      </c>
      <c r="F341" s="134"/>
      <c r="G341" s="135"/>
      <c r="H341" s="123"/>
      <c r="I341" s="123"/>
      <c r="J341" s="123"/>
      <c r="K341" s="123"/>
      <c r="L341" s="123"/>
      <c r="M341" s="123"/>
      <c r="N341" s="123">
        <v>24</v>
      </c>
      <c r="O341" s="123">
        <v>7</v>
      </c>
      <c r="P341" s="123"/>
      <c r="Q341" s="123"/>
      <c r="R341" s="123"/>
      <c r="S341" s="133">
        <f t="shared" si="72"/>
        <v>0</v>
      </c>
      <c r="T341" s="116">
        <f t="shared" si="71"/>
        <v>0</v>
      </c>
      <c r="U341" s="116">
        <f t="shared" si="60"/>
        <v>0</v>
      </c>
      <c r="V341" s="116">
        <f t="shared" si="69"/>
        <v>0</v>
      </c>
      <c r="W341" s="116">
        <f t="shared" si="70"/>
        <v>0</v>
      </c>
      <c r="X341" s="116">
        <f t="shared" si="61"/>
        <v>0</v>
      </c>
      <c r="Y341" s="116">
        <f t="shared" si="62"/>
        <v>0</v>
      </c>
      <c r="Z341" s="116">
        <f t="shared" si="63"/>
        <v>0</v>
      </c>
      <c r="AA341" s="116">
        <f t="shared" si="64"/>
        <v>3781.5</v>
      </c>
      <c r="AB341" s="116">
        <f t="shared" si="65"/>
        <v>995.66</v>
      </c>
      <c r="AC341" s="116">
        <f t="shared" si="66"/>
        <v>0</v>
      </c>
      <c r="AD341" s="116">
        <f t="shared" si="67"/>
        <v>0</v>
      </c>
      <c r="AE341" s="116">
        <f t="shared" si="68"/>
        <v>0</v>
      </c>
    </row>
    <row r="342" spans="1:31">
      <c r="A342" s="131">
        <v>42955</v>
      </c>
      <c r="B342" s="131">
        <v>42986</v>
      </c>
      <c r="C342" s="123">
        <f t="shared" si="59"/>
        <v>31</v>
      </c>
      <c r="D342" s="123"/>
      <c r="E342" s="132">
        <v>239.37</v>
      </c>
      <c r="F342" s="134"/>
      <c r="G342" s="135"/>
      <c r="H342" s="123"/>
      <c r="I342" s="123"/>
      <c r="J342" s="123"/>
      <c r="K342" s="123"/>
      <c r="L342" s="123"/>
      <c r="M342" s="123"/>
      <c r="N342" s="123">
        <v>24</v>
      </c>
      <c r="O342" s="123">
        <v>7</v>
      </c>
      <c r="P342" s="123"/>
      <c r="Q342" s="123"/>
      <c r="R342" s="123"/>
      <c r="S342" s="133">
        <f t="shared" si="72"/>
        <v>0</v>
      </c>
      <c r="T342" s="116">
        <f t="shared" si="71"/>
        <v>0</v>
      </c>
      <c r="U342" s="116">
        <f t="shared" si="60"/>
        <v>0</v>
      </c>
      <c r="V342" s="116">
        <f t="shared" si="69"/>
        <v>0</v>
      </c>
      <c r="W342" s="116">
        <f t="shared" si="70"/>
        <v>0</v>
      </c>
      <c r="X342" s="116">
        <f t="shared" si="61"/>
        <v>0</v>
      </c>
      <c r="Y342" s="116">
        <f t="shared" si="62"/>
        <v>0</v>
      </c>
      <c r="Z342" s="116">
        <f t="shared" si="63"/>
        <v>0</v>
      </c>
      <c r="AA342" s="116">
        <f t="shared" si="64"/>
        <v>1611.47</v>
      </c>
      <c r="AB342" s="116">
        <f t="shared" si="65"/>
        <v>424.3</v>
      </c>
      <c r="AC342" s="116">
        <f t="shared" si="66"/>
        <v>0</v>
      </c>
      <c r="AD342" s="116">
        <f t="shared" si="67"/>
        <v>0</v>
      </c>
      <c r="AE342" s="116">
        <f t="shared" si="68"/>
        <v>0</v>
      </c>
    </row>
    <row r="343" spans="1:31">
      <c r="A343" s="131">
        <v>42955</v>
      </c>
      <c r="B343" s="131">
        <v>42986</v>
      </c>
      <c r="C343" s="123">
        <f t="shared" si="59"/>
        <v>31</v>
      </c>
      <c r="D343" s="123"/>
      <c r="E343" s="132">
        <v>311.08</v>
      </c>
      <c r="F343" s="134"/>
      <c r="G343" s="135"/>
      <c r="H343" s="123"/>
      <c r="I343" s="123"/>
      <c r="J343" s="123"/>
      <c r="K343" s="123"/>
      <c r="L343" s="123"/>
      <c r="M343" s="123"/>
      <c r="N343" s="123">
        <v>24</v>
      </c>
      <c r="O343" s="123">
        <v>7</v>
      </c>
      <c r="P343" s="123"/>
      <c r="Q343" s="123"/>
      <c r="R343" s="123"/>
      <c r="S343" s="133">
        <f t="shared" si="72"/>
        <v>0</v>
      </c>
      <c r="T343" s="116">
        <f t="shared" si="71"/>
        <v>0</v>
      </c>
      <c r="U343" s="116">
        <f t="shared" si="60"/>
        <v>0</v>
      </c>
      <c r="V343" s="116">
        <f t="shared" si="69"/>
        <v>0</v>
      </c>
      <c r="W343" s="116">
        <f t="shared" si="70"/>
        <v>0</v>
      </c>
      <c r="X343" s="116">
        <f t="shared" si="61"/>
        <v>0</v>
      </c>
      <c r="Y343" s="116">
        <f t="shared" si="62"/>
        <v>0</v>
      </c>
      <c r="Z343" s="116">
        <f t="shared" si="63"/>
        <v>0</v>
      </c>
      <c r="AA343" s="116">
        <f t="shared" si="64"/>
        <v>2094.23</v>
      </c>
      <c r="AB343" s="116">
        <f t="shared" si="65"/>
        <v>551.41</v>
      </c>
      <c r="AC343" s="116">
        <f t="shared" si="66"/>
        <v>0</v>
      </c>
      <c r="AD343" s="116">
        <f t="shared" si="67"/>
        <v>0</v>
      </c>
      <c r="AE343" s="116">
        <f t="shared" si="68"/>
        <v>0</v>
      </c>
    </row>
    <row r="344" spans="1:31">
      <c r="A344" s="131">
        <v>42955</v>
      </c>
      <c r="B344" s="131">
        <v>42986</v>
      </c>
      <c r="C344" s="123">
        <f t="shared" si="59"/>
        <v>31</v>
      </c>
      <c r="D344" s="123"/>
      <c r="E344" s="132">
        <v>213.19</v>
      </c>
      <c r="F344" s="134"/>
      <c r="G344" s="135"/>
      <c r="H344" s="123"/>
      <c r="I344" s="123"/>
      <c r="J344" s="123"/>
      <c r="K344" s="123"/>
      <c r="L344" s="123"/>
      <c r="M344" s="123"/>
      <c r="N344" s="123">
        <v>24</v>
      </c>
      <c r="O344" s="123">
        <v>7</v>
      </c>
      <c r="P344" s="123"/>
      <c r="Q344" s="123"/>
      <c r="R344" s="123"/>
      <c r="S344" s="133">
        <f t="shared" si="72"/>
        <v>0</v>
      </c>
      <c r="T344" s="116">
        <f t="shared" si="71"/>
        <v>0</v>
      </c>
      <c r="U344" s="116">
        <f t="shared" si="60"/>
        <v>0</v>
      </c>
      <c r="V344" s="116">
        <f t="shared" si="69"/>
        <v>0</v>
      </c>
      <c r="W344" s="116">
        <f t="shared" si="70"/>
        <v>0</v>
      </c>
      <c r="X344" s="116">
        <f t="shared" si="61"/>
        <v>0</v>
      </c>
      <c r="Y344" s="116">
        <f t="shared" si="62"/>
        <v>0</v>
      </c>
      <c r="Z344" s="116">
        <f t="shared" si="63"/>
        <v>0</v>
      </c>
      <c r="AA344" s="116">
        <f t="shared" si="64"/>
        <v>1435.22</v>
      </c>
      <c r="AB344" s="116">
        <f t="shared" si="65"/>
        <v>377.89</v>
      </c>
      <c r="AC344" s="116">
        <f t="shared" si="66"/>
        <v>0</v>
      </c>
      <c r="AD344" s="116">
        <f t="shared" si="67"/>
        <v>0</v>
      </c>
      <c r="AE344" s="116">
        <f t="shared" si="68"/>
        <v>0</v>
      </c>
    </row>
    <row r="345" spans="1:31">
      <c r="A345" s="131">
        <v>42959</v>
      </c>
      <c r="B345" s="131">
        <v>42990</v>
      </c>
      <c r="C345" s="123">
        <f t="shared" si="59"/>
        <v>31</v>
      </c>
      <c r="D345" s="123"/>
      <c r="E345" s="132">
        <v>1132.1600000000001</v>
      </c>
      <c r="F345" s="134"/>
      <c r="G345" s="135"/>
      <c r="H345" s="123"/>
      <c r="I345" s="123"/>
      <c r="J345" s="123"/>
      <c r="K345" s="123"/>
      <c r="L345" s="123"/>
      <c r="M345" s="123"/>
      <c r="N345" s="123">
        <v>20</v>
      </c>
      <c r="O345" s="123">
        <v>11</v>
      </c>
      <c r="P345" s="123"/>
      <c r="Q345" s="123"/>
      <c r="R345" s="123"/>
      <c r="S345" s="133">
        <f t="shared" si="72"/>
        <v>0</v>
      </c>
      <c r="T345" s="116">
        <f t="shared" si="71"/>
        <v>0</v>
      </c>
      <c r="U345" s="116">
        <f t="shared" si="60"/>
        <v>0</v>
      </c>
      <c r="V345" s="116">
        <f t="shared" si="69"/>
        <v>0</v>
      </c>
      <c r="W345" s="116">
        <f t="shared" si="70"/>
        <v>0</v>
      </c>
      <c r="X345" s="116">
        <f t="shared" si="61"/>
        <v>0</v>
      </c>
      <c r="Y345" s="116">
        <f t="shared" si="62"/>
        <v>0</v>
      </c>
      <c r="Z345" s="116">
        <f t="shared" si="63"/>
        <v>0</v>
      </c>
      <c r="AA345" s="116">
        <f t="shared" si="64"/>
        <v>6351.53</v>
      </c>
      <c r="AB345" s="116">
        <f t="shared" si="65"/>
        <v>3153.58</v>
      </c>
      <c r="AC345" s="116">
        <f t="shared" si="66"/>
        <v>0</v>
      </c>
      <c r="AD345" s="116">
        <f t="shared" si="67"/>
        <v>0</v>
      </c>
      <c r="AE345" s="116">
        <f t="shared" si="68"/>
        <v>0</v>
      </c>
    </row>
    <row r="346" spans="1:31" ht="15.75" thickBot="1">
      <c r="A346" s="131">
        <v>42959</v>
      </c>
      <c r="B346" s="131">
        <v>42990</v>
      </c>
      <c r="C346" s="123">
        <f t="shared" si="59"/>
        <v>31</v>
      </c>
      <c r="D346" s="123"/>
      <c r="E346" s="132">
        <v>166.37</v>
      </c>
      <c r="F346" s="134"/>
      <c r="G346" s="135"/>
      <c r="H346" s="123"/>
      <c r="I346" s="123"/>
      <c r="J346" s="123"/>
      <c r="K346" s="123"/>
      <c r="L346" s="123"/>
      <c r="M346" s="123"/>
      <c r="N346" s="123">
        <v>20</v>
      </c>
      <c r="O346" s="123">
        <v>11</v>
      </c>
      <c r="P346" s="123"/>
      <c r="Q346" s="123"/>
      <c r="R346" s="123"/>
      <c r="S346" s="133">
        <f t="shared" si="72"/>
        <v>0</v>
      </c>
      <c r="T346" s="116">
        <f t="shared" si="71"/>
        <v>0</v>
      </c>
      <c r="U346" s="116">
        <f t="shared" si="60"/>
        <v>0</v>
      </c>
      <c r="V346" s="116">
        <f t="shared" si="69"/>
        <v>0</v>
      </c>
      <c r="W346" s="116">
        <f t="shared" si="70"/>
        <v>0</v>
      </c>
      <c r="X346" s="116">
        <f t="shared" si="61"/>
        <v>0</v>
      </c>
      <c r="Y346" s="116">
        <f t="shared" si="62"/>
        <v>0</v>
      </c>
      <c r="Z346" s="116">
        <f t="shared" si="63"/>
        <v>0</v>
      </c>
      <c r="AA346" s="116">
        <f t="shared" si="64"/>
        <v>933.35</v>
      </c>
      <c r="AB346" s="116">
        <f t="shared" si="65"/>
        <v>463.42</v>
      </c>
      <c r="AC346" s="116">
        <f t="shared" si="66"/>
        <v>0</v>
      </c>
      <c r="AD346" s="116">
        <f t="shared" si="67"/>
        <v>0</v>
      </c>
      <c r="AE346" s="116">
        <f t="shared" si="68"/>
        <v>0</v>
      </c>
    </row>
    <row r="347" spans="1:31" ht="15.75" thickBot="1">
      <c r="A347" s="185" t="s">
        <v>44</v>
      </c>
      <c r="B347" s="186"/>
      <c r="C347" s="186"/>
      <c r="D347" s="186"/>
      <c r="E347" s="186"/>
      <c r="F347" s="186"/>
      <c r="G347" s="186"/>
      <c r="H347" s="186"/>
      <c r="I347" s="186"/>
      <c r="J347" s="186"/>
      <c r="K347" s="186"/>
      <c r="L347" s="186"/>
      <c r="M347" s="186"/>
      <c r="N347" s="186"/>
      <c r="O347" s="186"/>
      <c r="P347" s="186"/>
      <c r="Q347" s="186"/>
      <c r="R347" s="186"/>
      <c r="S347" s="186"/>
      <c r="T347" s="186"/>
      <c r="U347" s="186"/>
      <c r="V347" s="186"/>
      <c r="W347" s="186"/>
      <c r="X347" s="186"/>
      <c r="Y347" s="186"/>
      <c r="Z347" s="186"/>
      <c r="AA347" s="186"/>
      <c r="AB347" s="186"/>
      <c r="AC347" s="186"/>
      <c r="AD347" s="186"/>
      <c r="AE347" s="187"/>
    </row>
    <row r="348" spans="1:31">
      <c r="A348" s="131">
        <v>42959</v>
      </c>
      <c r="B348" s="131">
        <v>42990</v>
      </c>
      <c r="C348" s="123">
        <f t="shared" si="59"/>
        <v>31</v>
      </c>
      <c r="D348" s="123"/>
      <c r="E348" s="132">
        <v>781.32</v>
      </c>
      <c r="F348" s="134"/>
      <c r="G348" s="135"/>
      <c r="H348" s="123"/>
      <c r="I348" s="123"/>
      <c r="J348" s="123"/>
      <c r="K348" s="123"/>
      <c r="L348" s="123"/>
      <c r="M348" s="123"/>
      <c r="N348" s="123">
        <v>20</v>
      </c>
      <c r="O348" s="123">
        <v>11</v>
      </c>
      <c r="P348" s="123"/>
      <c r="Q348" s="123"/>
      <c r="R348" s="123"/>
      <c r="S348" s="133">
        <f t="shared" si="72"/>
        <v>0</v>
      </c>
      <c r="T348" s="116">
        <f t="shared" si="71"/>
        <v>0</v>
      </c>
      <c r="U348" s="116">
        <f t="shared" si="60"/>
        <v>0</v>
      </c>
      <c r="V348" s="116">
        <f t="shared" si="69"/>
        <v>0</v>
      </c>
      <c r="W348" s="116">
        <f t="shared" si="70"/>
        <v>0</v>
      </c>
      <c r="X348" s="116">
        <f t="shared" si="61"/>
        <v>0</v>
      </c>
      <c r="Y348" s="116">
        <f t="shared" si="62"/>
        <v>0</v>
      </c>
      <c r="Z348" s="116">
        <f t="shared" si="63"/>
        <v>0</v>
      </c>
      <c r="AA348" s="116">
        <f t="shared" si="64"/>
        <v>4383.28</v>
      </c>
      <c r="AB348" s="116">
        <f t="shared" si="65"/>
        <v>2176.33</v>
      </c>
      <c r="AC348" s="116">
        <f t="shared" si="66"/>
        <v>0</v>
      </c>
      <c r="AD348" s="116">
        <f t="shared" si="67"/>
        <v>0</v>
      </c>
      <c r="AE348" s="116">
        <f t="shared" si="68"/>
        <v>0</v>
      </c>
    </row>
    <row r="349" spans="1:31">
      <c r="A349" s="131">
        <v>42962</v>
      </c>
      <c r="B349" s="131">
        <v>42993</v>
      </c>
      <c r="C349" s="123">
        <f t="shared" ref="C349:C414" si="73">B349-A349</f>
        <v>31</v>
      </c>
      <c r="D349" s="123"/>
      <c r="E349" s="132">
        <v>9303.76</v>
      </c>
      <c r="F349" s="134"/>
      <c r="G349" s="135"/>
      <c r="H349" s="123"/>
      <c r="I349" s="123"/>
      <c r="J349" s="123"/>
      <c r="K349" s="123"/>
      <c r="L349" s="123"/>
      <c r="M349" s="123"/>
      <c r="N349" s="123">
        <v>17</v>
      </c>
      <c r="O349" s="123">
        <v>14</v>
      </c>
      <c r="P349" s="123"/>
      <c r="Q349" s="123"/>
      <c r="R349" s="123"/>
      <c r="S349" s="133">
        <f t="shared" si="72"/>
        <v>0</v>
      </c>
      <c r="T349" s="116">
        <f t="shared" ref="T349:T412" si="74">ROUND((E349*G349/C349)/$C$6,2)</f>
        <v>0</v>
      </c>
      <c r="U349" s="116">
        <f t="shared" ref="U349:U414" si="75">ROUND(($E349*$H349/$C349)/$C$7,2)</f>
        <v>0</v>
      </c>
      <c r="V349" s="116">
        <f t="shared" si="69"/>
        <v>0</v>
      </c>
      <c r="W349" s="116">
        <f t="shared" si="70"/>
        <v>0</v>
      </c>
      <c r="X349" s="116">
        <f t="shared" ref="X349:X414" si="76">ROUND(($E349*$K349/$C349)/$C$10,2)</f>
        <v>0</v>
      </c>
      <c r="Y349" s="116">
        <f t="shared" ref="Y349:Y414" si="77">ROUND(($E349*$L349/$C349)/$C$11,2)</f>
        <v>0</v>
      </c>
      <c r="Z349" s="116">
        <f t="shared" ref="Z349:Z414" si="78">ROUND(($E349*$M349/$C349)/$C$12,2)</f>
        <v>0</v>
      </c>
      <c r="AA349" s="116">
        <f t="shared" ref="AA349:AA414" si="79">ROUND(($E349*$N349/$C349)/$C$13,2)</f>
        <v>44365.760000000002</v>
      </c>
      <c r="AB349" s="116">
        <f t="shared" ref="AB349:AB414" si="80">ROUND(($E349*$O349/$C349)/$C$14,2)</f>
        <v>32982.949999999997</v>
      </c>
      <c r="AC349" s="116">
        <f t="shared" ref="AC349:AC414" si="81">ROUND(($E349*$P349/$C349)/$C$15,2)</f>
        <v>0</v>
      </c>
      <c r="AD349" s="116">
        <f t="shared" ref="AD349:AD414" si="82">ROUND(($E349*$Q349/$C349)/$C$16,2)</f>
        <v>0</v>
      </c>
      <c r="AE349" s="116">
        <f t="shared" ref="AE349:AE414" si="83">ROUND(($E349*$R349/$C349)/$C$17,2)</f>
        <v>0</v>
      </c>
    </row>
    <row r="350" spans="1:31">
      <c r="A350" s="131">
        <v>42962</v>
      </c>
      <c r="B350" s="131">
        <v>42993</v>
      </c>
      <c r="C350" s="123">
        <f t="shared" si="73"/>
        <v>31</v>
      </c>
      <c r="D350" s="123"/>
      <c r="E350" s="132">
        <v>2588.37</v>
      </c>
      <c r="F350" s="134"/>
      <c r="G350" s="135"/>
      <c r="H350" s="123"/>
      <c r="I350" s="123"/>
      <c r="J350" s="123"/>
      <c r="K350" s="123"/>
      <c r="L350" s="123"/>
      <c r="M350" s="123"/>
      <c r="N350" s="123">
        <v>17</v>
      </c>
      <c r="O350" s="123">
        <v>14</v>
      </c>
      <c r="P350" s="123"/>
      <c r="Q350" s="123"/>
      <c r="R350" s="123"/>
      <c r="S350" s="133">
        <f t="shared" si="72"/>
        <v>0</v>
      </c>
      <c r="T350" s="116">
        <f t="shared" si="74"/>
        <v>0</v>
      </c>
      <c r="U350" s="116">
        <f t="shared" si="75"/>
        <v>0</v>
      </c>
      <c r="V350" s="116">
        <f t="shared" ref="V350:V415" si="84">ROUND(($E350*$I350/$C350)/$C$8,2)</f>
        <v>0</v>
      </c>
      <c r="W350" s="116">
        <f t="shared" ref="W350:W415" si="85">ROUND(($E350*$J350/$C350)/$C$9,2)</f>
        <v>0</v>
      </c>
      <c r="X350" s="116">
        <f t="shared" si="76"/>
        <v>0</v>
      </c>
      <c r="Y350" s="116">
        <f t="shared" si="77"/>
        <v>0</v>
      </c>
      <c r="Z350" s="116">
        <f t="shared" si="78"/>
        <v>0</v>
      </c>
      <c r="AA350" s="116">
        <f t="shared" si="79"/>
        <v>12342.86</v>
      </c>
      <c r="AB350" s="116">
        <f t="shared" si="80"/>
        <v>9176.08</v>
      </c>
      <c r="AC350" s="116">
        <f t="shared" si="81"/>
        <v>0</v>
      </c>
      <c r="AD350" s="116">
        <f t="shared" si="82"/>
        <v>0</v>
      </c>
      <c r="AE350" s="116">
        <f t="shared" si="83"/>
        <v>0</v>
      </c>
    </row>
    <row r="351" spans="1:31">
      <c r="A351" s="131">
        <v>42962</v>
      </c>
      <c r="B351" s="131">
        <v>42993</v>
      </c>
      <c r="C351" s="123">
        <f t="shared" si="73"/>
        <v>31</v>
      </c>
      <c r="D351" s="123"/>
      <c r="E351" s="132">
        <v>29872.59</v>
      </c>
      <c r="F351" s="134"/>
      <c r="G351" s="135"/>
      <c r="H351" s="123"/>
      <c r="I351" s="123"/>
      <c r="J351" s="123"/>
      <c r="K351" s="123"/>
      <c r="L351" s="123"/>
      <c r="M351" s="123"/>
      <c r="N351" s="123">
        <v>17</v>
      </c>
      <c r="O351" s="123">
        <v>14</v>
      </c>
      <c r="P351" s="123"/>
      <c r="Q351" s="123"/>
      <c r="R351" s="123"/>
      <c r="S351" s="133">
        <f t="shared" si="72"/>
        <v>0</v>
      </c>
      <c r="T351" s="116">
        <f t="shared" si="74"/>
        <v>0</v>
      </c>
      <c r="U351" s="116">
        <f t="shared" si="75"/>
        <v>0</v>
      </c>
      <c r="V351" s="116">
        <f t="shared" si="84"/>
        <v>0</v>
      </c>
      <c r="W351" s="116">
        <f t="shared" si="85"/>
        <v>0</v>
      </c>
      <c r="X351" s="116">
        <f t="shared" si="76"/>
        <v>0</v>
      </c>
      <c r="Y351" s="116">
        <f t="shared" si="77"/>
        <v>0</v>
      </c>
      <c r="Z351" s="116">
        <f t="shared" si="78"/>
        <v>0</v>
      </c>
      <c r="AA351" s="116">
        <f t="shared" si="79"/>
        <v>142449.94</v>
      </c>
      <c r="AB351" s="116">
        <f t="shared" si="80"/>
        <v>105901.93</v>
      </c>
      <c r="AC351" s="116">
        <f t="shared" si="81"/>
        <v>0</v>
      </c>
      <c r="AD351" s="116">
        <f t="shared" si="82"/>
        <v>0</v>
      </c>
      <c r="AE351" s="116">
        <f t="shared" si="83"/>
        <v>0</v>
      </c>
    </row>
    <row r="352" spans="1:31">
      <c r="A352" s="131">
        <v>42966</v>
      </c>
      <c r="B352" s="131">
        <v>42997</v>
      </c>
      <c r="C352" s="123">
        <f t="shared" si="73"/>
        <v>31</v>
      </c>
      <c r="D352" s="123"/>
      <c r="E352" s="132">
        <v>693.13</v>
      </c>
      <c r="F352" s="134"/>
      <c r="G352" s="135"/>
      <c r="H352" s="123"/>
      <c r="I352" s="123"/>
      <c r="J352" s="123"/>
      <c r="K352" s="123"/>
      <c r="L352" s="123"/>
      <c r="M352" s="123"/>
      <c r="N352" s="123">
        <v>13</v>
      </c>
      <c r="O352" s="123">
        <v>18</v>
      </c>
      <c r="P352" s="123"/>
      <c r="Q352" s="123"/>
      <c r="R352" s="123"/>
      <c r="S352" s="133">
        <f t="shared" si="72"/>
        <v>0</v>
      </c>
      <c r="T352" s="116">
        <f t="shared" si="74"/>
        <v>0</v>
      </c>
      <c r="U352" s="116">
        <f t="shared" si="75"/>
        <v>0</v>
      </c>
      <c r="V352" s="116">
        <f t="shared" si="84"/>
        <v>0</v>
      </c>
      <c r="W352" s="116">
        <f t="shared" si="85"/>
        <v>0</v>
      </c>
      <c r="X352" s="116">
        <f t="shared" si="76"/>
        <v>0</v>
      </c>
      <c r="Y352" s="116">
        <f t="shared" si="77"/>
        <v>0</v>
      </c>
      <c r="Z352" s="116">
        <f t="shared" si="78"/>
        <v>0</v>
      </c>
      <c r="AA352" s="116">
        <f t="shared" si="79"/>
        <v>2527.54</v>
      </c>
      <c r="AB352" s="116">
        <f t="shared" si="80"/>
        <v>3159.29</v>
      </c>
      <c r="AC352" s="116">
        <f t="shared" si="81"/>
        <v>0</v>
      </c>
      <c r="AD352" s="116">
        <f t="shared" si="82"/>
        <v>0</v>
      </c>
      <c r="AE352" s="116">
        <f t="shared" si="83"/>
        <v>0</v>
      </c>
    </row>
    <row r="353" spans="1:31">
      <c r="A353" s="131">
        <v>42966</v>
      </c>
      <c r="B353" s="131">
        <v>42997</v>
      </c>
      <c r="C353" s="123">
        <f t="shared" si="73"/>
        <v>31</v>
      </c>
      <c r="D353" s="123"/>
      <c r="E353" s="132">
        <v>1987.38</v>
      </c>
      <c r="F353" s="134"/>
      <c r="G353" s="135"/>
      <c r="H353" s="123"/>
      <c r="I353" s="123"/>
      <c r="J353" s="123"/>
      <c r="K353" s="123"/>
      <c r="L353" s="123"/>
      <c r="M353" s="123"/>
      <c r="N353" s="123">
        <v>13</v>
      </c>
      <c r="O353" s="123">
        <v>18</v>
      </c>
      <c r="P353" s="123"/>
      <c r="Q353" s="123"/>
      <c r="R353" s="123"/>
      <c r="S353" s="133">
        <f t="shared" si="72"/>
        <v>0</v>
      </c>
      <c r="T353" s="116">
        <f t="shared" si="74"/>
        <v>0</v>
      </c>
      <c r="U353" s="116">
        <f t="shared" si="75"/>
        <v>0</v>
      </c>
      <c r="V353" s="116">
        <f t="shared" si="84"/>
        <v>0</v>
      </c>
      <c r="W353" s="116">
        <f t="shared" si="85"/>
        <v>0</v>
      </c>
      <c r="X353" s="116">
        <f t="shared" si="76"/>
        <v>0</v>
      </c>
      <c r="Y353" s="116">
        <f t="shared" si="77"/>
        <v>0</v>
      </c>
      <c r="Z353" s="116">
        <f t="shared" si="78"/>
        <v>0</v>
      </c>
      <c r="AA353" s="116">
        <f t="shared" si="79"/>
        <v>7247.11</v>
      </c>
      <c r="AB353" s="116">
        <f t="shared" si="80"/>
        <v>9058.5</v>
      </c>
      <c r="AC353" s="116">
        <f t="shared" si="81"/>
        <v>0</v>
      </c>
      <c r="AD353" s="116">
        <f t="shared" si="82"/>
        <v>0</v>
      </c>
      <c r="AE353" s="116">
        <f t="shared" si="83"/>
        <v>0</v>
      </c>
    </row>
    <row r="354" spans="1:31">
      <c r="A354" s="131">
        <v>42966</v>
      </c>
      <c r="B354" s="131">
        <v>42993</v>
      </c>
      <c r="C354" s="123">
        <f t="shared" si="73"/>
        <v>27</v>
      </c>
      <c r="D354" s="123"/>
      <c r="E354" s="132">
        <v>650.57000000000005</v>
      </c>
      <c r="F354" s="134"/>
      <c r="G354" s="135"/>
      <c r="H354" s="123"/>
      <c r="I354" s="123"/>
      <c r="J354" s="123"/>
      <c r="K354" s="123"/>
      <c r="L354" s="123"/>
      <c r="M354" s="123"/>
      <c r="N354" s="123">
        <v>13</v>
      </c>
      <c r="O354" s="123">
        <v>14</v>
      </c>
      <c r="P354" s="123"/>
      <c r="Q354" s="123"/>
      <c r="R354" s="123"/>
      <c r="S354" s="133">
        <f t="shared" si="72"/>
        <v>0</v>
      </c>
      <c r="T354" s="116">
        <f t="shared" si="74"/>
        <v>0</v>
      </c>
      <c r="U354" s="116">
        <f t="shared" si="75"/>
        <v>0</v>
      </c>
      <c r="V354" s="116">
        <f t="shared" si="84"/>
        <v>0</v>
      </c>
      <c r="W354" s="116">
        <f t="shared" si="85"/>
        <v>0</v>
      </c>
      <c r="X354" s="116">
        <f t="shared" si="76"/>
        <v>0</v>
      </c>
      <c r="Y354" s="116">
        <f t="shared" si="77"/>
        <v>0</v>
      </c>
      <c r="Z354" s="116">
        <f t="shared" si="78"/>
        <v>0</v>
      </c>
      <c r="AA354" s="116">
        <f t="shared" si="79"/>
        <v>2723.8</v>
      </c>
      <c r="AB354" s="116">
        <f t="shared" si="80"/>
        <v>2648.03</v>
      </c>
      <c r="AC354" s="116">
        <f t="shared" si="81"/>
        <v>0</v>
      </c>
      <c r="AD354" s="116">
        <f t="shared" si="82"/>
        <v>0</v>
      </c>
      <c r="AE354" s="116">
        <f t="shared" si="83"/>
        <v>0</v>
      </c>
    </row>
    <row r="355" spans="1:31">
      <c r="A355" s="131">
        <v>42969</v>
      </c>
      <c r="B355" s="131">
        <v>43000</v>
      </c>
      <c r="C355" s="123">
        <f t="shared" si="73"/>
        <v>31</v>
      </c>
      <c r="D355" s="123">
        <v>30</v>
      </c>
      <c r="E355" s="132">
        <v>72.290000000000006</v>
      </c>
      <c r="F355" s="134"/>
      <c r="G355" s="135"/>
      <c r="H355" s="123"/>
      <c r="I355" s="123"/>
      <c r="J355" s="123"/>
      <c r="K355" s="123"/>
      <c r="L355" s="123"/>
      <c r="M355" s="123"/>
      <c r="N355" s="123">
        <v>10</v>
      </c>
      <c r="O355" s="123">
        <v>21</v>
      </c>
      <c r="P355" s="123"/>
      <c r="Q355" s="123"/>
      <c r="R355" s="123"/>
      <c r="S355" s="133">
        <f t="shared" si="72"/>
        <v>0</v>
      </c>
      <c r="T355" s="116">
        <f t="shared" si="74"/>
        <v>0</v>
      </c>
      <c r="U355" s="116">
        <f t="shared" si="75"/>
        <v>0</v>
      </c>
      <c r="V355" s="116">
        <f t="shared" si="84"/>
        <v>0</v>
      </c>
      <c r="W355" s="116">
        <f t="shared" si="85"/>
        <v>0</v>
      </c>
      <c r="X355" s="116">
        <f t="shared" si="76"/>
        <v>0</v>
      </c>
      <c r="Y355" s="116">
        <f t="shared" si="77"/>
        <v>0</v>
      </c>
      <c r="Z355" s="116">
        <f t="shared" si="78"/>
        <v>0</v>
      </c>
      <c r="AA355" s="116">
        <f t="shared" si="79"/>
        <v>202.78</v>
      </c>
      <c r="AB355" s="116">
        <f t="shared" si="80"/>
        <v>384.42</v>
      </c>
      <c r="AC355" s="116">
        <f t="shared" si="81"/>
        <v>0</v>
      </c>
      <c r="AD355" s="116">
        <f t="shared" si="82"/>
        <v>0</v>
      </c>
      <c r="AE355" s="116">
        <f t="shared" si="83"/>
        <v>0</v>
      </c>
    </row>
    <row r="356" spans="1:31">
      <c r="A356" s="131">
        <v>42973</v>
      </c>
      <c r="B356" s="131">
        <v>43004</v>
      </c>
      <c r="C356" s="123">
        <f t="shared" si="73"/>
        <v>31</v>
      </c>
      <c r="D356" s="123"/>
      <c r="E356" s="132">
        <v>1349.87</v>
      </c>
      <c r="F356" s="134"/>
      <c r="G356" s="135"/>
      <c r="H356" s="123"/>
      <c r="I356" s="123"/>
      <c r="J356" s="123"/>
      <c r="K356" s="123"/>
      <c r="L356" s="123"/>
      <c r="M356" s="123"/>
      <c r="N356" s="123">
        <v>6</v>
      </c>
      <c r="O356" s="123">
        <v>25</v>
      </c>
      <c r="P356" s="123"/>
      <c r="Q356" s="123"/>
      <c r="R356" s="123"/>
      <c r="S356" s="133">
        <f t="shared" si="72"/>
        <v>0</v>
      </c>
      <c r="T356" s="116">
        <f t="shared" si="74"/>
        <v>0</v>
      </c>
      <c r="U356" s="116">
        <f t="shared" si="75"/>
        <v>0</v>
      </c>
      <c r="V356" s="116">
        <f t="shared" si="84"/>
        <v>0</v>
      </c>
      <c r="W356" s="116">
        <f t="shared" si="85"/>
        <v>0</v>
      </c>
      <c r="X356" s="116">
        <f t="shared" si="76"/>
        <v>0</v>
      </c>
      <c r="Y356" s="116">
        <f t="shared" si="77"/>
        <v>0</v>
      </c>
      <c r="Z356" s="116">
        <f t="shared" si="78"/>
        <v>0</v>
      </c>
      <c r="AA356" s="116">
        <f t="shared" si="79"/>
        <v>2271.87</v>
      </c>
      <c r="AB356" s="116">
        <f t="shared" si="80"/>
        <v>8545.4500000000007</v>
      </c>
      <c r="AC356" s="116">
        <f t="shared" si="81"/>
        <v>0</v>
      </c>
      <c r="AD356" s="116">
        <f t="shared" si="82"/>
        <v>0</v>
      </c>
      <c r="AE356" s="116">
        <f t="shared" si="83"/>
        <v>0</v>
      </c>
    </row>
    <row r="357" spans="1:31">
      <c r="A357" s="131">
        <v>42973</v>
      </c>
      <c r="B357" s="131">
        <v>43004</v>
      </c>
      <c r="C357" s="123">
        <f t="shared" si="73"/>
        <v>31</v>
      </c>
      <c r="D357" s="123"/>
      <c r="E357" s="132">
        <v>1697.33</v>
      </c>
      <c r="F357" s="134"/>
      <c r="G357" s="135"/>
      <c r="H357" s="123"/>
      <c r="I357" s="123"/>
      <c r="J357" s="123"/>
      <c r="K357" s="123"/>
      <c r="L357" s="123"/>
      <c r="M357" s="123"/>
      <c r="N357" s="123">
        <v>6</v>
      </c>
      <c r="O357" s="123">
        <v>25</v>
      </c>
      <c r="P357" s="123"/>
      <c r="Q357" s="123"/>
      <c r="R357" s="123"/>
      <c r="S357" s="133">
        <f t="shared" si="72"/>
        <v>0</v>
      </c>
      <c r="T357" s="116">
        <f t="shared" si="74"/>
        <v>0</v>
      </c>
      <c r="U357" s="116">
        <f t="shared" si="75"/>
        <v>0</v>
      </c>
      <c r="V357" s="116">
        <f t="shared" si="84"/>
        <v>0</v>
      </c>
      <c r="W357" s="116">
        <f t="shared" si="85"/>
        <v>0</v>
      </c>
      <c r="X357" s="116">
        <f t="shared" si="76"/>
        <v>0</v>
      </c>
      <c r="Y357" s="116">
        <f t="shared" si="77"/>
        <v>0</v>
      </c>
      <c r="Z357" s="116">
        <f t="shared" si="78"/>
        <v>0</v>
      </c>
      <c r="AA357" s="116">
        <f t="shared" si="79"/>
        <v>2856.66</v>
      </c>
      <c r="AB357" s="116">
        <f t="shared" si="80"/>
        <v>10745.07</v>
      </c>
      <c r="AC357" s="116">
        <f t="shared" si="81"/>
        <v>0</v>
      </c>
      <c r="AD357" s="116">
        <f t="shared" si="82"/>
        <v>0</v>
      </c>
      <c r="AE357" s="116">
        <f t="shared" si="83"/>
        <v>0</v>
      </c>
    </row>
    <row r="358" spans="1:31">
      <c r="A358" s="131">
        <v>42969</v>
      </c>
      <c r="B358" s="131">
        <v>43000</v>
      </c>
      <c r="C358" s="123">
        <f t="shared" si="73"/>
        <v>31</v>
      </c>
      <c r="D358" s="123">
        <v>30</v>
      </c>
      <c r="E358" s="132">
        <v>308127.97000000003</v>
      </c>
      <c r="F358" s="134"/>
      <c r="G358" s="135"/>
      <c r="H358" s="123"/>
      <c r="I358" s="123"/>
      <c r="J358" s="123"/>
      <c r="K358" s="123"/>
      <c r="L358" s="123"/>
      <c r="M358" s="123"/>
      <c r="N358" s="123">
        <v>10</v>
      </c>
      <c r="O358" s="123">
        <v>21</v>
      </c>
      <c r="P358" s="123"/>
      <c r="Q358" s="123"/>
      <c r="R358" s="123"/>
      <c r="S358" s="133">
        <f t="shared" si="72"/>
        <v>0</v>
      </c>
      <c r="T358" s="116">
        <f t="shared" si="74"/>
        <v>0</v>
      </c>
      <c r="U358" s="116">
        <f t="shared" si="75"/>
        <v>0</v>
      </c>
      <c r="V358" s="116">
        <f t="shared" si="84"/>
        <v>0</v>
      </c>
      <c r="W358" s="116">
        <f t="shared" si="85"/>
        <v>0</v>
      </c>
      <c r="X358" s="116">
        <f t="shared" si="76"/>
        <v>0</v>
      </c>
      <c r="Y358" s="116">
        <f t="shared" si="77"/>
        <v>0</v>
      </c>
      <c r="Z358" s="116">
        <f t="shared" si="78"/>
        <v>0</v>
      </c>
      <c r="AA358" s="116">
        <v>832103.27</v>
      </c>
      <c r="AB358" s="116">
        <v>1664206.54</v>
      </c>
      <c r="AC358" s="116">
        <f t="shared" si="81"/>
        <v>0</v>
      </c>
      <c r="AD358" s="116">
        <f t="shared" si="82"/>
        <v>0</v>
      </c>
      <c r="AE358" s="116">
        <f t="shared" si="83"/>
        <v>0</v>
      </c>
    </row>
    <row r="359" spans="1:31">
      <c r="A359" s="131">
        <v>42975</v>
      </c>
      <c r="B359" s="131">
        <v>43006</v>
      </c>
      <c r="C359" s="123">
        <f t="shared" si="73"/>
        <v>31</v>
      </c>
      <c r="D359" s="123"/>
      <c r="E359" s="132">
        <v>1638.7</v>
      </c>
      <c r="F359" s="134"/>
      <c r="G359" s="135"/>
      <c r="H359" s="123"/>
      <c r="I359" s="123"/>
      <c r="J359" s="123"/>
      <c r="K359" s="123"/>
      <c r="L359" s="123"/>
      <c r="M359" s="123"/>
      <c r="N359" s="123">
        <v>4</v>
      </c>
      <c r="O359" s="123">
        <v>27</v>
      </c>
      <c r="P359" s="123"/>
      <c r="Q359" s="123"/>
      <c r="R359" s="123"/>
      <c r="S359" s="133">
        <f t="shared" si="72"/>
        <v>0</v>
      </c>
      <c r="T359" s="116">
        <f t="shared" si="74"/>
        <v>0</v>
      </c>
      <c r="U359" s="116">
        <f t="shared" si="75"/>
        <v>0</v>
      </c>
      <c r="V359" s="116">
        <f t="shared" si="84"/>
        <v>0</v>
      </c>
      <c r="W359" s="116">
        <f t="shared" si="85"/>
        <v>0</v>
      </c>
      <c r="X359" s="116">
        <f t="shared" si="76"/>
        <v>0</v>
      </c>
      <c r="Y359" s="116">
        <f t="shared" si="77"/>
        <v>0</v>
      </c>
      <c r="Z359" s="116">
        <f t="shared" si="78"/>
        <v>0</v>
      </c>
      <c r="AA359" s="116">
        <f t="shared" si="79"/>
        <v>1838.65</v>
      </c>
      <c r="AB359" s="116">
        <f t="shared" si="80"/>
        <v>11203.82</v>
      </c>
      <c r="AC359" s="116">
        <f t="shared" si="81"/>
        <v>0</v>
      </c>
      <c r="AD359" s="116">
        <f t="shared" si="82"/>
        <v>0</v>
      </c>
      <c r="AE359" s="116">
        <f t="shared" si="83"/>
        <v>0</v>
      </c>
    </row>
    <row r="360" spans="1:31">
      <c r="A360" s="131">
        <v>42975</v>
      </c>
      <c r="B360" s="131">
        <v>43006</v>
      </c>
      <c r="C360" s="123">
        <f t="shared" si="73"/>
        <v>31</v>
      </c>
      <c r="D360" s="123"/>
      <c r="E360" s="132">
        <v>347.51</v>
      </c>
      <c r="F360" s="134"/>
      <c r="G360" s="135"/>
      <c r="H360" s="123"/>
      <c r="I360" s="123"/>
      <c r="J360" s="123"/>
      <c r="K360" s="123"/>
      <c r="L360" s="123"/>
      <c r="M360" s="123"/>
      <c r="N360" s="123">
        <v>4</v>
      </c>
      <c r="O360" s="123">
        <v>27</v>
      </c>
      <c r="P360" s="123"/>
      <c r="Q360" s="123"/>
      <c r="R360" s="123"/>
      <c r="S360" s="133">
        <f t="shared" si="72"/>
        <v>0</v>
      </c>
      <c r="T360" s="116">
        <f t="shared" si="74"/>
        <v>0</v>
      </c>
      <c r="U360" s="116">
        <f t="shared" si="75"/>
        <v>0</v>
      </c>
      <c r="V360" s="116">
        <f t="shared" si="84"/>
        <v>0</v>
      </c>
      <c r="W360" s="116">
        <f t="shared" si="85"/>
        <v>0</v>
      </c>
      <c r="X360" s="116">
        <f t="shared" si="76"/>
        <v>0</v>
      </c>
      <c r="Y360" s="116">
        <f t="shared" si="77"/>
        <v>0</v>
      </c>
      <c r="Z360" s="116">
        <f t="shared" si="78"/>
        <v>0</v>
      </c>
      <c r="AA360" s="116">
        <f t="shared" si="79"/>
        <v>389.91</v>
      </c>
      <c r="AB360" s="116">
        <f t="shared" si="80"/>
        <v>2375.9299999999998</v>
      </c>
      <c r="AC360" s="116">
        <f t="shared" si="81"/>
        <v>0</v>
      </c>
      <c r="AD360" s="116">
        <f t="shared" si="82"/>
        <v>0</v>
      </c>
      <c r="AE360" s="116">
        <f t="shared" si="83"/>
        <v>0</v>
      </c>
    </row>
    <row r="361" spans="1:31">
      <c r="A361" s="131">
        <v>42990</v>
      </c>
      <c r="B361" s="131">
        <v>43009</v>
      </c>
      <c r="C361" s="123">
        <f t="shared" si="73"/>
        <v>19</v>
      </c>
      <c r="D361" s="123"/>
      <c r="E361" s="132">
        <v>58.61</v>
      </c>
      <c r="F361" s="134"/>
      <c r="G361" s="135"/>
      <c r="H361" s="123"/>
      <c r="I361" s="123"/>
      <c r="J361" s="123"/>
      <c r="K361" s="123"/>
      <c r="L361" s="123"/>
      <c r="M361" s="123"/>
      <c r="N361" s="123"/>
      <c r="O361" s="123">
        <v>19</v>
      </c>
      <c r="P361" s="123"/>
      <c r="Q361" s="123"/>
      <c r="R361" s="123"/>
      <c r="S361" s="133">
        <f t="shared" si="72"/>
        <v>0</v>
      </c>
      <c r="T361" s="116">
        <f t="shared" si="74"/>
        <v>0</v>
      </c>
      <c r="U361" s="116">
        <f t="shared" si="75"/>
        <v>0</v>
      </c>
      <c r="V361" s="116">
        <f t="shared" si="84"/>
        <v>0</v>
      </c>
      <c r="W361" s="116">
        <f t="shared" si="85"/>
        <v>0</v>
      </c>
      <c r="X361" s="116">
        <f t="shared" si="76"/>
        <v>0</v>
      </c>
      <c r="Y361" s="116">
        <f t="shared" si="77"/>
        <v>0</v>
      </c>
      <c r="Z361" s="116">
        <f t="shared" si="78"/>
        <v>0</v>
      </c>
      <c r="AA361" s="116">
        <f t="shared" si="79"/>
        <v>0</v>
      </c>
      <c r="AB361" s="116">
        <f t="shared" si="80"/>
        <v>460.08</v>
      </c>
      <c r="AC361" s="116">
        <f t="shared" si="81"/>
        <v>0</v>
      </c>
      <c r="AD361" s="116">
        <f t="shared" si="82"/>
        <v>0</v>
      </c>
      <c r="AE361" s="116">
        <f t="shared" si="83"/>
        <v>0</v>
      </c>
    </row>
    <row r="362" spans="1:31">
      <c r="A362" s="131">
        <v>42979</v>
      </c>
      <c r="B362" s="131">
        <v>43009</v>
      </c>
      <c r="C362" s="123">
        <f t="shared" si="73"/>
        <v>30</v>
      </c>
      <c r="D362" s="123"/>
      <c r="E362" s="132">
        <v>2681.27</v>
      </c>
      <c r="F362" s="134"/>
      <c r="G362" s="135"/>
      <c r="H362" s="123"/>
      <c r="I362" s="123"/>
      <c r="J362" s="123"/>
      <c r="K362" s="123"/>
      <c r="L362" s="123"/>
      <c r="M362" s="123"/>
      <c r="N362" s="123"/>
      <c r="O362" s="123">
        <v>30</v>
      </c>
      <c r="P362" s="123"/>
      <c r="Q362" s="123"/>
      <c r="R362" s="123"/>
      <c r="S362" s="133">
        <f t="shared" si="72"/>
        <v>0</v>
      </c>
      <c r="T362" s="116">
        <f t="shared" si="74"/>
        <v>0</v>
      </c>
      <c r="U362" s="116">
        <f t="shared" si="75"/>
        <v>0</v>
      </c>
      <c r="V362" s="116">
        <f t="shared" si="84"/>
        <v>0</v>
      </c>
      <c r="W362" s="116">
        <f t="shared" si="85"/>
        <v>0</v>
      </c>
      <c r="X362" s="116">
        <f t="shared" si="76"/>
        <v>0</v>
      </c>
      <c r="Y362" s="116">
        <f t="shared" si="77"/>
        <v>0</v>
      </c>
      <c r="Z362" s="116">
        <f t="shared" si="78"/>
        <v>0</v>
      </c>
      <c r="AA362" s="116">
        <f t="shared" si="79"/>
        <v>0</v>
      </c>
      <c r="AB362" s="116">
        <f t="shared" si="80"/>
        <v>21047.73</v>
      </c>
      <c r="AC362" s="116">
        <f t="shared" si="81"/>
        <v>0</v>
      </c>
      <c r="AD362" s="116">
        <f t="shared" si="82"/>
        <v>0</v>
      </c>
      <c r="AE362" s="116">
        <f t="shared" si="83"/>
        <v>0</v>
      </c>
    </row>
    <row r="363" spans="1:31">
      <c r="A363" s="131">
        <v>42979</v>
      </c>
      <c r="B363" s="131">
        <v>43009</v>
      </c>
      <c r="C363" s="123">
        <f t="shared" si="73"/>
        <v>30</v>
      </c>
      <c r="D363" s="123" t="s">
        <v>219</v>
      </c>
      <c r="E363" s="132">
        <v>4252.26</v>
      </c>
      <c r="F363" s="134"/>
      <c r="G363" s="135"/>
      <c r="H363" s="123"/>
      <c r="I363" s="123"/>
      <c r="J363" s="123"/>
      <c r="K363" s="123"/>
      <c r="L363" s="123"/>
      <c r="M363" s="123"/>
      <c r="N363" s="123"/>
      <c r="O363" s="123">
        <v>30</v>
      </c>
      <c r="P363" s="123"/>
      <c r="Q363" s="123"/>
      <c r="R363" s="123"/>
      <c r="S363" s="133">
        <f t="shared" si="72"/>
        <v>0</v>
      </c>
      <c r="T363" s="116">
        <f t="shared" si="74"/>
        <v>0</v>
      </c>
      <c r="U363" s="116">
        <f t="shared" si="75"/>
        <v>0</v>
      </c>
      <c r="V363" s="116">
        <f t="shared" si="84"/>
        <v>0</v>
      </c>
      <c r="W363" s="116">
        <f t="shared" si="85"/>
        <v>0</v>
      </c>
      <c r="X363" s="116">
        <f t="shared" si="76"/>
        <v>0</v>
      </c>
      <c r="Y363" s="116">
        <f t="shared" si="77"/>
        <v>0</v>
      </c>
      <c r="Z363" s="116">
        <f t="shared" si="78"/>
        <v>0</v>
      </c>
      <c r="AA363" s="116">
        <f t="shared" si="79"/>
        <v>0</v>
      </c>
      <c r="AB363" s="116">
        <f t="shared" si="80"/>
        <v>33379.86</v>
      </c>
      <c r="AC363" s="116">
        <f t="shared" si="81"/>
        <v>0</v>
      </c>
      <c r="AD363" s="116">
        <f t="shared" si="82"/>
        <v>0</v>
      </c>
      <c r="AE363" s="116">
        <f t="shared" si="83"/>
        <v>0</v>
      </c>
    </row>
    <row r="364" spans="1:31">
      <c r="A364" s="131">
        <v>42979</v>
      </c>
      <c r="B364" s="131">
        <v>43009</v>
      </c>
      <c r="C364" s="123">
        <f t="shared" si="73"/>
        <v>30</v>
      </c>
      <c r="D364" s="123"/>
      <c r="E364" s="132">
        <v>114634.46</v>
      </c>
      <c r="F364" s="134"/>
      <c r="G364" s="135"/>
      <c r="H364" s="123"/>
      <c r="I364" s="123"/>
      <c r="J364" s="123"/>
      <c r="K364" s="123"/>
      <c r="L364" s="123"/>
      <c r="M364" s="123"/>
      <c r="N364" s="123"/>
      <c r="O364" s="123">
        <v>30</v>
      </c>
      <c r="P364" s="123"/>
      <c r="Q364" s="123"/>
      <c r="R364" s="123"/>
      <c r="S364" s="133">
        <f t="shared" si="72"/>
        <v>0</v>
      </c>
      <c r="T364" s="116">
        <f t="shared" si="74"/>
        <v>0</v>
      </c>
      <c r="U364" s="116">
        <f t="shared" si="75"/>
        <v>0</v>
      </c>
      <c r="V364" s="116">
        <f t="shared" si="84"/>
        <v>0</v>
      </c>
      <c r="W364" s="116">
        <f t="shared" si="85"/>
        <v>0</v>
      </c>
      <c r="X364" s="116">
        <f t="shared" si="76"/>
        <v>0</v>
      </c>
      <c r="Y364" s="116">
        <f t="shared" si="77"/>
        <v>0</v>
      </c>
      <c r="Z364" s="116">
        <f t="shared" si="78"/>
        <v>0</v>
      </c>
      <c r="AA364" s="116">
        <f t="shared" si="79"/>
        <v>0</v>
      </c>
      <c r="AB364" s="116">
        <f t="shared" si="80"/>
        <v>899870.16</v>
      </c>
      <c r="AC364" s="116">
        <f t="shared" si="81"/>
        <v>0</v>
      </c>
      <c r="AD364" s="116">
        <f t="shared" si="82"/>
        <v>0</v>
      </c>
      <c r="AE364" s="116">
        <f t="shared" si="83"/>
        <v>0</v>
      </c>
    </row>
    <row r="365" spans="1:31">
      <c r="A365" s="131">
        <v>42979</v>
      </c>
      <c r="B365" s="131">
        <v>43009</v>
      </c>
      <c r="C365" s="123">
        <f t="shared" si="73"/>
        <v>30</v>
      </c>
      <c r="D365" s="123" t="s">
        <v>219</v>
      </c>
      <c r="E365" s="132">
        <v>8053.04</v>
      </c>
      <c r="F365" s="134"/>
      <c r="G365" s="135"/>
      <c r="H365" s="123"/>
      <c r="I365" s="123"/>
      <c r="J365" s="123"/>
      <c r="K365" s="123"/>
      <c r="L365" s="123"/>
      <c r="M365" s="123"/>
      <c r="N365" s="123"/>
      <c r="O365" s="123">
        <v>30</v>
      </c>
      <c r="P365" s="123"/>
      <c r="Q365" s="123"/>
      <c r="R365" s="123"/>
      <c r="S365" s="133">
        <f t="shared" si="72"/>
        <v>0</v>
      </c>
      <c r="T365" s="116">
        <f t="shared" si="74"/>
        <v>0</v>
      </c>
      <c r="U365" s="116">
        <f t="shared" si="75"/>
        <v>0</v>
      </c>
      <c r="V365" s="116">
        <f t="shared" si="84"/>
        <v>0</v>
      </c>
      <c r="W365" s="116">
        <f t="shared" si="85"/>
        <v>0</v>
      </c>
      <c r="X365" s="116">
        <f t="shared" si="76"/>
        <v>0</v>
      </c>
      <c r="Y365" s="116">
        <f t="shared" si="77"/>
        <v>0</v>
      </c>
      <c r="Z365" s="116">
        <f t="shared" si="78"/>
        <v>0</v>
      </c>
      <c r="AA365" s="116">
        <f t="shared" si="79"/>
        <v>0</v>
      </c>
      <c r="AB365" s="116">
        <f t="shared" si="80"/>
        <v>63215.64</v>
      </c>
      <c r="AC365" s="116">
        <f t="shared" si="81"/>
        <v>0</v>
      </c>
      <c r="AD365" s="116">
        <f t="shared" si="82"/>
        <v>0</v>
      </c>
      <c r="AE365" s="116">
        <f t="shared" si="83"/>
        <v>0</v>
      </c>
    </row>
    <row r="366" spans="1:31">
      <c r="A366" s="131">
        <v>42979</v>
      </c>
      <c r="B366" s="131">
        <v>43009</v>
      </c>
      <c r="C366" s="123">
        <f t="shared" si="73"/>
        <v>30</v>
      </c>
      <c r="D366" s="123"/>
      <c r="E366" s="132">
        <v>277.63</v>
      </c>
      <c r="F366" s="134"/>
      <c r="G366" s="135"/>
      <c r="H366" s="123"/>
      <c r="I366" s="123"/>
      <c r="J366" s="123"/>
      <c r="K366" s="123"/>
      <c r="L366" s="123"/>
      <c r="M366" s="123"/>
      <c r="N366" s="123"/>
      <c r="O366" s="123">
        <v>30</v>
      </c>
      <c r="P366" s="123"/>
      <c r="Q366" s="123"/>
      <c r="R366" s="123"/>
      <c r="S366" s="133">
        <f t="shared" si="72"/>
        <v>0</v>
      </c>
      <c r="T366" s="116">
        <f t="shared" si="74"/>
        <v>0</v>
      </c>
      <c r="U366" s="116">
        <f t="shared" si="75"/>
        <v>0</v>
      </c>
      <c r="V366" s="116">
        <f t="shared" si="84"/>
        <v>0</v>
      </c>
      <c r="W366" s="116">
        <f t="shared" si="85"/>
        <v>0</v>
      </c>
      <c r="X366" s="116">
        <f t="shared" si="76"/>
        <v>0</v>
      </c>
      <c r="Y366" s="116">
        <f t="shared" si="77"/>
        <v>0</v>
      </c>
      <c r="Z366" s="116">
        <f t="shared" si="78"/>
        <v>0</v>
      </c>
      <c r="AA366" s="116">
        <f t="shared" si="79"/>
        <v>0</v>
      </c>
      <c r="AB366" s="116">
        <f t="shared" si="80"/>
        <v>2179.37</v>
      </c>
      <c r="AC366" s="116">
        <f t="shared" si="81"/>
        <v>0</v>
      </c>
      <c r="AD366" s="116">
        <f t="shared" si="82"/>
        <v>0</v>
      </c>
      <c r="AE366" s="116">
        <f t="shared" si="83"/>
        <v>0</v>
      </c>
    </row>
    <row r="367" spans="1:31">
      <c r="A367" s="131">
        <v>42975</v>
      </c>
      <c r="B367" s="131">
        <v>43008</v>
      </c>
      <c r="C367" s="123">
        <f t="shared" si="73"/>
        <v>33</v>
      </c>
      <c r="D367" s="123" t="s">
        <v>218</v>
      </c>
      <c r="E367" s="132">
        <v>7314.82</v>
      </c>
      <c r="F367" s="134"/>
      <c r="G367" s="135"/>
      <c r="H367" s="123"/>
      <c r="I367" s="123"/>
      <c r="J367" s="123"/>
      <c r="K367" s="123"/>
      <c r="L367" s="123"/>
      <c r="M367" s="123"/>
      <c r="N367" s="123">
        <v>4</v>
      </c>
      <c r="O367" s="123">
        <v>29</v>
      </c>
      <c r="P367" s="123"/>
      <c r="Q367" s="123"/>
      <c r="R367" s="123"/>
      <c r="S367" s="133">
        <f t="shared" si="72"/>
        <v>0</v>
      </c>
      <c r="T367" s="116">
        <f t="shared" si="74"/>
        <v>0</v>
      </c>
      <c r="U367" s="116">
        <f t="shared" si="75"/>
        <v>0</v>
      </c>
      <c r="V367" s="116">
        <f t="shared" si="84"/>
        <v>0</v>
      </c>
      <c r="W367" s="116">
        <f t="shared" si="85"/>
        <v>0</v>
      </c>
      <c r="X367" s="116">
        <f t="shared" si="76"/>
        <v>0</v>
      </c>
      <c r="Y367" s="116">
        <f t="shared" si="77"/>
        <v>0</v>
      </c>
      <c r="Z367" s="116">
        <f t="shared" si="78"/>
        <v>0</v>
      </c>
      <c r="AA367" s="116">
        <f t="shared" si="79"/>
        <v>7709.96</v>
      </c>
      <c r="AB367" s="116">
        <f t="shared" si="80"/>
        <v>50460.59</v>
      </c>
      <c r="AC367" s="116">
        <f t="shared" si="81"/>
        <v>0</v>
      </c>
      <c r="AD367" s="116">
        <f t="shared" si="82"/>
        <v>0</v>
      </c>
      <c r="AE367" s="116">
        <f t="shared" si="83"/>
        <v>0</v>
      </c>
    </row>
    <row r="368" spans="1:31">
      <c r="A368" s="131">
        <v>42979</v>
      </c>
      <c r="B368" s="131">
        <v>43009</v>
      </c>
      <c r="C368" s="123">
        <f t="shared" si="73"/>
        <v>30</v>
      </c>
      <c r="D368" s="123"/>
      <c r="E368" s="132">
        <v>186280.35</v>
      </c>
      <c r="F368" s="134"/>
      <c r="G368" s="135"/>
      <c r="H368" s="123"/>
      <c r="I368" s="123"/>
      <c r="J368" s="123"/>
      <c r="K368" s="123"/>
      <c r="L368" s="123"/>
      <c r="M368" s="123"/>
      <c r="N368" s="123"/>
      <c r="O368" s="123">
        <v>30</v>
      </c>
      <c r="P368" s="123"/>
      <c r="Q368" s="123"/>
      <c r="R368" s="123"/>
      <c r="S368" s="133">
        <f t="shared" si="72"/>
        <v>0</v>
      </c>
      <c r="T368" s="116">
        <f t="shared" si="74"/>
        <v>0</v>
      </c>
      <c r="U368" s="116">
        <f t="shared" si="75"/>
        <v>0</v>
      </c>
      <c r="V368" s="116">
        <f t="shared" si="84"/>
        <v>0</v>
      </c>
      <c r="W368" s="116">
        <f t="shared" si="85"/>
        <v>0</v>
      </c>
      <c r="X368" s="116">
        <f t="shared" si="76"/>
        <v>0</v>
      </c>
      <c r="Y368" s="116">
        <f t="shared" si="77"/>
        <v>0</v>
      </c>
      <c r="Z368" s="116">
        <f t="shared" si="78"/>
        <v>0</v>
      </c>
      <c r="AA368" s="116">
        <f t="shared" si="79"/>
        <v>0</v>
      </c>
      <c r="AB368" s="116">
        <f t="shared" si="80"/>
        <v>1462283.93</v>
      </c>
      <c r="AC368" s="116">
        <f t="shared" si="81"/>
        <v>0</v>
      </c>
      <c r="AD368" s="116">
        <f t="shared" si="82"/>
        <v>0</v>
      </c>
      <c r="AE368" s="116">
        <f t="shared" si="83"/>
        <v>0</v>
      </c>
    </row>
    <row r="369" spans="1:31">
      <c r="A369" s="131">
        <v>42979</v>
      </c>
      <c r="B369" s="131">
        <v>43007</v>
      </c>
      <c r="C369" s="123">
        <f t="shared" si="73"/>
        <v>28</v>
      </c>
      <c r="D369" s="123"/>
      <c r="E369" s="132">
        <v>18199.38</v>
      </c>
      <c r="F369" s="134"/>
      <c r="G369" s="135"/>
      <c r="H369" s="123"/>
      <c r="I369" s="123"/>
      <c r="J369" s="123"/>
      <c r="K369" s="123"/>
      <c r="L369" s="123"/>
      <c r="M369" s="123"/>
      <c r="N369" s="123"/>
      <c r="O369" s="123">
        <v>28</v>
      </c>
      <c r="P369" s="123"/>
      <c r="Q369" s="123"/>
      <c r="R369" s="123"/>
      <c r="S369" s="133">
        <f t="shared" si="72"/>
        <v>0</v>
      </c>
      <c r="T369" s="116">
        <f t="shared" si="74"/>
        <v>0</v>
      </c>
      <c r="U369" s="116">
        <f t="shared" si="75"/>
        <v>0</v>
      </c>
      <c r="V369" s="116">
        <f t="shared" si="84"/>
        <v>0</v>
      </c>
      <c r="W369" s="116">
        <f t="shared" si="85"/>
        <v>0</v>
      </c>
      <c r="X369" s="116">
        <f t="shared" si="76"/>
        <v>0</v>
      </c>
      <c r="Y369" s="116">
        <f t="shared" si="77"/>
        <v>0</v>
      </c>
      <c r="Z369" s="116">
        <f t="shared" si="78"/>
        <v>0</v>
      </c>
      <c r="AA369" s="116">
        <f t="shared" si="79"/>
        <v>0</v>
      </c>
      <c r="AB369" s="116">
        <f t="shared" si="80"/>
        <v>142863.49</v>
      </c>
      <c r="AC369" s="116">
        <f t="shared" si="81"/>
        <v>0</v>
      </c>
      <c r="AD369" s="116">
        <f t="shared" si="82"/>
        <v>0</v>
      </c>
      <c r="AE369" s="116">
        <f t="shared" si="83"/>
        <v>0</v>
      </c>
    </row>
    <row r="370" spans="1:31">
      <c r="A370" s="131">
        <v>42981</v>
      </c>
      <c r="B370" s="131">
        <v>43011</v>
      </c>
      <c r="C370" s="123">
        <f t="shared" si="73"/>
        <v>30</v>
      </c>
      <c r="D370" s="123"/>
      <c r="E370" s="132">
        <v>878.37</v>
      </c>
      <c r="F370" s="134"/>
      <c r="G370" s="135"/>
      <c r="H370" s="123"/>
      <c r="I370" s="123"/>
      <c r="J370" s="123"/>
      <c r="K370" s="123"/>
      <c r="L370" s="123"/>
      <c r="M370" s="123"/>
      <c r="N370" s="123"/>
      <c r="O370" s="123">
        <v>28</v>
      </c>
      <c r="P370" s="123">
        <v>2</v>
      </c>
      <c r="Q370" s="123"/>
      <c r="R370" s="123"/>
      <c r="S370" s="133">
        <f t="shared" si="72"/>
        <v>0</v>
      </c>
      <c r="T370" s="116">
        <f t="shared" si="74"/>
        <v>0</v>
      </c>
      <c r="U370" s="116">
        <f t="shared" si="75"/>
        <v>0</v>
      </c>
      <c r="V370" s="116">
        <f t="shared" si="84"/>
        <v>0</v>
      </c>
      <c r="W370" s="116">
        <f t="shared" si="85"/>
        <v>0</v>
      </c>
      <c r="X370" s="116">
        <f t="shared" si="76"/>
        <v>0</v>
      </c>
      <c r="Y370" s="116">
        <f t="shared" si="77"/>
        <v>0</v>
      </c>
      <c r="Z370" s="116">
        <f t="shared" si="78"/>
        <v>0</v>
      </c>
      <c r="AA370" s="116">
        <f t="shared" si="79"/>
        <v>0</v>
      </c>
      <c r="AB370" s="116">
        <f t="shared" si="80"/>
        <v>6435.45</v>
      </c>
      <c r="AC370" s="116">
        <f t="shared" si="81"/>
        <v>573.41999999999996</v>
      </c>
      <c r="AD370" s="116">
        <f t="shared" si="82"/>
        <v>0</v>
      </c>
      <c r="AE370" s="116">
        <f t="shared" si="83"/>
        <v>0</v>
      </c>
    </row>
    <row r="371" spans="1:31">
      <c r="A371" s="131">
        <v>42981</v>
      </c>
      <c r="B371" s="131">
        <v>43011</v>
      </c>
      <c r="C371" s="123">
        <f t="shared" si="73"/>
        <v>30</v>
      </c>
      <c r="D371" s="123"/>
      <c r="E371" s="132">
        <v>1780.15</v>
      </c>
      <c r="F371" s="134"/>
      <c r="G371" s="135"/>
      <c r="H371" s="123"/>
      <c r="I371" s="123"/>
      <c r="J371" s="123"/>
      <c r="K371" s="123"/>
      <c r="L371" s="123"/>
      <c r="M371" s="123"/>
      <c r="N371" s="123"/>
      <c r="O371" s="123">
        <v>28</v>
      </c>
      <c r="P371" s="123">
        <v>2</v>
      </c>
      <c r="Q371" s="123"/>
      <c r="R371" s="123"/>
      <c r="S371" s="133">
        <f t="shared" si="72"/>
        <v>0</v>
      </c>
      <c r="T371" s="116">
        <f t="shared" si="74"/>
        <v>0</v>
      </c>
      <c r="U371" s="116">
        <f t="shared" si="75"/>
        <v>0</v>
      </c>
      <c r="V371" s="116">
        <f t="shared" si="84"/>
        <v>0</v>
      </c>
      <c r="W371" s="116">
        <f t="shared" si="85"/>
        <v>0</v>
      </c>
      <c r="X371" s="116">
        <f t="shared" si="76"/>
        <v>0</v>
      </c>
      <c r="Y371" s="116">
        <f t="shared" si="77"/>
        <v>0</v>
      </c>
      <c r="Z371" s="116">
        <f t="shared" si="78"/>
        <v>0</v>
      </c>
      <c r="AA371" s="116">
        <f t="shared" si="79"/>
        <v>0</v>
      </c>
      <c r="AB371" s="116">
        <f t="shared" si="80"/>
        <v>13042.42</v>
      </c>
      <c r="AC371" s="116">
        <f t="shared" si="81"/>
        <v>1162.1300000000001</v>
      </c>
      <c r="AD371" s="116">
        <f t="shared" si="82"/>
        <v>0</v>
      </c>
      <c r="AE371" s="116">
        <f t="shared" si="83"/>
        <v>0</v>
      </c>
    </row>
    <row r="372" spans="1:31">
      <c r="A372" s="131">
        <v>42981</v>
      </c>
      <c r="B372" s="131">
        <v>43011</v>
      </c>
      <c r="C372" s="123">
        <f t="shared" si="73"/>
        <v>30</v>
      </c>
      <c r="D372" s="123"/>
      <c r="E372" s="132">
        <v>531.41</v>
      </c>
      <c r="F372" s="134"/>
      <c r="G372" s="135"/>
      <c r="H372" s="123"/>
      <c r="I372" s="123"/>
      <c r="J372" s="123"/>
      <c r="K372" s="123"/>
      <c r="L372" s="123"/>
      <c r="M372" s="123"/>
      <c r="N372" s="123"/>
      <c r="O372" s="123">
        <v>28</v>
      </c>
      <c r="P372" s="123">
        <v>2</v>
      </c>
      <c r="Q372" s="123"/>
      <c r="R372" s="123"/>
      <c r="S372" s="133">
        <f t="shared" si="72"/>
        <v>0</v>
      </c>
      <c r="T372" s="116">
        <f t="shared" si="74"/>
        <v>0</v>
      </c>
      <c r="U372" s="116">
        <f t="shared" si="75"/>
        <v>0</v>
      </c>
      <c r="V372" s="116">
        <f t="shared" si="84"/>
        <v>0</v>
      </c>
      <c r="W372" s="116">
        <f t="shared" si="85"/>
        <v>0</v>
      </c>
      <c r="X372" s="116">
        <f t="shared" si="76"/>
        <v>0</v>
      </c>
      <c r="Y372" s="116">
        <f t="shared" si="77"/>
        <v>0</v>
      </c>
      <c r="Z372" s="116">
        <f t="shared" si="78"/>
        <v>0</v>
      </c>
      <c r="AA372" s="116">
        <f t="shared" si="79"/>
        <v>0</v>
      </c>
      <c r="AB372" s="116">
        <f t="shared" si="80"/>
        <v>3893.42</v>
      </c>
      <c r="AC372" s="116">
        <f t="shared" si="81"/>
        <v>346.92</v>
      </c>
      <c r="AD372" s="116">
        <f t="shared" si="82"/>
        <v>0</v>
      </c>
      <c r="AE372" s="116">
        <f t="shared" si="83"/>
        <v>0</v>
      </c>
    </row>
    <row r="373" spans="1:31">
      <c r="A373" s="131">
        <v>42981</v>
      </c>
      <c r="B373" s="131">
        <v>43011</v>
      </c>
      <c r="C373" s="123">
        <f t="shared" si="73"/>
        <v>30</v>
      </c>
      <c r="D373" s="123"/>
      <c r="E373" s="132">
        <v>536.76</v>
      </c>
      <c r="F373" s="134"/>
      <c r="G373" s="135"/>
      <c r="H373" s="123"/>
      <c r="I373" s="123"/>
      <c r="J373" s="123"/>
      <c r="K373" s="123"/>
      <c r="L373" s="123"/>
      <c r="M373" s="123"/>
      <c r="N373" s="123"/>
      <c r="O373" s="123">
        <v>28</v>
      </c>
      <c r="P373" s="123">
        <v>2</v>
      </c>
      <c r="Q373" s="123"/>
      <c r="R373" s="123"/>
      <c r="S373" s="133">
        <f t="shared" si="72"/>
        <v>0</v>
      </c>
      <c r="T373" s="116">
        <f t="shared" si="74"/>
        <v>0</v>
      </c>
      <c r="U373" s="116">
        <f t="shared" si="75"/>
        <v>0</v>
      </c>
      <c r="V373" s="116">
        <f t="shared" si="84"/>
        <v>0</v>
      </c>
      <c r="W373" s="116">
        <f t="shared" si="85"/>
        <v>0</v>
      </c>
      <c r="X373" s="116">
        <f t="shared" si="76"/>
        <v>0</v>
      </c>
      <c r="Y373" s="116">
        <f t="shared" si="77"/>
        <v>0</v>
      </c>
      <c r="Z373" s="116">
        <f t="shared" si="78"/>
        <v>0</v>
      </c>
      <c r="AA373" s="116">
        <f t="shared" si="79"/>
        <v>0</v>
      </c>
      <c r="AB373" s="116">
        <f t="shared" si="80"/>
        <v>3932.62</v>
      </c>
      <c r="AC373" s="116">
        <f t="shared" si="81"/>
        <v>350.41</v>
      </c>
      <c r="AD373" s="116">
        <f t="shared" si="82"/>
        <v>0</v>
      </c>
      <c r="AE373" s="116">
        <f t="shared" si="83"/>
        <v>0</v>
      </c>
    </row>
    <row r="374" spans="1:31">
      <c r="A374" s="131">
        <v>42986</v>
      </c>
      <c r="B374" s="131">
        <v>43016</v>
      </c>
      <c r="C374" s="123">
        <f t="shared" si="73"/>
        <v>30</v>
      </c>
      <c r="D374" s="123"/>
      <c r="E374" s="132">
        <v>221.69</v>
      </c>
      <c r="F374" s="134"/>
      <c r="G374" s="135"/>
      <c r="H374" s="123"/>
      <c r="I374" s="123"/>
      <c r="J374" s="123"/>
      <c r="K374" s="123"/>
      <c r="L374" s="123"/>
      <c r="M374" s="123"/>
      <c r="N374" s="123"/>
      <c r="O374" s="123">
        <v>23</v>
      </c>
      <c r="P374" s="123">
        <v>7</v>
      </c>
      <c r="Q374" s="123"/>
      <c r="R374" s="123"/>
      <c r="S374" s="133">
        <f t="shared" si="72"/>
        <v>0</v>
      </c>
      <c r="T374" s="116">
        <f t="shared" si="74"/>
        <v>0</v>
      </c>
      <c r="U374" s="116">
        <f t="shared" si="75"/>
        <v>0</v>
      </c>
      <c r="V374" s="116">
        <f t="shared" si="84"/>
        <v>0</v>
      </c>
      <c r="W374" s="116">
        <f t="shared" si="85"/>
        <v>0</v>
      </c>
      <c r="X374" s="116">
        <f t="shared" si="76"/>
        <v>0</v>
      </c>
      <c r="Y374" s="116">
        <f t="shared" si="77"/>
        <v>0</v>
      </c>
      <c r="Z374" s="116">
        <f t="shared" si="78"/>
        <v>0</v>
      </c>
      <c r="AA374" s="116">
        <f t="shared" si="79"/>
        <v>0</v>
      </c>
      <c r="AB374" s="116">
        <f t="shared" si="80"/>
        <v>1334.19</v>
      </c>
      <c r="AC374" s="116">
        <f t="shared" si="81"/>
        <v>506.54</v>
      </c>
      <c r="AD374" s="116">
        <f t="shared" si="82"/>
        <v>0</v>
      </c>
      <c r="AE374" s="116">
        <f t="shared" si="83"/>
        <v>0</v>
      </c>
    </row>
    <row r="375" spans="1:31">
      <c r="A375" s="131">
        <v>42983</v>
      </c>
      <c r="B375" s="131">
        <v>43017</v>
      </c>
      <c r="C375" s="123">
        <f t="shared" si="73"/>
        <v>34</v>
      </c>
      <c r="D375" s="123"/>
      <c r="E375" s="132">
        <v>1336.43</v>
      </c>
      <c r="F375" s="134"/>
      <c r="G375" s="135"/>
      <c r="H375" s="123"/>
      <c r="I375" s="123"/>
      <c r="J375" s="123"/>
      <c r="K375" s="123"/>
      <c r="L375" s="123"/>
      <c r="M375" s="123"/>
      <c r="N375" s="123"/>
      <c r="O375" s="123">
        <v>26</v>
      </c>
      <c r="P375" s="123">
        <v>8</v>
      </c>
      <c r="Q375" s="123"/>
      <c r="R375" s="123"/>
      <c r="S375" s="133">
        <f t="shared" si="72"/>
        <v>0</v>
      </c>
      <c r="T375" s="116">
        <f t="shared" si="74"/>
        <v>0</v>
      </c>
      <c r="U375" s="116">
        <f t="shared" si="75"/>
        <v>0</v>
      </c>
      <c r="V375" s="116">
        <f t="shared" si="84"/>
        <v>0</v>
      </c>
      <c r="W375" s="116">
        <f t="shared" si="85"/>
        <v>0</v>
      </c>
      <c r="X375" s="116">
        <f t="shared" si="76"/>
        <v>0</v>
      </c>
      <c r="Y375" s="116">
        <f t="shared" si="77"/>
        <v>0</v>
      </c>
      <c r="Z375" s="116">
        <f t="shared" si="78"/>
        <v>0</v>
      </c>
      <c r="AA375" s="116">
        <f t="shared" si="79"/>
        <v>0</v>
      </c>
      <c r="AB375" s="116">
        <f t="shared" si="80"/>
        <v>8022.42</v>
      </c>
      <c r="AC375" s="116">
        <f t="shared" si="81"/>
        <v>3079.26</v>
      </c>
      <c r="AD375" s="116">
        <f t="shared" si="82"/>
        <v>0</v>
      </c>
      <c r="AE375" s="116">
        <f t="shared" si="83"/>
        <v>0</v>
      </c>
    </row>
    <row r="376" spans="1:31">
      <c r="A376" s="131">
        <v>42983</v>
      </c>
      <c r="B376" s="131">
        <v>43013</v>
      </c>
      <c r="C376" s="123">
        <f t="shared" si="73"/>
        <v>30</v>
      </c>
      <c r="D376" s="123"/>
      <c r="E376" s="132">
        <v>690.6</v>
      </c>
      <c r="F376" s="134"/>
      <c r="G376" s="135"/>
      <c r="H376" s="123"/>
      <c r="I376" s="123"/>
      <c r="J376" s="123"/>
      <c r="K376" s="123"/>
      <c r="L376" s="123"/>
      <c r="M376" s="123"/>
      <c r="N376" s="123"/>
      <c r="O376" s="123">
        <v>26</v>
      </c>
      <c r="P376" s="123">
        <v>4</v>
      </c>
      <c r="Q376" s="123"/>
      <c r="R376" s="123"/>
      <c r="S376" s="133">
        <f t="shared" si="72"/>
        <v>0</v>
      </c>
      <c r="T376" s="116">
        <f t="shared" si="74"/>
        <v>0</v>
      </c>
      <c r="U376" s="116">
        <f t="shared" si="75"/>
        <v>0</v>
      </c>
      <c r="V376" s="116">
        <f t="shared" si="84"/>
        <v>0</v>
      </c>
      <c r="W376" s="116">
        <f t="shared" si="85"/>
        <v>0</v>
      </c>
      <c r="X376" s="116">
        <f t="shared" si="76"/>
        <v>0</v>
      </c>
      <c r="Y376" s="116">
        <f t="shared" si="77"/>
        <v>0</v>
      </c>
      <c r="Z376" s="116">
        <f t="shared" si="78"/>
        <v>0</v>
      </c>
      <c r="AA376" s="116">
        <f t="shared" si="79"/>
        <v>0</v>
      </c>
      <c r="AB376" s="116">
        <f t="shared" si="80"/>
        <v>4698.33</v>
      </c>
      <c r="AC376" s="116">
        <f t="shared" si="81"/>
        <v>901.68</v>
      </c>
      <c r="AD376" s="116">
        <f t="shared" si="82"/>
        <v>0</v>
      </c>
      <c r="AE376" s="116">
        <f t="shared" si="83"/>
        <v>0</v>
      </c>
    </row>
    <row r="377" spans="1:31">
      <c r="A377" s="131">
        <v>42986</v>
      </c>
      <c r="B377" s="131">
        <v>43016</v>
      </c>
      <c r="C377" s="123">
        <f t="shared" si="73"/>
        <v>30</v>
      </c>
      <c r="D377" s="123"/>
      <c r="E377" s="132">
        <v>300.91000000000003</v>
      </c>
      <c r="F377" s="134"/>
      <c r="G377" s="135"/>
      <c r="H377" s="123"/>
      <c r="I377" s="123"/>
      <c r="J377" s="123"/>
      <c r="K377" s="123"/>
      <c r="L377" s="123"/>
      <c r="M377" s="123"/>
      <c r="N377" s="123"/>
      <c r="O377" s="123">
        <v>23</v>
      </c>
      <c r="P377" s="123">
        <v>7</v>
      </c>
      <c r="Q377" s="123"/>
      <c r="R377" s="123"/>
      <c r="S377" s="133">
        <f t="shared" si="72"/>
        <v>0</v>
      </c>
      <c r="T377" s="116">
        <f t="shared" si="74"/>
        <v>0</v>
      </c>
      <c r="U377" s="116">
        <f t="shared" si="75"/>
        <v>0</v>
      </c>
      <c r="V377" s="116">
        <f t="shared" si="84"/>
        <v>0</v>
      </c>
      <c r="W377" s="116">
        <f t="shared" si="85"/>
        <v>0</v>
      </c>
      <c r="X377" s="116">
        <f t="shared" si="76"/>
        <v>0</v>
      </c>
      <c r="Y377" s="116">
        <f t="shared" si="77"/>
        <v>0</v>
      </c>
      <c r="Z377" s="116">
        <f t="shared" si="78"/>
        <v>0</v>
      </c>
      <c r="AA377" s="116">
        <f t="shared" si="79"/>
        <v>0</v>
      </c>
      <c r="AB377" s="116">
        <f t="shared" si="80"/>
        <v>1810.96</v>
      </c>
      <c r="AC377" s="116">
        <f t="shared" si="81"/>
        <v>687.55</v>
      </c>
      <c r="AD377" s="116">
        <f t="shared" si="82"/>
        <v>0</v>
      </c>
      <c r="AE377" s="116">
        <f t="shared" si="83"/>
        <v>0</v>
      </c>
    </row>
    <row r="378" spans="1:31">
      <c r="A378" s="131">
        <v>42986</v>
      </c>
      <c r="B378" s="131">
        <v>43016</v>
      </c>
      <c r="C378" s="123">
        <f t="shared" si="73"/>
        <v>30</v>
      </c>
      <c r="D378" s="123"/>
      <c r="E378" s="132">
        <v>225.89</v>
      </c>
      <c r="F378" s="134"/>
      <c r="G378" s="135"/>
      <c r="H378" s="123"/>
      <c r="I378" s="123"/>
      <c r="J378" s="123"/>
      <c r="K378" s="123"/>
      <c r="L378" s="123"/>
      <c r="M378" s="123"/>
      <c r="N378" s="123"/>
      <c r="O378" s="123">
        <v>23</v>
      </c>
      <c r="P378" s="123">
        <v>7</v>
      </c>
      <c r="Q378" s="123"/>
      <c r="R378" s="123"/>
      <c r="S378" s="133">
        <f t="shared" si="72"/>
        <v>0</v>
      </c>
      <c r="T378" s="116">
        <f t="shared" si="74"/>
        <v>0</v>
      </c>
      <c r="U378" s="116">
        <f t="shared" si="75"/>
        <v>0</v>
      </c>
      <c r="V378" s="116">
        <f t="shared" si="84"/>
        <v>0</v>
      </c>
      <c r="W378" s="116">
        <f t="shared" si="85"/>
        <v>0</v>
      </c>
      <c r="X378" s="116">
        <f t="shared" si="76"/>
        <v>0</v>
      </c>
      <c r="Y378" s="116">
        <f t="shared" si="77"/>
        <v>0</v>
      </c>
      <c r="Z378" s="116">
        <f t="shared" si="78"/>
        <v>0</v>
      </c>
      <c r="AA378" s="116">
        <f t="shared" si="79"/>
        <v>0</v>
      </c>
      <c r="AB378" s="116">
        <f t="shared" si="80"/>
        <v>1359.47</v>
      </c>
      <c r="AC378" s="116">
        <f t="shared" si="81"/>
        <v>516.13</v>
      </c>
      <c r="AD378" s="116">
        <f t="shared" si="82"/>
        <v>0</v>
      </c>
      <c r="AE378" s="116">
        <f t="shared" si="83"/>
        <v>0</v>
      </c>
    </row>
    <row r="379" spans="1:31">
      <c r="A379" s="131">
        <v>42983</v>
      </c>
      <c r="B379" s="131">
        <v>43013</v>
      </c>
      <c r="C379" s="123">
        <f t="shared" si="73"/>
        <v>30</v>
      </c>
      <c r="D379" s="123"/>
      <c r="E379" s="132">
        <v>199.66</v>
      </c>
      <c r="F379" s="134"/>
      <c r="G379" s="135"/>
      <c r="H379" s="123"/>
      <c r="I379" s="123"/>
      <c r="J379" s="123"/>
      <c r="K379" s="123"/>
      <c r="L379" s="123"/>
      <c r="M379" s="123"/>
      <c r="N379" s="123"/>
      <c r="O379" s="123">
        <v>26</v>
      </c>
      <c r="P379" s="123">
        <v>4</v>
      </c>
      <c r="Q379" s="123"/>
      <c r="R379" s="123"/>
      <c r="S379" s="133">
        <f t="shared" si="72"/>
        <v>0</v>
      </c>
      <c r="T379" s="116">
        <f t="shared" si="74"/>
        <v>0</v>
      </c>
      <c r="U379" s="116">
        <f t="shared" si="75"/>
        <v>0</v>
      </c>
      <c r="V379" s="116">
        <f t="shared" si="84"/>
        <v>0</v>
      </c>
      <c r="W379" s="116">
        <f t="shared" si="85"/>
        <v>0</v>
      </c>
      <c r="X379" s="116">
        <f t="shared" si="76"/>
        <v>0</v>
      </c>
      <c r="Y379" s="116">
        <f t="shared" si="77"/>
        <v>0</v>
      </c>
      <c r="Z379" s="116">
        <f t="shared" si="78"/>
        <v>0</v>
      </c>
      <c r="AA379" s="116">
        <f t="shared" si="79"/>
        <v>0</v>
      </c>
      <c r="AB379" s="116">
        <f t="shared" si="80"/>
        <v>1358.34</v>
      </c>
      <c r="AC379" s="116">
        <f t="shared" si="81"/>
        <v>260.69</v>
      </c>
      <c r="AD379" s="116">
        <f t="shared" si="82"/>
        <v>0</v>
      </c>
      <c r="AE379" s="116">
        <f t="shared" si="83"/>
        <v>0</v>
      </c>
    </row>
    <row r="380" spans="1:31">
      <c r="A380" s="131">
        <v>42986</v>
      </c>
      <c r="B380" s="131">
        <v>43016</v>
      </c>
      <c r="C380" s="123">
        <f t="shared" si="73"/>
        <v>30</v>
      </c>
      <c r="D380" s="123"/>
      <c r="E380" s="132">
        <v>564.49</v>
      </c>
      <c r="F380" s="134"/>
      <c r="G380" s="135"/>
      <c r="H380" s="123"/>
      <c r="I380" s="123"/>
      <c r="J380" s="123"/>
      <c r="K380" s="123"/>
      <c r="L380" s="123"/>
      <c r="M380" s="123"/>
      <c r="N380" s="123"/>
      <c r="O380" s="123">
        <v>23</v>
      </c>
      <c r="P380" s="123">
        <v>7</v>
      </c>
      <c r="Q380" s="123"/>
      <c r="R380" s="123"/>
      <c r="S380" s="133">
        <f t="shared" si="72"/>
        <v>0</v>
      </c>
      <c r="T380" s="116">
        <f t="shared" si="74"/>
        <v>0</v>
      </c>
      <c r="U380" s="116">
        <f t="shared" si="75"/>
        <v>0</v>
      </c>
      <c r="V380" s="116">
        <f t="shared" si="84"/>
        <v>0</v>
      </c>
      <c r="W380" s="116">
        <f t="shared" si="85"/>
        <v>0</v>
      </c>
      <c r="X380" s="116">
        <f t="shared" si="76"/>
        <v>0</v>
      </c>
      <c r="Y380" s="116">
        <f t="shared" si="77"/>
        <v>0</v>
      </c>
      <c r="Z380" s="116">
        <f t="shared" si="78"/>
        <v>0</v>
      </c>
      <c r="AA380" s="116">
        <f t="shared" si="79"/>
        <v>0</v>
      </c>
      <c r="AB380" s="116">
        <f t="shared" si="80"/>
        <v>3397.25</v>
      </c>
      <c r="AC380" s="116">
        <f t="shared" si="81"/>
        <v>1289.8</v>
      </c>
      <c r="AD380" s="116">
        <f t="shared" si="82"/>
        <v>0</v>
      </c>
      <c r="AE380" s="116">
        <f t="shared" si="83"/>
        <v>0</v>
      </c>
    </row>
    <row r="381" spans="1:31">
      <c r="A381" s="131">
        <v>42990</v>
      </c>
      <c r="B381" s="131">
        <v>43020</v>
      </c>
      <c r="C381" s="123">
        <f t="shared" si="73"/>
        <v>30</v>
      </c>
      <c r="D381" s="123"/>
      <c r="E381" s="132">
        <v>1164.29</v>
      </c>
      <c r="F381" s="134"/>
      <c r="G381" s="135"/>
      <c r="H381" s="123"/>
      <c r="I381" s="123"/>
      <c r="J381" s="123"/>
      <c r="K381" s="123"/>
      <c r="L381" s="123"/>
      <c r="M381" s="123"/>
      <c r="N381" s="123"/>
      <c r="O381" s="123">
        <v>19</v>
      </c>
      <c r="P381" s="123">
        <v>11</v>
      </c>
      <c r="Q381" s="123"/>
      <c r="R381" s="123"/>
      <c r="S381" s="133">
        <f t="shared" si="72"/>
        <v>0</v>
      </c>
      <c r="T381" s="116">
        <f t="shared" si="74"/>
        <v>0</v>
      </c>
      <c r="U381" s="116">
        <f t="shared" si="75"/>
        <v>0</v>
      </c>
      <c r="V381" s="116">
        <f t="shared" si="84"/>
        <v>0</v>
      </c>
      <c r="W381" s="116">
        <f t="shared" si="85"/>
        <v>0</v>
      </c>
      <c r="X381" s="116">
        <f t="shared" si="76"/>
        <v>0</v>
      </c>
      <c r="Y381" s="116">
        <f t="shared" si="77"/>
        <v>0</v>
      </c>
      <c r="Z381" s="116">
        <f t="shared" si="78"/>
        <v>0</v>
      </c>
      <c r="AA381" s="116">
        <f t="shared" si="79"/>
        <v>0</v>
      </c>
      <c r="AB381" s="116">
        <f t="shared" si="80"/>
        <v>5788.4</v>
      </c>
      <c r="AC381" s="116">
        <f t="shared" si="81"/>
        <v>4180.4399999999996</v>
      </c>
      <c r="AD381" s="116">
        <f t="shared" si="82"/>
        <v>0</v>
      </c>
      <c r="AE381" s="116">
        <f t="shared" si="83"/>
        <v>0</v>
      </c>
    </row>
    <row r="382" spans="1:31">
      <c r="A382" s="131">
        <v>42990</v>
      </c>
      <c r="B382" s="131">
        <v>43020</v>
      </c>
      <c r="C382" s="123">
        <f t="shared" si="73"/>
        <v>30</v>
      </c>
      <c r="D382" s="123"/>
      <c r="E382" s="132">
        <v>757.51</v>
      </c>
      <c r="F382" s="134"/>
      <c r="G382" s="135"/>
      <c r="H382" s="123"/>
      <c r="I382" s="123"/>
      <c r="J382" s="123"/>
      <c r="K382" s="123"/>
      <c r="L382" s="123"/>
      <c r="M382" s="123"/>
      <c r="N382" s="123"/>
      <c r="O382" s="123">
        <v>19</v>
      </c>
      <c r="P382" s="123">
        <v>11</v>
      </c>
      <c r="Q382" s="123"/>
      <c r="R382" s="123"/>
      <c r="S382" s="133">
        <f t="shared" si="72"/>
        <v>0</v>
      </c>
      <c r="T382" s="116">
        <f t="shared" si="74"/>
        <v>0</v>
      </c>
      <c r="U382" s="116">
        <f t="shared" si="75"/>
        <v>0</v>
      </c>
      <c r="V382" s="116">
        <f t="shared" si="84"/>
        <v>0</v>
      </c>
      <c r="W382" s="116">
        <f t="shared" si="85"/>
        <v>0</v>
      </c>
      <c r="X382" s="116">
        <f t="shared" si="76"/>
        <v>0</v>
      </c>
      <c r="Y382" s="116">
        <f t="shared" si="77"/>
        <v>0</v>
      </c>
      <c r="Z382" s="116">
        <f t="shared" si="78"/>
        <v>0</v>
      </c>
      <c r="AA382" s="116">
        <f t="shared" si="79"/>
        <v>0</v>
      </c>
      <c r="AB382" s="116">
        <f t="shared" si="80"/>
        <v>3766.04</v>
      </c>
      <c r="AC382" s="116">
        <f t="shared" si="81"/>
        <v>2719.88</v>
      </c>
      <c r="AD382" s="116">
        <f t="shared" si="82"/>
        <v>0</v>
      </c>
      <c r="AE382" s="116">
        <f t="shared" si="83"/>
        <v>0</v>
      </c>
    </row>
    <row r="383" spans="1:31">
      <c r="A383" s="131">
        <v>42990</v>
      </c>
      <c r="B383" s="131">
        <v>43020</v>
      </c>
      <c r="C383" s="123">
        <f t="shared" si="73"/>
        <v>30</v>
      </c>
      <c r="D383" s="123"/>
      <c r="E383" s="132">
        <v>167.27</v>
      </c>
      <c r="F383" s="134"/>
      <c r="G383" s="135"/>
      <c r="H383" s="123"/>
      <c r="I383" s="123"/>
      <c r="J383" s="123"/>
      <c r="K383" s="123"/>
      <c r="L383" s="123"/>
      <c r="M383" s="123"/>
      <c r="N383" s="123"/>
      <c r="O383" s="123">
        <v>19</v>
      </c>
      <c r="P383" s="123">
        <v>11</v>
      </c>
      <c r="Q383" s="123"/>
      <c r="R383" s="123"/>
      <c r="S383" s="133">
        <f t="shared" si="72"/>
        <v>0</v>
      </c>
      <c r="T383" s="116">
        <f t="shared" si="74"/>
        <v>0</v>
      </c>
      <c r="U383" s="116">
        <f t="shared" si="75"/>
        <v>0</v>
      </c>
      <c r="V383" s="116">
        <f t="shared" si="84"/>
        <v>0</v>
      </c>
      <c r="W383" s="116">
        <f t="shared" si="85"/>
        <v>0</v>
      </c>
      <c r="X383" s="116">
        <f t="shared" si="76"/>
        <v>0</v>
      </c>
      <c r="Y383" s="116">
        <f t="shared" si="77"/>
        <v>0</v>
      </c>
      <c r="Z383" s="116">
        <f t="shared" si="78"/>
        <v>0</v>
      </c>
      <c r="AA383" s="116">
        <f t="shared" si="79"/>
        <v>0</v>
      </c>
      <c r="AB383" s="116">
        <f t="shared" si="80"/>
        <v>831.6</v>
      </c>
      <c r="AC383" s="116">
        <f t="shared" si="81"/>
        <v>600.59</v>
      </c>
      <c r="AD383" s="116">
        <f t="shared" si="82"/>
        <v>0</v>
      </c>
      <c r="AE383" s="116">
        <f t="shared" si="83"/>
        <v>0</v>
      </c>
    </row>
    <row r="384" spans="1:31">
      <c r="A384" s="131">
        <v>42993</v>
      </c>
      <c r="B384" s="131">
        <v>43023</v>
      </c>
      <c r="C384" s="123">
        <f t="shared" si="73"/>
        <v>30</v>
      </c>
      <c r="D384" s="123"/>
      <c r="E384" s="132">
        <v>7766.42</v>
      </c>
      <c r="F384" s="134"/>
      <c r="G384" s="135"/>
      <c r="H384" s="123"/>
      <c r="I384" s="123"/>
      <c r="J384" s="123"/>
      <c r="K384" s="123"/>
      <c r="L384" s="123"/>
      <c r="M384" s="123"/>
      <c r="N384" s="123"/>
      <c r="O384" s="123">
        <v>16</v>
      </c>
      <c r="P384" s="123">
        <v>14</v>
      </c>
      <c r="Q384" s="123"/>
      <c r="R384" s="123"/>
      <c r="S384" s="133">
        <f t="shared" si="72"/>
        <v>0</v>
      </c>
      <c r="T384" s="116">
        <f t="shared" si="74"/>
        <v>0</v>
      </c>
      <c r="U384" s="116">
        <f t="shared" si="75"/>
        <v>0</v>
      </c>
      <c r="V384" s="116">
        <f t="shared" si="84"/>
        <v>0</v>
      </c>
      <c r="W384" s="116">
        <f t="shared" si="85"/>
        <v>0</v>
      </c>
      <c r="X384" s="116">
        <f t="shared" si="76"/>
        <v>0</v>
      </c>
      <c r="Y384" s="116">
        <f t="shared" si="77"/>
        <v>0</v>
      </c>
      <c r="Z384" s="116">
        <f t="shared" si="78"/>
        <v>0</v>
      </c>
      <c r="AA384" s="116">
        <f t="shared" si="79"/>
        <v>0</v>
      </c>
      <c r="AB384" s="116">
        <f t="shared" si="80"/>
        <v>32515.040000000001</v>
      </c>
      <c r="AC384" s="116">
        <f t="shared" si="81"/>
        <v>35490.89</v>
      </c>
      <c r="AD384" s="116">
        <f t="shared" si="82"/>
        <v>0</v>
      </c>
      <c r="AE384" s="116">
        <f t="shared" si="83"/>
        <v>0</v>
      </c>
    </row>
    <row r="385" spans="1:31">
      <c r="A385" s="131">
        <v>42993</v>
      </c>
      <c r="B385" s="131">
        <v>43023</v>
      </c>
      <c r="C385" s="123">
        <f t="shared" si="73"/>
        <v>30</v>
      </c>
      <c r="D385" s="123"/>
      <c r="E385" s="132">
        <v>637.79999999999995</v>
      </c>
      <c r="F385" s="134"/>
      <c r="G385" s="135"/>
      <c r="H385" s="123"/>
      <c r="I385" s="123"/>
      <c r="J385" s="123"/>
      <c r="K385" s="123"/>
      <c r="L385" s="123"/>
      <c r="M385" s="123"/>
      <c r="N385" s="123"/>
      <c r="O385" s="123">
        <v>16</v>
      </c>
      <c r="P385" s="123">
        <v>14</v>
      </c>
      <c r="Q385" s="123"/>
      <c r="R385" s="123"/>
      <c r="S385" s="133">
        <f t="shared" si="72"/>
        <v>0</v>
      </c>
      <c r="T385" s="116">
        <f t="shared" si="74"/>
        <v>0</v>
      </c>
      <c r="U385" s="116">
        <f t="shared" si="75"/>
        <v>0</v>
      </c>
      <c r="V385" s="116">
        <f t="shared" si="84"/>
        <v>0</v>
      </c>
      <c r="W385" s="116">
        <f t="shared" si="85"/>
        <v>0</v>
      </c>
      <c r="X385" s="116">
        <f t="shared" si="76"/>
        <v>0</v>
      </c>
      <c r="Y385" s="116">
        <f t="shared" si="77"/>
        <v>0</v>
      </c>
      <c r="Z385" s="116">
        <f t="shared" si="78"/>
        <v>0</v>
      </c>
      <c r="AA385" s="116">
        <f t="shared" si="79"/>
        <v>0</v>
      </c>
      <c r="AB385" s="116">
        <f t="shared" si="80"/>
        <v>2670.23</v>
      </c>
      <c r="AC385" s="116">
        <f t="shared" si="81"/>
        <v>2914.61</v>
      </c>
      <c r="AD385" s="116">
        <f t="shared" si="82"/>
        <v>0</v>
      </c>
      <c r="AE385" s="116">
        <f t="shared" si="83"/>
        <v>0</v>
      </c>
    </row>
    <row r="386" spans="1:31">
      <c r="A386" s="131">
        <v>42993</v>
      </c>
      <c r="B386" s="131">
        <v>43023</v>
      </c>
      <c r="C386" s="123">
        <f t="shared" si="73"/>
        <v>30</v>
      </c>
      <c r="D386" s="123"/>
      <c r="E386" s="132">
        <v>2292.71</v>
      </c>
      <c r="F386" s="134"/>
      <c r="G386" s="135"/>
      <c r="H386" s="123"/>
      <c r="I386" s="123"/>
      <c r="J386" s="123"/>
      <c r="K386" s="123"/>
      <c r="L386" s="123"/>
      <c r="M386" s="123"/>
      <c r="N386" s="123"/>
      <c r="O386" s="123">
        <v>16</v>
      </c>
      <c r="P386" s="123">
        <v>14</v>
      </c>
      <c r="Q386" s="123"/>
      <c r="R386" s="123"/>
      <c r="S386" s="133">
        <f t="shared" si="72"/>
        <v>0</v>
      </c>
      <c r="T386" s="116">
        <f t="shared" si="74"/>
        <v>0</v>
      </c>
      <c r="U386" s="116">
        <f t="shared" si="75"/>
        <v>0</v>
      </c>
      <c r="V386" s="116">
        <f t="shared" si="84"/>
        <v>0</v>
      </c>
      <c r="W386" s="116">
        <f t="shared" si="85"/>
        <v>0</v>
      </c>
      <c r="X386" s="116">
        <f t="shared" si="76"/>
        <v>0</v>
      </c>
      <c r="Y386" s="116">
        <f t="shared" si="77"/>
        <v>0</v>
      </c>
      <c r="Z386" s="116">
        <f t="shared" si="78"/>
        <v>0</v>
      </c>
      <c r="AA386" s="116">
        <f t="shared" si="79"/>
        <v>0</v>
      </c>
      <c r="AB386" s="116">
        <f t="shared" si="80"/>
        <v>9598.7000000000007</v>
      </c>
      <c r="AC386" s="116">
        <f t="shared" si="81"/>
        <v>10477.200000000001</v>
      </c>
      <c r="AD386" s="116">
        <f t="shared" si="82"/>
        <v>0</v>
      </c>
      <c r="AE386" s="116">
        <f t="shared" si="83"/>
        <v>0</v>
      </c>
    </row>
    <row r="387" spans="1:31" ht="15.75" thickBot="1">
      <c r="A387" s="131">
        <v>42993</v>
      </c>
      <c r="B387" s="131">
        <v>43023</v>
      </c>
      <c r="C387" s="123">
        <f t="shared" si="73"/>
        <v>30</v>
      </c>
      <c r="D387" s="123"/>
      <c r="E387" s="132">
        <v>41427.57</v>
      </c>
      <c r="F387" s="134"/>
      <c r="G387" s="135"/>
      <c r="H387" s="123"/>
      <c r="I387" s="123"/>
      <c r="J387" s="123"/>
      <c r="K387" s="123"/>
      <c r="L387" s="123"/>
      <c r="M387" s="123"/>
      <c r="N387" s="123"/>
      <c r="O387" s="123">
        <v>16</v>
      </c>
      <c r="P387" s="123">
        <v>14</v>
      </c>
      <c r="Q387" s="123"/>
      <c r="R387" s="123"/>
      <c r="S387" s="133">
        <f t="shared" si="72"/>
        <v>0</v>
      </c>
      <c r="T387" s="116">
        <f t="shared" si="74"/>
        <v>0</v>
      </c>
      <c r="U387" s="116">
        <f t="shared" si="75"/>
        <v>0</v>
      </c>
      <c r="V387" s="116">
        <f t="shared" si="84"/>
        <v>0</v>
      </c>
      <c r="W387" s="116">
        <f t="shared" si="85"/>
        <v>0</v>
      </c>
      <c r="X387" s="116">
        <f t="shared" si="76"/>
        <v>0</v>
      </c>
      <c r="Y387" s="116">
        <f t="shared" si="77"/>
        <v>0</v>
      </c>
      <c r="Z387" s="116">
        <f t="shared" si="78"/>
        <v>0</v>
      </c>
      <c r="AA387" s="116">
        <f t="shared" si="79"/>
        <v>0</v>
      </c>
      <c r="AB387" s="116">
        <f t="shared" si="80"/>
        <v>173441.43</v>
      </c>
      <c r="AC387" s="116">
        <f t="shared" si="81"/>
        <v>189315.18</v>
      </c>
      <c r="AD387" s="116">
        <f t="shared" si="82"/>
        <v>0</v>
      </c>
      <c r="AE387" s="116">
        <f t="shared" si="83"/>
        <v>0</v>
      </c>
    </row>
    <row r="388" spans="1:31" ht="15.75" thickBot="1">
      <c r="A388" s="185" t="s">
        <v>45</v>
      </c>
      <c r="B388" s="186"/>
      <c r="C388" s="186"/>
      <c r="D388" s="186"/>
      <c r="E388" s="186"/>
      <c r="F388" s="186"/>
      <c r="G388" s="186"/>
      <c r="H388" s="186"/>
      <c r="I388" s="186"/>
      <c r="J388" s="186"/>
      <c r="K388" s="186"/>
      <c r="L388" s="186"/>
      <c r="M388" s="186"/>
      <c r="N388" s="186"/>
      <c r="O388" s="186"/>
      <c r="P388" s="186"/>
      <c r="Q388" s="186"/>
      <c r="R388" s="186"/>
      <c r="S388" s="186"/>
      <c r="T388" s="186"/>
      <c r="U388" s="186"/>
      <c r="V388" s="186"/>
      <c r="W388" s="186"/>
      <c r="X388" s="186"/>
      <c r="Y388" s="186"/>
      <c r="Z388" s="186"/>
      <c r="AA388" s="186"/>
      <c r="AB388" s="186"/>
      <c r="AC388" s="186"/>
      <c r="AD388" s="186"/>
      <c r="AE388" s="187"/>
    </row>
    <row r="389" spans="1:31">
      <c r="A389" s="131">
        <v>42997</v>
      </c>
      <c r="B389" s="131">
        <v>43027</v>
      </c>
      <c r="C389" s="123">
        <f t="shared" si="73"/>
        <v>30</v>
      </c>
      <c r="D389" s="123"/>
      <c r="E389" s="132">
        <v>1915.96</v>
      </c>
      <c r="F389" s="134"/>
      <c r="G389" s="135"/>
      <c r="H389" s="123"/>
      <c r="I389" s="123"/>
      <c r="J389" s="123"/>
      <c r="K389" s="123"/>
      <c r="L389" s="123"/>
      <c r="M389" s="123"/>
      <c r="N389" s="123"/>
      <c r="O389" s="123">
        <v>12</v>
      </c>
      <c r="P389" s="123">
        <v>18</v>
      </c>
      <c r="Q389" s="123"/>
      <c r="R389" s="123"/>
      <c r="S389" s="133">
        <f t="shared" si="72"/>
        <v>0</v>
      </c>
      <c r="T389" s="116">
        <f t="shared" si="74"/>
        <v>0</v>
      </c>
      <c r="U389" s="116">
        <f t="shared" si="75"/>
        <v>0</v>
      </c>
      <c r="V389" s="116">
        <f t="shared" si="84"/>
        <v>0</v>
      </c>
      <c r="W389" s="116">
        <f t="shared" si="85"/>
        <v>0</v>
      </c>
      <c r="X389" s="116">
        <f t="shared" si="76"/>
        <v>0</v>
      </c>
      <c r="Y389" s="116">
        <f t="shared" si="77"/>
        <v>0</v>
      </c>
      <c r="Z389" s="116">
        <f t="shared" si="78"/>
        <v>0</v>
      </c>
      <c r="AA389" s="116">
        <f t="shared" si="79"/>
        <v>0</v>
      </c>
      <c r="AB389" s="116">
        <f t="shared" si="80"/>
        <v>6016.05</v>
      </c>
      <c r="AC389" s="116">
        <f t="shared" si="81"/>
        <v>11257.11</v>
      </c>
      <c r="AD389" s="116">
        <f t="shared" si="82"/>
        <v>0</v>
      </c>
      <c r="AE389" s="116">
        <f t="shared" si="83"/>
        <v>0</v>
      </c>
    </row>
    <row r="390" spans="1:31">
      <c r="A390" s="131">
        <v>42997</v>
      </c>
      <c r="B390" s="131">
        <v>43027</v>
      </c>
      <c r="C390" s="123">
        <f t="shared" si="73"/>
        <v>30</v>
      </c>
      <c r="D390" s="123"/>
      <c r="E390" s="132">
        <v>641.64</v>
      </c>
      <c r="F390" s="134"/>
      <c r="G390" s="135"/>
      <c r="H390" s="123"/>
      <c r="I390" s="123"/>
      <c r="J390" s="123"/>
      <c r="K390" s="123"/>
      <c r="L390" s="123"/>
      <c r="M390" s="123"/>
      <c r="N390" s="123"/>
      <c r="O390" s="123">
        <v>12</v>
      </c>
      <c r="P390" s="123">
        <v>18</v>
      </c>
      <c r="Q390" s="123"/>
      <c r="R390" s="123"/>
      <c r="S390" s="133">
        <f t="shared" si="72"/>
        <v>0</v>
      </c>
      <c r="T390" s="116">
        <f t="shared" si="74"/>
        <v>0</v>
      </c>
      <c r="U390" s="116">
        <f t="shared" si="75"/>
        <v>0</v>
      </c>
      <c r="V390" s="116">
        <f t="shared" si="84"/>
        <v>0</v>
      </c>
      <c r="W390" s="116">
        <f t="shared" si="85"/>
        <v>0</v>
      </c>
      <c r="X390" s="116">
        <f t="shared" si="76"/>
        <v>0</v>
      </c>
      <c r="Y390" s="116">
        <f t="shared" si="77"/>
        <v>0</v>
      </c>
      <c r="Z390" s="116">
        <f t="shared" si="78"/>
        <v>0</v>
      </c>
      <c r="AA390" s="116">
        <f t="shared" si="79"/>
        <v>0</v>
      </c>
      <c r="AB390" s="116">
        <f t="shared" si="80"/>
        <v>2014.73</v>
      </c>
      <c r="AC390" s="116">
        <f t="shared" si="81"/>
        <v>3769.92</v>
      </c>
      <c r="AD390" s="116">
        <f t="shared" si="82"/>
        <v>0</v>
      </c>
      <c r="AE390" s="116">
        <f t="shared" si="83"/>
        <v>0</v>
      </c>
    </row>
    <row r="391" spans="1:31">
      <c r="A391" s="131">
        <v>42993</v>
      </c>
      <c r="B391" s="131">
        <v>43027</v>
      </c>
      <c r="C391" s="123">
        <f t="shared" si="73"/>
        <v>34</v>
      </c>
      <c r="D391" s="123"/>
      <c r="E391" s="132">
        <v>806.73</v>
      </c>
      <c r="F391" s="134"/>
      <c r="G391" s="135"/>
      <c r="H391" s="123"/>
      <c r="I391" s="123"/>
      <c r="J391" s="123"/>
      <c r="K391" s="123"/>
      <c r="L391" s="123"/>
      <c r="M391" s="123"/>
      <c r="N391" s="123"/>
      <c r="O391" s="123">
        <v>16</v>
      </c>
      <c r="P391" s="123">
        <v>18</v>
      </c>
      <c r="Q391" s="123"/>
      <c r="R391" s="123"/>
      <c r="S391" s="133">
        <f t="shared" si="72"/>
        <v>0</v>
      </c>
      <c r="T391" s="116">
        <f t="shared" si="74"/>
        <v>0</v>
      </c>
      <c r="U391" s="116">
        <f t="shared" si="75"/>
        <v>0</v>
      </c>
      <c r="V391" s="116">
        <f t="shared" si="84"/>
        <v>0</v>
      </c>
      <c r="W391" s="116">
        <f t="shared" si="85"/>
        <v>0</v>
      </c>
      <c r="X391" s="116">
        <f t="shared" si="76"/>
        <v>0</v>
      </c>
      <c r="Y391" s="116">
        <f t="shared" si="77"/>
        <v>0</v>
      </c>
      <c r="Z391" s="116">
        <f t="shared" si="78"/>
        <v>0</v>
      </c>
      <c r="AA391" s="116">
        <f t="shared" si="79"/>
        <v>0</v>
      </c>
      <c r="AB391" s="116">
        <f t="shared" si="80"/>
        <v>2980.12</v>
      </c>
      <c r="AC391" s="116">
        <f t="shared" si="81"/>
        <v>4182.26</v>
      </c>
      <c r="AD391" s="116">
        <f t="shared" si="82"/>
        <v>0</v>
      </c>
      <c r="AE391" s="116">
        <f t="shared" si="83"/>
        <v>0</v>
      </c>
    </row>
    <row r="392" spans="1:31">
      <c r="A392" s="131">
        <v>43004</v>
      </c>
      <c r="B392" s="131">
        <v>43034</v>
      </c>
      <c r="C392" s="123">
        <f t="shared" si="73"/>
        <v>30</v>
      </c>
      <c r="D392" s="123"/>
      <c r="E392" s="132">
        <v>1133.93</v>
      </c>
      <c r="F392" s="134"/>
      <c r="G392" s="135"/>
      <c r="H392" s="123"/>
      <c r="I392" s="123"/>
      <c r="J392" s="123"/>
      <c r="K392" s="123"/>
      <c r="L392" s="123"/>
      <c r="M392" s="123"/>
      <c r="N392" s="123"/>
      <c r="O392" s="123">
        <v>5</v>
      </c>
      <c r="P392" s="123">
        <v>25</v>
      </c>
      <c r="Q392" s="123"/>
      <c r="R392" s="123"/>
      <c r="S392" s="133">
        <f t="shared" ref="S392:S455" si="86">C392-SUM(G392:R392)</f>
        <v>0</v>
      </c>
      <c r="T392" s="116">
        <f t="shared" si="74"/>
        <v>0</v>
      </c>
      <c r="U392" s="116">
        <f t="shared" si="75"/>
        <v>0</v>
      </c>
      <c r="V392" s="116">
        <f t="shared" si="84"/>
        <v>0</v>
      </c>
      <c r="W392" s="116">
        <f t="shared" si="85"/>
        <v>0</v>
      </c>
      <c r="X392" s="116">
        <f t="shared" si="76"/>
        <v>0</v>
      </c>
      <c r="Y392" s="116">
        <f t="shared" si="77"/>
        <v>0</v>
      </c>
      <c r="Z392" s="116">
        <f t="shared" si="78"/>
        <v>0</v>
      </c>
      <c r="AA392" s="116">
        <f t="shared" si="79"/>
        <v>0</v>
      </c>
      <c r="AB392" s="116">
        <f t="shared" si="80"/>
        <v>1483.54</v>
      </c>
      <c r="AC392" s="116">
        <f t="shared" si="81"/>
        <v>9253.25</v>
      </c>
      <c r="AD392" s="116">
        <f t="shared" si="82"/>
        <v>0</v>
      </c>
      <c r="AE392" s="116">
        <f t="shared" si="83"/>
        <v>0</v>
      </c>
    </row>
    <row r="393" spans="1:31">
      <c r="A393" s="131">
        <v>43004</v>
      </c>
      <c r="B393" s="131">
        <v>43034</v>
      </c>
      <c r="C393" s="123">
        <f t="shared" si="73"/>
        <v>30</v>
      </c>
      <c r="D393" s="123"/>
      <c r="E393" s="132">
        <v>1154.1500000000001</v>
      </c>
      <c r="F393" s="134"/>
      <c r="G393" s="135"/>
      <c r="H393" s="123"/>
      <c r="I393" s="123"/>
      <c r="J393" s="123"/>
      <c r="K393" s="123"/>
      <c r="L393" s="123"/>
      <c r="M393" s="123"/>
      <c r="N393" s="123"/>
      <c r="O393" s="123">
        <v>5</v>
      </c>
      <c r="P393" s="123">
        <v>25</v>
      </c>
      <c r="Q393" s="123"/>
      <c r="R393" s="123"/>
      <c r="S393" s="133">
        <f t="shared" si="86"/>
        <v>0</v>
      </c>
      <c r="T393" s="116">
        <f t="shared" si="74"/>
        <v>0</v>
      </c>
      <c r="U393" s="116">
        <f t="shared" si="75"/>
        <v>0</v>
      </c>
      <c r="V393" s="116">
        <f t="shared" si="84"/>
        <v>0</v>
      </c>
      <c r="W393" s="116">
        <f t="shared" si="85"/>
        <v>0</v>
      </c>
      <c r="X393" s="116">
        <f t="shared" si="76"/>
        <v>0</v>
      </c>
      <c r="Y393" s="116">
        <f t="shared" si="77"/>
        <v>0</v>
      </c>
      <c r="Z393" s="116">
        <f t="shared" si="78"/>
        <v>0</v>
      </c>
      <c r="AA393" s="116">
        <f t="shared" si="79"/>
        <v>0</v>
      </c>
      <c r="AB393" s="116">
        <f t="shared" si="80"/>
        <v>1510</v>
      </c>
      <c r="AC393" s="116">
        <f t="shared" si="81"/>
        <v>9418.25</v>
      </c>
      <c r="AD393" s="116">
        <f t="shared" si="82"/>
        <v>0</v>
      </c>
      <c r="AE393" s="116">
        <f t="shared" si="83"/>
        <v>0</v>
      </c>
    </row>
    <row r="394" spans="1:31">
      <c r="A394" s="131">
        <v>42993</v>
      </c>
      <c r="B394" s="131">
        <v>43035</v>
      </c>
      <c r="C394" s="123">
        <f t="shared" si="73"/>
        <v>42</v>
      </c>
      <c r="D394" s="123"/>
      <c r="E394" s="132">
        <v>2.6</v>
      </c>
      <c r="F394" s="134"/>
      <c r="G394" s="135"/>
      <c r="H394" s="123"/>
      <c r="I394" s="123"/>
      <c r="J394" s="123"/>
      <c r="K394" s="123"/>
      <c r="L394" s="123"/>
      <c r="M394" s="123"/>
      <c r="N394" s="123"/>
      <c r="O394" s="123">
        <v>16</v>
      </c>
      <c r="P394" s="123">
        <v>26</v>
      </c>
      <c r="Q394" s="123"/>
      <c r="R394" s="123"/>
      <c r="S394" s="133">
        <f t="shared" si="86"/>
        <v>0</v>
      </c>
      <c r="T394" s="116">
        <f t="shared" si="74"/>
        <v>0</v>
      </c>
      <c r="U394" s="116">
        <f t="shared" si="75"/>
        <v>0</v>
      </c>
      <c r="V394" s="116">
        <f t="shared" si="84"/>
        <v>0</v>
      </c>
      <c r="W394" s="116">
        <f t="shared" si="85"/>
        <v>0</v>
      </c>
      <c r="X394" s="116">
        <f t="shared" si="76"/>
        <v>0</v>
      </c>
      <c r="Y394" s="116">
        <f t="shared" si="77"/>
        <v>0</v>
      </c>
      <c r="Z394" s="116">
        <f t="shared" si="78"/>
        <v>0</v>
      </c>
      <c r="AA394" s="116">
        <f t="shared" si="79"/>
        <v>0</v>
      </c>
      <c r="AB394" s="116">
        <f t="shared" si="80"/>
        <v>7.78</v>
      </c>
      <c r="AC394" s="116">
        <f t="shared" si="81"/>
        <v>15.76</v>
      </c>
      <c r="AD394" s="116">
        <f t="shared" si="82"/>
        <v>0</v>
      </c>
      <c r="AE394" s="116">
        <f t="shared" si="83"/>
        <v>0</v>
      </c>
    </row>
    <row r="395" spans="1:31">
      <c r="A395" s="131">
        <v>43006</v>
      </c>
      <c r="B395" s="131">
        <v>43036</v>
      </c>
      <c r="C395" s="123">
        <f t="shared" si="73"/>
        <v>30</v>
      </c>
      <c r="D395" s="123"/>
      <c r="E395" s="132">
        <v>1278.33</v>
      </c>
      <c r="F395" s="134"/>
      <c r="G395" s="135"/>
      <c r="H395" s="123"/>
      <c r="I395" s="123"/>
      <c r="J395" s="123"/>
      <c r="K395" s="123"/>
      <c r="L395" s="123"/>
      <c r="M395" s="123"/>
      <c r="N395" s="123"/>
      <c r="O395" s="123">
        <v>3</v>
      </c>
      <c r="P395" s="123">
        <v>27</v>
      </c>
      <c r="Q395" s="123"/>
      <c r="R395" s="123"/>
      <c r="S395" s="133">
        <f t="shared" si="86"/>
        <v>0</v>
      </c>
      <c r="T395" s="116">
        <f t="shared" si="74"/>
        <v>0</v>
      </c>
      <c r="U395" s="116">
        <f t="shared" si="75"/>
        <v>0</v>
      </c>
      <c r="V395" s="116">
        <f t="shared" si="84"/>
        <v>0</v>
      </c>
      <c r="W395" s="116">
        <f t="shared" si="85"/>
        <v>0</v>
      </c>
      <c r="X395" s="116">
        <f t="shared" si="76"/>
        <v>0</v>
      </c>
      <c r="Y395" s="116">
        <f t="shared" si="77"/>
        <v>0</v>
      </c>
      <c r="Z395" s="116">
        <f t="shared" si="78"/>
        <v>0</v>
      </c>
      <c r="AA395" s="116">
        <f t="shared" si="79"/>
        <v>0</v>
      </c>
      <c r="AB395" s="116">
        <f t="shared" si="80"/>
        <v>1003.48</v>
      </c>
      <c r="AC395" s="116">
        <f t="shared" si="81"/>
        <v>11266.13</v>
      </c>
      <c r="AD395" s="116">
        <f t="shared" si="82"/>
        <v>0</v>
      </c>
      <c r="AE395" s="116">
        <f t="shared" si="83"/>
        <v>0</v>
      </c>
    </row>
    <row r="396" spans="1:31">
      <c r="A396" s="131">
        <v>43006</v>
      </c>
      <c r="B396" s="131">
        <v>43036</v>
      </c>
      <c r="C396" s="123">
        <f t="shared" si="73"/>
        <v>30</v>
      </c>
      <c r="D396" s="123"/>
      <c r="E396" s="132">
        <v>253.52</v>
      </c>
      <c r="F396" s="134"/>
      <c r="G396" s="135"/>
      <c r="H396" s="123"/>
      <c r="I396" s="123"/>
      <c r="J396" s="123"/>
      <c r="K396" s="123"/>
      <c r="L396" s="123"/>
      <c r="M396" s="123"/>
      <c r="N396" s="123"/>
      <c r="O396" s="123">
        <v>3</v>
      </c>
      <c r="P396" s="123">
        <v>27</v>
      </c>
      <c r="Q396" s="123"/>
      <c r="R396" s="123"/>
      <c r="S396" s="133">
        <f t="shared" si="86"/>
        <v>0</v>
      </c>
      <c r="T396" s="116">
        <f t="shared" si="74"/>
        <v>0</v>
      </c>
      <c r="U396" s="116">
        <f t="shared" si="75"/>
        <v>0</v>
      </c>
      <c r="V396" s="116">
        <f t="shared" si="84"/>
        <v>0</v>
      </c>
      <c r="W396" s="116">
        <f t="shared" si="85"/>
        <v>0</v>
      </c>
      <c r="X396" s="116">
        <f t="shared" si="76"/>
        <v>0</v>
      </c>
      <c r="Y396" s="116">
        <f t="shared" si="77"/>
        <v>0</v>
      </c>
      <c r="Z396" s="116">
        <f t="shared" si="78"/>
        <v>0</v>
      </c>
      <c r="AA396" s="116">
        <f t="shared" si="79"/>
        <v>0</v>
      </c>
      <c r="AB396" s="116">
        <f t="shared" si="80"/>
        <v>199.01</v>
      </c>
      <c r="AC396" s="116">
        <f t="shared" si="81"/>
        <v>2234.31</v>
      </c>
      <c r="AD396" s="116">
        <f t="shared" si="82"/>
        <v>0</v>
      </c>
      <c r="AE396" s="116">
        <f t="shared" si="83"/>
        <v>0</v>
      </c>
    </row>
    <row r="397" spans="1:31">
      <c r="A397" s="131">
        <v>43000</v>
      </c>
      <c r="B397" s="131">
        <v>43033</v>
      </c>
      <c r="C397" s="123">
        <f t="shared" si="73"/>
        <v>33</v>
      </c>
      <c r="D397" s="123">
        <v>30</v>
      </c>
      <c r="E397" s="132">
        <v>293535.11</v>
      </c>
      <c r="F397" s="134"/>
      <c r="G397" s="135"/>
      <c r="H397" s="123"/>
      <c r="I397" s="123"/>
      <c r="J397" s="123"/>
      <c r="K397" s="123"/>
      <c r="L397" s="123"/>
      <c r="M397" s="123"/>
      <c r="N397" s="123"/>
      <c r="O397" s="123">
        <v>9</v>
      </c>
      <c r="P397" s="123">
        <v>24</v>
      </c>
      <c r="Q397" s="123"/>
      <c r="R397" s="123"/>
      <c r="S397" s="133">
        <f t="shared" si="86"/>
        <v>0</v>
      </c>
      <c r="T397" s="116">
        <f t="shared" si="74"/>
        <v>0</v>
      </c>
      <c r="U397" s="116">
        <f t="shared" si="75"/>
        <v>0</v>
      </c>
      <c r="V397" s="116">
        <f t="shared" si="84"/>
        <v>0</v>
      </c>
      <c r="W397" s="116">
        <f t="shared" si="85"/>
        <v>0</v>
      </c>
      <c r="X397" s="116">
        <f t="shared" si="76"/>
        <v>0</v>
      </c>
      <c r="Y397" s="116">
        <f t="shared" si="77"/>
        <v>0</v>
      </c>
      <c r="Z397" s="116">
        <f t="shared" si="78"/>
        <v>0</v>
      </c>
      <c r="AA397" s="116">
        <f t="shared" si="79"/>
        <v>0</v>
      </c>
      <c r="AB397" s="116">
        <v>799820.93</v>
      </c>
      <c r="AC397" s="116">
        <v>1866248.84</v>
      </c>
      <c r="AD397" s="116">
        <f t="shared" si="82"/>
        <v>0</v>
      </c>
      <c r="AE397" s="116">
        <f t="shared" si="83"/>
        <v>0</v>
      </c>
    </row>
    <row r="398" spans="1:31">
      <c r="A398" s="131">
        <v>43027</v>
      </c>
      <c r="B398" s="131">
        <v>43038</v>
      </c>
      <c r="C398" s="123">
        <f t="shared" si="73"/>
        <v>11</v>
      </c>
      <c r="D398" s="123"/>
      <c r="E398" s="132">
        <v>17.73</v>
      </c>
      <c r="F398" s="134"/>
      <c r="G398" s="135"/>
      <c r="H398" s="123"/>
      <c r="I398" s="123"/>
      <c r="J398" s="123"/>
      <c r="K398" s="123"/>
      <c r="L398" s="123"/>
      <c r="M398" s="123"/>
      <c r="N398" s="123"/>
      <c r="O398" s="123"/>
      <c r="P398" s="123">
        <v>11</v>
      </c>
      <c r="Q398" s="123"/>
      <c r="R398" s="123"/>
      <c r="S398" s="133">
        <f t="shared" si="86"/>
        <v>0</v>
      </c>
      <c r="T398" s="116">
        <f t="shared" si="74"/>
        <v>0</v>
      </c>
      <c r="U398" s="116">
        <f t="shared" si="75"/>
        <v>0</v>
      </c>
      <c r="V398" s="116">
        <f t="shared" si="84"/>
        <v>0</v>
      </c>
      <c r="W398" s="116">
        <f t="shared" si="85"/>
        <v>0</v>
      </c>
      <c r="X398" s="116">
        <f t="shared" si="76"/>
        <v>0</v>
      </c>
      <c r="Y398" s="116">
        <f t="shared" si="77"/>
        <v>0</v>
      </c>
      <c r="Z398" s="116">
        <f t="shared" si="78"/>
        <v>0</v>
      </c>
      <c r="AA398" s="116">
        <f t="shared" si="79"/>
        <v>0</v>
      </c>
      <c r="AB398" s="116">
        <f t="shared" si="80"/>
        <v>0</v>
      </c>
      <c r="AC398" s="116">
        <f t="shared" si="81"/>
        <v>173.62</v>
      </c>
      <c r="AD398" s="116">
        <f t="shared" si="82"/>
        <v>0</v>
      </c>
      <c r="AE398" s="116">
        <f t="shared" si="83"/>
        <v>0</v>
      </c>
    </row>
    <row r="399" spans="1:31">
      <c r="A399" s="131">
        <v>43008</v>
      </c>
      <c r="B399" s="131">
        <v>43038</v>
      </c>
      <c r="C399" s="123">
        <f t="shared" si="73"/>
        <v>30</v>
      </c>
      <c r="D399" s="123" t="s">
        <v>218</v>
      </c>
      <c r="E399" s="132">
        <v>4034.48</v>
      </c>
      <c r="F399" s="134"/>
      <c r="G399" s="135"/>
      <c r="H399" s="123"/>
      <c r="I399" s="123"/>
      <c r="J399" s="123"/>
      <c r="K399" s="123"/>
      <c r="L399" s="123"/>
      <c r="M399" s="123"/>
      <c r="N399" s="123"/>
      <c r="O399" s="123">
        <v>1</v>
      </c>
      <c r="P399" s="123">
        <v>29</v>
      </c>
      <c r="Q399" s="123"/>
      <c r="R399" s="123"/>
      <c r="S399" s="133">
        <f t="shared" si="86"/>
        <v>0</v>
      </c>
      <c r="T399" s="116">
        <f t="shared" si="74"/>
        <v>0</v>
      </c>
      <c r="U399" s="116">
        <f t="shared" si="75"/>
        <v>0</v>
      </c>
      <c r="V399" s="116">
        <f t="shared" si="84"/>
        <v>0</v>
      </c>
      <c r="W399" s="116">
        <f t="shared" si="85"/>
        <v>0</v>
      </c>
      <c r="X399" s="116">
        <f t="shared" si="76"/>
        <v>0</v>
      </c>
      <c r="Y399" s="116">
        <f t="shared" si="77"/>
        <v>0</v>
      </c>
      <c r="Z399" s="116">
        <f t="shared" si="78"/>
        <v>0</v>
      </c>
      <c r="AA399" s="116">
        <f t="shared" si="79"/>
        <v>0</v>
      </c>
      <c r="AB399" s="116">
        <f t="shared" si="80"/>
        <v>1055.68</v>
      </c>
      <c r="AC399" s="116">
        <f t="shared" si="81"/>
        <v>38190.339999999997</v>
      </c>
      <c r="AD399" s="116">
        <f t="shared" si="82"/>
        <v>0</v>
      </c>
      <c r="AE399" s="116">
        <f t="shared" si="83"/>
        <v>0</v>
      </c>
    </row>
    <row r="400" spans="1:31">
      <c r="A400" s="131">
        <v>43009</v>
      </c>
      <c r="B400" s="131">
        <v>43040</v>
      </c>
      <c r="C400" s="123">
        <f t="shared" si="73"/>
        <v>31</v>
      </c>
      <c r="D400" s="123" t="s">
        <v>219</v>
      </c>
      <c r="E400" s="132">
        <v>7526.57</v>
      </c>
      <c r="F400" s="134"/>
      <c r="G400" s="135"/>
      <c r="H400" s="123"/>
      <c r="I400" s="123"/>
      <c r="J400" s="123"/>
      <c r="K400" s="123"/>
      <c r="L400" s="123"/>
      <c r="M400" s="123"/>
      <c r="N400" s="123"/>
      <c r="O400" s="123"/>
      <c r="P400" s="123">
        <v>31</v>
      </c>
      <c r="Q400" s="123"/>
      <c r="R400" s="123"/>
      <c r="S400" s="133">
        <f t="shared" si="86"/>
        <v>0</v>
      </c>
      <c r="T400" s="116">
        <f t="shared" si="74"/>
        <v>0</v>
      </c>
      <c r="U400" s="116">
        <f t="shared" si="75"/>
        <v>0</v>
      </c>
      <c r="V400" s="116">
        <f t="shared" si="84"/>
        <v>0</v>
      </c>
      <c r="W400" s="116">
        <f t="shared" si="85"/>
        <v>0</v>
      </c>
      <c r="X400" s="116">
        <f t="shared" si="76"/>
        <v>0</v>
      </c>
      <c r="Y400" s="116">
        <f t="shared" si="77"/>
        <v>0</v>
      </c>
      <c r="Z400" s="116">
        <f t="shared" si="78"/>
        <v>0</v>
      </c>
      <c r="AA400" s="116">
        <f t="shared" si="79"/>
        <v>0</v>
      </c>
      <c r="AB400" s="116">
        <f t="shared" si="80"/>
        <v>0</v>
      </c>
      <c r="AC400" s="116">
        <f t="shared" si="81"/>
        <v>73703.19</v>
      </c>
      <c r="AD400" s="116">
        <f t="shared" si="82"/>
        <v>0</v>
      </c>
      <c r="AE400" s="116">
        <f t="shared" si="83"/>
        <v>0</v>
      </c>
    </row>
    <row r="401" spans="1:31">
      <c r="A401" s="131">
        <v>43009</v>
      </c>
      <c r="B401" s="131">
        <v>43040</v>
      </c>
      <c r="C401" s="123">
        <f t="shared" si="73"/>
        <v>31</v>
      </c>
      <c r="D401" s="123"/>
      <c r="E401" s="132">
        <v>34.92</v>
      </c>
      <c r="F401" s="134"/>
      <c r="G401" s="135"/>
      <c r="H401" s="123"/>
      <c r="I401" s="123"/>
      <c r="J401" s="123"/>
      <c r="K401" s="123"/>
      <c r="L401" s="123"/>
      <c r="M401" s="123"/>
      <c r="N401" s="123"/>
      <c r="O401" s="123"/>
      <c r="P401" s="123">
        <v>31</v>
      </c>
      <c r="Q401" s="123"/>
      <c r="R401" s="123"/>
      <c r="S401" s="133">
        <f t="shared" si="86"/>
        <v>0</v>
      </c>
      <c r="T401" s="116">
        <f t="shared" si="74"/>
        <v>0</v>
      </c>
      <c r="U401" s="116">
        <f t="shared" si="75"/>
        <v>0</v>
      </c>
      <c r="V401" s="116">
        <f t="shared" si="84"/>
        <v>0</v>
      </c>
      <c r="W401" s="116">
        <f t="shared" si="85"/>
        <v>0</v>
      </c>
      <c r="X401" s="116">
        <f t="shared" si="76"/>
        <v>0</v>
      </c>
      <c r="Y401" s="116">
        <f t="shared" si="77"/>
        <v>0</v>
      </c>
      <c r="Z401" s="116">
        <f t="shared" si="78"/>
        <v>0</v>
      </c>
      <c r="AA401" s="116">
        <f t="shared" si="79"/>
        <v>0</v>
      </c>
      <c r="AB401" s="116">
        <f t="shared" si="80"/>
        <v>0</v>
      </c>
      <c r="AC401" s="116">
        <f t="shared" si="81"/>
        <v>341.95</v>
      </c>
      <c r="AD401" s="116">
        <f t="shared" si="82"/>
        <v>0</v>
      </c>
      <c r="AE401" s="116">
        <f t="shared" si="83"/>
        <v>0</v>
      </c>
    </row>
    <row r="402" spans="1:31">
      <c r="A402" s="131">
        <v>43009</v>
      </c>
      <c r="B402" s="131">
        <v>43040</v>
      </c>
      <c r="C402" s="123">
        <f t="shared" si="73"/>
        <v>31</v>
      </c>
      <c r="D402" s="123"/>
      <c r="E402" s="132">
        <v>137620.07</v>
      </c>
      <c r="F402" s="134"/>
      <c r="G402" s="135"/>
      <c r="H402" s="123"/>
      <c r="I402" s="123"/>
      <c r="J402" s="123"/>
      <c r="K402" s="123"/>
      <c r="L402" s="123"/>
      <c r="M402" s="123"/>
      <c r="N402" s="123"/>
      <c r="O402" s="123"/>
      <c r="P402" s="123">
        <v>31</v>
      </c>
      <c r="Q402" s="123"/>
      <c r="R402" s="123"/>
      <c r="S402" s="133">
        <f t="shared" si="86"/>
        <v>0</v>
      </c>
      <c r="T402" s="116">
        <f t="shared" si="74"/>
        <v>0</v>
      </c>
      <c r="U402" s="116">
        <f t="shared" si="75"/>
        <v>0</v>
      </c>
      <c r="V402" s="116">
        <f t="shared" si="84"/>
        <v>0</v>
      </c>
      <c r="W402" s="116">
        <f t="shared" si="85"/>
        <v>0</v>
      </c>
      <c r="X402" s="116">
        <f t="shared" si="76"/>
        <v>0</v>
      </c>
      <c r="Y402" s="116">
        <f t="shared" si="77"/>
        <v>0</v>
      </c>
      <c r="Z402" s="116">
        <f t="shared" si="78"/>
        <v>0</v>
      </c>
      <c r="AA402" s="116">
        <f t="shared" si="79"/>
        <v>0</v>
      </c>
      <c r="AB402" s="116">
        <f t="shared" si="80"/>
        <v>0</v>
      </c>
      <c r="AC402" s="116">
        <f t="shared" si="81"/>
        <v>1347630.92</v>
      </c>
      <c r="AD402" s="116">
        <f t="shared" si="82"/>
        <v>0</v>
      </c>
      <c r="AE402" s="116">
        <f t="shared" si="83"/>
        <v>0</v>
      </c>
    </row>
    <row r="403" spans="1:31">
      <c r="A403" s="131">
        <v>43009</v>
      </c>
      <c r="B403" s="131">
        <v>43040</v>
      </c>
      <c r="C403" s="123">
        <f t="shared" si="73"/>
        <v>31</v>
      </c>
      <c r="D403" s="123"/>
      <c r="E403" s="132">
        <v>222.54</v>
      </c>
      <c r="F403" s="134"/>
      <c r="G403" s="135"/>
      <c r="H403" s="123"/>
      <c r="I403" s="123"/>
      <c r="J403" s="123"/>
      <c r="K403" s="123"/>
      <c r="L403" s="123"/>
      <c r="M403" s="123"/>
      <c r="N403" s="123"/>
      <c r="O403" s="123"/>
      <c r="P403" s="123">
        <v>31</v>
      </c>
      <c r="Q403" s="123"/>
      <c r="R403" s="123"/>
      <c r="S403" s="133">
        <f t="shared" si="86"/>
        <v>0</v>
      </c>
      <c r="T403" s="116">
        <f t="shared" si="74"/>
        <v>0</v>
      </c>
      <c r="U403" s="116">
        <f t="shared" si="75"/>
        <v>0</v>
      </c>
      <c r="V403" s="116">
        <f t="shared" si="84"/>
        <v>0</v>
      </c>
      <c r="W403" s="116">
        <f t="shared" si="85"/>
        <v>0</v>
      </c>
      <c r="X403" s="116">
        <f t="shared" si="76"/>
        <v>0</v>
      </c>
      <c r="Y403" s="116">
        <f t="shared" si="77"/>
        <v>0</v>
      </c>
      <c r="Z403" s="116">
        <f t="shared" si="78"/>
        <v>0</v>
      </c>
      <c r="AA403" s="116">
        <f t="shared" si="79"/>
        <v>0</v>
      </c>
      <c r="AB403" s="116">
        <f t="shared" si="80"/>
        <v>0</v>
      </c>
      <c r="AC403" s="116">
        <f t="shared" si="81"/>
        <v>2179.1999999999998</v>
      </c>
      <c r="AD403" s="116">
        <f t="shared" si="82"/>
        <v>0</v>
      </c>
      <c r="AE403" s="116">
        <f t="shared" si="83"/>
        <v>0</v>
      </c>
    </row>
    <row r="404" spans="1:31">
      <c r="A404" s="131">
        <v>43009</v>
      </c>
      <c r="B404" s="131">
        <v>43040</v>
      </c>
      <c r="C404" s="123">
        <f t="shared" si="73"/>
        <v>31</v>
      </c>
      <c r="D404" s="123"/>
      <c r="E404" s="132">
        <v>91615.12</v>
      </c>
      <c r="F404" s="134"/>
      <c r="G404" s="135"/>
      <c r="H404" s="123"/>
      <c r="I404" s="123"/>
      <c r="J404" s="123"/>
      <c r="K404" s="123"/>
      <c r="L404" s="123"/>
      <c r="M404" s="123"/>
      <c r="N404" s="123"/>
      <c r="O404" s="123"/>
      <c r="P404" s="123">
        <v>31</v>
      </c>
      <c r="Q404" s="123"/>
      <c r="R404" s="123"/>
      <c r="S404" s="133">
        <f t="shared" si="86"/>
        <v>0</v>
      </c>
      <c r="T404" s="116">
        <f t="shared" si="74"/>
        <v>0</v>
      </c>
      <c r="U404" s="116">
        <f t="shared" si="75"/>
        <v>0</v>
      </c>
      <c r="V404" s="116">
        <f t="shared" si="84"/>
        <v>0</v>
      </c>
      <c r="W404" s="116">
        <f t="shared" si="85"/>
        <v>0</v>
      </c>
      <c r="X404" s="116">
        <f t="shared" si="76"/>
        <v>0</v>
      </c>
      <c r="Y404" s="116">
        <f t="shared" si="77"/>
        <v>0</v>
      </c>
      <c r="Z404" s="116">
        <f t="shared" si="78"/>
        <v>0</v>
      </c>
      <c r="AA404" s="116">
        <f t="shared" si="79"/>
        <v>0</v>
      </c>
      <c r="AB404" s="116">
        <f t="shared" si="80"/>
        <v>0</v>
      </c>
      <c r="AC404" s="116">
        <f t="shared" si="81"/>
        <v>897132</v>
      </c>
      <c r="AD404" s="116">
        <f t="shared" si="82"/>
        <v>0</v>
      </c>
      <c r="AE404" s="116">
        <f t="shared" si="83"/>
        <v>0</v>
      </c>
    </row>
    <row r="405" spans="1:31">
      <c r="A405" s="131">
        <v>43009</v>
      </c>
      <c r="B405" s="131">
        <v>43040</v>
      </c>
      <c r="C405" s="123">
        <f t="shared" si="73"/>
        <v>31</v>
      </c>
      <c r="D405" s="123"/>
      <c r="E405" s="132">
        <v>1833.68</v>
      </c>
      <c r="F405" s="134"/>
      <c r="G405" s="135"/>
      <c r="H405" s="123"/>
      <c r="I405" s="123"/>
      <c r="J405" s="123"/>
      <c r="K405" s="123"/>
      <c r="L405" s="123"/>
      <c r="M405" s="123"/>
      <c r="N405" s="123"/>
      <c r="O405" s="123"/>
      <c r="P405" s="123">
        <v>31</v>
      </c>
      <c r="Q405" s="123"/>
      <c r="R405" s="123"/>
      <c r="S405" s="133">
        <f t="shared" si="86"/>
        <v>0</v>
      </c>
      <c r="T405" s="116">
        <f t="shared" si="74"/>
        <v>0</v>
      </c>
      <c r="U405" s="116">
        <f t="shared" si="75"/>
        <v>0</v>
      </c>
      <c r="V405" s="116">
        <f t="shared" si="84"/>
        <v>0</v>
      </c>
      <c r="W405" s="116">
        <f t="shared" si="85"/>
        <v>0</v>
      </c>
      <c r="X405" s="116">
        <f t="shared" si="76"/>
        <v>0</v>
      </c>
      <c r="Y405" s="116">
        <f t="shared" si="77"/>
        <v>0</v>
      </c>
      <c r="Z405" s="116">
        <f t="shared" si="78"/>
        <v>0</v>
      </c>
      <c r="AA405" s="116">
        <f t="shared" si="79"/>
        <v>0</v>
      </c>
      <c r="AB405" s="116">
        <f t="shared" si="80"/>
        <v>0</v>
      </c>
      <c r="AC405" s="116">
        <f t="shared" si="81"/>
        <v>17956.13</v>
      </c>
      <c r="AD405" s="116">
        <f t="shared" si="82"/>
        <v>0</v>
      </c>
      <c r="AE405" s="116">
        <f t="shared" si="83"/>
        <v>0</v>
      </c>
    </row>
    <row r="406" spans="1:31">
      <c r="A406" s="131">
        <v>43009</v>
      </c>
      <c r="B406" s="131">
        <v>43040</v>
      </c>
      <c r="C406" s="123">
        <f t="shared" si="73"/>
        <v>31</v>
      </c>
      <c r="D406" s="123" t="s">
        <v>219</v>
      </c>
      <c r="E406" s="132">
        <v>3969.1600000000008</v>
      </c>
      <c r="F406" s="134"/>
      <c r="G406" s="135"/>
      <c r="H406" s="123"/>
      <c r="I406" s="123"/>
      <c r="J406" s="123"/>
      <c r="K406" s="123"/>
      <c r="L406" s="123"/>
      <c r="M406" s="123"/>
      <c r="N406" s="123"/>
      <c r="O406" s="123"/>
      <c r="P406" s="123">
        <v>31</v>
      </c>
      <c r="Q406" s="123"/>
      <c r="R406" s="123"/>
      <c r="S406" s="133">
        <f t="shared" si="86"/>
        <v>0</v>
      </c>
      <c r="T406" s="116">
        <f t="shared" si="74"/>
        <v>0</v>
      </c>
      <c r="U406" s="116">
        <f t="shared" si="75"/>
        <v>0</v>
      </c>
      <c r="V406" s="116">
        <f t="shared" si="84"/>
        <v>0</v>
      </c>
      <c r="W406" s="116">
        <f t="shared" si="85"/>
        <v>0</v>
      </c>
      <c r="X406" s="116">
        <f t="shared" si="76"/>
        <v>0</v>
      </c>
      <c r="Y406" s="116">
        <f t="shared" si="77"/>
        <v>0</v>
      </c>
      <c r="Z406" s="116">
        <f t="shared" si="78"/>
        <v>0</v>
      </c>
      <c r="AA406" s="116">
        <f t="shared" si="79"/>
        <v>0</v>
      </c>
      <c r="AB406" s="116">
        <f t="shared" si="80"/>
        <v>0</v>
      </c>
      <c r="AC406" s="116">
        <f t="shared" si="81"/>
        <v>38867.61</v>
      </c>
      <c r="AD406" s="116">
        <f t="shared" si="82"/>
        <v>0</v>
      </c>
      <c r="AE406" s="116">
        <f t="shared" si="83"/>
        <v>0</v>
      </c>
    </row>
    <row r="407" spans="1:31">
      <c r="A407" s="131">
        <v>43011</v>
      </c>
      <c r="B407" s="131">
        <v>43042</v>
      </c>
      <c r="C407" s="123">
        <f t="shared" si="73"/>
        <v>31</v>
      </c>
      <c r="D407" s="123"/>
      <c r="E407" s="132">
        <v>424.08</v>
      </c>
      <c r="F407" s="134"/>
      <c r="G407" s="135"/>
      <c r="H407" s="123"/>
      <c r="I407" s="123"/>
      <c r="J407" s="123"/>
      <c r="K407" s="123"/>
      <c r="L407" s="123"/>
      <c r="M407" s="123"/>
      <c r="N407" s="123"/>
      <c r="O407" s="123"/>
      <c r="P407" s="123">
        <v>29</v>
      </c>
      <c r="Q407" s="123">
        <v>2</v>
      </c>
      <c r="R407" s="123"/>
      <c r="S407" s="133">
        <f t="shared" si="86"/>
        <v>0</v>
      </c>
      <c r="T407" s="116">
        <f t="shared" si="74"/>
        <v>0</v>
      </c>
      <c r="U407" s="116">
        <f t="shared" si="75"/>
        <v>0</v>
      </c>
      <c r="V407" s="116">
        <f t="shared" si="84"/>
        <v>0</v>
      </c>
      <c r="W407" s="116">
        <f t="shared" si="85"/>
        <v>0</v>
      </c>
      <c r="X407" s="116">
        <f t="shared" si="76"/>
        <v>0</v>
      </c>
      <c r="Y407" s="116">
        <f t="shared" si="77"/>
        <v>0</v>
      </c>
      <c r="Z407" s="116">
        <f t="shared" si="78"/>
        <v>0</v>
      </c>
      <c r="AA407" s="116">
        <f t="shared" si="79"/>
        <v>0</v>
      </c>
      <c r="AB407" s="116">
        <f t="shared" si="80"/>
        <v>0</v>
      </c>
      <c r="AC407" s="116">
        <f t="shared" si="81"/>
        <v>3884.84</v>
      </c>
      <c r="AD407" s="116">
        <f t="shared" si="82"/>
        <v>245.07</v>
      </c>
      <c r="AE407" s="116">
        <f t="shared" si="83"/>
        <v>0</v>
      </c>
    </row>
    <row r="408" spans="1:31">
      <c r="A408" s="131">
        <v>43011</v>
      </c>
      <c r="B408" s="131">
        <v>43042</v>
      </c>
      <c r="C408" s="123">
        <f t="shared" si="73"/>
        <v>31</v>
      </c>
      <c r="D408" s="123"/>
      <c r="E408" s="132">
        <v>408.1</v>
      </c>
      <c r="F408" s="134"/>
      <c r="G408" s="135"/>
      <c r="H408" s="123"/>
      <c r="I408" s="123"/>
      <c r="J408" s="123"/>
      <c r="K408" s="123"/>
      <c r="L408" s="123"/>
      <c r="M408" s="123"/>
      <c r="N408" s="123"/>
      <c r="O408" s="123"/>
      <c r="P408" s="123">
        <v>29</v>
      </c>
      <c r="Q408" s="123">
        <v>2</v>
      </c>
      <c r="R408" s="123"/>
      <c r="S408" s="133">
        <f t="shared" si="86"/>
        <v>0</v>
      </c>
      <c r="T408" s="116">
        <f t="shared" si="74"/>
        <v>0</v>
      </c>
      <c r="U408" s="116">
        <f t="shared" si="75"/>
        <v>0</v>
      </c>
      <c r="V408" s="116">
        <f t="shared" si="84"/>
        <v>0</v>
      </c>
      <c r="W408" s="116">
        <f t="shared" si="85"/>
        <v>0</v>
      </c>
      <c r="X408" s="116">
        <f t="shared" si="76"/>
        <v>0</v>
      </c>
      <c r="Y408" s="116">
        <f t="shared" si="77"/>
        <v>0</v>
      </c>
      <c r="Z408" s="116">
        <f t="shared" si="78"/>
        <v>0</v>
      </c>
      <c r="AA408" s="116">
        <f t="shared" si="79"/>
        <v>0</v>
      </c>
      <c r="AB408" s="116">
        <f t="shared" si="80"/>
        <v>0</v>
      </c>
      <c r="AC408" s="116">
        <f t="shared" si="81"/>
        <v>3738.45</v>
      </c>
      <c r="AD408" s="116">
        <f t="shared" si="82"/>
        <v>235.84</v>
      </c>
      <c r="AE408" s="116">
        <f t="shared" si="83"/>
        <v>0</v>
      </c>
    </row>
    <row r="409" spans="1:31">
      <c r="A409" s="131">
        <v>43011</v>
      </c>
      <c r="B409" s="131">
        <v>43042</v>
      </c>
      <c r="C409" s="123">
        <f t="shared" si="73"/>
        <v>31</v>
      </c>
      <c r="D409" s="123"/>
      <c r="E409" s="132">
        <v>754.54</v>
      </c>
      <c r="F409" s="134"/>
      <c r="G409" s="135"/>
      <c r="H409" s="123"/>
      <c r="I409" s="123"/>
      <c r="J409" s="123"/>
      <c r="K409" s="123"/>
      <c r="L409" s="123"/>
      <c r="M409" s="123"/>
      <c r="N409" s="123"/>
      <c r="O409" s="123"/>
      <c r="P409" s="123">
        <v>29</v>
      </c>
      <c r="Q409" s="123">
        <v>2</v>
      </c>
      <c r="R409" s="123"/>
      <c r="S409" s="133">
        <f t="shared" si="86"/>
        <v>0</v>
      </c>
      <c r="T409" s="116">
        <f t="shared" si="74"/>
        <v>0</v>
      </c>
      <c r="U409" s="116">
        <f t="shared" si="75"/>
        <v>0</v>
      </c>
      <c r="V409" s="116">
        <f t="shared" si="84"/>
        <v>0</v>
      </c>
      <c r="W409" s="116">
        <f t="shared" si="85"/>
        <v>0</v>
      </c>
      <c r="X409" s="116">
        <f t="shared" si="76"/>
        <v>0</v>
      </c>
      <c r="Y409" s="116">
        <f t="shared" si="77"/>
        <v>0</v>
      </c>
      <c r="Z409" s="116">
        <f t="shared" si="78"/>
        <v>0</v>
      </c>
      <c r="AA409" s="116">
        <f t="shared" si="79"/>
        <v>0</v>
      </c>
      <c r="AB409" s="116">
        <f t="shared" si="80"/>
        <v>0</v>
      </c>
      <c r="AC409" s="116">
        <f t="shared" si="81"/>
        <v>6912.06</v>
      </c>
      <c r="AD409" s="116">
        <f t="shared" si="82"/>
        <v>436.04</v>
      </c>
      <c r="AE409" s="116">
        <f t="shared" si="83"/>
        <v>0</v>
      </c>
    </row>
    <row r="410" spans="1:31">
      <c r="A410" s="131">
        <v>43013</v>
      </c>
      <c r="B410" s="131">
        <v>43044</v>
      </c>
      <c r="C410" s="123">
        <f t="shared" si="73"/>
        <v>31</v>
      </c>
      <c r="D410" s="123"/>
      <c r="E410" s="132">
        <v>146.22999999999999</v>
      </c>
      <c r="F410" s="134"/>
      <c r="G410" s="135"/>
      <c r="H410" s="123"/>
      <c r="I410" s="123"/>
      <c r="J410" s="123"/>
      <c r="K410" s="123"/>
      <c r="L410" s="123"/>
      <c r="M410" s="123"/>
      <c r="N410" s="123"/>
      <c r="O410" s="123"/>
      <c r="P410" s="123">
        <v>27</v>
      </c>
      <c r="Q410" s="123">
        <v>4</v>
      </c>
      <c r="R410" s="123"/>
      <c r="S410" s="133">
        <f t="shared" si="86"/>
        <v>0</v>
      </c>
      <c r="T410" s="116">
        <f t="shared" si="74"/>
        <v>0</v>
      </c>
      <c r="U410" s="116">
        <f t="shared" si="75"/>
        <v>0</v>
      </c>
      <c r="V410" s="116">
        <f t="shared" si="84"/>
        <v>0</v>
      </c>
      <c r="W410" s="116">
        <f t="shared" si="85"/>
        <v>0</v>
      </c>
      <c r="X410" s="116">
        <f t="shared" si="76"/>
        <v>0</v>
      </c>
      <c r="Y410" s="116">
        <f t="shared" si="77"/>
        <v>0</v>
      </c>
      <c r="Z410" s="116">
        <f t="shared" si="78"/>
        <v>0</v>
      </c>
      <c r="AA410" s="116">
        <f t="shared" si="79"/>
        <v>0</v>
      </c>
      <c r="AB410" s="116">
        <f t="shared" si="80"/>
        <v>0</v>
      </c>
      <c r="AC410" s="116">
        <f t="shared" si="81"/>
        <v>1247.18</v>
      </c>
      <c r="AD410" s="116">
        <f t="shared" si="82"/>
        <v>169.01</v>
      </c>
      <c r="AE410" s="116">
        <f t="shared" si="83"/>
        <v>0</v>
      </c>
    </row>
    <row r="411" spans="1:31">
      <c r="A411" s="131">
        <v>42993</v>
      </c>
      <c r="B411" s="131">
        <v>43040</v>
      </c>
      <c r="C411" s="123">
        <f t="shared" si="73"/>
        <v>47</v>
      </c>
      <c r="D411" s="123"/>
      <c r="E411" s="132">
        <v>24.29</v>
      </c>
      <c r="F411" s="134"/>
      <c r="G411" s="135"/>
      <c r="H411" s="123"/>
      <c r="I411" s="123"/>
      <c r="J411" s="123"/>
      <c r="K411" s="123"/>
      <c r="L411" s="123"/>
      <c r="M411" s="123"/>
      <c r="N411" s="123"/>
      <c r="O411" s="123">
        <v>16</v>
      </c>
      <c r="P411" s="123">
        <v>31</v>
      </c>
      <c r="Q411" s="123"/>
      <c r="R411" s="123"/>
      <c r="S411" s="133">
        <f t="shared" si="86"/>
        <v>0</v>
      </c>
      <c r="T411" s="116">
        <f t="shared" si="74"/>
        <v>0</v>
      </c>
      <c r="U411" s="116">
        <f t="shared" si="75"/>
        <v>0</v>
      </c>
      <c r="V411" s="116">
        <f t="shared" si="84"/>
        <v>0</v>
      </c>
      <c r="W411" s="116">
        <f t="shared" si="85"/>
        <v>0</v>
      </c>
      <c r="X411" s="116">
        <f t="shared" si="76"/>
        <v>0</v>
      </c>
      <c r="Y411" s="116">
        <f t="shared" si="77"/>
        <v>0</v>
      </c>
      <c r="Z411" s="116">
        <f t="shared" si="78"/>
        <v>0</v>
      </c>
      <c r="AA411" s="116">
        <f t="shared" si="79"/>
        <v>0</v>
      </c>
      <c r="AB411" s="116">
        <f t="shared" si="80"/>
        <v>64.91</v>
      </c>
      <c r="AC411" s="116">
        <f t="shared" si="81"/>
        <v>156.88</v>
      </c>
      <c r="AD411" s="116">
        <f t="shared" si="82"/>
        <v>0</v>
      </c>
      <c r="AE411" s="116">
        <f t="shared" si="83"/>
        <v>0</v>
      </c>
    </row>
    <row r="412" spans="1:31">
      <c r="A412" s="131">
        <v>43011</v>
      </c>
      <c r="B412" s="131">
        <v>43042</v>
      </c>
      <c r="C412" s="123">
        <f t="shared" si="73"/>
        <v>31</v>
      </c>
      <c r="D412" s="123"/>
      <c r="E412" s="132">
        <v>1367.3</v>
      </c>
      <c r="F412" s="134"/>
      <c r="G412" s="135"/>
      <c r="H412" s="123"/>
      <c r="I412" s="123"/>
      <c r="J412" s="123"/>
      <c r="K412" s="123"/>
      <c r="L412" s="123"/>
      <c r="M412" s="123"/>
      <c r="N412" s="123"/>
      <c r="O412" s="123"/>
      <c r="P412" s="123">
        <v>29</v>
      </c>
      <c r="Q412" s="123">
        <v>2</v>
      </c>
      <c r="R412" s="123"/>
      <c r="S412" s="133">
        <f t="shared" si="86"/>
        <v>0</v>
      </c>
      <c r="T412" s="116">
        <f t="shared" si="74"/>
        <v>0</v>
      </c>
      <c r="U412" s="116">
        <f t="shared" si="75"/>
        <v>0</v>
      </c>
      <c r="V412" s="116">
        <f t="shared" si="84"/>
        <v>0</v>
      </c>
      <c r="W412" s="116">
        <f t="shared" si="85"/>
        <v>0</v>
      </c>
      <c r="X412" s="116">
        <f t="shared" si="76"/>
        <v>0</v>
      </c>
      <c r="Y412" s="116">
        <f t="shared" si="77"/>
        <v>0</v>
      </c>
      <c r="Z412" s="116">
        <f t="shared" si="78"/>
        <v>0</v>
      </c>
      <c r="AA412" s="116">
        <f t="shared" si="79"/>
        <v>0</v>
      </c>
      <c r="AB412" s="116">
        <f t="shared" si="80"/>
        <v>0</v>
      </c>
      <c r="AC412" s="116">
        <f t="shared" si="81"/>
        <v>12525.33</v>
      </c>
      <c r="AD412" s="116">
        <f t="shared" si="82"/>
        <v>790.15</v>
      </c>
      <c r="AE412" s="116">
        <f t="shared" si="83"/>
        <v>0</v>
      </c>
    </row>
    <row r="413" spans="1:31">
      <c r="A413" s="131">
        <v>43013</v>
      </c>
      <c r="B413" s="131">
        <v>43044</v>
      </c>
      <c r="C413" s="123">
        <f t="shared" si="73"/>
        <v>31</v>
      </c>
      <c r="D413" s="123"/>
      <c r="E413" s="132">
        <v>551.43000000000006</v>
      </c>
      <c r="F413" s="134"/>
      <c r="G413" s="135"/>
      <c r="H413" s="123"/>
      <c r="I413" s="123"/>
      <c r="J413" s="123"/>
      <c r="K413" s="123"/>
      <c r="L413" s="123"/>
      <c r="M413" s="123"/>
      <c r="N413" s="123"/>
      <c r="O413" s="123"/>
      <c r="P413" s="123">
        <v>27</v>
      </c>
      <c r="Q413" s="123">
        <v>4</v>
      </c>
      <c r="R413" s="123"/>
      <c r="S413" s="133">
        <f t="shared" si="86"/>
        <v>0</v>
      </c>
      <c r="T413" s="116">
        <f t="shared" ref="T413:T421" si="87">ROUND((E413*G413/C413)/$C$6,2)</f>
        <v>0</v>
      </c>
      <c r="U413" s="116">
        <f t="shared" si="75"/>
        <v>0</v>
      </c>
      <c r="V413" s="116">
        <f t="shared" si="84"/>
        <v>0</v>
      </c>
      <c r="W413" s="116">
        <f t="shared" si="85"/>
        <v>0</v>
      </c>
      <c r="X413" s="116">
        <f t="shared" si="76"/>
        <v>0</v>
      </c>
      <c r="Y413" s="116">
        <f t="shared" si="77"/>
        <v>0</v>
      </c>
      <c r="Z413" s="116">
        <f t="shared" si="78"/>
        <v>0</v>
      </c>
      <c r="AA413" s="116">
        <f t="shared" si="79"/>
        <v>0</v>
      </c>
      <c r="AB413" s="116">
        <f t="shared" si="80"/>
        <v>0</v>
      </c>
      <c r="AC413" s="116">
        <f t="shared" si="81"/>
        <v>4703.07</v>
      </c>
      <c r="AD413" s="116">
        <f t="shared" si="82"/>
        <v>637.34</v>
      </c>
      <c r="AE413" s="116">
        <f t="shared" si="83"/>
        <v>0</v>
      </c>
    </row>
    <row r="414" spans="1:31">
      <c r="A414" s="131">
        <v>43016</v>
      </c>
      <c r="B414" s="131">
        <v>43047</v>
      </c>
      <c r="C414" s="123">
        <f t="shared" si="73"/>
        <v>31</v>
      </c>
      <c r="D414" s="123"/>
      <c r="E414" s="132">
        <v>445.25</v>
      </c>
      <c r="F414" s="134"/>
      <c r="G414" s="135"/>
      <c r="H414" s="123"/>
      <c r="I414" s="123"/>
      <c r="J414" s="123"/>
      <c r="K414" s="123"/>
      <c r="L414" s="123"/>
      <c r="M414" s="123"/>
      <c r="N414" s="123"/>
      <c r="O414" s="123"/>
      <c r="P414" s="123">
        <v>24</v>
      </c>
      <c r="Q414" s="123">
        <v>7</v>
      </c>
      <c r="R414" s="123"/>
      <c r="S414" s="133">
        <f t="shared" si="86"/>
        <v>0</v>
      </c>
      <c r="T414" s="116">
        <f t="shared" si="87"/>
        <v>0</v>
      </c>
      <c r="U414" s="116">
        <f t="shared" si="75"/>
        <v>0</v>
      </c>
      <c r="V414" s="116">
        <f t="shared" si="84"/>
        <v>0</v>
      </c>
      <c r="W414" s="116">
        <f t="shared" si="85"/>
        <v>0</v>
      </c>
      <c r="X414" s="116">
        <f t="shared" si="76"/>
        <v>0</v>
      </c>
      <c r="Y414" s="116">
        <f t="shared" si="77"/>
        <v>0</v>
      </c>
      <c r="Z414" s="116">
        <f t="shared" si="78"/>
        <v>0</v>
      </c>
      <c r="AA414" s="116">
        <f t="shared" si="79"/>
        <v>0</v>
      </c>
      <c r="AB414" s="116">
        <f t="shared" si="80"/>
        <v>0</v>
      </c>
      <c r="AC414" s="116">
        <f t="shared" si="81"/>
        <v>3375.54</v>
      </c>
      <c r="AD414" s="116">
        <f t="shared" si="82"/>
        <v>900.58</v>
      </c>
      <c r="AE414" s="116">
        <f t="shared" si="83"/>
        <v>0</v>
      </c>
    </row>
    <row r="415" spans="1:31">
      <c r="A415" s="131">
        <v>43016</v>
      </c>
      <c r="B415" s="131">
        <v>43047</v>
      </c>
      <c r="C415" s="123">
        <f t="shared" ref="C415:C478" si="88">B415-A415</f>
        <v>31</v>
      </c>
      <c r="D415" s="123"/>
      <c r="E415" s="132">
        <v>193.44</v>
      </c>
      <c r="F415" s="134"/>
      <c r="G415" s="135"/>
      <c r="H415" s="123"/>
      <c r="I415" s="123"/>
      <c r="J415" s="123"/>
      <c r="K415" s="123"/>
      <c r="L415" s="123"/>
      <c r="M415" s="123"/>
      <c r="N415" s="123"/>
      <c r="O415" s="123"/>
      <c r="P415" s="123">
        <v>24</v>
      </c>
      <c r="Q415" s="123">
        <v>7</v>
      </c>
      <c r="R415" s="123"/>
      <c r="S415" s="133">
        <f t="shared" si="86"/>
        <v>0</v>
      </c>
      <c r="T415" s="116">
        <f t="shared" si="87"/>
        <v>0</v>
      </c>
      <c r="U415" s="116">
        <f t="shared" ref="U415:U478" si="89">ROUND(($E415*$H415/$C415)/$C$7,2)</f>
        <v>0</v>
      </c>
      <c r="V415" s="116">
        <f t="shared" si="84"/>
        <v>0</v>
      </c>
      <c r="W415" s="116">
        <f t="shared" si="85"/>
        <v>0</v>
      </c>
      <c r="X415" s="116">
        <f t="shared" ref="X415:X478" si="90">ROUND(($E415*$K415/$C415)/$C$10,2)</f>
        <v>0</v>
      </c>
      <c r="Y415" s="116">
        <f t="shared" ref="Y415:Y478" si="91">ROUND(($E415*$L415/$C415)/$C$11,2)</f>
        <v>0</v>
      </c>
      <c r="Z415" s="116">
        <f t="shared" ref="Z415:Z478" si="92">ROUND(($E415*$M415/$C415)/$C$12,2)</f>
        <v>0</v>
      </c>
      <c r="AA415" s="116">
        <f t="shared" ref="AA415:AA478" si="93">ROUND(($E415*$N415/$C415)/$C$13,2)</f>
        <v>0</v>
      </c>
      <c r="AB415" s="116">
        <f t="shared" ref="AB415:AB478" si="94">ROUND(($E415*$O415/$C415)/$C$14,2)</f>
        <v>0</v>
      </c>
      <c r="AC415" s="116">
        <f t="shared" ref="AC415:AC478" si="95">ROUND(($E415*$P415/$C415)/$C$15,2)</f>
        <v>1466.51</v>
      </c>
      <c r="AD415" s="116">
        <f t="shared" ref="AD415:AD478" si="96">ROUND(($E415*$Q415/$C415)/$C$16,2)</f>
        <v>391.26</v>
      </c>
      <c r="AE415" s="116">
        <f t="shared" ref="AE415:AE478" si="97">ROUND(($E415*$R415/$C415)/$C$17,2)</f>
        <v>0</v>
      </c>
    </row>
    <row r="416" spans="1:31">
      <c r="A416" s="131">
        <v>43016</v>
      </c>
      <c r="B416" s="131">
        <v>43047</v>
      </c>
      <c r="C416" s="123">
        <f t="shared" si="88"/>
        <v>31</v>
      </c>
      <c r="D416" s="123"/>
      <c r="E416" s="132">
        <v>116.3</v>
      </c>
      <c r="F416" s="134"/>
      <c r="G416" s="135"/>
      <c r="H416" s="123"/>
      <c r="I416" s="123"/>
      <c r="J416" s="123"/>
      <c r="K416" s="123"/>
      <c r="L416" s="123"/>
      <c r="M416" s="123"/>
      <c r="N416" s="123"/>
      <c r="O416" s="123"/>
      <c r="P416" s="123">
        <v>24</v>
      </c>
      <c r="Q416" s="123">
        <v>7</v>
      </c>
      <c r="R416" s="123"/>
      <c r="S416" s="133">
        <f t="shared" si="86"/>
        <v>0</v>
      </c>
      <c r="T416" s="116">
        <f t="shared" si="87"/>
        <v>0</v>
      </c>
      <c r="U416" s="116">
        <f t="shared" si="89"/>
        <v>0</v>
      </c>
      <c r="V416" s="116">
        <f t="shared" ref="V416:V479" si="98">ROUND(($E416*$I416/$C416)/$C$8,2)</f>
        <v>0</v>
      </c>
      <c r="W416" s="116">
        <f t="shared" ref="W416:W479" si="99">ROUND(($E416*$J416/$C416)/$C$9,2)</f>
        <v>0</v>
      </c>
      <c r="X416" s="116">
        <f t="shared" si="90"/>
        <v>0</v>
      </c>
      <c r="Y416" s="116">
        <f t="shared" si="91"/>
        <v>0</v>
      </c>
      <c r="Z416" s="116">
        <f t="shared" si="92"/>
        <v>0</v>
      </c>
      <c r="AA416" s="116">
        <f t="shared" si="93"/>
        <v>0</v>
      </c>
      <c r="AB416" s="116">
        <f t="shared" si="94"/>
        <v>0</v>
      </c>
      <c r="AC416" s="116">
        <f t="shared" si="95"/>
        <v>881.7</v>
      </c>
      <c r="AD416" s="116">
        <f t="shared" si="96"/>
        <v>235.23</v>
      </c>
      <c r="AE416" s="116">
        <f t="shared" si="97"/>
        <v>0</v>
      </c>
    </row>
    <row r="417" spans="1:31">
      <c r="A417" s="131">
        <v>43016</v>
      </c>
      <c r="B417" s="131">
        <v>43047</v>
      </c>
      <c r="C417" s="123">
        <f t="shared" si="88"/>
        <v>31</v>
      </c>
      <c r="D417" s="123"/>
      <c r="E417" s="132">
        <v>216.07</v>
      </c>
      <c r="F417" s="134"/>
      <c r="G417" s="135"/>
      <c r="H417" s="123"/>
      <c r="I417" s="123"/>
      <c r="J417" s="123"/>
      <c r="K417" s="123"/>
      <c r="L417" s="123"/>
      <c r="M417" s="123"/>
      <c r="N417" s="123"/>
      <c r="O417" s="123"/>
      <c r="P417" s="123">
        <v>24</v>
      </c>
      <c r="Q417" s="123">
        <v>7</v>
      </c>
      <c r="R417" s="123"/>
      <c r="S417" s="133">
        <f t="shared" si="86"/>
        <v>0</v>
      </c>
      <c r="T417" s="116">
        <f t="shared" si="87"/>
        <v>0</v>
      </c>
      <c r="U417" s="116">
        <f t="shared" si="89"/>
        <v>0</v>
      </c>
      <c r="V417" s="116">
        <f t="shared" si="98"/>
        <v>0</v>
      </c>
      <c r="W417" s="116">
        <f t="shared" si="99"/>
        <v>0</v>
      </c>
      <c r="X417" s="116">
        <f t="shared" si="90"/>
        <v>0</v>
      </c>
      <c r="Y417" s="116">
        <f t="shared" si="91"/>
        <v>0</v>
      </c>
      <c r="Z417" s="116">
        <f t="shared" si="92"/>
        <v>0</v>
      </c>
      <c r="AA417" s="116">
        <f t="shared" si="93"/>
        <v>0</v>
      </c>
      <c r="AB417" s="116">
        <f t="shared" si="94"/>
        <v>0</v>
      </c>
      <c r="AC417" s="116">
        <f t="shared" si="95"/>
        <v>1638.07</v>
      </c>
      <c r="AD417" s="116">
        <f t="shared" si="96"/>
        <v>437.03</v>
      </c>
      <c r="AE417" s="116">
        <f t="shared" si="97"/>
        <v>0</v>
      </c>
    </row>
    <row r="418" spans="1:31">
      <c r="A418" s="131">
        <v>43017</v>
      </c>
      <c r="B418" s="131">
        <v>43050</v>
      </c>
      <c r="C418" s="123">
        <f t="shared" si="88"/>
        <v>33</v>
      </c>
      <c r="D418" s="123"/>
      <c r="E418" s="132">
        <v>989.04000000000019</v>
      </c>
      <c r="F418" s="134"/>
      <c r="G418" s="135"/>
      <c r="H418" s="123"/>
      <c r="I418" s="123"/>
      <c r="J418" s="123"/>
      <c r="K418" s="123"/>
      <c r="L418" s="123"/>
      <c r="M418" s="123"/>
      <c r="N418" s="123"/>
      <c r="O418" s="123"/>
      <c r="P418" s="123">
        <v>23</v>
      </c>
      <c r="Q418" s="123">
        <v>10</v>
      </c>
      <c r="R418" s="123"/>
      <c r="S418" s="133">
        <f t="shared" si="86"/>
        <v>0</v>
      </c>
      <c r="T418" s="116">
        <f t="shared" si="87"/>
        <v>0</v>
      </c>
      <c r="U418" s="116">
        <f t="shared" si="89"/>
        <v>0</v>
      </c>
      <c r="V418" s="116">
        <f t="shared" si="98"/>
        <v>0</v>
      </c>
      <c r="W418" s="116">
        <f t="shared" si="99"/>
        <v>0</v>
      </c>
      <c r="X418" s="116">
        <f t="shared" si="90"/>
        <v>0</v>
      </c>
      <c r="Y418" s="116">
        <f t="shared" si="91"/>
        <v>0</v>
      </c>
      <c r="Z418" s="116">
        <f t="shared" si="92"/>
        <v>0</v>
      </c>
      <c r="AA418" s="116">
        <f t="shared" si="93"/>
        <v>0</v>
      </c>
      <c r="AB418" s="116">
        <f t="shared" si="94"/>
        <v>0</v>
      </c>
      <c r="AC418" s="116">
        <f t="shared" si="95"/>
        <v>6750.2</v>
      </c>
      <c r="AD418" s="116">
        <f t="shared" si="96"/>
        <v>2684.6</v>
      </c>
      <c r="AE418" s="116">
        <f t="shared" si="97"/>
        <v>0</v>
      </c>
    </row>
    <row r="419" spans="1:31">
      <c r="A419" s="131">
        <v>43020</v>
      </c>
      <c r="B419" s="131">
        <v>43051</v>
      </c>
      <c r="C419" s="123">
        <f t="shared" si="88"/>
        <v>31</v>
      </c>
      <c r="D419" s="123"/>
      <c r="E419" s="132">
        <v>175.16</v>
      </c>
      <c r="F419" s="134"/>
      <c r="G419" s="135"/>
      <c r="H419" s="123"/>
      <c r="I419" s="123"/>
      <c r="J419" s="123"/>
      <c r="K419" s="123"/>
      <c r="L419" s="123"/>
      <c r="M419" s="123"/>
      <c r="N419" s="123"/>
      <c r="O419" s="123"/>
      <c r="P419" s="123">
        <v>20</v>
      </c>
      <c r="Q419" s="123">
        <v>11</v>
      </c>
      <c r="R419" s="123"/>
      <c r="S419" s="133">
        <f t="shared" si="86"/>
        <v>0</v>
      </c>
      <c r="T419" s="116">
        <f t="shared" si="87"/>
        <v>0</v>
      </c>
      <c r="U419" s="116">
        <f t="shared" si="89"/>
        <v>0</v>
      </c>
      <c r="V419" s="116">
        <f t="shared" si="98"/>
        <v>0</v>
      </c>
      <c r="W419" s="116">
        <f t="shared" si="99"/>
        <v>0</v>
      </c>
      <c r="X419" s="116">
        <f t="shared" si="90"/>
        <v>0</v>
      </c>
      <c r="Y419" s="116">
        <f t="shared" si="91"/>
        <v>0</v>
      </c>
      <c r="Z419" s="116">
        <f t="shared" si="92"/>
        <v>0</v>
      </c>
      <c r="AA419" s="116">
        <f t="shared" si="93"/>
        <v>0</v>
      </c>
      <c r="AB419" s="116">
        <f t="shared" si="94"/>
        <v>0</v>
      </c>
      <c r="AC419" s="116">
        <f t="shared" si="95"/>
        <v>1106.5999999999999</v>
      </c>
      <c r="AD419" s="116">
        <f t="shared" si="96"/>
        <v>556.73</v>
      </c>
      <c r="AE419" s="116">
        <f t="shared" si="97"/>
        <v>0</v>
      </c>
    </row>
    <row r="420" spans="1:31">
      <c r="A420" s="131">
        <v>43020</v>
      </c>
      <c r="B420" s="131">
        <v>43051</v>
      </c>
      <c r="C420" s="123">
        <f t="shared" si="88"/>
        <v>31</v>
      </c>
      <c r="D420" s="123"/>
      <c r="E420" s="132">
        <v>617.84</v>
      </c>
      <c r="F420" s="134"/>
      <c r="G420" s="135"/>
      <c r="H420" s="123"/>
      <c r="I420" s="123"/>
      <c r="J420" s="123"/>
      <c r="K420" s="123"/>
      <c r="L420" s="123"/>
      <c r="M420" s="123"/>
      <c r="N420" s="123"/>
      <c r="O420" s="123"/>
      <c r="P420" s="123">
        <v>20</v>
      </c>
      <c r="Q420" s="123">
        <v>11</v>
      </c>
      <c r="R420" s="123"/>
      <c r="S420" s="133">
        <f t="shared" si="86"/>
        <v>0</v>
      </c>
      <c r="T420" s="116">
        <f t="shared" si="87"/>
        <v>0</v>
      </c>
      <c r="U420" s="116">
        <f t="shared" si="89"/>
        <v>0</v>
      </c>
      <c r="V420" s="116">
        <f t="shared" si="98"/>
        <v>0</v>
      </c>
      <c r="W420" s="116">
        <f t="shared" si="99"/>
        <v>0</v>
      </c>
      <c r="X420" s="116">
        <f t="shared" si="90"/>
        <v>0</v>
      </c>
      <c r="Y420" s="116">
        <f t="shared" si="91"/>
        <v>0</v>
      </c>
      <c r="Z420" s="116">
        <f t="shared" si="92"/>
        <v>0</v>
      </c>
      <c r="AA420" s="116">
        <f t="shared" si="93"/>
        <v>0</v>
      </c>
      <c r="AB420" s="116">
        <f t="shared" si="94"/>
        <v>0</v>
      </c>
      <c r="AC420" s="116">
        <f t="shared" si="95"/>
        <v>3903.31</v>
      </c>
      <c r="AD420" s="116">
        <f t="shared" si="96"/>
        <v>1963.75</v>
      </c>
      <c r="AE420" s="116">
        <f t="shared" si="97"/>
        <v>0</v>
      </c>
    </row>
    <row r="421" spans="1:31" ht="15.75" thickBot="1">
      <c r="A421" s="131">
        <v>43020</v>
      </c>
      <c r="B421" s="131">
        <v>43051</v>
      </c>
      <c r="C421" s="123">
        <f t="shared" si="88"/>
        <v>31</v>
      </c>
      <c r="D421" s="123"/>
      <c r="E421" s="132">
        <v>887.56</v>
      </c>
      <c r="F421" s="134"/>
      <c r="G421" s="135"/>
      <c r="H421" s="123"/>
      <c r="I421" s="123"/>
      <c r="J421" s="123"/>
      <c r="K421" s="123"/>
      <c r="L421" s="123"/>
      <c r="M421" s="123"/>
      <c r="N421" s="123"/>
      <c r="O421" s="123"/>
      <c r="P421" s="123">
        <v>20</v>
      </c>
      <c r="Q421" s="123">
        <v>11</v>
      </c>
      <c r="R421" s="123"/>
      <c r="S421" s="133">
        <f t="shared" si="86"/>
        <v>0</v>
      </c>
      <c r="T421" s="116">
        <f t="shared" si="87"/>
        <v>0</v>
      </c>
      <c r="U421" s="116">
        <f t="shared" si="89"/>
        <v>0</v>
      </c>
      <c r="V421" s="116">
        <f t="shared" si="98"/>
        <v>0</v>
      </c>
      <c r="W421" s="116">
        <f t="shared" si="99"/>
        <v>0</v>
      </c>
      <c r="X421" s="116">
        <f t="shared" si="90"/>
        <v>0</v>
      </c>
      <c r="Y421" s="116">
        <f t="shared" si="91"/>
        <v>0</v>
      </c>
      <c r="Z421" s="116">
        <f t="shared" si="92"/>
        <v>0</v>
      </c>
      <c r="AA421" s="116">
        <f t="shared" si="93"/>
        <v>0</v>
      </c>
      <c r="AB421" s="116">
        <f t="shared" si="94"/>
        <v>0</v>
      </c>
      <c r="AC421" s="116">
        <f t="shared" si="95"/>
        <v>5607.32</v>
      </c>
      <c r="AD421" s="116">
        <f t="shared" si="96"/>
        <v>2821.04</v>
      </c>
      <c r="AE421" s="116">
        <f t="shared" si="97"/>
        <v>0</v>
      </c>
    </row>
    <row r="422" spans="1:31" ht="15.75" thickBot="1">
      <c r="A422" s="185" t="s">
        <v>46</v>
      </c>
      <c r="B422" s="186"/>
      <c r="C422" s="186"/>
      <c r="D422" s="186"/>
      <c r="E422" s="186"/>
      <c r="F422" s="186"/>
      <c r="G422" s="186"/>
      <c r="H422" s="186"/>
      <c r="I422" s="186"/>
      <c r="J422" s="186"/>
      <c r="K422" s="186"/>
      <c r="L422" s="186"/>
      <c r="M422" s="186"/>
      <c r="N422" s="186"/>
      <c r="O422" s="186"/>
      <c r="P422" s="186"/>
      <c r="Q422" s="186"/>
      <c r="R422" s="186"/>
      <c r="S422" s="186"/>
      <c r="T422" s="186"/>
      <c r="U422" s="186"/>
      <c r="V422" s="186"/>
      <c r="W422" s="186"/>
      <c r="X422" s="186"/>
      <c r="Y422" s="186"/>
      <c r="Z422" s="186"/>
      <c r="AA422" s="186"/>
      <c r="AB422" s="186"/>
      <c r="AC422" s="186"/>
      <c r="AD422" s="186"/>
      <c r="AE422" s="187"/>
    </row>
    <row r="423" spans="1:31">
      <c r="A423" s="131">
        <v>43023</v>
      </c>
      <c r="B423" s="131">
        <v>43054</v>
      </c>
      <c r="C423" s="123">
        <f t="shared" si="88"/>
        <v>31</v>
      </c>
      <c r="D423" s="123"/>
      <c r="E423" s="132">
        <v>2089.9700000000003</v>
      </c>
      <c r="F423" s="134"/>
      <c r="G423" s="135"/>
      <c r="H423" s="123"/>
      <c r="I423" s="123"/>
      <c r="J423" s="123"/>
      <c r="K423" s="123"/>
      <c r="L423" s="123"/>
      <c r="M423" s="123"/>
      <c r="N423" s="123"/>
      <c r="O423" s="123"/>
      <c r="P423" s="123">
        <v>17</v>
      </c>
      <c r="Q423" s="123">
        <v>14</v>
      </c>
      <c r="R423" s="123"/>
      <c r="S423" s="133">
        <f t="shared" si="86"/>
        <v>0</v>
      </c>
      <c r="T423" s="116">
        <f t="shared" ref="T423:T486" si="100">ROUND((E423*G423/C423)/$C$6,2)</f>
        <v>0</v>
      </c>
      <c r="U423" s="116">
        <f t="shared" si="89"/>
        <v>0</v>
      </c>
      <c r="V423" s="116">
        <f t="shared" si="98"/>
        <v>0</v>
      </c>
      <c r="W423" s="116">
        <f t="shared" si="99"/>
        <v>0</v>
      </c>
      <c r="X423" s="116">
        <f t="shared" si="90"/>
        <v>0</v>
      </c>
      <c r="Y423" s="116">
        <f t="shared" si="91"/>
        <v>0</v>
      </c>
      <c r="Z423" s="116">
        <f t="shared" si="92"/>
        <v>0</v>
      </c>
      <c r="AA423" s="116">
        <f t="shared" si="93"/>
        <v>0</v>
      </c>
      <c r="AB423" s="116">
        <f t="shared" si="94"/>
        <v>0</v>
      </c>
      <c r="AC423" s="116">
        <f t="shared" si="95"/>
        <v>11223.19</v>
      </c>
      <c r="AD423" s="116">
        <f t="shared" si="96"/>
        <v>8454.4699999999993</v>
      </c>
      <c r="AE423" s="116">
        <f t="shared" si="97"/>
        <v>0</v>
      </c>
    </row>
    <row r="424" spans="1:31">
      <c r="A424" s="131">
        <v>43023</v>
      </c>
      <c r="B424" s="131">
        <v>43054</v>
      </c>
      <c r="C424" s="123">
        <f t="shared" si="88"/>
        <v>31</v>
      </c>
      <c r="D424" s="123"/>
      <c r="E424" s="132">
        <v>28076.93</v>
      </c>
      <c r="F424" s="134"/>
      <c r="G424" s="135"/>
      <c r="H424" s="123"/>
      <c r="I424" s="123"/>
      <c r="J424" s="123"/>
      <c r="K424" s="123"/>
      <c r="L424" s="123"/>
      <c r="M424" s="123"/>
      <c r="N424" s="123"/>
      <c r="O424" s="123"/>
      <c r="P424" s="123">
        <v>17</v>
      </c>
      <c r="Q424" s="123">
        <v>14</v>
      </c>
      <c r="R424" s="123"/>
      <c r="S424" s="133">
        <f t="shared" si="86"/>
        <v>0</v>
      </c>
      <c r="T424" s="116">
        <f t="shared" si="100"/>
        <v>0</v>
      </c>
      <c r="U424" s="116">
        <f t="shared" si="89"/>
        <v>0</v>
      </c>
      <c r="V424" s="116">
        <f t="shared" si="98"/>
        <v>0</v>
      </c>
      <c r="W424" s="116">
        <f t="shared" si="99"/>
        <v>0</v>
      </c>
      <c r="X424" s="116">
        <f t="shared" si="90"/>
        <v>0</v>
      </c>
      <c r="Y424" s="116">
        <f t="shared" si="91"/>
        <v>0</v>
      </c>
      <c r="Z424" s="116">
        <f t="shared" si="92"/>
        <v>0</v>
      </c>
      <c r="AA424" s="116">
        <f t="shared" si="93"/>
        <v>0</v>
      </c>
      <c r="AB424" s="116">
        <f t="shared" si="94"/>
        <v>0</v>
      </c>
      <c r="AC424" s="116">
        <f t="shared" si="95"/>
        <v>150773.85999999999</v>
      </c>
      <c r="AD424" s="116">
        <f t="shared" si="96"/>
        <v>113578.5</v>
      </c>
      <c r="AE424" s="116">
        <f t="shared" si="97"/>
        <v>0</v>
      </c>
    </row>
    <row r="425" spans="1:31">
      <c r="A425" s="131">
        <v>43023</v>
      </c>
      <c r="B425" s="131">
        <v>43054</v>
      </c>
      <c r="C425" s="123">
        <f t="shared" si="88"/>
        <v>31</v>
      </c>
      <c r="D425" s="123"/>
      <c r="E425" s="132">
        <v>15421.66</v>
      </c>
      <c r="F425" s="110"/>
      <c r="G425" s="123"/>
      <c r="H425" s="123"/>
      <c r="I425" s="123"/>
      <c r="J425" s="123"/>
      <c r="K425" s="123"/>
      <c r="L425" s="123"/>
      <c r="M425" s="123"/>
      <c r="N425" s="123"/>
      <c r="O425" s="123"/>
      <c r="P425" s="123">
        <v>17</v>
      </c>
      <c r="Q425" s="123">
        <v>14</v>
      </c>
      <c r="R425" s="123"/>
      <c r="S425" s="133">
        <f t="shared" si="86"/>
        <v>0</v>
      </c>
      <c r="T425" s="116">
        <f t="shared" si="100"/>
        <v>0</v>
      </c>
      <c r="U425" s="116">
        <f t="shared" si="89"/>
        <v>0</v>
      </c>
      <c r="V425" s="116">
        <f t="shared" si="98"/>
        <v>0</v>
      </c>
      <c r="W425" s="116">
        <f t="shared" si="99"/>
        <v>0</v>
      </c>
      <c r="X425" s="116">
        <f t="shared" si="90"/>
        <v>0</v>
      </c>
      <c r="Y425" s="116">
        <f t="shared" si="91"/>
        <v>0</v>
      </c>
      <c r="Z425" s="116">
        <f t="shared" si="92"/>
        <v>0</v>
      </c>
      <c r="AA425" s="116">
        <f t="shared" si="93"/>
        <v>0</v>
      </c>
      <c r="AB425" s="116">
        <f t="shared" si="94"/>
        <v>0</v>
      </c>
      <c r="AC425" s="116">
        <f t="shared" si="95"/>
        <v>82814.720000000001</v>
      </c>
      <c r="AD425" s="116">
        <f t="shared" si="96"/>
        <v>62384.63</v>
      </c>
      <c r="AE425" s="116">
        <f t="shared" si="97"/>
        <v>0</v>
      </c>
    </row>
    <row r="426" spans="1:31">
      <c r="A426" s="131">
        <v>43023</v>
      </c>
      <c r="B426" s="131">
        <v>43054</v>
      </c>
      <c r="C426" s="123">
        <f t="shared" si="88"/>
        <v>31</v>
      </c>
      <c r="D426" s="123"/>
      <c r="E426" s="132">
        <v>7752.83</v>
      </c>
      <c r="F426" s="110"/>
      <c r="G426" s="123"/>
      <c r="H426" s="123"/>
      <c r="I426" s="123"/>
      <c r="J426" s="123"/>
      <c r="K426" s="123"/>
      <c r="L426" s="123"/>
      <c r="M426" s="123"/>
      <c r="N426" s="123"/>
      <c r="O426" s="123"/>
      <c r="P426" s="123">
        <v>17</v>
      </c>
      <c r="Q426" s="123">
        <v>14</v>
      </c>
      <c r="R426" s="123"/>
      <c r="S426" s="133">
        <f t="shared" si="86"/>
        <v>0</v>
      </c>
      <c r="T426" s="116">
        <f t="shared" si="100"/>
        <v>0</v>
      </c>
      <c r="U426" s="116">
        <f t="shared" si="89"/>
        <v>0</v>
      </c>
      <c r="V426" s="116">
        <f t="shared" si="98"/>
        <v>0</v>
      </c>
      <c r="W426" s="116">
        <f t="shared" si="99"/>
        <v>0</v>
      </c>
      <c r="X426" s="116">
        <f t="shared" si="90"/>
        <v>0</v>
      </c>
      <c r="Y426" s="116">
        <f t="shared" si="91"/>
        <v>0</v>
      </c>
      <c r="Z426" s="116">
        <f t="shared" si="92"/>
        <v>0</v>
      </c>
      <c r="AA426" s="116">
        <f t="shared" si="93"/>
        <v>0</v>
      </c>
      <c r="AB426" s="116">
        <f t="shared" si="94"/>
        <v>0</v>
      </c>
      <c r="AC426" s="116">
        <f t="shared" si="95"/>
        <v>41632.9</v>
      </c>
      <c r="AD426" s="116">
        <f t="shared" si="96"/>
        <v>31362.22</v>
      </c>
      <c r="AE426" s="116">
        <f t="shared" si="97"/>
        <v>0</v>
      </c>
    </row>
    <row r="427" spans="1:31">
      <c r="A427" s="131">
        <v>43027</v>
      </c>
      <c r="B427" s="131">
        <v>43058</v>
      </c>
      <c r="C427" s="123">
        <f t="shared" si="88"/>
        <v>31</v>
      </c>
      <c r="D427" s="123"/>
      <c r="E427" s="132">
        <v>1874.99</v>
      </c>
      <c r="F427" s="110"/>
      <c r="G427" s="123"/>
      <c r="H427" s="123"/>
      <c r="I427" s="123"/>
      <c r="J427" s="123"/>
      <c r="K427" s="123"/>
      <c r="L427" s="123"/>
      <c r="M427" s="123"/>
      <c r="N427" s="123"/>
      <c r="O427" s="123"/>
      <c r="P427" s="123">
        <v>13</v>
      </c>
      <c r="Q427" s="123">
        <v>18</v>
      </c>
      <c r="R427" s="123"/>
      <c r="S427" s="133">
        <f t="shared" si="86"/>
        <v>0</v>
      </c>
      <c r="T427" s="116">
        <f t="shared" si="100"/>
        <v>0</v>
      </c>
      <c r="U427" s="116">
        <f t="shared" si="89"/>
        <v>0</v>
      </c>
      <c r="V427" s="116">
        <f t="shared" si="98"/>
        <v>0</v>
      </c>
      <c r="W427" s="116">
        <f t="shared" si="99"/>
        <v>0</v>
      </c>
      <c r="X427" s="116">
        <f t="shared" si="90"/>
        <v>0</v>
      </c>
      <c r="Y427" s="116">
        <f t="shared" si="91"/>
        <v>0</v>
      </c>
      <c r="Z427" s="116">
        <f t="shared" si="92"/>
        <v>0</v>
      </c>
      <c r="AA427" s="116">
        <f t="shared" si="93"/>
        <v>0</v>
      </c>
      <c r="AB427" s="116">
        <f t="shared" si="94"/>
        <v>0</v>
      </c>
      <c r="AC427" s="116">
        <f t="shared" si="95"/>
        <v>7699.63</v>
      </c>
      <c r="AD427" s="116">
        <f t="shared" si="96"/>
        <v>9751.92</v>
      </c>
      <c r="AE427" s="116">
        <f t="shared" si="97"/>
        <v>0</v>
      </c>
    </row>
    <row r="428" spans="1:31">
      <c r="A428" s="131">
        <v>43027</v>
      </c>
      <c r="B428" s="131">
        <v>43058</v>
      </c>
      <c r="C428" s="123">
        <f t="shared" si="88"/>
        <v>31</v>
      </c>
      <c r="D428" s="123"/>
      <c r="E428" s="132">
        <v>666.29</v>
      </c>
      <c r="F428" s="110"/>
      <c r="G428" s="123"/>
      <c r="H428" s="123"/>
      <c r="I428" s="123"/>
      <c r="J428" s="123"/>
      <c r="K428" s="123"/>
      <c r="L428" s="123"/>
      <c r="M428" s="123"/>
      <c r="N428" s="123"/>
      <c r="O428" s="123"/>
      <c r="P428" s="123">
        <v>13</v>
      </c>
      <c r="Q428" s="123">
        <v>18</v>
      </c>
      <c r="R428" s="123"/>
      <c r="S428" s="133">
        <f t="shared" si="86"/>
        <v>0</v>
      </c>
      <c r="T428" s="116">
        <f t="shared" si="100"/>
        <v>0</v>
      </c>
      <c r="U428" s="116">
        <f t="shared" si="89"/>
        <v>0</v>
      </c>
      <c r="V428" s="116">
        <f t="shared" si="98"/>
        <v>0</v>
      </c>
      <c r="W428" s="116">
        <f t="shared" si="99"/>
        <v>0</v>
      </c>
      <c r="X428" s="116">
        <f t="shared" si="90"/>
        <v>0</v>
      </c>
      <c r="Y428" s="116">
        <f t="shared" si="91"/>
        <v>0</v>
      </c>
      <c r="Z428" s="116">
        <f t="shared" si="92"/>
        <v>0</v>
      </c>
      <c r="AA428" s="116">
        <f t="shared" si="93"/>
        <v>0</v>
      </c>
      <c r="AB428" s="116">
        <f t="shared" si="94"/>
        <v>0</v>
      </c>
      <c r="AC428" s="116">
        <f t="shared" si="95"/>
        <v>2736.11</v>
      </c>
      <c r="AD428" s="116">
        <f t="shared" si="96"/>
        <v>3465.41</v>
      </c>
      <c r="AE428" s="116">
        <f t="shared" si="97"/>
        <v>0</v>
      </c>
    </row>
    <row r="429" spans="1:31">
      <c r="A429" s="131">
        <v>43027</v>
      </c>
      <c r="B429" s="131">
        <v>43058</v>
      </c>
      <c r="C429" s="123">
        <f t="shared" si="88"/>
        <v>31</v>
      </c>
      <c r="D429" s="123"/>
      <c r="E429" s="132">
        <v>597.80000000000007</v>
      </c>
      <c r="F429" s="110"/>
      <c r="G429" s="123"/>
      <c r="H429" s="123"/>
      <c r="I429" s="123"/>
      <c r="J429" s="123"/>
      <c r="K429" s="123"/>
      <c r="L429" s="123"/>
      <c r="M429" s="123"/>
      <c r="N429" s="123"/>
      <c r="O429" s="123"/>
      <c r="P429" s="123">
        <v>13</v>
      </c>
      <c r="Q429" s="123">
        <v>18</v>
      </c>
      <c r="R429" s="123"/>
      <c r="S429" s="133">
        <f t="shared" si="86"/>
        <v>0</v>
      </c>
      <c r="T429" s="116">
        <f t="shared" si="100"/>
        <v>0</v>
      </c>
      <c r="U429" s="116">
        <f t="shared" si="89"/>
        <v>0</v>
      </c>
      <c r="V429" s="116">
        <f t="shared" si="98"/>
        <v>0</v>
      </c>
      <c r="W429" s="116">
        <f t="shared" si="99"/>
        <v>0</v>
      </c>
      <c r="X429" s="116">
        <f t="shared" si="90"/>
        <v>0</v>
      </c>
      <c r="Y429" s="116">
        <f t="shared" si="91"/>
        <v>0</v>
      </c>
      <c r="Z429" s="116">
        <f t="shared" si="92"/>
        <v>0</v>
      </c>
      <c r="AA429" s="116">
        <f t="shared" si="93"/>
        <v>0</v>
      </c>
      <c r="AB429" s="116">
        <f t="shared" si="94"/>
        <v>0</v>
      </c>
      <c r="AC429" s="116">
        <f t="shared" si="95"/>
        <v>2454.86</v>
      </c>
      <c r="AD429" s="116">
        <f t="shared" si="96"/>
        <v>3109.19</v>
      </c>
      <c r="AE429" s="116">
        <f t="shared" si="97"/>
        <v>0</v>
      </c>
    </row>
    <row r="430" spans="1:31">
      <c r="A430" s="131">
        <v>43051</v>
      </c>
      <c r="B430" s="131">
        <v>43060</v>
      </c>
      <c r="C430" s="123">
        <f t="shared" si="88"/>
        <v>9</v>
      </c>
      <c r="D430" s="123"/>
      <c r="E430" s="132">
        <v>3.85</v>
      </c>
      <c r="F430" s="110"/>
      <c r="G430" s="123"/>
      <c r="H430" s="123"/>
      <c r="I430" s="123"/>
      <c r="J430" s="123"/>
      <c r="K430" s="123"/>
      <c r="L430" s="123"/>
      <c r="M430" s="123"/>
      <c r="N430" s="123"/>
      <c r="O430" s="123"/>
      <c r="P430" s="123"/>
      <c r="Q430" s="123">
        <v>9</v>
      </c>
      <c r="R430" s="123"/>
      <c r="S430" s="133">
        <f t="shared" si="86"/>
        <v>0</v>
      </c>
      <c r="T430" s="116">
        <f t="shared" si="100"/>
        <v>0</v>
      </c>
      <c r="U430" s="116">
        <f t="shared" si="89"/>
        <v>0</v>
      </c>
      <c r="V430" s="116">
        <f t="shared" si="98"/>
        <v>0</v>
      </c>
      <c r="W430" s="116">
        <f t="shared" si="99"/>
        <v>0</v>
      </c>
      <c r="X430" s="116">
        <f t="shared" si="90"/>
        <v>0</v>
      </c>
      <c r="Y430" s="116">
        <f t="shared" si="91"/>
        <v>0</v>
      </c>
      <c r="Z430" s="116">
        <f t="shared" si="92"/>
        <v>0</v>
      </c>
      <c r="AA430" s="116">
        <f t="shared" si="93"/>
        <v>0</v>
      </c>
      <c r="AB430" s="116">
        <f t="shared" si="94"/>
        <v>0</v>
      </c>
      <c r="AC430" s="116">
        <f t="shared" si="95"/>
        <v>0</v>
      </c>
      <c r="AD430" s="116">
        <f t="shared" si="96"/>
        <v>34.49</v>
      </c>
      <c r="AE430" s="116">
        <f t="shared" si="97"/>
        <v>0</v>
      </c>
    </row>
    <row r="431" spans="1:31">
      <c r="A431" s="131">
        <v>43034</v>
      </c>
      <c r="B431" s="131">
        <v>43065</v>
      </c>
      <c r="C431" s="123">
        <f t="shared" si="88"/>
        <v>31</v>
      </c>
      <c r="D431" s="123"/>
      <c r="E431" s="132">
        <v>1398.24</v>
      </c>
      <c r="F431" s="135"/>
      <c r="G431" s="135"/>
      <c r="H431" s="123"/>
      <c r="I431" s="123"/>
      <c r="J431" s="123"/>
      <c r="K431" s="123"/>
      <c r="L431" s="123"/>
      <c r="M431" s="123"/>
      <c r="N431" s="123"/>
      <c r="O431" s="123"/>
      <c r="P431" s="123">
        <v>6</v>
      </c>
      <c r="Q431" s="123">
        <v>25</v>
      </c>
      <c r="R431" s="123"/>
      <c r="S431" s="133">
        <f t="shared" si="86"/>
        <v>0</v>
      </c>
      <c r="T431" s="116">
        <f t="shared" si="100"/>
        <v>0</v>
      </c>
      <c r="U431" s="116">
        <f t="shared" si="89"/>
        <v>0</v>
      </c>
      <c r="V431" s="116">
        <f t="shared" si="98"/>
        <v>0</v>
      </c>
      <c r="W431" s="116">
        <f t="shared" si="99"/>
        <v>0</v>
      </c>
      <c r="X431" s="116">
        <f t="shared" si="90"/>
        <v>0</v>
      </c>
      <c r="Y431" s="116">
        <f t="shared" si="91"/>
        <v>0</v>
      </c>
      <c r="Z431" s="116">
        <f t="shared" si="92"/>
        <v>0</v>
      </c>
      <c r="AA431" s="116">
        <f t="shared" si="93"/>
        <v>0</v>
      </c>
      <c r="AB431" s="116">
        <f t="shared" si="94"/>
        <v>0</v>
      </c>
      <c r="AC431" s="116">
        <f t="shared" si="95"/>
        <v>2650.09</v>
      </c>
      <c r="AD431" s="116">
        <f t="shared" si="96"/>
        <v>10100.44</v>
      </c>
      <c r="AE431" s="116">
        <f t="shared" si="97"/>
        <v>0</v>
      </c>
    </row>
    <row r="432" spans="1:31">
      <c r="A432" s="131">
        <v>43033</v>
      </c>
      <c r="B432" s="131">
        <v>43066</v>
      </c>
      <c r="C432" s="123">
        <f t="shared" si="88"/>
        <v>33</v>
      </c>
      <c r="D432" s="123">
        <v>30</v>
      </c>
      <c r="E432" s="132">
        <v>300619.37</v>
      </c>
      <c r="F432" s="135"/>
      <c r="G432" s="135"/>
      <c r="H432" s="123"/>
      <c r="I432" s="123"/>
      <c r="J432" s="123"/>
      <c r="K432" s="123"/>
      <c r="L432" s="123"/>
      <c r="M432" s="123"/>
      <c r="N432" s="123"/>
      <c r="O432" s="123"/>
      <c r="P432" s="123">
        <v>7</v>
      </c>
      <c r="Q432" s="123">
        <v>26</v>
      </c>
      <c r="R432" s="123"/>
      <c r="S432" s="133">
        <f t="shared" si="86"/>
        <v>0</v>
      </c>
      <c r="T432" s="116">
        <f t="shared" si="100"/>
        <v>0</v>
      </c>
      <c r="U432" s="116">
        <f t="shared" si="89"/>
        <v>0</v>
      </c>
      <c r="V432" s="116">
        <f t="shared" si="98"/>
        <v>0</v>
      </c>
      <c r="W432" s="116">
        <f t="shared" si="99"/>
        <v>0</v>
      </c>
      <c r="X432" s="116">
        <f t="shared" si="90"/>
        <v>0</v>
      </c>
      <c r="Y432" s="116">
        <f t="shared" si="91"/>
        <v>0</v>
      </c>
      <c r="Z432" s="116">
        <f t="shared" si="92"/>
        <v>0</v>
      </c>
      <c r="AA432" s="116">
        <f t="shared" si="93"/>
        <v>0</v>
      </c>
      <c r="AB432" s="116">
        <f t="shared" si="94"/>
        <v>0</v>
      </c>
      <c r="AC432" s="116">
        <v>638681.88</v>
      </c>
      <c r="AD432" s="116">
        <v>2098526.17</v>
      </c>
      <c r="AE432" s="116">
        <f t="shared" si="97"/>
        <v>0</v>
      </c>
    </row>
    <row r="433" spans="1:31">
      <c r="A433" s="131">
        <v>43036</v>
      </c>
      <c r="B433" s="131">
        <v>43067</v>
      </c>
      <c r="C433" s="123">
        <f t="shared" si="88"/>
        <v>31</v>
      </c>
      <c r="D433" s="123"/>
      <c r="E433" s="132">
        <v>1209.3700000000001</v>
      </c>
      <c r="F433" s="135"/>
      <c r="G433" s="135"/>
      <c r="H433" s="123"/>
      <c r="I433" s="123"/>
      <c r="J433" s="123"/>
      <c r="K433" s="123"/>
      <c r="L433" s="123"/>
      <c r="M433" s="123"/>
      <c r="N433" s="123"/>
      <c r="O433" s="123"/>
      <c r="P433" s="123">
        <v>4</v>
      </c>
      <c r="Q433" s="123">
        <v>27</v>
      </c>
      <c r="R433" s="123"/>
      <c r="S433" s="133">
        <f t="shared" si="86"/>
        <v>0</v>
      </c>
      <c r="T433" s="116">
        <f t="shared" si="100"/>
        <v>0</v>
      </c>
      <c r="U433" s="116">
        <f t="shared" si="89"/>
        <v>0</v>
      </c>
      <c r="V433" s="116">
        <f t="shared" si="98"/>
        <v>0</v>
      </c>
      <c r="W433" s="116">
        <f t="shared" si="99"/>
        <v>0</v>
      </c>
      <c r="X433" s="116">
        <f t="shared" si="90"/>
        <v>0</v>
      </c>
      <c r="Y433" s="116">
        <f t="shared" si="91"/>
        <v>0</v>
      </c>
      <c r="Z433" s="116">
        <f t="shared" si="92"/>
        <v>0</v>
      </c>
      <c r="AA433" s="116">
        <f t="shared" si="93"/>
        <v>0</v>
      </c>
      <c r="AB433" s="116">
        <f t="shared" si="94"/>
        <v>0</v>
      </c>
      <c r="AC433" s="116">
        <f t="shared" si="95"/>
        <v>1528.08</v>
      </c>
      <c r="AD433" s="116">
        <f t="shared" si="96"/>
        <v>9434.99</v>
      </c>
      <c r="AE433" s="116">
        <f t="shared" si="97"/>
        <v>0</v>
      </c>
    </row>
    <row r="434" spans="1:31">
      <c r="A434" s="131">
        <v>43036</v>
      </c>
      <c r="B434" s="131">
        <v>43067</v>
      </c>
      <c r="C434" s="123">
        <f t="shared" si="88"/>
        <v>31</v>
      </c>
      <c r="D434" s="123"/>
      <c r="E434" s="132">
        <v>282.09000000000003</v>
      </c>
      <c r="F434" s="135"/>
      <c r="G434" s="135"/>
      <c r="H434" s="123"/>
      <c r="I434" s="123"/>
      <c r="J434" s="123"/>
      <c r="K434" s="123"/>
      <c r="L434" s="123"/>
      <c r="M434" s="123"/>
      <c r="N434" s="123"/>
      <c r="O434" s="123"/>
      <c r="P434" s="123">
        <v>4</v>
      </c>
      <c r="Q434" s="123">
        <v>27</v>
      </c>
      <c r="R434" s="123"/>
      <c r="S434" s="133">
        <f t="shared" si="86"/>
        <v>0</v>
      </c>
      <c r="T434" s="116">
        <f t="shared" si="100"/>
        <v>0</v>
      </c>
      <c r="U434" s="116">
        <f t="shared" si="89"/>
        <v>0</v>
      </c>
      <c r="V434" s="116">
        <f t="shared" si="98"/>
        <v>0</v>
      </c>
      <c r="W434" s="116">
        <f t="shared" si="99"/>
        <v>0</v>
      </c>
      <c r="X434" s="116">
        <f t="shared" si="90"/>
        <v>0</v>
      </c>
      <c r="Y434" s="116">
        <f t="shared" si="91"/>
        <v>0</v>
      </c>
      <c r="Z434" s="116">
        <f t="shared" si="92"/>
        <v>0</v>
      </c>
      <c r="AA434" s="116">
        <f t="shared" si="93"/>
        <v>0</v>
      </c>
      <c r="AB434" s="116">
        <f t="shared" si="94"/>
        <v>0</v>
      </c>
      <c r="AC434" s="116">
        <f t="shared" si="95"/>
        <v>356.43</v>
      </c>
      <c r="AD434" s="116">
        <f t="shared" si="96"/>
        <v>2200.75</v>
      </c>
      <c r="AE434" s="116">
        <f t="shared" si="97"/>
        <v>0</v>
      </c>
    </row>
    <row r="435" spans="1:31">
      <c r="A435" s="131">
        <v>43051</v>
      </c>
      <c r="B435" s="131">
        <v>43070</v>
      </c>
      <c r="C435" s="123">
        <f t="shared" si="88"/>
        <v>19</v>
      </c>
      <c r="D435" s="123"/>
      <c r="E435" s="132">
        <v>39.69</v>
      </c>
      <c r="F435" s="135"/>
      <c r="G435" s="135"/>
      <c r="H435" s="123"/>
      <c r="I435" s="123"/>
      <c r="J435" s="123"/>
      <c r="K435" s="123"/>
      <c r="L435" s="123"/>
      <c r="M435" s="123"/>
      <c r="N435" s="123"/>
      <c r="O435" s="123"/>
      <c r="P435" s="123"/>
      <c r="Q435" s="123">
        <v>19</v>
      </c>
      <c r="R435" s="123"/>
      <c r="S435" s="133">
        <f t="shared" si="86"/>
        <v>0</v>
      </c>
      <c r="T435" s="116">
        <f t="shared" si="100"/>
        <v>0</v>
      </c>
      <c r="U435" s="116">
        <f t="shared" si="89"/>
        <v>0</v>
      </c>
      <c r="V435" s="116">
        <f t="shared" si="98"/>
        <v>0</v>
      </c>
      <c r="W435" s="116">
        <f t="shared" si="99"/>
        <v>0</v>
      </c>
      <c r="X435" s="116">
        <f t="shared" si="90"/>
        <v>0</v>
      </c>
      <c r="Y435" s="116">
        <f t="shared" si="91"/>
        <v>0</v>
      </c>
      <c r="Z435" s="116">
        <f t="shared" si="92"/>
        <v>0</v>
      </c>
      <c r="AA435" s="116">
        <f t="shared" si="93"/>
        <v>0</v>
      </c>
      <c r="AB435" s="116">
        <f t="shared" si="94"/>
        <v>0</v>
      </c>
      <c r="AC435" s="116">
        <f t="shared" si="95"/>
        <v>0</v>
      </c>
      <c r="AD435" s="116">
        <f t="shared" si="96"/>
        <v>355.52</v>
      </c>
      <c r="AE435" s="116">
        <f t="shared" si="97"/>
        <v>0</v>
      </c>
    </row>
    <row r="436" spans="1:31">
      <c r="A436" s="131">
        <v>43040</v>
      </c>
      <c r="B436" s="131">
        <v>43070</v>
      </c>
      <c r="C436" s="123">
        <f t="shared" si="88"/>
        <v>30</v>
      </c>
      <c r="D436" s="123" t="s">
        <v>219</v>
      </c>
      <c r="E436" s="132">
        <v>8764.3000000000011</v>
      </c>
      <c r="F436" s="135"/>
      <c r="G436" s="135"/>
      <c r="H436" s="123"/>
      <c r="I436" s="123"/>
      <c r="J436" s="123"/>
      <c r="K436" s="123"/>
      <c r="L436" s="123"/>
      <c r="M436" s="123"/>
      <c r="N436" s="123"/>
      <c r="O436" s="123"/>
      <c r="P436" s="123"/>
      <c r="Q436" s="123">
        <v>30</v>
      </c>
      <c r="R436" s="123"/>
      <c r="S436" s="133">
        <f t="shared" si="86"/>
        <v>0</v>
      </c>
      <c r="T436" s="116">
        <f t="shared" si="100"/>
        <v>0</v>
      </c>
      <c r="U436" s="116">
        <f t="shared" si="89"/>
        <v>0</v>
      </c>
      <c r="V436" s="116">
        <f t="shared" si="98"/>
        <v>0</v>
      </c>
      <c r="W436" s="116">
        <f t="shared" si="99"/>
        <v>0</v>
      </c>
      <c r="X436" s="116">
        <f t="shared" si="90"/>
        <v>0</v>
      </c>
      <c r="Y436" s="116">
        <f t="shared" si="91"/>
        <v>0</v>
      </c>
      <c r="Z436" s="116">
        <f t="shared" si="92"/>
        <v>0</v>
      </c>
      <c r="AA436" s="116">
        <f t="shared" si="93"/>
        <v>0</v>
      </c>
      <c r="AB436" s="116">
        <f t="shared" si="94"/>
        <v>0</v>
      </c>
      <c r="AC436" s="116">
        <f t="shared" si="95"/>
        <v>0</v>
      </c>
      <c r="AD436" s="116">
        <f t="shared" si="96"/>
        <v>78505.02</v>
      </c>
      <c r="AE436" s="116">
        <f t="shared" si="97"/>
        <v>0</v>
      </c>
    </row>
    <row r="437" spans="1:31">
      <c r="A437" s="131">
        <v>43040</v>
      </c>
      <c r="B437" s="131">
        <v>43070</v>
      </c>
      <c r="C437" s="123">
        <f t="shared" si="88"/>
        <v>30</v>
      </c>
      <c r="D437" s="123"/>
      <c r="E437" s="132">
        <v>2411.5500000000002</v>
      </c>
      <c r="F437" s="135"/>
      <c r="G437" s="135"/>
      <c r="H437" s="123"/>
      <c r="I437" s="123"/>
      <c r="J437" s="123"/>
      <c r="K437" s="123"/>
      <c r="L437" s="123"/>
      <c r="M437" s="123"/>
      <c r="N437" s="123"/>
      <c r="O437" s="123"/>
      <c r="P437" s="123"/>
      <c r="Q437" s="123">
        <v>30</v>
      </c>
      <c r="R437" s="123"/>
      <c r="S437" s="133">
        <f t="shared" si="86"/>
        <v>0</v>
      </c>
      <c r="T437" s="116">
        <f t="shared" si="100"/>
        <v>0</v>
      </c>
      <c r="U437" s="116">
        <f t="shared" si="89"/>
        <v>0</v>
      </c>
      <c r="V437" s="116">
        <f t="shared" si="98"/>
        <v>0</v>
      </c>
      <c r="W437" s="116">
        <f t="shared" si="99"/>
        <v>0</v>
      </c>
      <c r="X437" s="116">
        <f t="shared" si="90"/>
        <v>0</v>
      </c>
      <c r="Y437" s="116">
        <f t="shared" si="91"/>
        <v>0</v>
      </c>
      <c r="Z437" s="116">
        <f t="shared" si="92"/>
        <v>0</v>
      </c>
      <c r="AA437" s="116">
        <f t="shared" si="93"/>
        <v>0</v>
      </c>
      <c r="AB437" s="116">
        <f t="shared" si="94"/>
        <v>0</v>
      </c>
      <c r="AC437" s="116">
        <f t="shared" si="95"/>
        <v>0</v>
      </c>
      <c r="AD437" s="116">
        <f t="shared" si="96"/>
        <v>21601.13</v>
      </c>
      <c r="AE437" s="116">
        <f t="shared" si="97"/>
        <v>0</v>
      </c>
    </row>
    <row r="438" spans="1:31">
      <c r="A438" s="131">
        <v>43040</v>
      </c>
      <c r="B438" s="131">
        <v>43070</v>
      </c>
      <c r="C438" s="123">
        <f t="shared" si="88"/>
        <v>30</v>
      </c>
      <c r="D438" s="123"/>
      <c r="E438" s="132">
        <v>243.29</v>
      </c>
      <c r="F438" s="135"/>
      <c r="G438" s="135"/>
      <c r="H438" s="123"/>
      <c r="I438" s="123"/>
      <c r="J438" s="123"/>
      <c r="K438" s="123"/>
      <c r="L438" s="123"/>
      <c r="M438" s="123"/>
      <c r="N438" s="123"/>
      <c r="O438" s="123"/>
      <c r="P438" s="123"/>
      <c r="Q438" s="123">
        <v>30</v>
      </c>
      <c r="R438" s="123"/>
      <c r="S438" s="133">
        <f t="shared" si="86"/>
        <v>0</v>
      </c>
      <c r="T438" s="116">
        <f t="shared" si="100"/>
        <v>0</v>
      </c>
      <c r="U438" s="116">
        <f t="shared" si="89"/>
        <v>0</v>
      </c>
      <c r="V438" s="116">
        <f t="shared" si="98"/>
        <v>0</v>
      </c>
      <c r="W438" s="116">
        <f t="shared" si="99"/>
        <v>0</v>
      </c>
      <c r="X438" s="116">
        <f t="shared" si="90"/>
        <v>0</v>
      </c>
      <c r="Y438" s="116">
        <f t="shared" si="91"/>
        <v>0</v>
      </c>
      <c r="Z438" s="116">
        <f t="shared" si="92"/>
        <v>0</v>
      </c>
      <c r="AA438" s="116">
        <f t="shared" si="93"/>
        <v>0</v>
      </c>
      <c r="AB438" s="116">
        <f t="shared" si="94"/>
        <v>0</v>
      </c>
      <c r="AC438" s="116">
        <f t="shared" si="95"/>
        <v>0</v>
      </c>
      <c r="AD438" s="116">
        <f t="shared" si="96"/>
        <v>2179.2399999999998</v>
      </c>
      <c r="AE438" s="116">
        <f t="shared" si="97"/>
        <v>0</v>
      </c>
    </row>
    <row r="439" spans="1:31">
      <c r="A439" s="131">
        <v>43042</v>
      </c>
      <c r="B439" s="131">
        <v>43072</v>
      </c>
      <c r="C439" s="123">
        <f t="shared" si="88"/>
        <v>30</v>
      </c>
      <c r="D439" s="123"/>
      <c r="E439" s="132">
        <v>1041.76</v>
      </c>
      <c r="F439" s="135"/>
      <c r="G439" s="135"/>
      <c r="H439" s="123"/>
      <c r="I439" s="123"/>
      <c r="J439" s="123"/>
      <c r="K439" s="123"/>
      <c r="L439" s="123"/>
      <c r="M439" s="123"/>
      <c r="N439" s="123"/>
      <c r="O439" s="123"/>
      <c r="P439" s="123"/>
      <c r="Q439" s="123">
        <v>28</v>
      </c>
      <c r="R439" s="123">
        <v>2</v>
      </c>
      <c r="S439" s="133">
        <f t="shared" si="86"/>
        <v>0</v>
      </c>
      <c r="T439" s="116">
        <f t="shared" si="100"/>
        <v>0</v>
      </c>
      <c r="U439" s="116">
        <f t="shared" si="89"/>
        <v>0</v>
      </c>
      <c r="V439" s="116">
        <f t="shared" si="98"/>
        <v>0</v>
      </c>
      <c r="W439" s="116">
        <f t="shared" si="99"/>
        <v>0</v>
      </c>
      <c r="X439" s="116">
        <f t="shared" si="90"/>
        <v>0</v>
      </c>
      <c r="Y439" s="116">
        <f t="shared" si="91"/>
        <v>0</v>
      </c>
      <c r="Z439" s="116">
        <f t="shared" si="92"/>
        <v>0</v>
      </c>
      <c r="AA439" s="116">
        <f t="shared" si="93"/>
        <v>0</v>
      </c>
      <c r="AB439" s="116">
        <f t="shared" si="94"/>
        <v>0</v>
      </c>
      <c r="AC439" s="116">
        <f t="shared" si="95"/>
        <v>0</v>
      </c>
      <c r="AD439" s="116">
        <f t="shared" si="96"/>
        <v>8709.33</v>
      </c>
      <c r="AE439" s="116">
        <f t="shared" si="97"/>
        <v>827.68</v>
      </c>
    </row>
    <row r="440" spans="1:31">
      <c r="A440" s="131">
        <v>43038</v>
      </c>
      <c r="B440" s="131">
        <v>43067</v>
      </c>
      <c r="C440" s="123">
        <f t="shared" si="88"/>
        <v>29</v>
      </c>
      <c r="D440" s="123" t="s">
        <v>218</v>
      </c>
      <c r="E440" s="132">
        <v>5668.39</v>
      </c>
      <c r="F440" s="135"/>
      <c r="G440" s="135"/>
      <c r="H440" s="123"/>
      <c r="I440" s="123"/>
      <c r="J440" s="123"/>
      <c r="K440" s="123"/>
      <c r="L440" s="123"/>
      <c r="M440" s="123"/>
      <c r="N440" s="123"/>
      <c r="O440" s="123"/>
      <c r="P440" s="123">
        <v>1</v>
      </c>
      <c r="Q440" s="123">
        <v>28</v>
      </c>
      <c r="R440" s="123"/>
      <c r="S440" s="133">
        <f t="shared" si="86"/>
        <v>0</v>
      </c>
      <c r="T440" s="116">
        <f t="shared" si="100"/>
        <v>0</v>
      </c>
      <c r="U440" s="116">
        <f t="shared" si="89"/>
        <v>0</v>
      </c>
      <c r="V440" s="116">
        <f t="shared" si="98"/>
        <v>0</v>
      </c>
      <c r="W440" s="116">
        <f t="shared" si="99"/>
        <v>0</v>
      </c>
      <c r="X440" s="116">
        <f t="shared" si="90"/>
        <v>0</v>
      </c>
      <c r="Y440" s="116">
        <f t="shared" si="91"/>
        <v>0</v>
      </c>
      <c r="Z440" s="116">
        <f t="shared" si="92"/>
        <v>0</v>
      </c>
      <c r="AA440" s="116">
        <f t="shared" si="93"/>
        <v>0</v>
      </c>
      <c r="AB440" s="116">
        <f t="shared" si="94"/>
        <v>0</v>
      </c>
      <c r="AC440" s="116">
        <f t="shared" si="95"/>
        <v>1914.04</v>
      </c>
      <c r="AD440" s="116">
        <f t="shared" si="96"/>
        <v>49023</v>
      </c>
      <c r="AE440" s="116">
        <f t="shared" si="97"/>
        <v>0</v>
      </c>
    </row>
    <row r="441" spans="1:31">
      <c r="A441" s="131">
        <v>43040</v>
      </c>
      <c r="B441" s="131">
        <v>43070</v>
      </c>
      <c r="C441" s="123">
        <f t="shared" si="88"/>
        <v>30</v>
      </c>
      <c r="D441" s="123"/>
      <c r="E441" s="132">
        <v>140486.67000000001</v>
      </c>
      <c r="F441" s="135"/>
      <c r="G441" s="135"/>
      <c r="H441" s="123"/>
      <c r="I441" s="123"/>
      <c r="J441" s="123"/>
      <c r="K441" s="123"/>
      <c r="L441" s="123"/>
      <c r="M441" s="123"/>
      <c r="N441" s="123"/>
      <c r="O441" s="123"/>
      <c r="P441" s="123"/>
      <c r="Q441" s="123">
        <v>30</v>
      </c>
      <c r="R441" s="123"/>
      <c r="S441" s="133">
        <f t="shared" si="86"/>
        <v>0</v>
      </c>
      <c r="T441" s="116">
        <f t="shared" si="100"/>
        <v>0</v>
      </c>
      <c r="U441" s="116">
        <f t="shared" si="89"/>
        <v>0</v>
      </c>
      <c r="V441" s="116">
        <f t="shared" si="98"/>
        <v>0</v>
      </c>
      <c r="W441" s="116">
        <f t="shared" si="99"/>
        <v>0</v>
      </c>
      <c r="X441" s="116">
        <f t="shared" si="90"/>
        <v>0</v>
      </c>
      <c r="Y441" s="116">
        <f t="shared" si="91"/>
        <v>0</v>
      </c>
      <c r="Z441" s="116">
        <f t="shared" si="92"/>
        <v>0</v>
      </c>
      <c r="AA441" s="116">
        <f t="shared" si="93"/>
        <v>0</v>
      </c>
      <c r="AB441" s="116">
        <f t="shared" si="94"/>
        <v>0</v>
      </c>
      <c r="AC441" s="116">
        <f t="shared" si="95"/>
        <v>0</v>
      </c>
      <c r="AD441" s="116">
        <f t="shared" si="96"/>
        <v>1258390.0900000001</v>
      </c>
      <c r="AE441" s="116">
        <f t="shared" si="97"/>
        <v>0</v>
      </c>
    </row>
    <row r="442" spans="1:31">
      <c r="A442" s="131">
        <v>43034</v>
      </c>
      <c r="B442" s="131">
        <v>43065</v>
      </c>
      <c r="C442" s="123">
        <f t="shared" si="88"/>
        <v>31</v>
      </c>
      <c r="D442" s="123"/>
      <c r="E442" s="132">
        <v>1345.95</v>
      </c>
      <c r="F442" s="135"/>
      <c r="G442" s="135"/>
      <c r="H442" s="123"/>
      <c r="I442" s="123"/>
      <c r="J442" s="123"/>
      <c r="K442" s="123"/>
      <c r="L442" s="123"/>
      <c r="M442" s="123"/>
      <c r="N442" s="123"/>
      <c r="O442" s="123"/>
      <c r="P442" s="123">
        <v>6</v>
      </c>
      <c r="Q442" s="123">
        <v>25</v>
      </c>
      <c r="R442" s="123"/>
      <c r="S442" s="133">
        <f t="shared" si="86"/>
        <v>0</v>
      </c>
      <c r="T442" s="116">
        <f t="shared" si="100"/>
        <v>0</v>
      </c>
      <c r="U442" s="116">
        <f t="shared" si="89"/>
        <v>0</v>
      </c>
      <c r="V442" s="116">
        <f t="shared" si="98"/>
        <v>0</v>
      </c>
      <c r="W442" s="116">
        <f t="shared" si="99"/>
        <v>0</v>
      </c>
      <c r="X442" s="116">
        <f t="shared" si="90"/>
        <v>0</v>
      </c>
      <c r="Y442" s="116">
        <f t="shared" si="91"/>
        <v>0</v>
      </c>
      <c r="Z442" s="116">
        <f t="shared" si="92"/>
        <v>0</v>
      </c>
      <c r="AA442" s="116">
        <f t="shared" si="93"/>
        <v>0</v>
      </c>
      <c r="AB442" s="116">
        <f t="shared" si="94"/>
        <v>0</v>
      </c>
      <c r="AC442" s="116">
        <f t="shared" si="95"/>
        <v>2550.98</v>
      </c>
      <c r="AD442" s="116">
        <f t="shared" si="96"/>
        <v>9722.7099999999991</v>
      </c>
      <c r="AE442" s="116">
        <f t="shared" si="97"/>
        <v>0</v>
      </c>
    </row>
    <row r="443" spans="1:31">
      <c r="A443" s="131">
        <v>43042</v>
      </c>
      <c r="B443" s="131">
        <v>43072</v>
      </c>
      <c r="C443" s="123">
        <f t="shared" si="88"/>
        <v>30</v>
      </c>
      <c r="D443" s="123"/>
      <c r="E443" s="132">
        <v>807.42</v>
      </c>
      <c r="F443" s="135"/>
      <c r="G443" s="135"/>
      <c r="H443" s="123"/>
      <c r="I443" s="123"/>
      <c r="J443" s="123"/>
      <c r="K443" s="123"/>
      <c r="L443" s="123"/>
      <c r="M443" s="123"/>
      <c r="N443" s="123"/>
      <c r="O443" s="123"/>
      <c r="P443" s="123"/>
      <c r="Q443" s="123">
        <v>28</v>
      </c>
      <c r="R443" s="123">
        <v>2</v>
      </c>
      <c r="S443" s="133">
        <f t="shared" si="86"/>
        <v>0</v>
      </c>
      <c r="T443" s="116">
        <f t="shared" si="100"/>
        <v>0</v>
      </c>
      <c r="U443" s="116">
        <f t="shared" si="89"/>
        <v>0</v>
      </c>
      <c r="V443" s="116">
        <f t="shared" si="98"/>
        <v>0</v>
      </c>
      <c r="W443" s="116">
        <f t="shared" si="99"/>
        <v>0</v>
      </c>
      <c r="X443" s="116">
        <f t="shared" si="90"/>
        <v>0</v>
      </c>
      <c r="Y443" s="116">
        <f t="shared" si="91"/>
        <v>0</v>
      </c>
      <c r="Z443" s="116">
        <f t="shared" si="92"/>
        <v>0</v>
      </c>
      <c r="AA443" s="116">
        <f t="shared" si="93"/>
        <v>0</v>
      </c>
      <c r="AB443" s="116">
        <f t="shared" si="94"/>
        <v>0</v>
      </c>
      <c r="AC443" s="116">
        <f t="shared" si="95"/>
        <v>0</v>
      </c>
      <c r="AD443" s="116">
        <f t="shared" si="96"/>
        <v>6750.2</v>
      </c>
      <c r="AE443" s="116">
        <f t="shared" si="97"/>
        <v>641.5</v>
      </c>
    </row>
    <row r="444" spans="1:31">
      <c r="A444" s="131">
        <v>43042</v>
      </c>
      <c r="B444" s="131">
        <v>43072</v>
      </c>
      <c r="C444" s="123">
        <f t="shared" si="88"/>
        <v>30</v>
      </c>
      <c r="D444" s="123"/>
      <c r="E444" s="132">
        <v>494.5</v>
      </c>
      <c r="F444" s="135"/>
      <c r="G444" s="135"/>
      <c r="H444" s="123"/>
      <c r="I444" s="123"/>
      <c r="J444" s="123"/>
      <c r="K444" s="123"/>
      <c r="L444" s="123"/>
      <c r="M444" s="123"/>
      <c r="N444" s="123"/>
      <c r="O444" s="123"/>
      <c r="P444" s="123"/>
      <c r="Q444" s="123">
        <v>28</v>
      </c>
      <c r="R444" s="123">
        <v>2</v>
      </c>
      <c r="S444" s="133">
        <f t="shared" si="86"/>
        <v>0</v>
      </c>
      <c r="T444" s="116">
        <f t="shared" si="100"/>
        <v>0</v>
      </c>
      <c r="U444" s="116">
        <f t="shared" si="89"/>
        <v>0</v>
      </c>
      <c r="V444" s="116">
        <f t="shared" si="98"/>
        <v>0</v>
      </c>
      <c r="W444" s="116">
        <f t="shared" si="99"/>
        <v>0</v>
      </c>
      <c r="X444" s="116">
        <f t="shared" si="90"/>
        <v>0</v>
      </c>
      <c r="Y444" s="116">
        <f t="shared" si="91"/>
        <v>0</v>
      </c>
      <c r="Z444" s="116">
        <f t="shared" si="92"/>
        <v>0</v>
      </c>
      <c r="AA444" s="116">
        <f t="shared" si="93"/>
        <v>0</v>
      </c>
      <c r="AB444" s="116">
        <f t="shared" si="94"/>
        <v>0</v>
      </c>
      <c r="AC444" s="116">
        <f t="shared" si="95"/>
        <v>0</v>
      </c>
      <c r="AD444" s="116">
        <f t="shared" si="96"/>
        <v>4134.12</v>
      </c>
      <c r="AE444" s="116">
        <f t="shared" si="97"/>
        <v>392.88</v>
      </c>
    </row>
    <row r="445" spans="1:31">
      <c r="A445" s="131">
        <v>43042</v>
      </c>
      <c r="B445" s="131">
        <v>43072</v>
      </c>
      <c r="C445" s="123">
        <f t="shared" si="88"/>
        <v>30</v>
      </c>
      <c r="D445" s="123"/>
      <c r="E445" s="132">
        <v>311.86</v>
      </c>
      <c r="F445" s="135"/>
      <c r="G445" s="135"/>
      <c r="H445" s="123"/>
      <c r="I445" s="123"/>
      <c r="J445" s="123"/>
      <c r="K445" s="123"/>
      <c r="L445" s="123"/>
      <c r="M445" s="123"/>
      <c r="N445" s="123"/>
      <c r="O445" s="123"/>
      <c r="P445" s="123"/>
      <c r="Q445" s="123">
        <v>28</v>
      </c>
      <c r="R445" s="123">
        <v>2</v>
      </c>
      <c r="S445" s="133">
        <f t="shared" si="86"/>
        <v>0</v>
      </c>
      <c r="T445" s="116">
        <f t="shared" si="100"/>
        <v>0</v>
      </c>
      <c r="U445" s="116">
        <f t="shared" si="89"/>
        <v>0</v>
      </c>
      <c r="V445" s="116">
        <f t="shared" si="98"/>
        <v>0</v>
      </c>
      <c r="W445" s="116">
        <f t="shared" si="99"/>
        <v>0</v>
      </c>
      <c r="X445" s="116">
        <f t="shared" si="90"/>
        <v>0</v>
      </c>
      <c r="Y445" s="116">
        <f t="shared" si="91"/>
        <v>0</v>
      </c>
      <c r="Z445" s="116">
        <f t="shared" si="92"/>
        <v>0</v>
      </c>
      <c r="AA445" s="116">
        <f t="shared" si="93"/>
        <v>0</v>
      </c>
      <c r="AB445" s="116">
        <f t="shared" si="94"/>
        <v>0</v>
      </c>
      <c r="AC445" s="116">
        <f t="shared" si="95"/>
        <v>0</v>
      </c>
      <c r="AD445" s="116">
        <f t="shared" si="96"/>
        <v>2607.21</v>
      </c>
      <c r="AE445" s="116">
        <f t="shared" si="97"/>
        <v>247.77</v>
      </c>
    </row>
    <row r="446" spans="1:31">
      <c r="A446" s="131">
        <v>43042</v>
      </c>
      <c r="B446" s="131">
        <v>43072</v>
      </c>
      <c r="C446" s="123">
        <f t="shared" si="88"/>
        <v>30</v>
      </c>
      <c r="D446" s="123"/>
      <c r="E446" s="132">
        <v>2144.73</v>
      </c>
      <c r="F446" s="135"/>
      <c r="G446" s="135"/>
      <c r="H446" s="123"/>
      <c r="I446" s="123"/>
      <c r="J446" s="123"/>
      <c r="K446" s="123"/>
      <c r="L446" s="123"/>
      <c r="M446" s="123"/>
      <c r="N446" s="123"/>
      <c r="O446" s="123"/>
      <c r="P446" s="123"/>
      <c r="Q446" s="123">
        <v>28</v>
      </c>
      <c r="R446" s="123">
        <v>2</v>
      </c>
      <c r="S446" s="133">
        <f t="shared" si="86"/>
        <v>0</v>
      </c>
      <c r="T446" s="116">
        <f t="shared" si="100"/>
        <v>0</v>
      </c>
      <c r="U446" s="116">
        <f t="shared" si="89"/>
        <v>0</v>
      </c>
      <c r="V446" s="116">
        <f t="shared" si="98"/>
        <v>0</v>
      </c>
      <c r="W446" s="116">
        <f t="shared" si="99"/>
        <v>0</v>
      </c>
      <c r="X446" s="116">
        <f t="shared" si="90"/>
        <v>0</v>
      </c>
      <c r="Y446" s="116">
        <f t="shared" si="91"/>
        <v>0</v>
      </c>
      <c r="Z446" s="116">
        <f t="shared" si="92"/>
        <v>0</v>
      </c>
      <c r="AA446" s="116">
        <f t="shared" si="93"/>
        <v>0</v>
      </c>
      <c r="AB446" s="116">
        <f t="shared" si="94"/>
        <v>0</v>
      </c>
      <c r="AC446" s="116">
        <f t="shared" si="95"/>
        <v>0</v>
      </c>
      <c r="AD446" s="116">
        <f t="shared" si="96"/>
        <v>17930.38</v>
      </c>
      <c r="AE446" s="116">
        <f t="shared" si="97"/>
        <v>1703.99</v>
      </c>
    </row>
    <row r="447" spans="1:31">
      <c r="A447" s="131">
        <v>43040</v>
      </c>
      <c r="B447" s="131">
        <v>43070</v>
      </c>
      <c r="C447" s="123">
        <f t="shared" si="88"/>
        <v>30</v>
      </c>
      <c r="D447" s="123"/>
      <c r="E447" s="132">
        <v>88508.15</v>
      </c>
      <c r="F447" s="135"/>
      <c r="G447" s="135"/>
      <c r="H447" s="123"/>
      <c r="I447" s="123"/>
      <c r="J447" s="123"/>
      <c r="K447" s="123"/>
      <c r="L447" s="123"/>
      <c r="M447" s="123"/>
      <c r="N447" s="123"/>
      <c r="O447" s="123"/>
      <c r="P447" s="123"/>
      <c r="Q447" s="123">
        <v>30</v>
      </c>
      <c r="R447" s="123"/>
      <c r="S447" s="133">
        <f t="shared" si="86"/>
        <v>0</v>
      </c>
      <c r="T447" s="116">
        <f t="shared" si="100"/>
        <v>0</v>
      </c>
      <c r="U447" s="116">
        <f t="shared" si="89"/>
        <v>0</v>
      </c>
      <c r="V447" s="116">
        <f t="shared" si="98"/>
        <v>0</v>
      </c>
      <c r="W447" s="116">
        <f t="shared" si="99"/>
        <v>0</v>
      </c>
      <c r="X447" s="116">
        <f t="shared" si="90"/>
        <v>0</v>
      </c>
      <c r="Y447" s="116">
        <f t="shared" si="91"/>
        <v>0</v>
      </c>
      <c r="Z447" s="116">
        <f t="shared" si="92"/>
        <v>0</v>
      </c>
      <c r="AA447" s="116">
        <f t="shared" si="93"/>
        <v>0</v>
      </c>
      <c r="AB447" s="116">
        <f t="shared" si="94"/>
        <v>0</v>
      </c>
      <c r="AC447" s="116">
        <f t="shared" si="95"/>
        <v>0</v>
      </c>
      <c r="AD447" s="116">
        <f t="shared" si="96"/>
        <v>792799.62</v>
      </c>
      <c r="AE447" s="116">
        <f t="shared" si="97"/>
        <v>0</v>
      </c>
    </row>
    <row r="448" spans="1:31">
      <c r="A448" s="131">
        <v>43040</v>
      </c>
      <c r="B448" s="131">
        <v>43070</v>
      </c>
      <c r="C448" s="123">
        <f t="shared" si="88"/>
        <v>30</v>
      </c>
      <c r="D448" s="123" t="s">
        <v>219</v>
      </c>
      <c r="E448" s="132">
        <v>4621.9000000000005</v>
      </c>
      <c r="F448" s="135"/>
      <c r="G448" s="135"/>
      <c r="H448" s="123"/>
      <c r="I448" s="123"/>
      <c r="J448" s="123"/>
      <c r="K448" s="123"/>
      <c r="L448" s="123"/>
      <c r="M448" s="123"/>
      <c r="N448" s="123"/>
      <c r="O448" s="123"/>
      <c r="P448" s="123"/>
      <c r="Q448" s="123">
        <v>30</v>
      </c>
      <c r="R448" s="123"/>
      <c r="S448" s="133">
        <f t="shared" si="86"/>
        <v>0</v>
      </c>
      <c r="T448" s="116">
        <f t="shared" si="100"/>
        <v>0</v>
      </c>
      <c r="U448" s="116">
        <f t="shared" si="89"/>
        <v>0</v>
      </c>
      <c r="V448" s="116">
        <f t="shared" si="98"/>
        <v>0</v>
      </c>
      <c r="W448" s="116">
        <f t="shared" si="99"/>
        <v>0</v>
      </c>
      <c r="X448" s="116">
        <f t="shared" si="90"/>
        <v>0</v>
      </c>
      <c r="Y448" s="116">
        <f t="shared" si="91"/>
        <v>0</v>
      </c>
      <c r="Z448" s="116">
        <f t="shared" si="92"/>
        <v>0</v>
      </c>
      <c r="AA448" s="116">
        <f t="shared" si="93"/>
        <v>0</v>
      </c>
      <c r="AB448" s="116">
        <f t="shared" si="94"/>
        <v>0</v>
      </c>
      <c r="AC448" s="116">
        <f t="shared" si="95"/>
        <v>0</v>
      </c>
      <c r="AD448" s="116">
        <f t="shared" si="96"/>
        <v>41400.04</v>
      </c>
      <c r="AE448" s="116">
        <f t="shared" si="97"/>
        <v>0</v>
      </c>
    </row>
    <row r="449" spans="1:31">
      <c r="A449" s="131">
        <v>43044</v>
      </c>
      <c r="B449" s="131">
        <v>43074</v>
      </c>
      <c r="C449" s="123">
        <f t="shared" si="88"/>
        <v>30</v>
      </c>
      <c r="D449" s="123"/>
      <c r="E449" s="132">
        <v>626.37</v>
      </c>
      <c r="F449" s="135"/>
      <c r="G449" s="135"/>
      <c r="H449" s="123"/>
      <c r="I449" s="123"/>
      <c r="J449" s="123"/>
      <c r="K449" s="123"/>
      <c r="L449" s="123"/>
      <c r="M449" s="123"/>
      <c r="N449" s="123"/>
      <c r="O449" s="123"/>
      <c r="P449" s="123"/>
      <c r="Q449" s="123">
        <v>26</v>
      </c>
      <c r="R449" s="123">
        <v>4</v>
      </c>
      <c r="S449" s="133">
        <f t="shared" si="86"/>
        <v>0</v>
      </c>
      <c r="T449" s="116">
        <f t="shared" si="100"/>
        <v>0</v>
      </c>
      <c r="U449" s="116">
        <f t="shared" si="89"/>
        <v>0</v>
      </c>
      <c r="V449" s="116">
        <f t="shared" si="98"/>
        <v>0</v>
      </c>
      <c r="W449" s="116">
        <f t="shared" si="99"/>
        <v>0</v>
      </c>
      <c r="X449" s="116">
        <f t="shared" si="90"/>
        <v>0</v>
      </c>
      <c r="Y449" s="116">
        <f t="shared" si="91"/>
        <v>0</v>
      </c>
      <c r="Z449" s="116">
        <f t="shared" si="92"/>
        <v>0</v>
      </c>
      <c r="AA449" s="116">
        <f t="shared" si="93"/>
        <v>0</v>
      </c>
      <c r="AB449" s="116">
        <f t="shared" si="94"/>
        <v>0</v>
      </c>
      <c r="AC449" s="116">
        <f t="shared" si="95"/>
        <v>0</v>
      </c>
      <c r="AD449" s="116">
        <f t="shared" si="96"/>
        <v>4862.54</v>
      </c>
      <c r="AE449" s="116">
        <f t="shared" si="97"/>
        <v>995.3</v>
      </c>
    </row>
    <row r="450" spans="1:31" ht="15.75" thickBot="1">
      <c r="A450" s="131">
        <v>43044</v>
      </c>
      <c r="B450" s="131">
        <v>43074</v>
      </c>
      <c r="C450" s="123">
        <f t="shared" si="88"/>
        <v>30</v>
      </c>
      <c r="D450" s="123"/>
      <c r="E450" s="132">
        <v>159.03</v>
      </c>
      <c r="F450" s="135"/>
      <c r="G450" s="135"/>
      <c r="H450" s="123"/>
      <c r="I450" s="123"/>
      <c r="J450" s="123"/>
      <c r="K450" s="123"/>
      <c r="L450" s="123"/>
      <c r="M450" s="123"/>
      <c r="N450" s="123"/>
      <c r="O450" s="123"/>
      <c r="P450" s="123"/>
      <c r="Q450" s="123">
        <v>26</v>
      </c>
      <c r="R450" s="123">
        <v>4</v>
      </c>
      <c r="S450" s="133">
        <f t="shared" si="86"/>
        <v>0</v>
      </c>
      <c r="T450" s="116">
        <f t="shared" si="100"/>
        <v>0</v>
      </c>
      <c r="U450" s="116">
        <f t="shared" si="89"/>
        <v>0</v>
      </c>
      <c r="V450" s="116">
        <f t="shared" si="98"/>
        <v>0</v>
      </c>
      <c r="W450" s="116">
        <f t="shared" si="99"/>
        <v>0</v>
      </c>
      <c r="X450" s="116">
        <f t="shared" si="90"/>
        <v>0</v>
      </c>
      <c r="Y450" s="116">
        <f t="shared" si="91"/>
        <v>0</v>
      </c>
      <c r="Z450" s="116">
        <f t="shared" si="92"/>
        <v>0</v>
      </c>
      <c r="AA450" s="116">
        <f t="shared" si="93"/>
        <v>0</v>
      </c>
      <c r="AB450" s="116">
        <f t="shared" si="94"/>
        <v>0</v>
      </c>
      <c r="AC450" s="116">
        <f t="shared" si="95"/>
        <v>0</v>
      </c>
      <c r="AD450" s="116">
        <f t="shared" si="96"/>
        <v>1234.56</v>
      </c>
      <c r="AE450" s="116">
        <f t="shared" si="97"/>
        <v>252.7</v>
      </c>
    </row>
    <row r="451" spans="1:31" ht="15.75" thickBot="1">
      <c r="A451" s="197">
        <v>2018</v>
      </c>
      <c r="B451" s="198"/>
      <c r="C451" s="198"/>
      <c r="D451" s="198"/>
      <c r="E451" s="198"/>
      <c r="F451" s="198"/>
      <c r="G451" s="198"/>
      <c r="H451" s="198"/>
      <c r="I451" s="198"/>
      <c r="J451" s="198"/>
      <c r="K451" s="198"/>
      <c r="L451" s="198"/>
      <c r="M451" s="198"/>
      <c r="N451" s="198"/>
      <c r="O451" s="198"/>
      <c r="P451" s="198"/>
      <c r="Q451" s="198"/>
      <c r="R451" s="198"/>
      <c r="S451" s="198"/>
      <c r="T451" s="198"/>
      <c r="U451" s="198"/>
      <c r="V451" s="198"/>
      <c r="W451" s="198"/>
      <c r="X451" s="198"/>
      <c r="Y451" s="198"/>
      <c r="Z451" s="198"/>
      <c r="AA451" s="198"/>
      <c r="AB451" s="198"/>
      <c r="AC451" s="198"/>
      <c r="AD451" s="198"/>
      <c r="AE451" s="199"/>
    </row>
    <row r="452" spans="1:31">
      <c r="A452" s="131">
        <v>43047</v>
      </c>
      <c r="B452" s="131">
        <v>43077</v>
      </c>
      <c r="C452" s="123">
        <f t="shared" si="88"/>
        <v>30</v>
      </c>
      <c r="D452" s="123"/>
      <c r="E452" s="132">
        <v>477.06</v>
      </c>
      <c r="F452" s="135"/>
      <c r="G452" s="135"/>
      <c r="H452" s="123"/>
      <c r="I452" s="123"/>
      <c r="J452" s="123"/>
      <c r="K452" s="123"/>
      <c r="L452" s="123"/>
      <c r="M452" s="123"/>
      <c r="N452" s="123"/>
      <c r="O452" s="123"/>
      <c r="P452" s="123"/>
      <c r="Q452" s="123">
        <v>23</v>
      </c>
      <c r="R452" s="123">
        <v>7</v>
      </c>
      <c r="S452" s="133">
        <f t="shared" si="86"/>
        <v>0</v>
      </c>
      <c r="T452" s="116">
        <f t="shared" si="100"/>
        <v>0</v>
      </c>
      <c r="U452" s="116">
        <f t="shared" si="89"/>
        <v>0</v>
      </c>
      <c r="V452" s="116">
        <f t="shared" si="98"/>
        <v>0</v>
      </c>
      <c r="W452" s="116">
        <f t="shared" si="99"/>
        <v>0</v>
      </c>
      <c r="X452" s="116">
        <f t="shared" si="90"/>
        <v>0</v>
      </c>
      <c r="Y452" s="116">
        <f t="shared" si="91"/>
        <v>0</v>
      </c>
      <c r="Z452" s="116">
        <f t="shared" si="92"/>
        <v>0</v>
      </c>
      <c r="AA452" s="116">
        <f t="shared" si="93"/>
        <v>0</v>
      </c>
      <c r="AB452" s="116">
        <f t="shared" si="94"/>
        <v>0</v>
      </c>
      <c r="AC452" s="116">
        <f t="shared" si="95"/>
        <v>0</v>
      </c>
      <c r="AD452" s="116">
        <f t="shared" si="96"/>
        <v>3276.12</v>
      </c>
      <c r="AE452" s="116">
        <f t="shared" si="97"/>
        <v>1326.59</v>
      </c>
    </row>
    <row r="453" spans="1:31">
      <c r="A453" s="131">
        <v>43047</v>
      </c>
      <c r="B453" s="131">
        <v>43077</v>
      </c>
      <c r="C453" s="123">
        <f t="shared" si="88"/>
        <v>30</v>
      </c>
      <c r="D453" s="123"/>
      <c r="E453" s="132">
        <v>250.85</v>
      </c>
      <c r="F453" s="135"/>
      <c r="G453" s="135"/>
      <c r="H453" s="123"/>
      <c r="I453" s="123"/>
      <c r="J453" s="123"/>
      <c r="K453" s="123"/>
      <c r="L453" s="123"/>
      <c r="M453" s="123"/>
      <c r="N453" s="123"/>
      <c r="O453" s="123"/>
      <c r="P453" s="123"/>
      <c r="Q453" s="123">
        <v>23</v>
      </c>
      <c r="R453" s="123">
        <v>7</v>
      </c>
      <c r="S453" s="133">
        <f t="shared" si="86"/>
        <v>0</v>
      </c>
      <c r="T453" s="116">
        <f t="shared" si="100"/>
        <v>0</v>
      </c>
      <c r="U453" s="116">
        <f t="shared" si="89"/>
        <v>0</v>
      </c>
      <c r="V453" s="116">
        <f t="shared" si="98"/>
        <v>0</v>
      </c>
      <c r="W453" s="116">
        <f t="shared" si="99"/>
        <v>0</v>
      </c>
      <c r="X453" s="116">
        <f t="shared" si="90"/>
        <v>0</v>
      </c>
      <c r="Y453" s="116">
        <f t="shared" si="91"/>
        <v>0</v>
      </c>
      <c r="Z453" s="116">
        <f t="shared" si="92"/>
        <v>0</v>
      </c>
      <c r="AA453" s="116">
        <f t="shared" si="93"/>
        <v>0</v>
      </c>
      <c r="AB453" s="116">
        <f t="shared" si="94"/>
        <v>0</v>
      </c>
      <c r="AC453" s="116">
        <f t="shared" si="95"/>
        <v>0</v>
      </c>
      <c r="AD453" s="116">
        <f t="shared" si="96"/>
        <v>1722.67</v>
      </c>
      <c r="AE453" s="116">
        <f t="shared" si="97"/>
        <v>697.55</v>
      </c>
    </row>
    <row r="454" spans="1:31">
      <c r="A454" s="131">
        <v>43047</v>
      </c>
      <c r="B454" s="131">
        <v>43077</v>
      </c>
      <c r="C454" s="123">
        <f t="shared" si="88"/>
        <v>30</v>
      </c>
      <c r="D454" s="123"/>
      <c r="E454" s="132">
        <v>222.37</v>
      </c>
      <c r="F454" s="135"/>
      <c r="G454" s="135"/>
      <c r="H454" s="123"/>
      <c r="I454" s="123"/>
      <c r="J454" s="123"/>
      <c r="K454" s="123"/>
      <c r="L454" s="123"/>
      <c r="M454" s="123"/>
      <c r="N454" s="123"/>
      <c r="O454" s="123"/>
      <c r="P454" s="123"/>
      <c r="Q454" s="123">
        <v>23</v>
      </c>
      <c r="R454" s="123">
        <v>7</v>
      </c>
      <c r="S454" s="133">
        <f t="shared" si="86"/>
        <v>0</v>
      </c>
      <c r="T454" s="116">
        <f t="shared" si="100"/>
        <v>0</v>
      </c>
      <c r="U454" s="116">
        <f t="shared" si="89"/>
        <v>0</v>
      </c>
      <c r="V454" s="116">
        <f t="shared" si="98"/>
        <v>0</v>
      </c>
      <c r="W454" s="116">
        <f t="shared" si="99"/>
        <v>0</v>
      </c>
      <c r="X454" s="116">
        <f t="shared" si="90"/>
        <v>0</v>
      </c>
      <c r="Y454" s="116">
        <f t="shared" si="91"/>
        <v>0</v>
      </c>
      <c r="Z454" s="116">
        <f t="shared" si="92"/>
        <v>0</v>
      </c>
      <c r="AA454" s="116">
        <f t="shared" si="93"/>
        <v>0</v>
      </c>
      <c r="AB454" s="116">
        <f t="shared" si="94"/>
        <v>0</v>
      </c>
      <c r="AC454" s="116">
        <f t="shared" si="95"/>
        <v>0</v>
      </c>
      <c r="AD454" s="116">
        <f t="shared" si="96"/>
        <v>1527.08</v>
      </c>
      <c r="AE454" s="116">
        <f t="shared" si="97"/>
        <v>618.36</v>
      </c>
    </row>
    <row r="455" spans="1:31">
      <c r="A455" s="131">
        <v>43051</v>
      </c>
      <c r="B455" s="131">
        <v>43081</v>
      </c>
      <c r="C455" s="123">
        <f t="shared" si="88"/>
        <v>30</v>
      </c>
      <c r="D455" s="123"/>
      <c r="E455" s="132">
        <v>857.18</v>
      </c>
      <c r="F455" s="135"/>
      <c r="G455" s="135"/>
      <c r="H455" s="123"/>
      <c r="I455" s="123"/>
      <c r="J455" s="123"/>
      <c r="K455" s="123"/>
      <c r="L455" s="123"/>
      <c r="M455" s="123"/>
      <c r="N455" s="123"/>
      <c r="O455" s="123"/>
      <c r="P455" s="123"/>
      <c r="Q455" s="123">
        <v>19</v>
      </c>
      <c r="R455" s="123">
        <v>11</v>
      </c>
      <c r="S455" s="133">
        <f t="shared" si="86"/>
        <v>0</v>
      </c>
      <c r="T455" s="116">
        <f t="shared" si="100"/>
        <v>0</v>
      </c>
      <c r="U455" s="116">
        <f t="shared" si="89"/>
        <v>0</v>
      </c>
      <c r="V455" s="116">
        <f t="shared" si="98"/>
        <v>0</v>
      </c>
      <c r="W455" s="116">
        <f t="shared" si="99"/>
        <v>0</v>
      </c>
      <c r="X455" s="116">
        <f t="shared" si="90"/>
        <v>0</v>
      </c>
      <c r="Y455" s="116">
        <f t="shared" si="91"/>
        <v>0</v>
      </c>
      <c r="Z455" s="116">
        <f t="shared" si="92"/>
        <v>0</v>
      </c>
      <c r="AA455" s="116">
        <f t="shared" si="93"/>
        <v>0</v>
      </c>
      <c r="AB455" s="116">
        <f t="shared" si="94"/>
        <v>0</v>
      </c>
      <c r="AC455" s="116">
        <f t="shared" si="95"/>
        <v>0</v>
      </c>
      <c r="AD455" s="116">
        <f t="shared" si="96"/>
        <v>4862.78</v>
      </c>
      <c r="AE455" s="116">
        <f t="shared" si="97"/>
        <v>3745.67</v>
      </c>
    </row>
    <row r="456" spans="1:31">
      <c r="A456" s="131">
        <v>43051</v>
      </c>
      <c r="B456" s="131">
        <v>43081</v>
      </c>
      <c r="C456" s="123">
        <f t="shared" si="88"/>
        <v>30</v>
      </c>
      <c r="D456" s="123"/>
      <c r="E456" s="132">
        <v>625.5</v>
      </c>
      <c r="F456" s="135"/>
      <c r="G456" s="135"/>
      <c r="H456" s="123"/>
      <c r="I456" s="123"/>
      <c r="J456" s="123"/>
      <c r="K456" s="123"/>
      <c r="L456" s="123"/>
      <c r="M456" s="123"/>
      <c r="N456" s="123"/>
      <c r="O456" s="123"/>
      <c r="P456" s="123"/>
      <c r="Q456" s="123">
        <v>19</v>
      </c>
      <c r="R456" s="123">
        <v>11</v>
      </c>
      <c r="S456" s="133">
        <f t="shared" ref="S456:S475" si="101">C456-SUM(G456:R456)</f>
        <v>0</v>
      </c>
      <c r="T456" s="116">
        <f t="shared" si="100"/>
        <v>0</v>
      </c>
      <c r="U456" s="116">
        <f t="shared" si="89"/>
        <v>0</v>
      </c>
      <c r="V456" s="116">
        <f t="shared" si="98"/>
        <v>0</v>
      </c>
      <c r="W456" s="116">
        <f t="shared" si="99"/>
        <v>0</v>
      </c>
      <c r="X456" s="116">
        <f t="shared" si="90"/>
        <v>0</v>
      </c>
      <c r="Y456" s="116">
        <f t="shared" si="91"/>
        <v>0</v>
      </c>
      <c r="Z456" s="116">
        <f t="shared" si="92"/>
        <v>0</v>
      </c>
      <c r="AA456" s="116">
        <f t="shared" si="93"/>
        <v>0</v>
      </c>
      <c r="AB456" s="116">
        <f t="shared" si="94"/>
        <v>0</v>
      </c>
      <c r="AC456" s="116">
        <f t="shared" si="95"/>
        <v>0</v>
      </c>
      <c r="AD456" s="116">
        <f t="shared" si="96"/>
        <v>3548.46</v>
      </c>
      <c r="AE456" s="116">
        <f t="shared" si="97"/>
        <v>2733.29</v>
      </c>
    </row>
    <row r="457" spans="1:31">
      <c r="A457" s="131">
        <v>43050</v>
      </c>
      <c r="B457" s="131">
        <v>43080</v>
      </c>
      <c r="C457" s="123">
        <f t="shared" si="88"/>
        <v>30</v>
      </c>
      <c r="D457" s="123"/>
      <c r="E457" s="132">
        <v>1025.75</v>
      </c>
      <c r="F457" s="135"/>
      <c r="G457" s="135"/>
      <c r="H457" s="123"/>
      <c r="I457" s="123"/>
      <c r="J457" s="123"/>
      <c r="K457" s="123"/>
      <c r="L457" s="123"/>
      <c r="M457" s="123"/>
      <c r="N457" s="123"/>
      <c r="O457" s="123"/>
      <c r="P457" s="123"/>
      <c r="Q457" s="123">
        <v>20</v>
      </c>
      <c r="R457" s="123">
        <v>10</v>
      </c>
      <c r="S457" s="133">
        <f t="shared" si="101"/>
        <v>0</v>
      </c>
      <c r="T457" s="116">
        <f t="shared" si="100"/>
        <v>0</v>
      </c>
      <c r="U457" s="116">
        <f t="shared" si="89"/>
        <v>0</v>
      </c>
      <c r="V457" s="116">
        <f t="shared" si="98"/>
        <v>0</v>
      </c>
      <c r="W457" s="116">
        <f t="shared" si="99"/>
        <v>0</v>
      </c>
      <c r="X457" s="116">
        <f t="shared" si="90"/>
        <v>0</v>
      </c>
      <c r="Y457" s="116">
        <f t="shared" si="91"/>
        <v>0</v>
      </c>
      <c r="Z457" s="116">
        <f t="shared" si="92"/>
        <v>0</v>
      </c>
      <c r="AA457" s="116">
        <f t="shared" si="93"/>
        <v>0</v>
      </c>
      <c r="AB457" s="116">
        <f t="shared" si="94"/>
        <v>0</v>
      </c>
      <c r="AC457" s="116">
        <f t="shared" si="95"/>
        <v>0</v>
      </c>
      <c r="AD457" s="116">
        <f t="shared" si="96"/>
        <v>6125.34</v>
      </c>
      <c r="AE457" s="116">
        <f t="shared" si="97"/>
        <v>4074.8</v>
      </c>
    </row>
    <row r="458" spans="1:31">
      <c r="A458" s="131">
        <v>43051</v>
      </c>
      <c r="B458" s="131">
        <v>43081</v>
      </c>
      <c r="C458" s="123">
        <f t="shared" si="88"/>
        <v>30</v>
      </c>
      <c r="D458" s="123"/>
      <c r="E458" s="132">
        <v>192.78</v>
      </c>
      <c r="F458" s="135"/>
      <c r="G458" s="135"/>
      <c r="H458" s="123"/>
      <c r="I458" s="123"/>
      <c r="J458" s="123"/>
      <c r="K458" s="123"/>
      <c r="L458" s="123"/>
      <c r="M458" s="123"/>
      <c r="N458" s="123"/>
      <c r="O458" s="123"/>
      <c r="P458" s="123"/>
      <c r="Q458" s="123">
        <v>19</v>
      </c>
      <c r="R458" s="123">
        <v>11</v>
      </c>
      <c r="S458" s="133">
        <f t="shared" si="101"/>
        <v>0</v>
      </c>
      <c r="T458" s="116">
        <f t="shared" si="100"/>
        <v>0</v>
      </c>
      <c r="U458" s="116">
        <f t="shared" si="89"/>
        <v>0</v>
      </c>
      <c r="V458" s="116">
        <f t="shared" si="98"/>
        <v>0</v>
      </c>
      <c r="W458" s="116">
        <f t="shared" si="99"/>
        <v>0</v>
      </c>
      <c r="X458" s="116">
        <f t="shared" si="90"/>
        <v>0</v>
      </c>
      <c r="Y458" s="116">
        <f t="shared" si="91"/>
        <v>0</v>
      </c>
      <c r="Z458" s="116">
        <f t="shared" si="92"/>
        <v>0</v>
      </c>
      <c r="AA458" s="116">
        <f t="shared" si="93"/>
        <v>0</v>
      </c>
      <c r="AB458" s="116">
        <f t="shared" si="94"/>
        <v>0</v>
      </c>
      <c r="AC458" s="116">
        <f t="shared" si="95"/>
        <v>0</v>
      </c>
      <c r="AD458" s="116">
        <f t="shared" si="96"/>
        <v>1093.6400000000001</v>
      </c>
      <c r="AE458" s="116">
        <f t="shared" si="97"/>
        <v>842.4</v>
      </c>
    </row>
    <row r="459" spans="1:31">
      <c r="A459" s="131">
        <v>43047</v>
      </c>
      <c r="B459" s="131">
        <v>43077</v>
      </c>
      <c r="C459" s="123">
        <f t="shared" si="88"/>
        <v>30</v>
      </c>
      <c r="D459" s="123"/>
      <c r="E459" s="132">
        <v>123.09</v>
      </c>
      <c r="F459" s="135"/>
      <c r="G459" s="135"/>
      <c r="H459" s="123"/>
      <c r="I459" s="123"/>
      <c r="J459" s="123"/>
      <c r="K459" s="123"/>
      <c r="L459" s="123"/>
      <c r="M459" s="123"/>
      <c r="N459" s="123"/>
      <c r="O459" s="123"/>
      <c r="P459" s="123"/>
      <c r="Q459" s="123">
        <v>23</v>
      </c>
      <c r="R459" s="123">
        <v>7</v>
      </c>
      <c r="S459" s="133">
        <f t="shared" si="101"/>
        <v>0</v>
      </c>
      <c r="T459" s="116">
        <f t="shared" si="100"/>
        <v>0</v>
      </c>
      <c r="U459" s="116">
        <f t="shared" si="89"/>
        <v>0</v>
      </c>
      <c r="V459" s="116">
        <f t="shared" si="98"/>
        <v>0</v>
      </c>
      <c r="W459" s="116">
        <f t="shared" si="99"/>
        <v>0</v>
      </c>
      <c r="X459" s="116">
        <f t="shared" si="90"/>
        <v>0</v>
      </c>
      <c r="Y459" s="116">
        <f t="shared" si="91"/>
        <v>0</v>
      </c>
      <c r="Z459" s="116">
        <f t="shared" si="92"/>
        <v>0</v>
      </c>
      <c r="AA459" s="116">
        <f t="shared" si="93"/>
        <v>0</v>
      </c>
      <c r="AB459" s="116">
        <f t="shared" si="94"/>
        <v>0</v>
      </c>
      <c r="AC459" s="116">
        <f t="shared" si="95"/>
        <v>0</v>
      </c>
      <c r="AD459" s="116">
        <f t="shared" si="96"/>
        <v>845.3</v>
      </c>
      <c r="AE459" s="116">
        <f t="shared" si="97"/>
        <v>342.28</v>
      </c>
    </row>
    <row r="460" spans="1:31">
      <c r="A460" s="131">
        <v>43054</v>
      </c>
      <c r="B460" s="131">
        <v>43084</v>
      </c>
      <c r="C460" s="123">
        <f t="shared" si="88"/>
        <v>30</v>
      </c>
      <c r="D460" s="123"/>
      <c r="E460" s="132">
        <v>44528.1</v>
      </c>
      <c r="F460" s="135"/>
      <c r="G460" s="135"/>
      <c r="H460" s="123"/>
      <c r="I460" s="123"/>
      <c r="J460" s="123"/>
      <c r="K460" s="123"/>
      <c r="L460" s="123"/>
      <c r="M460" s="123"/>
      <c r="N460" s="123"/>
      <c r="O460" s="123"/>
      <c r="P460" s="123"/>
      <c r="Q460" s="123">
        <v>16</v>
      </c>
      <c r="R460" s="123">
        <v>14</v>
      </c>
      <c r="S460" s="133">
        <f t="shared" si="101"/>
        <v>0</v>
      </c>
      <c r="T460" s="116">
        <f t="shared" si="100"/>
        <v>0</v>
      </c>
      <c r="U460" s="116">
        <f t="shared" si="89"/>
        <v>0</v>
      </c>
      <c r="V460" s="116">
        <f t="shared" si="98"/>
        <v>0</v>
      </c>
      <c r="W460" s="116">
        <f t="shared" si="99"/>
        <v>0</v>
      </c>
      <c r="X460" s="116">
        <f t="shared" si="90"/>
        <v>0</v>
      </c>
      <c r="Y460" s="116">
        <f t="shared" si="91"/>
        <v>0</v>
      </c>
      <c r="Z460" s="116">
        <f t="shared" si="92"/>
        <v>0</v>
      </c>
      <c r="AA460" s="116">
        <f t="shared" si="93"/>
        <v>0</v>
      </c>
      <c r="AB460" s="116">
        <f t="shared" si="94"/>
        <v>0</v>
      </c>
      <c r="AC460" s="116">
        <f t="shared" si="95"/>
        <v>0</v>
      </c>
      <c r="AD460" s="116">
        <f t="shared" si="96"/>
        <v>212722.32</v>
      </c>
      <c r="AE460" s="116">
        <f t="shared" si="97"/>
        <v>247643.67</v>
      </c>
    </row>
    <row r="461" spans="1:31">
      <c r="A461" s="131">
        <v>43054</v>
      </c>
      <c r="B461" s="131">
        <v>43084</v>
      </c>
      <c r="C461" s="123">
        <f t="shared" si="88"/>
        <v>30</v>
      </c>
      <c r="D461" s="123"/>
      <c r="E461" s="132">
        <v>9065.51</v>
      </c>
      <c r="F461" s="135"/>
      <c r="G461" s="135"/>
      <c r="H461" s="123"/>
      <c r="I461" s="123"/>
      <c r="J461" s="123"/>
      <c r="K461" s="123"/>
      <c r="L461" s="123"/>
      <c r="M461" s="123"/>
      <c r="N461" s="123"/>
      <c r="O461" s="123"/>
      <c r="P461" s="123"/>
      <c r="Q461" s="123">
        <v>16</v>
      </c>
      <c r="R461" s="123">
        <v>14</v>
      </c>
      <c r="S461" s="133">
        <f t="shared" si="101"/>
        <v>0</v>
      </c>
      <c r="T461" s="116">
        <f t="shared" si="100"/>
        <v>0</v>
      </c>
      <c r="U461" s="116">
        <f t="shared" si="89"/>
        <v>0</v>
      </c>
      <c r="V461" s="116">
        <f t="shared" si="98"/>
        <v>0</v>
      </c>
      <c r="W461" s="116">
        <f t="shared" si="99"/>
        <v>0</v>
      </c>
      <c r="X461" s="116">
        <f t="shared" si="90"/>
        <v>0</v>
      </c>
      <c r="Y461" s="116">
        <f t="shared" si="91"/>
        <v>0</v>
      </c>
      <c r="Z461" s="116">
        <f t="shared" si="92"/>
        <v>0</v>
      </c>
      <c r="AA461" s="116">
        <f t="shared" si="93"/>
        <v>0</v>
      </c>
      <c r="AB461" s="116">
        <f t="shared" si="94"/>
        <v>0</v>
      </c>
      <c r="AC461" s="116">
        <f t="shared" si="95"/>
        <v>0</v>
      </c>
      <c r="AD461" s="116">
        <f t="shared" si="96"/>
        <v>43308.3</v>
      </c>
      <c r="AE461" s="116">
        <f t="shared" si="97"/>
        <v>50417.96</v>
      </c>
    </row>
    <row r="462" spans="1:31">
      <c r="A462" s="131">
        <v>43054</v>
      </c>
      <c r="B462" s="131">
        <v>43084</v>
      </c>
      <c r="C462" s="123">
        <f t="shared" si="88"/>
        <v>30</v>
      </c>
      <c r="D462" s="123"/>
      <c r="E462" s="132">
        <v>2295.61</v>
      </c>
      <c r="F462" s="135"/>
      <c r="G462" s="135"/>
      <c r="H462" s="123"/>
      <c r="I462" s="123"/>
      <c r="J462" s="123"/>
      <c r="K462" s="123"/>
      <c r="L462" s="123"/>
      <c r="M462" s="123"/>
      <c r="N462" s="123"/>
      <c r="O462" s="123"/>
      <c r="P462" s="123"/>
      <c r="Q462" s="123">
        <v>16</v>
      </c>
      <c r="R462" s="123">
        <v>14</v>
      </c>
      <c r="S462" s="133">
        <f t="shared" si="101"/>
        <v>0</v>
      </c>
      <c r="T462" s="116">
        <f t="shared" si="100"/>
        <v>0</v>
      </c>
      <c r="U462" s="116">
        <f t="shared" si="89"/>
        <v>0</v>
      </c>
      <c r="V462" s="116">
        <f t="shared" si="98"/>
        <v>0</v>
      </c>
      <c r="W462" s="116">
        <f t="shared" si="99"/>
        <v>0</v>
      </c>
      <c r="X462" s="116">
        <f t="shared" si="90"/>
        <v>0</v>
      </c>
      <c r="Y462" s="116">
        <f t="shared" si="91"/>
        <v>0</v>
      </c>
      <c r="Z462" s="116">
        <f t="shared" si="92"/>
        <v>0</v>
      </c>
      <c r="AA462" s="116">
        <f t="shared" si="93"/>
        <v>0</v>
      </c>
      <c r="AB462" s="116">
        <f t="shared" si="94"/>
        <v>0</v>
      </c>
      <c r="AC462" s="116">
        <f t="shared" si="95"/>
        <v>0</v>
      </c>
      <c r="AD462" s="116">
        <f t="shared" si="96"/>
        <v>10966.73</v>
      </c>
      <c r="AE462" s="116">
        <f t="shared" si="97"/>
        <v>12767.07</v>
      </c>
    </row>
    <row r="463" spans="1:31">
      <c r="A463" s="131">
        <v>43054</v>
      </c>
      <c r="B463" s="131">
        <v>43084</v>
      </c>
      <c r="C463" s="123">
        <f t="shared" si="88"/>
        <v>30</v>
      </c>
      <c r="D463" s="123"/>
      <c r="E463" s="132">
        <v>74</v>
      </c>
      <c r="F463" s="135"/>
      <c r="G463" s="135"/>
      <c r="H463" s="123"/>
      <c r="I463" s="123"/>
      <c r="J463" s="123"/>
      <c r="K463" s="123"/>
      <c r="L463" s="123"/>
      <c r="M463" s="123"/>
      <c r="N463" s="123"/>
      <c r="O463" s="123"/>
      <c r="P463" s="123"/>
      <c r="Q463" s="123">
        <v>16</v>
      </c>
      <c r="R463" s="123">
        <v>14</v>
      </c>
      <c r="S463" s="133">
        <f t="shared" si="101"/>
        <v>0</v>
      </c>
      <c r="T463" s="116">
        <f t="shared" si="100"/>
        <v>0</v>
      </c>
      <c r="U463" s="116">
        <f t="shared" si="89"/>
        <v>0</v>
      </c>
      <c r="V463" s="116">
        <f t="shared" si="98"/>
        <v>0</v>
      </c>
      <c r="W463" s="116">
        <f t="shared" si="99"/>
        <v>0</v>
      </c>
      <c r="X463" s="116">
        <f t="shared" si="90"/>
        <v>0</v>
      </c>
      <c r="Y463" s="116">
        <f t="shared" si="91"/>
        <v>0</v>
      </c>
      <c r="Z463" s="116">
        <f t="shared" si="92"/>
        <v>0</v>
      </c>
      <c r="AA463" s="116">
        <f t="shared" si="93"/>
        <v>0</v>
      </c>
      <c r="AB463" s="116">
        <f t="shared" si="94"/>
        <v>0</v>
      </c>
      <c r="AC463" s="116">
        <f t="shared" si="95"/>
        <v>0</v>
      </c>
      <c r="AD463" s="116">
        <f t="shared" si="96"/>
        <v>353.52</v>
      </c>
      <c r="AE463" s="116">
        <f t="shared" si="97"/>
        <v>411.55</v>
      </c>
    </row>
    <row r="464" spans="1:31">
      <c r="A464" s="131">
        <v>43058</v>
      </c>
      <c r="B464" s="131">
        <v>43088</v>
      </c>
      <c r="C464" s="123">
        <f t="shared" si="88"/>
        <v>30</v>
      </c>
      <c r="D464" s="123"/>
      <c r="E464" s="132">
        <v>584.53</v>
      </c>
      <c r="F464" s="135"/>
      <c r="G464" s="135"/>
      <c r="H464" s="123"/>
      <c r="I464" s="123"/>
      <c r="J464" s="123"/>
      <c r="K464" s="123"/>
      <c r="L464" s="123"/>
      <c r="M464" s="123"/>
      <c r="N464" s="123"/>
      <c r="O464" s="123"/>
      <c r="P464" s="123"/>
      <c r="Q464" s="123">
        <v>12</v>
      </c>
      <c r="R464" s="123">
        <v>18</v>
      </c>
      <c r="S464" s="133">
        <f t="shared" si="101"/>
        <v>0</v>
      </c>
      <c r="T464" s="116">
        <f t="shared" si="100"/>
        <v>0</v>
      </c>
      <c r="U464" s="116">
        <f t="shared" si="89"/>
        <v>0</v>
      </c>
      <c r="V464" s="116">
        <f t="shared" si="98"/>
        <v>0</v>
      </c>
      <c r="W464" s="116">
        <f t="shared" si="99"/>
        <v>0</v>
      </c>
      <c r="X464" s="116">
        <f t="shared" si="90"/>
        <v>0</v>
      </c>
      <c r="Y464" s="116">
        <f t="shared" si="91"/>
        <v>0</v>
      </c>
      <c r="Z464" s="116">
        <f t="shared" si="92"/>
        <v>0</v>
      </c>
      <c r="AA464" s="116">
        <f t="shared" si="93"/>
        <v>0</v>
      </c>
      <c r="AB464" s="116">
        <f t="shared" si="94"/>
        <v>0</v>
      </c>
      <c r="AC464" s="116">
        <f t="shared" si="95"/>
        <v>0</v>
      </c>
      <c r="AD464" s="116">
        <f t="shared" si="96"/>
        <v>2094.34</v>
      </c>
      <c r="AE464" s="116">
        <f t="shared" si="97"/>
        <v>4179.6899999999996</v>
      </c>
    </row>
    <row r="465" spans="1:31">
      <c r="A465" s="131">
        <v>43058</v>
      </c>
      <c r="B465" s="131">
        <v>43088</v>
      </c>
      <c r="C465" s="123">
        <f t="shared" si="88"/>
        <v>30</v>
      </c>
      <c r="D465" s="123"/>
      <c r="E465" s="132">
        <v>631.94000000000005</v>
      </c>
      <c r="F465" s="135"/>
      <c r="G465" s="135"/>
      <c r="H465" s="123"/>
      <c r="I465" s="123"/>
      <c r="J465" s="123"/>
      <c r="K465" s="123"/>
      <c r="L465" s="123"/>
      <c r="M465" s="123"/>
      <c r="N465" s="123"/>
      <c r="O465" s="123"/>
      <c r="P465" s="123"/>
      <c r="Q465" s="123">
        <v>12</v>
      </c>
      <c r="R465" s="123">
        <v>18</v>
      </c>
      <c r="S465" s="133">
        <f t="shared" si="101"/>
        <v>0</v>
      </c>
      <c r="T465" s="116">
        <f t="shared" si="100"/>
        <v>0</v>
      </c>
      <c r="U465" s="116">
        <f t="shared" si="89"/>
        <v>0</v>
      </c>
      <c r="V465" s="116">
        <f t="shared" si="98"/>
        <v>0</v>
      </c>
      <c r="W465" s="116">
        <f t="shared" si="99"/>
        <v>0</v>
      </c>
      <c r="X465" s="116">
        <f t="shared" si="90"/>
        <v>0</v>
      </c>
      <c r="Y465" s="116">
        <f t="shared" si="91"/>
        <v>0</v>
      </c>
      <c r="Z465" s="116">
        <f t="shared" si="92"/>
        <v>0</v>
      </c>
      <c r="AA465" s="116">
        <f t="shared" si="93"/>
        <v>0</v>
      </c>
      <c r="AB465" s="116">
        <f t="shared" si="94"/>
        <v>0</v>
      </c>
      <c r="AC465" s="116">
        <f t="shared" si="95"/>
        <v>0</v>
      </c>
      <c r="AD465" s="116">
        <f t="shared" si="96"/>
        <v>2264.21</v>
      </c>
      <c r="AE465" s="116">
        <f t="shared" si="97"/>
        <v>4518.7</v>
      </c>
    </row>
    <row r="466" spans="1:31">
      <c r="A466" s="131">
        <v>43058</v>
      </c>
      <c r="B466" s="131">
        <v>43088</v>
      </c>
      <c r="C466" s="123">
        <f t="shared" si="88"/>
        <v>30</v>
      </c>
      <c r="D466" s="123"/>
      <c r="E466" s="132">
        <v>1866.53</v>
      </c>
      <c r="F466" s="135"/>
      <c r="G466" s="135"/>
      <c r="H466" s="123"/>
      <c r="I466" s="123"/>
      <c r="J466" s="123"/>
      <c r="K466" s="123"/>
      <c r="L466" s="123"/>
      <c r="M466" s="123"/>
      <c r="N466" s="123"/>
      <c r="O466" s="123"/>
      <c r="P466" s="123"/>
      <c r="Q466" s="123">
        <v>12</v>
      </c>
      <c r="R466" s="123">
        <v>18</v>
      </c>
      <c r="S466" s="133">
        <f t="shared" si="101"/>
        <v>0</v>
      </c>
      <c r="T466" s="116">
        <f t="shared" si="100"/>
        <v>0</v>
      </c>
      <c r="U466" s="116">
        <f t="shared" si="89"/>
        <v>0</v>
      </c>
      <c r="V466" s="116">
        <f t="shared" si="98"/>
        <v>0</v>
      </c>
      <c r="W466" s="116">
        <f t="shared" si="99"/>
        <v>0</v>
      </c>
      <c r="X466" s="116">
        <f t="shared" si="90"/>
        <v>0</v>
      </c>
      <c r="Y466" s="116">
        <f t="shared" si="91"/>
        <v>0</v>
      </c>
      <c r="Z466" s="116">
        <f t="shared" si="92"/>
        <v>0</v>
      </c>
      <c r="AA466" s="116">
        <f t="shared" si="93"/>
        <v>0</v>
      </c>
      <c r="AB466" s="116">
        <f t="shared" si="94"/>
        <v>0</v>
      </c>
      <c r="AC466" s="116">
        <f t="shared" si="95"/>
        <v>0</v>
      </c>
      <c r="AD466" s="116">
        <f t="shared" si="96"/>
        <v>6687.67</v>
      </c>
      <c r="AE466" s="116">
        <f t="shared" si="97"/>
        <v>13346.66</v>
      </c>
    </row>
    <row r="467" spans="1:31">
      <c r="A467" s="131">
        <v>43065</v>
      </c>
      <c r="B467" s="131">
        <v>43095</v>
      </c>
      <c r="C467" s="123">
        <f t="shared" si="88"/>
        <v>30</v>
      </c>
      <c r="D467" s="123"/>
      <c r="E467" s="132">
        <v>1261.4000000000001</v>
      </c>
      <c r="F467" s="135"/>
      <c r="G467" s="135"/>
      <c r="H467" s="123"/>
      <c r="I467" s="123"/>
      <c r="J467" s="123"/>
      <c r="K467" s="123"/>
      <c r="L467" s="123"/>
      <c r="M467" s="123"/>
      <c r="N467" s="123"/>
      <c r="O467" s="123"/>
      <c r="P467" s="123"/>
      <c r="Q467" s="123">
        <v>5</v>
      </c>
      <c r="R467" s="123">
        <v>25</v>
      </c>
      <c r="S467" s="133">
        <f t="shared" si="101"/>
        <v>0</v>
      </c>
      <c r="T467" s="116">
        <f t="shared" si="100"/>
        <v>0</v>
      </c>
      <c r="U467" s="116">
        <f t="shared" si="89"/>
        <v>0</v>
      </c>
      <c r="V467" s="116">
        <f t="shared" si="98"/>
        <v>0</v>
      </c>
      <c r="W467" s="116">
        <f t="shared" si="99"/>
        <v>0</v>
      </c>
      <c r="X467" s="116">
        <f t="shared" si="90"/>
        <v>0</v>
      </c>
      <c r="Y467" s="116">
        <f t="shared" si="91"/>
        <v>0</v>
      </c>
      <c r="Z467" s="116">
        <f t="shared" si="92"/>
        <v>0</v>
      </c>
      <c r="AA467" s="116">
        <f t="shared" si="93"/>
        <v>0</v>
      </c>
      <c r="AB467" s="116">
        <f t="shared" si="94"/>
        <v>0</v>
      </c>
      <c r="AC467" s="116">
        <f t="shared" si="95"/>
        <v>0</v>
      </c>
      <c r="AD467" s="116">
        <f t="shared" si="96"/>
        <v>1883.14</v>
      </c>
      <c r="AE467" s="116">
        <f t="shared" si="97"/>
        <v>12527.31</v>
      </c>
    </row>
    <row r="468" spans="1:31">
      <c r="A468" s="131">
        <v>43065</v>
      </c>
      <c r="B468" s="131">
        <v>43095</v>
      </c>
      <c r="C468" s="123">
        <f t="shared" si="88"/>
        <v>30</v>
      </c>
      <c r="D468" s="123"/>
      <c r="E468" s="132">
        <v>1179.29</v>
      </c>
      <c r="F468" s="135"/>
      <c r="G468" s="135"/>
      <c r="H468" s="123"/>
      <c r="I468" s="123"/>
      <c r="J468" s="123"/>
      <c r="K468" s="123"/>
      <c r="L468" s="123"/>
      <c r="M468" s="123"/>
      <c r="N468" s="123"/>
      <c r="O468" s="123"/>
      <c r="P468" s="123"/>
      <c r="Q468" s="123">
        <v>5</v>
      </c>
      <c r="R468" s="123">
        <v>25</v>
      </c>
      <c r="S468" s="133">
        <f t="shared" si="101"/>
        <v>0</v>
      </c>
      <c r="T468" s="116">
        <f t="shared" si="100"/>
        <v>0</v>
      </c>
      <c r="U468" s="116">
        <f t="shared" si="89"/>
        <v>0</v>
      </c>
      <c r="V468" s="116">
        <f t="shared" si="98"/>
        <v>0</v>
      </c>
      <c r="W468" s="116">
        <f t="shared" si="99"/>
        <v>0</v>
      </c>
      <c r="X468" s="116">
        <f t="shared" si="90"/>
        <v>0</v>
      </c>
      <c r="Y468" s="116">
        <f t="shared" si="91"/>
        <v>0</v>
      </c>
      <c r="Z468" s="116">
        <f t="shared" si="92"/>
        <v>0</v>
      </c>
      <c r="AA468" s="116">
        <f t="shared" si="93"/>
        <v>0</v>
      </c>
      <c r="AB468" s="116">
        <f t="shared" si="94"/>
        <v>0</v>
      </c>
      <c r="AC468" s="116">
        <f t="shared" si="95"/>
        <v>0</v>
      </c>
      <c r="AD468" s="116">
        <f t="shared" si="96"/>
        <v>1760.55</v>
      </c>
      <c r="AE468" s="116">
        <f t="shared" si="97"/>
        <v>11711.85</v>
      </c>
    </row>
    <row r="469" spans="1:31">
      <c r="A469" s="131">
        <v>43067</v>
      </c>
      <c r="B469" s="131">
        <v>43097</v>
      </c>
      <c r="C469" s="123">
        <f t="shared" si="88"/>
        <v>30</v>
      </c>
      <c r="D469" s="123"/>
      <c r="E469" s="132">
        <v>973.02</v>
      </c>
      <c r="F469" s="135"/>
      <c r="G469" s="135"/>
      <c r="H469" s="123"/>
      <c r="I469" s="123"/>
      <c r="J469" s="123"/>
      <c r="K469" s="123"/>
      <c r="L469" s="123"/>
      <c r="M469" s="123"/>
      <c r="N469" s="123"/>
      <c r="O469" s="123"/>
      <c r="P469" s="123"/>
      <c r="Q469" s="123">
        <v>3</v>
      </c>
      <c r="R469" s="123">
        <v>27</v>
      </c>
      <c r="S469" s="133">
        <f t="shared" si="101"/>
        <v>0</v>
      </c>
      <c r="T469" s="116">
        <f t="shared" si="100"/>
        <v>0</v>
      </c>
      <c r="U469" s="116">
        <f t="shared" si="89"/>
        <v>0</v>
      </c>
      <c r="V469" s="116">
        <f t="shared" si="98"/>
        <v>0</v>
      </c>
      <c r="W469" s="116">
        <f t="shared" si="99"/>
        <v>0</v>
      </c>
      <c r="X469" s="116">
        <f t="shared" si="90"/>
        <v>0</v>
      </c>
      <c r="Y469" s="116">
        <f t="shared" si="91"/>
        <v>0</v>
      </c>
      <c r="Z469" s="116">
        <f t="shared" si="92"/>
        <v>0</v>
      </c>
      <c r="AA469" s="116">
        <f t="shared" si="93"/>
        <v>0</v>
      </c>
      <c r="AB469" s="116">
        <f t="shared" si="94"/>
        <v>0</v>
      </c>
      <c r="AC469" s="116">
        <f t="shared" si="95"/>
        <v>0</v>
      </c>
      <c r="AD469" s="116">
        <f t="shared" si="96"/>
        <v>871.57</v>
      </c>
      <c r="AE469" s="116">
        <f t="shared" si="97"/>
        <v>10436.4</v>
      </c>
    </row>
    <row r="470" spans="1:31">
      <c r="A470" s="131">
        <v>43067</v>
      </c>
      <c r="B470" s="131">
        <v>43097</v>
      </c>
      <c r="C470" s="123">
        <f t="shared" si="88"/>
        <v>30</v>
      </c>
      <c r="D470" s="123"/>
      <c r="E470" s="132">
        <v>227.8</v>
      </c>
      <c r="F470" s="135"/>
      <c r="G470" s="135"/>
      <c r="H470" s="123"/>
      <c r="I470" s="123"/>
      <c r="J470" s="123"/>
      <c r="K470" s="123"/>
      <c r="L470" s="123"/>
      <c r="M470" s="123"/>
      <c r="N470" s="123"/>
      <c r="O470" s="123"/>
      <c r="P470" s="123"/>
      <c r="Q470" s="123">
        <v>3</v>
      </c>
      <c r="R470" s="123">
        <v>27</v>
      </c>
      <c r="S470" s="133">
        <f t="shared" si="101"/>
        <v>0</v>
      </c>
      <c r="T470" s="116">
        <f t="shared" si="100"/>
        <v>0</v>
      </c>
      <c r="U470" s="116">
        <f t="shared" si="89"/>
        <v>0</v>
      </c>
      <c r="V470" s="116">
        <f t="shared" si="98"/>
        <v>0</v>
      </c>
      <c r="W470" s="116">
        <f t="shared" si="99"/>
        <v>0</v>
      </c>
      <c r="X470" s="116">
        <f t="shared" si="90"/>
        <v>0</v>
      </c>
      <c r="Y470" s="116">
        <f t="shared" si="91"/>
        <v>0</v>
      </c>
      <c r="Z470" s="116">
        <f t="shared" si="92"/>
        <v>0</v>
      </c>
      <c r="AA470" s="116">
        <f t="shared" si="93"/>
        <v>0</v>
      </c>
      <c r="AB470" s="116">
        <f t="shared" si="94"/>
        <v>0</v>
      </c>
      <c r="AC470" s="116">
        <f t="shared" si="95"/>
        <v>0</v>
      </c>
      <c r="AD470" s="116">
        <f t="shared" si="96"/>
        <v>204.05</v>
      </c>
      <c r="AE470" s="116">
        <f t="shared" si="97"/>
        <v>2443.33</v>
      </c>
    </row>
    <row r="471" spans="1:31">
      <c r="A471" s="131">
        <v>43072</v>
      </c>
      <c r="B471" s="131">
        <v>43103</v>
      </c>
      <c r="C471" s="123">
        <f t="shared" si="88"/>
        <v>31</v>
      </c>
      <c r="D471" s="123"/>
      <c r="E471" s="132">
        <v>981.43</v>
      </c>
      <c r="F471" s="135"/>
      <c r="G471" s="135"/>
      <c r="H471" s="123"/>
      <c r="I471" s="123"/>
      <c r="J471" s="123"/>
      <c r="K471" s="123"/>
      <c r="L471" s="123"/>
      <c r="M471" s="123"/>
      <c r="N471" s="123"/>
      <c r="O471" s="123"/>
      <c r="P471" s="123"/>
      <c r="Q471" s="123"/>
      <c r="R471" s="123">
        <v>29</v>
      </c>
      <c r="S471" s="133">
        <f>C471-SUM(G471:R471)-(B471-$B$17)+1</f>
        <v>0</v>
      </c>
      <c r="T471" s="116">
        <f t="shared" si="100"/>
        <v>0</v>
      </c>
      <c r="U471" s="116">
        <f t="shared" si="89"/>
        <v>0</v>
      </c>
      <c r="V471" s="116">
        <f t="shared" si="98"/>
        <v>0</v>
      </c>
      <c r="W471" s="116">
        <f t="shared" si="99"/>
        <v>0</v>
      </c>
      <c r="X471" s="116">
        <f t="shared" si="90"/>
        <v>0</v>
      </c>
      <c r="Y471" s="116">
        <f t="shared" si="91"/>
        <v>0</v>
      </c>
      <c r="Z471" s="116">
        <f t="shared" si="92"/>
        <v>0</v>
      </c>
      <c r="AA471" s="116">
        <f t="shared" si="93"/>
        <v>0</v>
      </c>
      <c r="AB471" s="116">
        <f t="shared" si="94"/>
        <v>0</v>
      </c>
      <c r="AC471" s="116">
        <f t="shared" si="95"/>
        <v>0</v>
      </c>
      <c r="AD471" s="116">
        <f t="shared" si="96"/>
        <v>0</v>
      </c>
      <c r="AE471" s="116">
        <f t="shared" si="97"/>
        <v>10941.63</v>
      </c>
    </row>
    <row r="472" spans="1:31">
      <c r="A472" s="131">
        <v>43070</v>
      </c>
      <c r="B472" s="131">
        <v>43101</v>
      </c>
      <c r="C472" s="123">
        <f t="shared" si="88"/>
        <v>31</v>
      </c>
      <c r="D472" s="123"/>
      <c r="E472" s="132">
        <v>2193</v>
      </c>
      <c r="F472" s="135"/>
      <c r="G472" s="135"/>
      <c r="H472" s="123"/>
      <c r="I472" s="123"/>
      <c r="J472" s="123"/>
      <c r="K472" s="123"/>
      <c r="L472" s="123"/>
      <c r="M472" s="123"/>
      <c r="N472" s="123"/>
      <c r="O472" s="123"/>
      <c r="P472" s="123"/>
      <c r="Q472" s="123"/>
      <c r="R472" s="123">
        <v>31</v>
      </c>
      <c r="S472" s="133">
        <f t="shared" si="101"/>
        <v>0</v>
      </c>
      <c r="T472" s="116">
        <f t="shared" si="100"/>
        <v>0</v>
      </c>
      <c r="U472" s="116">
        <f t="shared" si="89"/>
        <v>0</v>
      </c>
      <c r="V472" s="116">
        <f t="shared" si="98"/>
        <v>0</v>
      </c>
      <c r="W472" s="116">
        <f t="shared" si="99"/>
        <v>0</v>
      </c>
      <c r="X472" s="116">
        <f t="shared" si="90"/>
        <v>0</v>
      </c>
      <c r="Y472" s="116">
        <f t="shared" si="91"/>
        <v>0</v>
      </c>
      <c r="Z472" s="116">
        <f t="shared" si="92"/>
        <v>0</v>
      </c>
      <c r="AA472" s="116">
        <f t="shared" si="93"/>
        <v>0</v>
      </c>
      <c r="AB472" s="116">
        <f t="shared" si="94"/>
        <v>0</v>
      </c>
      <c r="AC472" s="116">
        <f t="shared" si="95"/>
        <v>0</v>
      </c>
      <c r="AD472" s="116">
        <f t="shared" si="96"/>
        <v>0</v>
      </c>
      <c r="AE472" s="116">
        <f t="shared" si="97"/>
        <v>26135.14</v>
      </c>
    </row>
    <row r="473" spans="1:31">
      <c r="A473" s="131">
        <v>43072</v>
      </c>
      <c r="B473" s="131">
        <v>43103</v>
      </c>
      <c r="C473" s="123">
        <f t="shared" si="88"/>
        <v>31</v>
      </c>
      <c r="D473" s="123"/>
      <c r="E473" s="132">
        <v>751.06</v>
      </c>
      <c r="F473" s="135"/>
      <c r="G473" s="135"/>
      <c r="H473" s="123"/>
      <c r="I473" s="123"/>
      <c r="J473" s="123"/>
      <c r="K473" s="123"/>
      <c r="L473" s="123"/>
      <c r="M473" s="123"/>
      <c r="N473" s="123"/>
      <c r="O473" s="123"/>
      <c r="P473" s="123"/>
      <c r="Q473" s="123"/>
      <c r="R473" s="123">
        <v>29</v>
      </c>
      <c r="S473" s="133">
        <f>C473-SUM(G473:R473)-(B473-$B$17)+1</f>
        <v>0</v>
      </c>
      <c r="T473" s="116">
        <f t="shared" si="100"/>
        <v>0</v>
      </c>
      <c r="U473" s="116">
        <f t="shared" si="89"/>
        <v>0</v>
      </c>
      <c r="V473" s="116">
        <f t="shared" si="98"/>
        <v>0</v>
      </c>
      <c r="W473" s="116">
        <f t="shared" si="99"/>
        <v>0</v>
      </c>
      <c r="X473" s="116">
        <f t="shared" si="90"/>
        <v>0</v>
      </c>
      <c r="Y473" s="116">
        <f t="shared" si="91"/>
        <v>0</v>
      </c>
      <c r="Z473" s="116">
        <f t="shared" si="92"/>
        <v>0</v>
      </c>
      <c r="AA473" s="116">
        <f t="shared" si="93"/>
        <v>0</v>
      </c>
      <c r="AB473" s="116">
        <f t="shared" si="94"/>
        <v>0</v>
      </c>
      <c r="AC473" s="116">
        <f t="shared" si="95"/>
        <v>0</v>
      </c>
      <c r="AD473" s="116">
        <f t="shared" si="96"/>
        <v>0</v>
      </c>
      <c r="AE473" s="116">
        <f t="shared" si="97"/>
        <v>8373.31</v>
      </c>
    </row>
    <row r="474" spans="1:31">
      <c r="A474" s="131">
        <v>43072</v>
      </c>
      <c r="B474" s="131">
        <v>43103</v>
      </c>
      <c r="C474" s="123">
        <f t="shared" si="88"/>
        <v>31</v>
      </c>
      <c r="D474" s="123"/>
      <c r="E474" s="132">
        <v>409.87</v>
      </c>
      <c r="F474" s="135"/>
      <c r="G474" s="135"/>
      <c r="H474" s="123"/>
      <c r="I474" s="123"/>
      <c r="J474" s="123"/>
      <c r="K474" s="123"/>
      <c r="L474" s="123"/>
      <c r="M474" s="123"/>
      <c r="N474" s="123"/>
      <c r="O474" s="123"/>
      <c r="P474" s="123"/>
      <c r="Q474" s="123"/>
      <c r="R474" s="123">
        <v>29</v>
      </c>
      <c r="S474" s="133">
        <f>C474-SUM(G474:R474)-(B474-$B$17)+1</f>
        <v>0</v>
      </c>
      <c r="T474" s="116">
        <f t="shared" si="100"/>
        <v>0</v>
      </c>
      <c r="U474" s="116">
        <f t="shared" si="89"/>
        <v>0</v>
      </c>
      <c r="V474" s="116">
        <f t="shared" si="98"/>
        <v>0</v>
      </c>
      <c r="W474" s="116">
        <f t="shared" si="99"/>
        <v>0</v>
      </c>
      <c r="X474" s="116">
        <f t="shared" si="90"/>
        <v>0</v>
      </c>
      <c r="Y474" s="116">
        <f t="shared" si="91"/>
        <v>0</v>
      </c>
      <c r="Z474" s="116">
        <f t="shared" si="92"/>
        <v>0</v>
      </c>
      <c r="AA474" s="116">
        <f t="shared" si="93"/>
        <v>0</v>
      </c>
      <c r="AB474" s="116">
        <f t="shared" si="94"/>
        <v>0</v>
      </c>
      <c r="AC474" s="116">
        <f t="shared" si="95"/>
        <v>0</v>
      </c>
      <c r="AD474" s="116">
        <f t="shared" si="96"/>
        <v>0</v>
      </c>
      <c r="AE474" s="116">
        <f t="shared" si="97"/>
        <v>4569.5</v>
      </c>
    </row>
    <row r="475" spans="1:31">
      <c r="A475" s="131">
        <v>43067</v>
      </c>
      <c r="B475" s="131">
        <v>43101</v>
      </c>
      <c r="C475" s="123">
        <f t="shared" si="88"/>
        <v>34</v>
      </c>
      <c r="D475" s="123">
        <v>30</v>
      </c>
      <c r="E475" s="132">
        <v>493444.09</v>
      </c>
      <c r="F475" s="135"/>
      <c r="G475" s="135"/>
      <c r="H475" s="123"/>
      <c r="I475" s="123"/>
      <c r="J475" s="123"/>
      <c r="K475" s="123"/>
      <c r="L475" s="123"/>
      <c r="M475" s="123"/>
      <c r="N475" s="123"/>
      <c r="O475" s="123"/>
      <c r="P475" s="123"/>
      <c r="Q475" s="123">
        <v>3</v>
      </c>
      <c r="R475" s="123">
        <v>31</v>
      </c>
      <c r="S475" s="133">
        <f t="shared" si="101"/>
        <v>0</v>
      </c>
      <c r="T475" s="116">
        <f t="shared" si="100"/>
        <v>0</v>
      </c>
      <c r="U475" s="116">
        <f t="shared" si="89"/>
        <v>0</v>
      </c>
      <c r="V475" s="116">
        <f t="shared" si="98"/>
        <v>0</v>
      </c>
      <c r="W475" s="116">
        <f t="shared" si="99"/>
        <v>0</v>
      </c>
      <c r="X475" s="116">
        <f t="shared" si="90"/>
        <v>0</v>
      </c>
      <c r="Y475" s="116">
        <f t="shared" si="91"/>
        <v>0</v>
      </c>
      <c r="Z475" s="116">
        <f t="shared" si="92"/>
        <v>0</v>
      </c>
      <c r="AA475" s="116">
        <f t="shared" si="93"/>
        <v>0</v>
      </c>
      <c r="AB475" s="116">
        <f t="shared" si="94"/>
        <v>0</v>
      </c>
      <c r="AC475" s="116">
        <f t="shared" si="95"/>
        <v>0</v>
      </c>
      <c r="AD475" s="116">
        <v>757881.34</v>
      </c>
      <c r="AE475" s="116">
        <v>4926228.7</v>
      </c>
    </row>
    <row r="476" spans="1:31">
      <c r="A476" s="131">
        <v>43072</v>
      </c>
      <c r="B476" s="131">
        <v>43103</v>
      </c>
      <c r="C476" s="123">
        <f t="shared" si="88"/>
        <v>31</v>
      </c>
      <c r="D476" s="123"/>
      <c r="E476" s="132">
        <v>2534.7800000000002</v>
      </c>
      <c r="F476" s="135"/>
      <c r="G476" s="135"/>
      <c r="H476" s="123"/>
      <c r="I476" s="123"/>
      <c r="J476" s="123"/>
      <c r="K476" s="123"/>
      <c r="L476" s="123"/>
      <c r="M476" s="123"/>
      <c r="N476" s="123"/>
      <c r="O476" s="123"/>
      <c r="P476" s="123"/>
      <c r="Q476" s="123"/>
      <c r="R476" s="123">
        <v>29</v>
      </c>
      <c r="S476" s="133">
        <f t="shared" ref="S476:S500" si="102">C476-SUM(G476:R476)-(B476-$B$17)+1</f>
        <v>0</v>
      </c>
      <c r="T476" s="116">
        <f t="shared" si="100"/>
        <v>0</v>
      </c>
      <c r="U476" s="116">
        <f t="shared" si="89"/>
        <v>0</v>
      </c>
      <c r="V476" s="116">
        <f t="shared" si="98"/>
        <v>0</v>
      </c>
      <c r="W476" s="116">
        <f t="shared" si="99"/>
        <v>0</v>
      </c>
      <c r="X476" s="116">
        <f t="shared" si="90"/>
        <v>0</v>
      </c>
      <c r="Y476" s="116">
        <f t="shared" si="91"/>
        <v>0</v>
      </c>
      <c r="Z476" s="116">
        <f t="shared" si="92"/>
        <v>0</v>
      </c>
      <c r="AA476" s="116">
        <f t="shared" si="93"/>
        <v>0</v>
      </c>
      <c r="AB476" s="116">
        <f t="shared" si="94"/>
        <v>0</v>
      </c>
      <c r="AC476" s="116">
        <f t="shared" si="95"/>
        <v>0</v>
      </c>
      <c r="AD476" s="116">
        <f t="shared" si="96"/>
        <v>0</v>
      </c>
      <c r="AE476" s="116">
        <f t="shared" si="97"/>
        <v>28259.39</v>
      </c>
    </row>
    <row r="477" spans="1:31">
      <c r="A477" s="131">
        <v>43074</v>
      </c>
      <c r="B477" s="131">
        <v>43105</v>
      </c>
      <c r="C477" s="123">
        <f t="shared" si="88"/>
        <v>31</v>
      </c>
      <c r="D477" s="123"/>
      <c r="E477" s="132">
        <v>609.97</v>
      </c>
      <c r="F477" s="135"/>
      <c r="G477" s="135"/>
      <c r="H477" s="123"/>
      <c r="I477" s="123"/>
      <c r="J477" s="123"/>
      <c r="K477" s="123"/>
      <c r="L477" s="123"/>
      <c r="M477" s="123"/>
      <c r="N477" s="123"/>
      <c r="O477" s="123"/>
      <c r="P477" s="123"/>
      <c r="Q477" s="123"/>
      <c r="R477" s="123">
        <v>27</v>
      </c>
      <c r="S477" s="133">
        <f t="shared" si="102"/>
        <v>0</v>
      </c>
      <c r="T477" s="116">
        <f t="shared" si="100"/>
        <v>0</v>
      </c>
      <c r="U477" s="116">
        <f t="shared" si="89"/>
        <v>0</v>
      </c>
      <c r="V477" s="116">
        <f t="shared" si="98"/>
        <v>0</v>
      </c>
      <c r="W477" s="116">
        <f t="shared" si="99"/>
        <v>0</v>
      </c>
      <c r="X477" s="116">
        <f t="shared" si="90"/>
        <v>0</v>
      </c>
      <c r="Y477" s="116">
        <f t="shared" si="91"/>
        <v>0</v>
      </c>
      <c r="Z477" s="116">
        <f t="shared" si="92"/>
        <v>0</v>
      </c>
      <c r="AA477" s="116">
        <f t="shared" si="93"/>
        <v>0</v>
      </c>
      <c r="AB477" s="116">
        <f t="shared" si="94"/>
        <v>0</v>
      </c>
      <c r="AC477" s="116">
        <f t="shared" si="95"/>
        <v>0</v>
      </c>
      <c r="AD477" s="116">
        <f t="shared" si="96"/>
        <v>0</v>
      </c>
      <c r="AE477" s="116">
        <f t="shared" si="97"/>
        <v>6331.36</v>
      </c>
    </row>
    <row r="478" spans="1:31">
      <c r="A478" s="131">
        <v>43074</v>
      </c>
      <c r="B478" s="131">
        <v>43105</v>
      </c>
      <c r="C478" s="123">
        <f t="shared" si="88"/>
        <v>31</v>
      </c>
      <c r="D478" s="123"/>
      <c r="E478" s="132">
        <v>168.6</v>
      </c>
      <c r="F478" s="135"/>
      <c r="G478" s="135"/>
      <c r="H478" s="123"/>
      <c r="I478" s="123"/>
      <c r="J478" s="123"/>
      <c r="K478" s="123"/>
      <c r="L478" s="123"/>
      <c r="M478" s="123"/>
      <c r="N478" s="123"/>
      <c r="O478" s="123"/>
      <c r="P478" s="123"/>
      <c r="Q478" s="123"/>
      <c r="R478" s="123">
        <v>27</v>
      </c>
      <c r="S478" s="133">
        <f t="shared" si="102"/>
        <v>0</v>
      </c>
      <c r="T478" s="116">
        <f t="shared" si="100"/>
        <v>0</v>
      </c>
      <c r="U478" s="116">
        <f t="shared" si="89"/>
        <v>0</v>
      </c>
      <c r="V478" s="116">
        <f t="shared" si="98"/>
        <v>0</v>
      </c>
      <c r="W478" s="116">
        <f t="shared" si="99"/>
        <v>0</v>
      </c>
      <c r="X478" s="116">
        <f t="shared" si="90"/>
        <v>0</v>
      </c>
      <c r="Y478" s="116">
        <f t="shared" si="91"/>
        <v>0</v>
      </c>
      <c r="Z478" s="116">
        <f t="shared" si="92"/>
        <v>0</v>
      </c>
      <c r="AA478" s="116">
        <f t="shared" si="93"/>
        <v>0</v>
      </c>
      <c r="AB478" s="116">
        <f t="shared" si="94"/>
        <v>0</v>
      </c>
      <c r="AC478" s="116">
        <f t="shared" si="95"/>
        <v>0</v>
      </c>
      <c r="AD478" s="116">
        <f t="shared" si="96"/>
        <v>0</v>
      </c>
      <c r="AE478" s="116">
        <f t="shared" si="97"/>
        <v>1750.03</v>
      </c>
    </row>
    <row r="479" spans="1:31">
      <c r="A479" s="131">
        <v>43095</v>
      </c>
      <c r="B479" s="131">
        <v>43111</v>
      </c>
      <c r="C479" s="123">
        <f t="shared" ref="C479:C500" si="103">B479-A479</f>
        <v>16</v>
      </c>
      <c r="D479" s="123"/>
      <c r="E479" s="132">
        <v>26.35</v>
      </c>
      <c r="F479" s="135"/>
      <c r="G479" s="135"/>
      <c r="H479" s="123"/>
      <c r="I479" s="123"/>
      <c r="J479" s="123"/>
      <c r="K479" s="123"/>
      <c r="L479" s="123"/>
      <c r="M479" s="123"/>
      <c r="N479" s="123"/>
      <c r="O479" s="123"/>
      <c r="P479" s="123"/>
      <c r="Q479" s="123"/>
      <c r="R479" s="123">
        <v>6</v>
      </c>
      <c r="S479" s="133">
        <f t="shared" si="102"/>
        <v>0</v>
      </c>
      <c r="T479" s="116">
        <f t="shared" si="100"/>
        <v>0</v>
      </c>
      <c r="U479" s="116">
        <f t="shared" ref="U479:U500" si="104">ROUND(($E479*$H479/$C479)/$C$7,2)</f>
        <v>0</v>
      </c>
      <c r="V479" s="116">
        <f t="shared" si="98"/>
        <v>0</v>
      </c>
      <c r="W479" s="116">
        <f t="shared" si="99"/>
        <v>0</v>
      </c>
      <c r="X479" s="116">
        <f t="shared" ref="X479:X500" si="105">ROUND(($E479*$K479/$C479)/$C$10,2)</f>
        <v>0</v>
      </c>
      <c r="Y479" s="116">
        <f t="shared" ref="Y479:Y500" si="106">ROUND(($E479*$L479/$C479)/$C$11,2)</f>
        <v>0</v>
      </c>
      <c r="Z479" s="116">
        <f t="shared" ref="Z479:Z500" si="107">ROUND(($E479*$M479/$C479)/$C$12,2)</f>
        <v>0</v>
      </c>
      <c r="AA479" s="116">
        <f t="shared" ref="AA479:AA500" si="108">ROUND(($E479*$N479/$C479)/$C$13,2)</f>
        <v>0</v>
      </c>
      <c r="AB479" s="116">
        <f t="shared" ref="AB479:AB500" si="109">ROUND(($E479*$O479/$C479)/$C$14,2)</f>
        <v>0</v>
      </c>
      <c r="AC479" s="116">
        <f t="shared" ref="AC479:AC500" si="110">ROUND(($E479*$P479/$C479)/$C$15,2)</f>
        <v>0</v>
      </c>
      <c r="AD479" s="116">
        <f t="shared" ref="AD479:AD500" si="111">ROUND(($E479*$Q479/$C479)/$C$16,2)</f>
        <v>0</v>
      </c>
      <c r="AE479" s="116">
        <f t="shared" ref="AE479:AE500" si="112">ROUND(($E479*$R479/$C479)/$C$17,2)</f>
        <v>117.76</v>
      </c>
    </row>
    <row r="480" spans="1:31">
      <c r="A480" s="131">
        <v>43080</v>
      </c>
      <c r="B480" s="131">
        <v>43111</v>
      </c>
      <c r="C480" s="123">
        <f t="shared" si="103"/>
        <v>31</v>
      </c>
      <c r="D480" s="123"/>
      <c r="E480" s="132">
        <v>1072.23</v>
      </c>
      <c r="F480" s="135"/>
      <c r="G480" s="135"/>
      <c r="H480" s="123"/>
      <c r="I480" s="123"/>
      <c r="J480" s="123"/>
      <c r="K480" s="123"/>
      <c r="L480" s="123"/>
      <c r="M480" s="123"/>
      <c r="N480" s="123"/>
      <c r="O480" s="123"/>
      <c r="P480" s="123"/>
      <c r="Q480" s="123"/>
      <c r="R480" s="123">
        <v>21</v>
      </c>
      <c r="S480" s="133">
        <f t="shared" si="102"/>
        <v>0</v>
      </c>
      <c r="T480" s="116">
        <f t="shared" si="100"/>
        <v>0</v>
      </c>
      <c r="U480" s="116">
        <f t="shared" si="104"/>
        <v>0</v>
      </c>
      <c r="V480" s="116">
        <f t="shared" ref="V480:V500" si="113">ROUND(($E480*$I480/$C480)/$C$8,2)</f>
        <v>0</v>
      </c>
      <c r="W480" s="116">
        <f t="shared" ref="W480:W500" si="114">ROUND(($E480*$J480/$C480)/$C$9,2)</f>
        <v>0</v>
      </c>
      <c r="X480" s="116">
        <f t="shared" si="105"/>
        <v>0</v>
      </c>
      <c r="Y480" s="116">
        <f t="shared" si="106"/>
        <v>0</v>
      </c>
      <c r="Z480" s="116">
        <f t="shared" si="107"/>
        <v>0</v>
      </c>
      <c r="AA480" s="116">
        <f t="shared" si="108"/>
        <v>0</v>
      </c>
      <c r="AB480" s="116">
        <f t="shared" si="109"/>
        <v>0</v>
      </c>
      <c r="AC480" s="116">
        <f t="shared" si="110"/>
        <v>0</v>
      </c>
      <c r="AD480" s="116">
        <f t="shared" si="111"/>
        <v>0</v>
      </c>
      <c r="AE480" s="116">
        <f t="shared" si="112"/>
        <v>8656.2900000000009</v>
      </c>
    </row>
    <row r="481" spans="1:31">
      <c r="A481" s="131">
        <v>43077</v>
      </c>
      <c r="B481" s="131">
        <v>43108</v>
      </c>
      <c r="C481" s="123">
        <f t="shared" si="103"/>
        <v>31</v>
      </c>
      <c r="D481" s="123"/>
      <c r="E481" s="132">
        <v>229.71</v>
      </c>
      <c r="F481" s="135"/>
      <c r="G481" s="135"/>
      <c r="H481" s="123"/>
      <c r="I481" s="123"/>
      <c r="J481" s="123"/>
      <c r="K481" s="123"/>
      <c r="L481" s="123"/>
      <c r="M481" s="123"/>
      <c r="N481" s="123"/>
      <c r="O481" s="123"/>
      <c r="P481" s="123"/>
      <c r="Q481" s="123"/>
      <c r="R481" s="123">
        <v>24</v>
      </c>
      <c r="S481" s="133">
        <f t="shared" si="102"/>
        <v>0</v>
      </c>
      <c r="T481" s="116">
        <f t="shared" si="100"/>
        <v>0</v>
      </c>
      <c r="U481" s="116">
        <f t="shared" si="104"/>
        <v>0</v>
      </c>
      <c r="V481" s="116">
        <f t="shared" si="113"/>
        <v>0</v>
      </c>
      <c r="W481" s="116">
        <f t="shared" si="114"/>
        <v>0</v>
      </c>
      <c r="X481" s="116">
        <f t="shared" si="105"/>
        <v>0</v>
      </c>
      <c r="Y481" s="116">
        <f t="shared" si="106"/>
        <v>0</v>
      </c>
      <c r="Z481" s="116">
        <f t="shared" si="107"/>
        <v>0</v>
      </c>
      <c r="AA481" s="116">
        <f t="shared" si="108"/>
        <v>0</v>
      </c>
      <c r="AB481" s="116">
        <f t="shared" si="109"/>
        <v>0</v>
      </c>
      <c r="AC481" s="116">
        <f t="shared" si="110"/>
        <v>0</v>
      </c>
      <c r="AD481" s="116">
        <f t="shared" si="111"/>
        <v>0</v>
      </c>
      <c r="AE481" s="116">
        <f t="shared" si="112"/>
        <v>2119.41</v>
      </c>
    </row>
    <row r="482" spans="1:31">
      <c r="A482" s="131">
        <v>43077</v>
      </c>
      <c r="B482" s="131">
        <v>43108</v>
      </c>
      <c r="C482" s="123">
        <f t="shared" si="103"/>
        <v>31</v>
      </c>
      <c r="D482" s="123"/>
      <c r="E482" s="132">
        <v>466.52</v>
      </c>
      <c r="F482" s="135"/>
      <c r="G482" s="135"/>
      <c r="H482" s="123"/>
      <c r="I482" s="123"/>
      <c r="J482" s="123"/>
      <c r="K482" s="123"/>
      <c r="L482" s="123"/>
      <c r="M482" s="123"/>
      <c r="N482" s="123"/>
      <c r="O482" s="123"/>
      <c r="P482" s="123"/>
      <c r="Q482" s="123"/>
      <c r="R482" s="123">
        <v>24</v>
      </c>
      <c r="S482" s="133">
        <f t="shared" si="102"/>
        <v>0</v>
      </c>
      <c r="T482" s="116">
        <f t="shared" si="100"/>
        <v>0</v>
      </c>
      <c r="U482" s="116">
        <f t="shared" si="104"/>
        <v>0</v>
      </c>
      <c r="V482" s="116">
        <f t="shared" si="113"/>
        <v>0</v>
      </c>
      <c r="W482" s="116">
        <f t="shared" si="114"/>
        <v>0</v>
      </c>
      <c r="X482" s="116">
        <f t="shared" si="105"/>
        <v>0</v>
      </c>
      <c r="Y482" s="116">
        <f t="shared" si="106"/>
        <v>0</v>
      </c>
      <c r="Z482" s="116">
        <f t="shared" si="107"/>
        <v>0</v>
      </c>
      <c r="AA482" s="116">
        <f t="shared" si="108"/>
        <v>0</v>
      </c>
      <c r="AB482" s="116">
        <f t="shared" si="109"/>
        <v>0</v>
      </c>
      <c r="AC482" s="116">
        <f t="shared" si="110"/>
        <v>0</v>
      </c>
      <c r="AD482" s="116">
        <f t="shared" si="111"/>
        <v>0</v>
      </c>
      <c r="AE482" s="116">
        <f t="shared" si="112"/>
        <v>4304.34</v>
      </c>
    </row>
    <row r="483" spans="1:31">
      <c r="A483" s="131">
        <v>43077</v>
      </c>
      <c r="B483" s="131">
        <v>43108</v>
      </c>
      <c r="C483" s="123">
        <f t="shared" si="103"/>
        <v>31</v>
      </c>
      <c r="D483" s="123"/>
      <c r="E483" s="132">
        <v>210.71</v>
      </c>
      <c r="F483" s="135"/>
      <c r="G483" s="135"/>
      <c r="H483" s="123"/>
      <c r="I483" s="123"/>
      <c r="J483" s="123"/>
      <c r="K483" s="123"/>
      <c r="L483" s="123"/>
      <c r="M483" s="123"/>
      <c r="N483" s="123"/>
      <c r="O483" s="123"/>
      <c r="P483" s="123"/>
      <c r="Q483" s="123"/>
      <c r="R483" s="123">
        <v>24</v>
      </c>
      <c r="S483" s="133">
        <f t="shared" si="102"/>
        <v>0</v>
      </c>
      <c r="T483" s="116">
        <f t="shared" si="100"/>
        <v>0</v>
      </c>
      <c r="U483" s="116">
        <f t="shared" si="104"/>
        <v>0</v>
      </c>
      <c r="V483" s="116">
        <f t="shared" si="113"/>
        <v>0</v>
      </c>
      <c r="W483" s="116">
        <f t="shared" si="114"/>
        <v>0</v>
      </c>
      <c r="X483" s="116">
        <f t="shared" si="105"/>
        <v>0</v>
      </c>
      <c r="Y483" s="116">
        <f t="shared" si="106"/>
        <v>0</v>
      </c>
      <c r="Z483" s="116">
        <f t="shared" si="107"/>
        <v>0</v>
      </c>
      <c r="AA483" s="116">
        <f t="shared" si="108"/>
        <v>0</v>
      </c>
      <c r="AB483" s="116">
        <f t="shared" si="109"/>
        <v>0</v>
      </c>
      <c r="AC483" s="116">
        <f t="shared" si="110"/>
        <v>0</v>
      </c>
      <c r="AD483" s="116">
        <f t="shared" si="111"/>
        <v>0</v>
      </c>
      <c r="AE483" s="116">
        <f t="shared" si="112"/>
        <v>1944.11</v>
      </c>
    </row>
    <row r="484" spans="1:31">
      <c r="A484" s="131">
        <v>43077</v>
      </c>
      <c r="B484" s="131">
        <v>43108</v>
      </c>
      <c r="C484" s="123">
        <f t="shared" si="103"/>
        <v>31</v>
      </c>
      <c r="D484" s="123"/>
      <c r="E484" s="132">
        <v>87.51</v>
      </c>
      <c r="F484" s="135"/>
      <c r="G484" s="135"/>
      <c r="H484" s="123"/>
      <c r="I484" s="123"/>
      <c r="J484" s="123"/>
      <c r="K484" s="123"/>
      <c r="L484" s="123"/>
      <c r="M484" s="123"/>
      <c r="N484" s="123"/>
      <c r="O484" s="123"/>
      <c r="P484" s="123"/>
      <c r="Q484" s="123"/>
      <c r="R484" s="123">
        <v>24</v>
      </c>
      <c r="S484" s="133">
        <f t="shared" si="102"/>
        <v>0</v>
      </c>
      <c r="T484" s="116">
        <f t="shared" si="100"/>
        <v>0</v>
      </c>
      <c r="U484" s="116">
        <f t="shared" si="104"/>
        <v>0</v>
      </c>
      <c r="V484" s="116">
        <f t="shared" si="113"/>
        <v>0</v>
      </c>
      <c r="W484" s="116">
        <f t="shared" si="114"/>
        <v>0</v>
      </c>
      <c r="X484" s="116">
        <f t="shared" si="105"/>
        <v>0</v>
      </c>
      <c r="Y484" s="116">
        <f t="shared" si="106"/>
        <v>0</v>
      </c>
      <c r="Z484" s="116">
        <f t="shared" si="107"/>
        <v>0</v>
      </c>
      <c r="AA484" s="116">
        <f t="shared" si="108"/>
        <v>0</v>
      </c>
      <c r="AB484" s="116">
        <f t="shared" si="109"/>
        <v>0</v>
      </c>
      <c r="AC484" s="116">
        <f t="shared" si="110"/>
        <v>0</v>
      </c>
      <c r="AD484" s="116">
        <f t="shared" si="111"/>
        <v>0</v>
      </c>
      <c r="AE484" s="116">
        <f t="shared" si="112"/>
        <v>807.41</v>
      </c>
    </row>
    <row r="485" spans="1:31">
      <c r="A485" s="131">
        <v>43077</v>
      </c>
      <c r="B485" s="131">
        <v>43108</v>
      </c>
      <c r="C485" s="123">
        <f t="shared" si="103"/>
        <v>31</v>
      </c>
      <c r="D485" s="123"/>
      <c r="E485" s="132">
        <v>117.16</v>
      </c>
      <c r="F485" s="135"/>
      <c r="G485" s="135"/>
      <c r="H485" s="123"/>
      <c r="I485" s="123"/>
      <c r="J485" s="123"/>
      <c r="K485" s="123"/>
      <c r="L485" s="123"/>
      <c r="M485" s="123"/>
      <c r="N485" s="123"/>
      <c r="O485" s="123"/>
      <c r="P485" s="123"/>
      <c r="Q485" s="123"/>
      <c r="R485" s="123">
        <v>24</v>
      </c>
      <c r="S485" s="133">
        <f t="shared" si="102"/>
        <v>0</v>
      </c>
      <c r="T485" s="116">
        <f t="shared" si="100"/>
        <v>0</v>
      </c>
      <c r="U485" s="116">
        <f t="shared" si="104"/>
        <v>0</v>
      </c>
      <c r="V485" s="116">
        <f t="shared" si="113"/>
        <v>0</v>
      </c>
      <c r="W485" s="116">
        <f t="shared" si="114"/>
        <v>0</v>
      </c>
      <c r="X485" s="116">
        <f t="shared" si="105"/>
        <v>0</v>
      </c>
      <c r="Y485" s="116">
        <f t="shared" si="106"/>
        <v>0</v>
      </c>
      <c r="Z485" s="116">
        <f t="shared" si="107"/>
        <v>0</v>
      </c>
      <c r="AA485" s="116">
        <f t="shared" si="108"/>
        <v>0</v>
      </c>
      <c r="AB485" s="116">
        <f t="shared" si="109"/>
        <v>0</v>
      </c>
      <c r="AC485" s="116">
        <f t="shared" si="110"/>
        <v>0</v>
      </c>
      <c r="AD485" s="116">
        <f t="shared" si="111"/>
        <v>0</v>
      </c>
      <c r="AE485" s="116">
        <f t="shared" si="112"/>
        <v>1080.97</v>
      </c>
    </row>
    <row r="486" spans="1:31">
      <c r="A486" s="131">
        <v>43081</v>
      </c>
      <c r="B486" s="131">
        <v>43112</v>
      </c>
      <c r="C486" s="123">
        <f t="shared" si="103"/>
        <v>31</v>
      </c>
      <c r="D486" s="123"/>
      <c r="E486" s="132">
        <v>850.61</v>
      </c>
      <c r="F486" s="135"/>
      <c r="G486" s="135"/>
      <c r="H486" s="123"/>
      <c r="I486" s="123"/>
      <c r="J486" s="123"/>
      <c r="K486" s="123"/>
      <c r="L486" s="123"/>
      <c r="M486" s="123"/>
      <c r="N486" s="123"/>
      <c r="O486" s="123"/>
      <c r="P486" s="123"/>
      <c r="Q486" s="123"/>
      <c r="R486" s="123">
        <v>20</v>
      </c>
      <c r="S486" s="133">
        <f t="shared" si="102"/>
        <v>0</v>
      </c>
      <c r="T486" s="116">
        <f t="shared" si="100"/>
        <v>0</v>
      </c>
      <c r="U486" s="116">
        <f t="shared" si="104"/>
        <v>0</v>
      </c>
      <c r="V486" s="116">
        <f t="shared" si="113"/>
        <v>0</v>
      </c>
      <c r="W486" s="116">
        <f t="shared" si="114"/>
        <v>0</v>
      </c>
      <c r="X486" s="116">
        <f t="shared" si="105"/>
        <v>0</v>
      </c>
      <c r="Y486" s="116">
        <f t="shared" si="106"/>
        <v>0</v>
      </c>
      <c r="Z486" s="116">
        <f t="shared" si="107"/>
        <v>0</v>
      </c>
      <c r="AA486" s="116">
        <f t="shared" si="108"/>
        <v>0</v>
      </c>
      <c r="AB486" s="116">
        <f t="shared" si="109"/>
        <v>0</v>
      </c>
      <c r="AC486" s="116">
        <f t="shared" si="110"/>
        <v>0</v>
      </c>
      <c r="AD486" s="116">
        <f t="shared" si="111"/>
        <v>0</v>
      </c>
      <c r="AE486" s="116">
        <f t="shared" si="112"/>
        <v>6540.11</v>
      </c>
    </row>
    <row r="487" spans="1:31">
      <c r="A487" s="131">
        <v>43081</v>
      </c>
      <c r="B487" s="131">
        <v>43112</v>
      </c>
      <c r="C487" s="123">
        <f t="shared" si="103"/>
        <v>31</v>
      </c>
      <c r="D487" s="123"/>
      <c r="E487" s="132">
        <v>612.13</v>
      </c>
      <c r="F487" s="135"/>
      <c r="G487" s="135"/>
      <c r="H487" s="123"/>
      <c r="I487" s="123"/>
      <c r="J487" s="123"/>
      <c r="K487" s="123"/>
      <c r="L487" s="123"/>
      <c r="M487" s="123"/>
      <c r="N487" s="123"/>
      <c r="O487" s="123"/>
      <c r="P487" s="123"/>
      <c r="Q487" s="123"/>
      <c r="R487" s="123">
        <v>20</v>
      </c>
      <c r="S487" s="133">
        <f t="shared" si="102"/>
        <v>0</v>
      </c>
      <c r="T487" s="116">
        <f t="shared" ref="T487:T500" si="115">ROUND((E487*G487/C487)/$C$6,2)</f>
        <v>0</v>
      </c>
      <c r="U487" s="116">
        <f t="shared" si="104"/>
        <v>0</v>
      </c>
      <c r="V487" s="116">
        <f t="shared" si="113"/>
        <v>0</v>
      </c>
      <c r="W487" s="116">
        <f t="shared" si="114"/>
        <v>0</v>
      </c>
      <c r="X487" s="116">
        <f t="shared" si="105"/>
        <v>0</v>
      </c>
      <c r="Y487" s="116">
        <f t="shared" si="106"/>
        <v>0</v>
      </c>
      <c r="Z487" s="116">
        <f t="shared" si="107"/>
        <v>0</v>
      </c>
      <c r="AA487" s="116">
        <f t="shared" si="108"/>
        <v>0</v>
      </c>
      <c r="AB487" s="116">
        <f t="shared" si="109"/>
        <v>0</v>
      </c>
      <c r="AC487" s="116">
        <f t="shared" si="110"/>
        <v>0</v>
      </c>
      <c r="AD487" s="116">
        <f t="shared" si="111"/>
        <v>0</v>
      </c>
      <c r="AE487" s="116">
        <f t="shared" si="112"/>
        <v>4706.5</v>
      </c>
    </row>
    <row r="488" spans="1:31">
      <c r="A488" s="131">
        <v>43081</v>
      </c>
      <c r="B488" s="131">
        <v>43112</v>
      </c>
      <c r="C488" s="123">
        <f t="shared" si="103"/>
        <v>31</v>
      </c>
      <c r="D488" s="123"/>
      <c r="E488" s="132">
        <v>209.94</v>
      </c>
      <c r="F488" s="135"/>
      <c r="G488" s="135"/>
      <c r="H488" s="123"/>
      <c r="I488" s="123"/>
      <c r="J488" s="123"/>
      <c r="K488" s="123"/>
      <c r="L488" s="123"/>
      <c r="M488" s="123"/>
      <c r="N488" s="123"/>
      <c r="O488" s="123"/>
      <c r="P488" s="123"/>
      <c r="Q488" s="123"/>
      <c r="R488" s="123">
        <v>20</v>
      </c>
      <c r="S488" s="133">
        <f t="shared" si="102"/>
        <v>0</v>
      </c>
      <c r="T488" s="116">
        <f t="shared" si="115"/>
        <v>0</v>
      </c>
      <c r="U488" s="116">
        <f t="shared" si="104"/>
        <v>0</v>
      </c>
      <c r="V488" s="116">
        <f t="shared" si="113"/>
        <v>0</v>
      </c>
      <c r="W488" s="116">
        <f t="shared" si="114"/>
        <v>0</v>
      </c>
      <c r="X488" s="116">
        <f t="shared" si="105"/>
        <v>0</v>
      </c>
      <c r="Y488" s="116">
        <f t="shared" si="106"/>
        <v>0</v>
      </c>
      <c r="Z488" s="116">
        <f t="shared" si="107"/>
        <v>0</v>
      </c>
      <c r="AA488" s="116">
        <f t="shared" si="108"/>
        <v>0</v>
      </c>
      <c r="AB488" s="116">
        <f t="shared" si="109"/>
        <v>0</v>
      </c>
      <c r="AC488" s="116">
        <f t="shared" si="110"/>
        <v>0</v>
      </c>
      <c r="AD488" s="116">
        <f t="shared" si="111"/>
        <v>0</v>
      </c>
      <c r="AE488" s="116">
        <f t="shared" si="112"/>
        <v>1614.17</v>
      </c>
    </row>
    <row r="489" spans="1:31">
      <c r="A489" s="131">
        <v>43084</v>
      </c>
      <c r="B489" s="131">
        <v>43115</v>
      </c>
      <c r="C489" s="123">
        <f t="shared" si="103"/>
        <v>31</v>
      </c>
      <c r="D489" s="123"/>
      <c r="E489" s="132">
        <v>46794.77</v>
      </c>
      <c r="F489" s="135"/>
      <c r="G489" s="135"/>
      <c r="H489" s="123"/>
      <c r="I489" s="123"/>
      <c r="J489" s="123"/>
      <c r="K489" s="123"/>
      <c r="L489" s="123"/>
      <c r="M489" s="123"/>
      <c r="N489" s="123"/>
      <c r="O489" s="123"/>
      <c r="P489" s="123"/>
      <c r="Q489" s="123"/>
      <c r="R489" s="123">
        <v>17</v>
      </c>
      <c r="S489" s="133">
        <f t="shared" si="102"/>
        <v>0</v>
      </c>
      <c r="T489" s="116">
        <f t="shared" si="115"/>
        <v>0</v>
      </c>
      <c r="U489" s="116">
        <f t="shared" si="104"/>
        <v>0</v>
      </c>
      <c r="V489" s="116">
        <f t="shared" si="113"/>
        <v>0</v>
      </c>
      <c r="W489" s="116">
        <f t="shared" si="114"/>
        <v>0</v>
      </c>
      <c r="X489" s="116">
        <f t="shared" si="105"/>
        <v>0</v>
      </c>
      <c r="Y489" s="116">
        <f t="shared" si="106"/>
        <v>0</v>
      </c>
      <c r="Z489" s="116">
        <f t="shared" si="107"/>
        <v>0</v>
      </c>
      <c r="AA489" s="116">
        <f t="shared" si="108"/>
        <v>0</v>
      </c>
      <c r="AB489" s="116">
        <f t="shared" si="109"/>
        <v>0</v>
      </c>
      <c r="AC489" s="116">
        <f t="shared" si="110"/>
        <v>0</v>
      </c>
      <c r="AD489" s="116">
        <f t="shared" si="111"/>
        <v>0</v>
      </c>
      <c r="AE489" s="116">
        <f t="shared" si="112"/>
        <v>305823.48</v>
      </c>
    </row>
    <row r="490" spans="1:31">
      <c r="A490" s="131">
        <v>43084</v>
      </c>
      <c r="B490" s="131">
        <v>43115</v>
      </c>
      <c r="C490" s="123">
        <f t="shared" si="103"/>
        <v>31</v>
      </c>
      <c r="D490" s="123"/>
      <c r="E490" s="132">
        <v>9131.4699999999993</v>
      </c>
      <c r="F490" s="135"/>
      <c r="G490" s="135"/>
      <c r="H490" s="123"/>
      <c r="I490" s="123"/>
      <c r="J490" s="123"/>
      <c r="K490" s="123"/>
      <c r="L490" s="123"/>
      <c r="M490" s="123"/>
      <c r="N490" s="123"/>
      <c r="O490" s="123"/>
      <c r="P490" s="123"/>
      <c r="Q490" s="123"/>
      <c r="R490" s="123">
        <v>17</v>
      </c>
      <c r="S490" s="133">
        <f t="shared" si="102"/>
        <v>0</v>
      </c>
      <c r="T490" s="116">
        <f t="shared" si="115"/>
        <v>0</v>
      </c>
      <c r="U490" s="116">
        <f t="shared" si="104"/>
        <v>0</v>
      </c>
      <c r="V490" s="116">
        <f t="shared" si="113"/>
        <v>0</v>
      </c>
      <c r="W490" s="116">
        <f t="shared" si="114"/>
        <v>0</v>
      </c>
      <c r="X490" s="116">
        <f t="shared" si="105"/>
        <v>0</v>
      </c>
      <c r="Y490" s="116">
        <f t="shared" si="106"/>
        <v>0</v>
      </c>
      <c r="Z490" s="116">
        <f t="shared" si="107"/>
        <v>0</v>
      </c>
      <c r="AA490" s="116">
        <f t="shared" si="108"/>
        <v>0</v>
      </c>
      <c r="AB490" s="116">
        <f t="shared" si="109"/>
        <v>0</v>
      </c>
      <c r="AC490" s="116">
        <f t="shared" si="110"/>
        <v>0</v>
      </c>
      <c r="AD490" s="116">
        <f t="shared" si="111"/>
        <v>0</v>
      </c>
      <c r="AE490" s="116">
        <f t="shared" si="112"/>
        <v>59677.99</v>
      </c>
    </row>
    <row r="491" spans="1:31">
      <c r="A491" s="131">
        <v>43084</v>
      </c>
      <c r="B491" s="131">
        <v>43115</v>
      </c>
      <c r="C491" s="123">
        <f t="shared" si="103"/>
        <v>31</v>
      </c>
      <c r="D491" s="123"/>
      <c r="E491" s="132">
        <v>2568.44</v>
      </c>
      <c r="F491" s="135"/>
      <c r="G491" s="135"/>
      <c r="H491" s="123"/>
      <c r="I491" s="123"/>
      <c r="J491" s="123"/>
      <c r="K491" s="123"/>
      <c r="L491" s="123"/>
      <c r="M491" s="123"/>
      <c r="N491" s="123"/>
      <c r="O491" s="123"/>
      <c r="P491" s="123"/>
      <c r="Q491" s="123"/>
      <c r="R491" s="123">
        <v>17</v>
      </c>
      <c r="S491" s="133">
        <f t="shared" si="102"/>
        <v>0</v>
      </c>
      <c r="T491" s="116">
        <f t="shared" si="115"/>
        <v>0</v>
      </c>
      <c r="U491" s="116">
        <f t="shared" si="104"/>
        <v>0</v>
      </c>
      <c r="V491" s="116">
        <f t="shared" si="113"/>
        <v>0</v>
      </c>
      <c r="W491" s="116">
        <f t="shared" si="114"/>
        <v>0</v>
      </c>
      <c r="X491" s="116">
        <f t="shared" si="105"/>
        <v>0</v>
      </c>
      <c r="Y491" s="116">
        <f t="shared" si="106"/>
        <v>0</v>
      </c>
      <c r="Z491" s="116">
        <f t="shared" si="107"/>
        <v>0</v>
      </c>
      <c r="AA491" s="116">
        <f t="shared" si="108"/>
        <v>0</v>
      </c>
      <c r="AB491" s="116">
        <f t="shared" si="109"/>
        <v>0</v>
      </c>
      <c r="AC491" s="116">
        <f t="shared" si="110"/>
        <v>0</v>
      </c>
      <c r="AD491" s="116">
        <f t="shared" si="111"/>
        <v>0</v>
      </c>
      <c r="AE491" s="116">
        <f t="shared" si="112"/>
        <v>16785.830000000002</v>
      </c>
    </row>
    <row r="492" spans="1:31">
      <c r="A492" s="131">
        <v>43080</v>
      </c>
      <c r="B492" s="131">
        <v>43118</v>
      </c>
      <c r="C492" s="123">
        <f t="shared" si="103"/>
        <v>38</v>
      </c>
      <c r="D492" s="123"/>
      <c r="E492" s="132">
        <v>22.48</v>
      </c>
      <c r="F492" s="135"/>
      <c r="G492" s="135"/>
      <c r="H492" s="123"/>
      <c r="I492" s="123"/>
      <c r="J492" s="123"/>
      <c r="K492" s="123"/>
      <c r="L492" s="123"/>
      <c r="M492" s="123"/>
      <c r="N492" s="123"/>
      <c r="O492" s="123"/>
      <c r="P492" s="123"/>
      <c r="Q492" s="123"/>
      <c r="R492" s="123">
        <v>21</v>
      </c>
      <c r="S492" s="133">
        <f t="shared" si="102"/>
        <v>0</v>
      </c>
      <c r="T492" s="116">
        <f t="shared" si="115"/>
        <v>0</v>
      </c>
      <c r="U492" s="116">
        <f t="shared" si="104"/>
        <v>0</v>
      </c>
      <c r="V492" s="116">
        <f t="shared" si="113"/>
        <v>0</v>
      </c>
      <c r="W492" s="116">
        <f t="shared" si="114"/>
        <v>0</v>
      </c>
      <c r="X492" s="116">
        <f t="shared" si="105"/>
        <v>0</v>
      </c>
      <c r="Y492" s="116">
        <f t="shared" si="106"/>
        <v>0</v>
      </c>
      <c r="Z492" s="116">
        <f t="shared" si="107"/>
        <v>0</v>
      </c>
      <c r="AA492" s="116">
        <f t="shared" si="108"/>
        <v>0</v>
      </c>
      <c r="AB492" s="116">
        <f t="shared" si="109"/>
        <v>0</v>
      </c>
      <c r="AC492" s="116">
        <f t="shared" si="110"/>
        <v>0</v>
      </c>
      <c r="AD492" s="116">
        <f t="shared" si="111"/>
        <v>0</v>
      </c>
      <c r="AE492" s="116">
        <f t="shared" si="112"/>
        <v>148.05000000000001</v>
      </c>
    </row>
    <row r="493" spans="1:31">
      <c r="A493" s="131">
        <v>43088</v>
      </c>
      <c r="B493" s="131">
        <v>43119</v>
      </c>
      <c r="C493" s="123">
        <f t="shared" si="103"/>
        <v>31</v>
      </c>
      <c r="D493" s="123"/>
      <c r="E493" s="132">
        <v>638.22</v>
      </c>
      <c r="F493" s="135"/>
      <c r="G493" s="135"/>
      <c r="H493" s="123"/>
      <c r="I493" s="123"/>
      <c r="J493" s="123"/>
      <c r="K493" s="123"/>
      <c r="L493" s="123"/>
      <c r="M493" s="123"/>
      <c r="N493" s="123"/>
      <c r="O493" s="123"/>
      <c r="P493" s="123"/>
      <c r="Q493" s="123"/>
      <c r="R493" s="123">
        <v>13</v>
      </c>
      <c r="S493" s="133">
        <f t="shared" si="102"/>
        <v>0</v>
      </c>
      <c r="T493" s="116">
        <f t="shared" si="115"/>
        <v>0</v>
      </c>
      <c r="U493" s="116">
        <f t="shared" si="104"/>
        <v>0</v>
      </c>
      <c r="V493" s="116">
        <f t="shared" si="113"/>
        <v>0</v>
      </c>
      <c r="W493" s="116">
        <f t="shared" si="114"/>
        <v>0</v>
      </c>
      <c r="X493" s="116">
        <f t="shared" si="105"/>
        <v>0</v>
      </c>
      <c r="Y493" s="116">
        <f t="shared" si="106"/>
        <v>0</v>
      </c>
      <c r="Z493" s="116">
        <f t="shared" si="107"/>
        <v>0</v>
      </c>
      <c r="AA493" s="116">
        <f t="shared" si="108"/>
        <v>0</v>
      </c>
      <c r="AB493" s="116">
        <f t="shared" si="109"/>
        <v>0</v>
      </c>
      <c r="AC493" s="116">
        <f t="shared" si="110"/>
        <v>0</v>
      </c>
      <c r="AD493" s="116">
        <f t="shared" si="111"/>
        <v>0</v>
      </c>
      <c r="AE493" s="116">
        <f t="shared" si="112"/>
        <v>3189.62</v>
      </c>
    </row>
    <row r="494" spans="1:31">
      <c r="A494" s="131">
        <v>43088</v>
      </c>
      <c r="B494" s="131">
        <v>43119</v>
      </c>
      <c r="C494" s="123">
        <f t="shared" si="103"/>
        <v>31</v>
      </c>
      <c r="D494" s="123"/>
      <c r="E494" s="132">
        <v>1872.98</v>
      </c>
      <c r="F494" s="135"/>
      <c r="G494" s="135"/>
      <c r="H494" s="123"/>
      <c r="I494" s="123"/>
      <c r="J494" s="123"/>
      <c r="K494" s="123"/>
      <c r="L494" s="123"/>
      <c r="M494" s="123"/>
      <c r="N494" s="123"/>
      <c r="O494" s="123"/>
      <c r="P494" s="123"/>
      <c r="Q494" s="123"/>
      <c r="R494" s="123">
        <v>13</v>
      </c>
      <c r="S494" s="133">
        <f t="shared" si="102"/>
        <v>0</v>
      </c>
      <c r="T494" s="116">
        <f t="shared" si="115"/>
        <v>0</v>
      </c>
      <c r="U494" s="116">
        <f t="shared" si="104"/>
        <v>0</v>
      </c>
      <c r="V494" s="116">
        <f t="shared" si="113"/>
        <v>0</v>
      </c>
      <c r="W494" s="116">
        <f t="shared" si="114"/>
        <v>0</v>
      </c>
      <c r="X494" s="116">
        <f t="shared" si="105"/>
        <v>0</v>
      </c>
      <c r="Y494" s="116">
        <f t="shared" si="106"/>
        <v>0</v>
      </c>
      <c r="Z494" s="116">
        <f t="shared" si="107"/>
        <v>0</v>
      </c>
      <c r="AA494" s="116">
        <f t="shared" si="108"/>
        <v>0</v>
      </c>
      <c r="AB494" s="116">
        <f t="shared" si="109"/>
        <v>0</v>
      </c>
      <c r="AC494" s="116">
        <f t="shared" si="110"/>
        <v>0</v>
      </c>
      <c r="AD494" s="116">
        <f t="shared" si="111"/>
        <v>0</v>
      </c>
      <c r="AE494" s="116">
        <f t="shared" si="112"/>
        <v>9360.5400000000009</v>
      </c>
    </row>
    <row r="495" spans="1:31">
      <c r="A495" s="131">
        <v>43088</v>
      </c>
      <c r="B495" s="131">
        <v>43119</v>
      </c>
      <c r="C495" s="123">
        <f t="shared" si="103"/>
        <v>31</v>
      </c>
      <c r="D495" s="123"/>
      <c r="E495" s="132">
        <v>842.09</v>
      </c>
      <c r="F495" s="135"/>
      <c r="G495" s="135"/>
      <c r="H495" s="123"/>
      <c r="I495" s="123"/>
      <c r="J495" s="123"/>
      <c r="K495" s="123"/>
      <c r="L495" s="123"/>
      <c r="M495" s="123"/>
      <c r="N495" s="123"/>
      <c r="O495" s="123"/>
      <c r="P495" s="123"/>
      <c r="Q495" s="123"/>
      <c r="R495" s="123">
        <v>13</v>
      </c>
      <c r="S495" s="133">
        <f t="shared" si="102"/>
        <v>0</v>
      </c>
      <c r="T495" s="116">
        <f t="shared" si="115"/>
        <v>0</v>
      </c>
      <c r="U495" s="116">
        <f t="shared" si="104"/>
        <v>0</v>
      </c>
      <c r="V495" s="116">
        <f t="shared" si="113"/>
        <v>0</v>
      </c>
      <c r="W495" s="116">
        <f t="shared" si="114"/>
        <v>0</v>
      </c>
      <c r="X495" s="116">
        <f t="shared" si="105"/>
        <v>0</v>
      </c>
      <c r="Y495" s="116">
        <f t="shared" si="106"/>
        <v>0</v>
      </c>
      <c r="Z495" s="116">
        <f t="shared" si="107"/>
        <v>0</v>
      </c>
      <c r="AA495" s="116">
        <f t="shared" si="108"/>
        <v>0</v>
      </c>
      <c r="AB495" s="116">
        <f t="shared" si="109"/>
        <v>0</v>
      </c>
      <c r="AC495" s="116">
        <f t="shared" si="110"/>
        <v>0</v>
      </c>
      <c r="AD495" s="116">
        <f t="shared" si="111"/>
        <v>0</v>
      </c>
      <c r="AE495" s="116">
        <f t="shared" si="112"/>
        <v>4208.49</v>
      </c>
    </row>
    <row r="496" spans="1:31">
      <c r="A496" s="131">
        <v>43084</v>
      </c>
      <c r="B496" s="131">
        <v>43115</v>
      </c>
      <c r="C496" s="123">
        <f t="shared" si="103"/>
        <v>31</v>
      </c>
      <c r="D496" s="123"/>
      <c r="E496" s="132">
        <v>126.36</v>
      </c>
      <c r="F496" s="135"/>
      <c r="G496" s="135"/>
      <c r="H496" s="123"/>
      <c r="I496" s="123"/>
      <c r="J496" s="123"/>
      <c r="K496" s="123"/>
      <c r="L496" s="123"/>
      <c r="M496" s="123"/>
      <c r="N496" s="123"/>
      <c r="O496" s="123"/>
      <c r="P496" s="123"/>
      <c r="Q496" s="123"/>
      <c r="R496" s="123">
        <v>17</v>
      </c>
      <c r="S496" s="133">
        <f t="shared" si="102"/>
        <v>0</v>
      </c>
      <c r="T496" s="116">
        <f t="shared" si="115"/>
        <v>0</v>
      </c>
      <c r="U496" s="116">
        <f t="shared" si="104"/>
        <v>0</v>
      </c>
      <c r="V496" s="116">
        <f t="shared" si="113"/>
        <v>0</v>
      </c>
      <c r="W496" s="116">
        <f t="shared" si="114"/>
        <v>0</v>
      </c>
      <c r="X496" s="116">
        <f t="shared" si="105"/>
        <v>0</v>
      </c>
      <c r="Y496" s="116">
        <f t="shared" si="106"/>
        <v>0</v>
      </c>
      <c r="Z496" s="116">
        <f t="shared" si="107"/>
        <v>0</v>
      </c>
      <c r="AA496" s="116">
        <f t="shared" si="108"/>
        <v>0</v>
      </c>
      <c r="AB496" s="116">
        <f t="shared" si="109"/>
        <v>0</v>
      </c>
      <c r="AC496" s="116">
        <f t="shared" si="110"/>
        <v>0</v>
      </c>
      <c r="AD496" s="116">
        <f t="shared" si="111"/>
        <v>0</v>
      </c>
      <c r="AE496" s="116">
        <f t="shared" si="112"/>
        <v>825.82</v>
      </c>
    </row>
    <row r="497" spans="1:31">
      <c r="A497" s="131">
        <v>43095</v>
      </c>
      <c r="B497" s="131">
        <v>43126</v>
      </c>
      <c r="C497" s="123">
        <f t="shared" si="103"/>
        <v>31</v>
      </c>
      <c r="D497" s="123"/>
      <c r="E497" s="132">
        <v>1350.36</v>
      </c>
      <c r="F497" s="135"/>
      <c r="G497" s="135"/>
      <c r="H497" s="123"/>
      <c r="I497" s="123"/>
      <c r="J497" s="123"/>
      <c r="K497" s="123"/>
      <c r="L497" s="123"/>
      <c r="M497" s="123"/>
      <c r="N497" s="123"/>
      <c r="O497" s="123"/>
      <c r="P497" s="123"/>
      <c r="Q497" s="123"/>
      <c r="R497" s="123">
        <v>6</v>
      </c>
      <c r="S497" s="133">
        <f t="shared" si="102"/>
        <v>0</v>
      </c>
      <c r="T497" s="116">
        <f t="shared" si="115"/>
        <v>0</v>
      </c>
      <c r="U497" s="116">
        <f t="shared" si="104"/>
        <v>0</v>
      </c>
      <c r="V497" s="116">
        <f t="shared" si="113"/>
        <v>0</v>
      </c>
      <c r="W497" s="116">
        <f t="shared" si="114"/>
        <v>0</v>
      </c>
      <c r="X497" s="116">
        <f t="shared" si="105"/>
        <v>0</v>
      </c>
      <c r="Y497" s="116">
        <f t="shared" si="106"/>
        <v>0</v>
      </c>
      <c r="Z497" s="116">
        <f t="shared" si="107"/>
        <v>0</v>
      </c>
      <c r="AA497" s="116">
        <f t="shared" si="108"/>
        <v>0</v>
      </c>
      <c r="AB497" s="116">
        <f t="shared" si="109"/>
        <v>0</v>
      </c>
      <c r="AC497" s="116">
        <f t="shared" si="110"/>
        <v>0</v>
      </c>
      <c r="AD497" s="116">
        <f t="shared" si="111"/>
        <v>0</v>
      </c>
      <c r="AE497" s="116">
        <f t="shared" si="112"/>
        <v>3114.77</v>
      </c>
    </row>
    <row r="498" spans="1:31">
      <c r="A498" s="131">
        <v>43095</v>
      </c>
      <c r="B498" s="131">
        <v>43126</v>
      </c>
      <c r="C498" s="123">
        <f t="shared" si="103"/>
        <v>31</v>
      </c>
      <c r="D498" s="123"/>
      <c r="E498" s="132">
        <v>1426.48</v>
      </c>
      <c r="F498" s="135"/>
      <c r="G498" s="135"/>
      <c r="H498" s="123"/>
      <c r="I498" s="123"/>
      <c r="J498" s="123"/>
      <c r="K498" s="123"/>
      <c r="L498" s="123"/>
      <c r="M498" s="123"/>
      <c r="N498" s="123"/>
      <c r="O498" s="123"/>
      <c r="P498" s="123"/>
      <c r="Q498" s="123"/>
      <c r="R498" s="123">
        <v>6</v>
      </c>
      <c r="S498" s="133">
        <f t="shared" si="102"/>
        <v>0</v>
      </c>
      <c r="T498" s="116">
        <f t="shared" si="115"/>
        <v>0</v>
      </c>
      <c r="U498" s="116">
        <f t="shared" si="104"/>
        <v>0</v>
      </c>
      <c r="V498" s="116">
        <f t="shared" si="113"/>
        <v>0</v>
      </c>
      <c r="W498" s="116">
        <f t="shared" si="114"/>
        <v>0</v>
      </c>
      <c r="X498" s="116">
        <f t="shared" si="105"/>
        <v>0</v>
      </c>
      <c r="Y498" s="116">
        <f t="shared" si="106"/>
        <v>0</v>
      </c>
      <c r="Z498" s="116">
        <f t="shared" si="107"/>
        <v>0</v>
      </c>
      <c r="AA498" s="116">
        <f t="shared" si="108"/>
        <v>0</v>
      </c>
      <c r="AB498" s="116">
        <f t="shared" si="109"/>
        <v>0</v>
      </c>
      <c r="AC498" s="116">
        <f t="shared" si="110"/>
        <v>0</v>
      </c>
      <c r="AD498" s="116">
        <f t="shared" si="111"/>
        <v>0</v>
      </c>
      <c r="AE498" s="116">
        <f t="shared" si="112"/>
        <v>3290.35</v>
      </c>
    </row>
    <row r="499" spans="1:31">
      <c r="A499" s="131">
        <v>43097</v>
      </c>
      <c r="B499" s="131">
        <v>43128</v>
      </c>
      <c r="C499" s="123">
        <f t="shared" si="103"/>
        <v>31</v>
      </c>
      <c r="D499" s="123"/>
      <c r="E499" s="132">
        <v>248.09</v>
      </c>
      <c r="F499" s="135"/>
      <c r="G499" s="135"/>
      <c r="H499" s="123"/>
      <c r="I499" s="123"/>
      <c r="J499" s="123"/>
      <c r="K499" s="123"/>
      <c r="L499" s="123"/>
      <c r="M499" s="123"/>
      <c r="N499" s="123"/>
      <c r="O499" s="123"/>
      <c r="P499" s="123"/>
      <c r="Q499" s="123"/>
      <c r="R499" s="123">
        <v>4</v>
      </c>
      <c r="S499" s="133">
        <f t="shared" si="102"/>
        <v>0</v>
      </c>
      <c r="T499" s="116">
        <f t="shared" si="115"/>
        <v>0</v>
      </c>
      <c r="U499" s="116">
        <f t="shared" si="104"/>
        <v>0</v>
      </c>
      <c r="V499" s="116">
        <f t="shared" si="113"/>
        <v>0</v>
      </c>
      <c r="W499" s="116">
        <f t="shared" si="114"/>
        <v>0</v>
      </c>
      <c r="X499" s="116">
        <f t="shared" si="105"/>
        <v>0</v>
      </c>
      <c r="Y499" s="116">
        <f t="shared" si="106"/>
        <v>0</v>
      </c>
      <c r="Z499" s="116">
        <f t="shared" si="107"/>
        <v>0</v>
      </c>
      <c r="AA499" s="116">
        <f t="shared" si="108"/>
        <v>0</v>
      </c>
      <c r="AB499" s="116">
        <f t="shared" si="109"/>
        <v>0</v>
      </c>
      <c r="AC499" s="116">
        <f t="shared" si="110"/>
        <v>0</v>
      </c>
      <c r="AD499" s="116">
        <f t="shared" si="111"/>
        <v>0</v>
      </c>
      <c r="AE499" s="116">
        <f t="shared" si="112"/>
        <v>381.5</v>
      </c>
    </row>
    <row r="500" spans="1:31">
      <c r="A500" s="131">
        <v>43097</v>
      </c>
      <c r="B500" s="131">
        <v>43128</v>
      </c>
      <c r="C500" s="123">
        <f t="shared" si="103"/>
        <v>31</v>
      </c>
      <c r="D500" s="123"/>
      <c r="E500" s="132">
        <v>1085.49</v>
      </c>
      <c r="F500" s="135"/>
      <c r="G500" s="135"/>
      <c r="H500" s="123"/>
      <c r="I500" s="123"/>
      <c r="J500" s="123"/>
      <c r="K500" s="123"/>
      <c r="L500" s="123"/>
      <c r="M500" s="123"/>
      <c r="N500" s="123"/>
      <c r="O500" s="123"/>
      <c r="P500" s="123"/>
      <c r="Q500" s="123"/>
      <c r="R500" s="123">
        <v>4</v>
      </c>
      <c r="S500" s="133">
        <f t="shared" si="102"/>
        <v>0</v>
      </c>
      <c r="T500" s="136">
        <f t="shared" si="115"/>
        <v>0</v>
      </c>
      <c r="U500" s="136">
        <f t="shared" si="104"/>
        <v>0</v>
      </c>
      <c r="V500" s="136">
        <f t="shared" si="113"/>
        <v>0</v>
      </c>
      <c r="W500" s="136">
        <f t="shared" si="114"/>
        <v>0</v>
      </c>
      <c r="X500" s="136">
        <f t="shared" si="105"/>
        <v>0</v>
      </c>
      <c r="Y500" s="136">
        <f t="shared" si="106"/>
        <v>0</v>
      </c>
      <c r="Z500" s="136">
        <f t="shared" si="107"/>
        <v>0</v>
      </c>
      <c r="AA500" s="136">
        <f t="shared" si="108"/>
        <v>0</v>
      </c>
      <c r="AB500" s="136">
        <f t="shared" si="109"/>
        <v>0</v>
      </c>
      <c r="AC500" s="136">
        <f t="shared" si="110"/>
        <v>0</v>
      </c>
      <c r="AD500" s="136">
        <f t="shared" si="111"/>
        <v>0</v>
      </c>
      <c r="AE500" s="136">
        <f t="shared" si="112"/>
        <v>1669.21</v>
      </c>
    </row>
    <row r="501" spans="1:31">
      <c r="B501" s="135"/>
      <c r="C501" s="135"/>
      <c r="D501" s="135"/>
      <c r="E501" s="110"/>
      <c r="F501" s="110"/>
      <c r="G501" s="123"/>
      <c r="H501" s="123"/>
      <c r="I501" s="123"/>
      <c r="J501" s="123"/>
      <c r="K501" s="123"/>
      <c r="L501" s="123"/>
      <c r="M501" s="123"/>
      <c r="N501" s="123"/>
      <c r="O501" s="123"/>
      <c r="P501" s="123"/>
      <c r="Q501" s="123"/>
      <c r="R501" s="123"/>
      <c r="S501" s="110"/>
      <c r="T501" s="116"/>
      <c r="U501" s="116"/>
      <c r="V501" s="116"/>
      <c r="W501" s="116"/>
      <c r="X501" s="116"/>
      <c r="Y501" s="116"/>
      <c r="Z501" s="116"/>
      <c r="AA501" s="116"/>
      <c r="AB501" s="116"/>
      <c r="AC501" s="116"/>
      <c r="AD501" s="116"/>
      <c r="AE501" s="116"/>
    </row>
    <row r="502" spans="1:31" ht="15.75" thickBot="1">
      <c r="A502" s="117" t="s">
        <v>50</v>
      </c>
      <c r="B502" s="135"/>
      <c r="C502" s="135"/>
      <c r="D502" s="135"/>
      <c r="G502" s="123">
        <f t="shared" ref="G502:R502" si="116">COUNT(G23:G500)</f>
        <v>66</v>
      </c>
      <c r="H502" s="123">
        <f t="shared" si="116"/>
        <v>64</v>
      </c>
      <c r="I502" s="123">
        <f t="shared" si="116"/>
        <v>69</v>
      </c>
      <c r="J502" s="123">
        <f t="shared" si="116"/>
        <v>70</v>
      </c>
      <c r="K502" s="123">
        <f t="shared" si="116"/>
        <v>72</v>
      </c>
      <c r="L502" s="123">
        <f t="shared" si="116"/>
        <v>71</v>
      </c>
      <c r="M502" s="123">
        <f t="shared" si="116"/>
        <v>68</v>
      </c>
      <c r="N502" s="123">
        <f t="shared" si="116"/>
        <v>62</v>
      </c>
      <c r="O502" s="123">
        <f t="shared" si="116"/>
        <v>64</v>
      </c>
      <c r="P502" s="123">
        <f t="shared" si="116"/>
        <v>64</v>
      </c>
      <c r="Q502" s="123">
        <f t="shared" si="116"/>
        <v>62</v>
      </c>
      <c r="R502" s="123">
        <f t="shared" si="116"/>
        <v>56</v>
      </c>
      <c r="S502" s="110"/>
      <c r="T502" s="137">
        <f>SUM(T23:T501)</f>
        <v>6392308.7600000026</v>
      </c>
      <c r="U502" s="137">
        <f t="shared" ref="U502:AD502" si="117">SUM(U23:U501)</f>
        <v>5375089.2800000003</v>
      </c>
      <c r="V502" s="137">
        <f t="shared" si="117"/>
        <v>5943456.2300000014</v>
      </c>
      <c r="W502" s="137">
        <f t="shared" si="117"/>
        <v>5248762.1000000006</v>
      </c>
      <c r="X502" s="137">
        <f t="shared" si="117"/>
        <v>5196901.5699999994</v>
      </c>
      <c r="Y502" s="137">
        <f t="shared" si="117"/>
        <v>5332009.79</v>
      </c>
      <c r="Z502" s="137">
        <f t="shared" si="117"/>
        <v>5811788.0200000014</v>
      </c>
      <c r="AA502" s="137">
        <f t="shared" si="117"/>
        <v>5702335.8000000017</v>
      </c>
      <c r="AB502" s="137">
        <f t="shared" si="117"/>
        <v>5642060.1300000018</v>
      </c>
      <c r="AC502" s="137">
        <f t="shared" si="117"/>
        <v>5594107.9400000013</v>
      </c>
      <c r="AD502" s="137">
        <f t="shared" si="117"/>
        <v>5729110.6899999995</v>
      </c>
      <c r="AE502" s="137">
        <f>SUM(AE23:AE501)</f>
        <v>5842802.7300000004</v>
      </c>
    </row>
    <row r="503" spans="1:31" ht="15.75" thickTop="1">
      <c r="B503" s="135"/>
      <c r="C503" s="135"/>
      <c r="D503" s="135"/>
      <c r="S503" s="113" t="s">
        <v>220</v>
      </c>
      <c r="U503" s="138">
        <f>U502-T502</f>
        <v>-1017219.4800000023</v>
      </c>
      <c r="V503" s="138">
        <f t="shared" ref="V503:AE503" si="118">V502-U502</f>
        <v>568366.95000000112</v>
      </c>
      <c r="W503" s="138">
        <f t="shared" si="118"/>
        <v>-694694.13000000082</v>
      </c>
      <c r="X503" s="138">
        <f t="shared" si="118"/>
        <v>-51860.530000001192</v>
      </c>
      <c r="Y503" s="138">
        <f t="shared" si="118"/>
        <v>135108.22000000067</v>
      </c>
      <c r="Z503" s="138">
        <f t="shared" si="118"/>
        <v>479778.23000000138</v>
      </c>
      <c r="AA503" s="138">
        <f t="shared" si="118"/>
        <v>-109452.21999999974</v>
      </c>
      <c r="AB503" s="138">
        <f t="shared" si="118"/>
        <v>-60275.669999999925</v>
      </c>
      <c r="AC503" s="138">
        <f t="shared" si="118"/>
        <v>-47952.19000000041</v>
      </c>
      <c r="AD503" s="138">
        <f t="shared" si="118"/>
        <v>135002.74999999814</v>
      </c>
      <c r="AE503" s="138">
        <f t="shared" si="118"/>
        <v>113692.04000000097</v>
      </c>
    </row>
    <row r="504" spans="1:31">
      <c r="B504" s="135"/>
      <c r="C504" s="135"/>
      <c r="D504" s="135"/>
      <c r="S504" s="113" t="s">
        <v>221</v>
      </c>
      <c r="U504" s="139">
        <f>U503/T502</f>
        <v>-0.15913178136282671</v>
      </c>
      <c r="V504" s="139">
        <f t="shared" ref="V504:AE504" si="119">V503/U502</f>
        <v>0.10574093199062194</v>
      </c>
      <c r="W504" s="139">
        <f t="shared" si="119"/>
        <v>-0.11688386405429971</v>
      </c>
      <c r="X504" s="139">
        <f t="shared" si="119"/>
        <v>-9.880525924389141E-3</v>
      </c>
      <c r="Y504" s="139">
        <f t="shared" si="119"/>
        <v>2.5997840863474481E-2</v>
      </c>
      <c r="Z504" s="139">
        <f t="shared" si="119"/>
        <v>8.9980748141124736E-2</v>
      </c>
      <c r="AA504" s="139">
        <f t="shared" si="119"/>
        <v>-1.8832796313861377E-2</v>
      </c>
      <c r="AB504" s="139">
        <f t="shared" si="119"/>
        <v>-1.0570347330299263E-2</v>
      </c>
      <c r="AC504" s="139">
        <f t="shared" si="119"/>
        <v>-8.4990568861591335E-3</v>
      </c>
      <c r="AD504" s="139">
        <f t="shared" si="119"/>
        <v>2.4133025577621963E-2</v>
      </c>
      <c r="AE504" s="139">
        <f t="shared" si="119"/>
        <v>1.984462269134496E-2</v>
      </c>
    </row>
    <row r="505" spans="1:31">
      <c r="B505" s="135"/>
      <c r="C505" s="135"/>
      <c r="D505" s="135"/>
    </row>
    <row r="506" spans="1:31">
      <c r="B506" s="135"/>
      <c r="C506" s="135"/>
      <c r="D506" s="135"/>
    </row>
    <row r="507" spans="1:31">
      <c r="B507" s="135"/>
      <c r="C507" s="135"/>
      <c r="D507" s="135"/>
      <c r="S507" s="113" t="s">
        <v>222</v>
      </c>
      <c r="T507" s="140">
        <v>13362062</v>
      </c>
      <c r="U507" s="140">
        <v>10288756.310000001</v>
      </c>
      <c r="V507" s="140">
        <v>10513214.359999999</v>
      </c>
      <c r="W507" s="140">
        <v>6136506.7400000002</v>
      </c>
      <c r="X507" s="140">
        <v>5436099.4199999999</v>
      </c>
      <c r="Y507" s="140">
        <v>5474406.6399999997</v>
      </c>
      <c r="Z507" s="140">
        <v>6400378.1600000001</v>
      </c>
      <c r="AA507" s="140">
        <v>9267801.6099999994</v>
      </c>
      <c r="AB507" s="140">
        <v>9535035.5999999996</v>
      </c>
      <c r="AC507" s="140">
        <v>9370683.3300000001</v>
      </c>
      <c r="AD507" s="140">
        <v>7258199.9799999995</v>
      </c>
      <c r="AE507" s="140">
        <v>12537244.189999999</v>
      </c>
    </row>
    <row r="508" spans="1:31">
      <c r="B508" s="135"/>
      <c r="C508" s="135"/>
      <c r="D508" s="135"/>
      <c r="S508" s="113" t="s">
        <v>223</v>
      </c>
      <c r="T508" s="140">
        <v>2134510</v>
      </c>
      <c r="U508" s="140">
        <v>2975320</v>
      </c>
      <c r="V508" s="140">
        <v>3883530</v>
      </c>
      <c r="W508" s="140">
        <v>4799720</v>
      </c>
      <c r="X508" s="140">
        <v>5096570</v>
      </c>
      <c r="Y508" s="140">
        <v>5673460</v>
      </c>
      <c r="Z508" s="140">
        <v>5380900</v>
      </c>
      <c r="AA508" s="140">
        <v>2756940</v>
      </c>
      <c r="AB508" s="140">
        <v>3210200</v>
      </c>
      <c r="AC508" s="140">
        <v>2799480</v>
      </c>
      <c r="AD508" s="140">
        <v>5298050</v>
      </c>
      <c r="AE508" s="140">
        <v>3896110</v>
      </c>
    </row>
    <row r="509" spans="1:31">
      <c r="B509" s="135"/>
      <c r="C509" s="135"/>
      <c r="D509" s="135"/>
      <c r="S509" s="113" t="s">
        <v>224</v>
      </c>
      <c r="T509" s="140">
        <v>2492972.46</v>
      </c>
      <c r="U509" s="140">
        <v>2713405.86</v>
      </c>
      <c r="V509" s="140">
        <v>3089920.68</v>
      </c>
      <c r="W509" s="140">
        <v>3157012.98</v>
      </c>
      <c r="X509" s="140">
        <v>3289437.36</v>
      </c>
      <c r="Y509" s="140">
        <v>2673696.96</v>
      </c>
      <c r="Z509" s="140">
        <v>3291221.34</v>
      </c>
      <c r="AA509" s="140">
        <v>2425551.48</v>
      </c>
      <c r="AB509" s="140">
        <v>1261293.6599999999</v>
      </c>
      <c r="AC509" s="140">
        <v>1285134.8400000001</v>
      </c>
      <c r="AD509" s="140">
        <v>3266964.36</v>
      </c>
      <c r="AE509" s="140">
        <v>2883672</v>
      </c>
    </row>
    <row r="510" spans="1:31">
      <c r="B510" s="135"/>
      <c r="C510" s="135"/>
      <c r="D510" s="135"/>
      <c r="S510" s="113" t="s">
        <v>225</v>
      </c>
      <c r="T510" s="140">
        <v>0</v>
      </c>
      <c r="U510" s="141">
        <v>0</v>
      </c>
      <c r="V510" s="140">
        <v>0</v>
      </c>
      <c r="W510" s="140">
        <v>0</v>
      </c>
      <c r="X510" s="140">
        <v>0</v>
      </c>
      <c r="Y510" s="140">
        <v>0</v>
      </c>
      <c r="Z510" s="140">
        <v>0</v>
      </c>
      <c r="AA510" s="140">
        <v>0</v>
      </c>
      <c r="AB510" s="140">
        <v>0</v>
      </c>
      <c r="AC510" s="140">
        <v>0</v>
      </c>
      <c r="AD510" s="140">
        <v>0</v>
      </c>
      <c r="AE510" s="140">
        <v>0</v>
      </c>
    </row>
    <row r="511" spans="1:31" ht="15.75" thickBot="1">
      <c r="B511" s="135"/>
      <c r="C511" s="135"/>
      <c r="D511" s="135"/>
      <c r="T511" s="142">
        <f>SUM(T507:T510)</f>
        <v>17989544.460000001</v>
      </c>
      <c r="U511" s="142">
        <f t="shared" ref="U511:AE511" si="120">SUM(U507:U510)</f>
        <v>15977482.17</v>
      </c>
      <c r="V511" s="142">
        <f t="shared" si="120"/>
        <v>17486665.039999999</v>
      </c>
      <c r="W511" s="142">
        <f t="shared" si="120"/>
        <v>14093239.720000001</v>
      </c>
      <c r="X511" s="142">
        <f t="shared" si="120"/>
        <v>13822106.779999999</v>
      </c>
      <c r="Y511" s="142">
        <f t="shared" si="120"/>
        <v>13821563.600000001</v>
      </c>
      <c r="Z511" s="142">
        <f t="shared" si="120"/>
        <v>15072499.5</v>
      </c>
      <c r="AA511" s="142">
        <f t="shared" si="120"/>
        <v>14450293.09</v>
      </c>
      <c r="AB511" s="142">
        <f t="shared" si="120"/>
        <v>14006529.26</v>
      </c>
      <c r="AC511" s="142">
        <f t="shared" si="120"/>
        <v>13455298.17</v>
      </c>
      <c r="AD511" s="142">
        <f t="shared" si="120"/>
        <v>15823214.34</v>
      </c>
      <c r="AE511" s="142">
        <f t="shared" si="120"/>
        <v>19317026.189999998</v>
      </c>
    </row>
    <row r="512" spans="1:31" ht="15.75" thickTop="1">
      <c r="B512" s="135"/>
      <c r="C512" s="135"/>
      <c r="D512" s="135"/>
      <c r="S512" s="113" t="s">
        <v>220</v>
      </c>
      <c r="U512" s="138">
        <f>U511-T511</f>
        <v>-2012062.290000001</v>
      </c>
      <c r="V512" s="138">
        <f t="shared" ref="V512:AE512" si="121">V511-U511</f>
        <v>1509182.8699999992</v>
      </c>
      <c r="W512" s="138">
        <f t="shared" si="121"/>
        <v>-3393425.3199999984</v>
      </c>
      <c r="X512" s="138">
        <f t="shared" si="121"/>
        <v>-271132.94000000134</v>
      </c>
      <c r="Y512" s="138">
        <f t="shared" si="121"/>
        <v>-543.17999999783933</v>
      </c>
      <c r="Z512" s="138">
        <f t="shared" si="121"/>
        <v>1250935.8999999985</v>
      </c>
      <c r="AA512" s="138">
        <f t="shared" si="121"/>
        <v>-622206.41000000015</v>
      </c>
      <c r="AB512" s="138">
        <f t="shared" si="121"/>
        <v>-443763.83000000007</v>
      </c>
      <c r="AC512" s="138">
        <f t="shared" si="121"/>
        <v>-551231.08999999985</v>
      </c>
      <c r="AD512" s="138">
        <f t="shared" si="121"/>
        <v>2367916.17</v>
      </c>
      <c r="AE512" s="138">
        <f t="shared" si="121"/>
        <v>3493811.8499999978</v>
      </c>
    </row>
    <row r="513" spans="2:31">
      <c r="B513" s="135"/>
      <c r="C513" s="135"/>
      <c r="D513" s="135"/>
      <c r="S513" s="113" t="s">
        <v>221</v>
      </c>
      <c r="U513" s="139">
        <f>U512/T511</f>
        <v>-0.11184620569319302</v>
      </c>
      <c r="V513" s="139">
        <f t="shared" ref="V513:AE513" si="122">V512/U511</f>
        <v>9.44568646012139E-2</v>
      </c>
      <c r="W513" s="139">
        <f t="shared" si="122"/>
        <v>-0.19405788995429848</v>
      </c>
      <c r="X513" s="139">
        <f t="shared" si="122"/>
        <v>-1.9238510476425878E-2</v>
      </c>
      <c r="Y513" s="139">
        <f t="shared" si="122"/>
        <v>-3.9297916637700822E-5</v>
      </c>
      <c r="Z513" s="139">
        <f t="shared" si="122"/>
        <v>9.0506105980657531E-2</v>
      </c>
      <c r="AA513" s="139">
        <f t="shared" si="122"/>
        <v>-4.1280904338394583E-2</v>
      </c>
      <c r="AB513" s="139">
        <f t="shared" si="122"/>
        <v>-3.0709676768223951E-2</v>
      </c>
      <c r="AC513" s="139">
        <f t="shared" si="122"/>
        <v>-3.935529493192947E-2</v>
      </c>
      <c r="AD513" s="139">
        <f t="shared" si="122"/>
        <v>0.17598392395937518</v>
      </c>
      <c r="AE513" s="139">
        <f t="shared" si="122"/>
        <v>0.22080291494047966</v>
      </c>
    </row>
    <row r="514" spans="2:31">
      <c r="B514" s="135"/>
      <c r="C514" s="135"/>
      <c r="D514" s="135"/>
    </row>
    <row r="515" spans="2:31">
      <c r="B515" s="135"/>
      <c r="C515" s="135"/>
      <c r="D515" s="135"/>
      <c r="S515" s="143" t="s">
        <v>226</v>
      </c>
      <c r="T515" s="141">
        <f>SUM(T452:T500)</f>
        <v>0</v>
      </c>
      <c r="U515" s="141">
        <f t="shared" ref="U515:AE515" si="123">SUM(U452:U500)</f>
        <v>0</v>
      </c>
      <c r="V515" s="141">
        <f t="shared" si="123"/>
        <v>0</v>
      </c>
      <c r="W515" s="141">
        <f t="shared" si="123"/>
        <v>0</v>
      </c>
      <c r="X515" s="141">
        <f t="shared" si="123"/>
        <v>0</v>
      </c>
      <c r="Y515" s="141">
        <f t="shared" si="123"/>
        <v>0</v>
      </c>
      <c r="Z515" s="141">
        <f t="shared" si="123"/>
        <v>0</v>
      </c>
      <c r="AA515" s="141">
        <f t="shared" si="123"/>
        <v>0</v>
      </c>
      <c r="AB515" s="141">
        <f t="shared" si="123"/>
        <v>0</v>
      </c>
      <c r="AC515" s="141">
        <f t="shared" si="123"/>
        <v>0</v>
      </c>
      <c r="AD515" s="141">
        <f>SUM(AD452:AD500)</f>
        <v>1063999.1299999999</v>
      </c>
      <c r="AE515" s="141">
        <f t="shared" si="123"/>
        <v>5837740.9100000001</v>
      </c>
    </row>
    <row r="516" spans="2:31">
      <c r="B516" s="135"/>
      <c r="C516" s="135"/>
      <c r="D516" s="135"/>
      <c r="S516" s="143" t="s">
        <v>227</v>
      </c>
      <c r="T516" s="110">
        <f>ROUND(T$515*$C6,2)</f>
        <v>0</v>
      </c>
      <c r="U516" s="110">
        <f>ROUND(U$515*$C7,2)</f>
        <v>0</v>
      </c>
      <c r="V516" s="110">
        <f>ROUND(V$515*$C8,2)</f>
        <v>0</v>
      </c>
      <c r="W516" s="110">
        <f>ROUND(W$515*$C9,2)</f>
        <v>0</v>
      </c>
      <c r="X516" s="110">
        <f>ROUND(X$515*$C10,2)</f>
        <v>0</v>
      </c>
      <c r="Y516" s="110">
        <f>ROUND(Y$515*$C11,2)</f>
        <v>0</v>
      </c>
      <c r="Z516" s="110">
        <f>ROUND(Z$515*$C12,2)</f>
        <v>0</v>
      </c>
      <c r="AA516" s="110">
        <f>ROUND(AA$515*$C13,2)</f>
        <v>0</v>
      </c>
      <c r="AB516" s="110">
        <f>ROUND(AB$515*$C14,2)</f>
        <v>0</v>
      </c>
      <c r="AC516" s="110">
        <f>ROUND(AC$515*$C15,2)</f>
        <v>0</v>
      </c>
      <c r="AD516" s="110">
        <f>ROUND(AD$515*$C16,2)</f>
        <v>118784.86</v>
      </c>
      <c r="AE516" s="144">
        <f>ROUND(AE$515*$C17,2)</f>
        <v>489844.84</v>
      </c>
    </row>
    <row r="517" spans="2:31">
      <c r="B517" s="135"/>
      <c r="C517" s="135"/>
      <c r="D517" s="135"/>
      <c r="T517" s="140"/>
      <c r="U517" s="140"/>
      <c r="V517" s="140"/>
      <c r="W517" s="140"/>
      <c r="X517" s="140"/>
      <c r="Y517" s="140"/>
      <c r="Z517" s="140"/>
      <c r="AA517" s="140"/>
      <c r="AB517" s="140"/>
      <c r="AC517" s="140"/>
      <c r="AD517" s="140"/>
      <c r="AE517" s="140"/>
    </row>
    <row r="518" spans="2:31">
      <c r="B518" s="135"/>
      <c r="C518" s="135"/>
      <c r="D518" s="135"/>
      <c r="S518" s="143" t="s">
        <v>228</v>
      </c>
      <c r="AE518" s="116">
        <f>SUM(T516:AE516)</f>
        <v>608629.70000000007</v>
      </c>
    </row>
    <row r="519" spans="2:31">
      <c r="B519" s="135"/>
      <c r="C519" s="135"/>
      <c r="D519" s="135"/>
      <c r="S519" s="143" t="s">
        <v>229</v>
      </c>
      <c r="AE519" s="144">
        <v>601041.34</v>
      </c>
    </row>
    <row r="520" spans="2:31">
      <c r="B520" s="135"/>
      <c r="C520" s="135"/>
      <c r="D520" s="135"/>
    </row>
    <row r="521" spans="2:31" ht="15.75" thickBot="1">
      <c r="B521" s="135"/>
      <c r="C521" s="135"/>
      <c r="D521" s="135"/>
      <c r="S521" s="143" t="s">
        <v>51</v>
      </c>
      <c r="AE521" s="145">
        <f>AE519-AE518</f>
        <v>-7588.3600000001024</v>
      </c>
    </row>
    <row r="522" spans="2:31" ht="15.75" thickTop="1">
      <c r="B522" s="135"/>
      <c r="C522" s="135"/>
      <c r="D522" s="135"/>
    </row>
    <row r="523" spans="2:31">
      <c r="B523" s="135"/>
      <c r="C523" s="135"/>
      <c r="D523" s="135"/>
    </row>
    <row r="524" spans="2:31">
      <c r="B524" s="135"/>
      <c r="C524" s="135"/>
      <c r="D524" s="135"/>
    </row>
    <row r="525" spans="2:31">
      <c r="B525" s="135"/>
      <c r="C525" s="135"/>
      <c r="D525" s="135"/>
    </row>
    <row r="526" spans="2:31">
      <c r="B526" s="135"/>
      <c r="C526" s="135"/>
      <c r="D526" s="135"/>
    </row>
    <row r="527" spans="2:31">
      <c r="B527" s="135"/>
      <c r="C527" s="135"/>
      <c r="D527" s="135"/>
    </row>
    <row r="528" spans="2:31">
      <c r="B528" s="135"/>
      <c r="C528" s="135"/>
      <c r="D528" s="135"/>
    </row>
    <row r="529" spans="2:4">
      <c r="B529" s="135"/>
      <c r="C529" s="135"/>
      <c r="D529" s="135"/>
    </row>
    <row r="530" spans="2:4">
      <c r="B530" s="135"/>
      <c r="C530" s="135"/>
      <c r="D530" s="135"/>
    </row>
    <row r="531" spans="2:4">
      <c r="B531" s="135"/>
      <c r="C531" s="135"/>
      <c r="D531" s="135"/>
    </row>
    <row r="532" spans="2:4">
      <c r="B532" s="135"/>
      <c r="C532" s="135"/>
      <c r="D532" s="135"/>
    </row>
    <row r="533" spans="2:4">
      <c r="B533" s="135"/>
      <c r="C533" s="135"/>
      <c r="D533" s="135"/>
    </row>
    <row r="534" spans="2:4">
      <c r="B534" s="135"/>
      <c r="C534" s="135"/>
      <c r="D534" s="135"/>
    </row>
    <row r="535" spans="2:4">
      <c r="B535" s="135"/>
      <c r="C535" s="135"/>
      <c r="D535" s="135"/>
    </row>
    <row r="536" spans="2:4">
      <c r="B536" s="135"/>
      <c r="C536" s="135"/>
      <c r="D536" s="135"/>
    </row>
    <row r="537" spans="2:4">
      <c r="B537" s="135"/>
      <c r="C537" s="135"/>
      <c r="D537" s="135"/>
    </row>
    <row r="538" spans="2:4">
      <c r="B538" s="135"/>
      <c r="C538" s="135"/>
      <c r="D538" s="135"/>
    </row>
    <row r="539" spans="2:4">
      <c r="B539" s="135"/>
      <c r="C539" s="135"/>
      <c r="D539" s="135"/>
    </row>
    <row r="540" spans="2:4">
      <c r="B540" s="135"/>
      <c r="C540" s="135"/>
      <c r="D540" s="135"/>
    </row>
    <row r="541" spans="2:4">
      <c r="B541" s="135"/>
      <c r="C541" s="135"/>
      <c r="D541" s="135"/>
    </row>
    <row r="542" spans="2:4">
      <c r="B542" s="135"/>
      <c r="C542" s="135"/>
      <c r="D542" s="135"/>
    </row>
    <row r="543" spans="2:4">
      <c r="B543" s="135"/>
      <c r="C543" s="135"/>
      <c r="D543" s="135"/>
    </row>
    <row r="544" spans="2:4">
      <c r="B544" s="135"/>
      <c r="C544" s="135"/>
      <c r="D544" s="135"/>
    </row>
    <row r="545" spans="2:4">
      <c r="B545" s="135"/>
      <c r="C545" s="135"/>
      <c r="D545" s="135"/>
    </row>
    <row r="546" spans="2:4">
      <c r="B546" s="135"/>
      <c r="C546" s="135"/>
      <c r="D546" s="135"/>
    </row>
    <row r="547" spans="2:4">
      <c r="B547" s="135"/>
      <c r="C547" s="135"/>
      <c r="D547" s="135"/>
    </row>
    <row r="548" spans="2:4">
      <c r="B548" s="135"/>
      <c r="C548" s="135"/>
      <c r="D548" s="135"/>
    </row>
    <row r="549" spans="2:4">
      <c r="B549" s="135"/>
      <c r="C549" s="135"/>
      <c r="D549" s="135"/>
    </row>
    <row r="550" spans="2:4">
      <c r="B550" s="135"/>
      <c r="C550" s="135"/>
      <c r="D550" s="135"/>
    </row>
    <row r="551" spans="2:4">
      <c r="B551" s="135"/>
      <c r="C551" s="135"/>
      <c r="D551" s="135"/>
    </row>
    <row r="552" spans="2:4">
      <c r="B552" s="135"/>
      <c r="C552" s="135"/>
      <c r="D552" s="135"/>
    </row>
    <row r="553" spans="2:4">
      <c r="B553" s="135"/>
      <c r="C553" s="135"/>
      <c r="D553" s="135"/>
    </row>
    <row r="554" spans="2:4">
      <c r="B554" s="135"/>
      <c r="C554" s="135"/>
      <c r="D554" s="135"/>
    </row>
    <row r="555" spans="2:4">
      <c r="B555" s="135"/>
      <c r="C555" s="135"/>
      <c r="D555" s="135"/>
    </row>
    <row r="556" spans="2:4">
      <c r="B556" s="135"/>
      <c r="C556" s="135"/>
      <c r="D556" s="135"/>
    </row>
    <row r="557" spans="2:4">
      <c r="B557" s="135"/>
      <c r="C557" s="135"/>
      <c r="D557" s="135"/>
    </row>
    <row r="558" spans="2:4">
      <c r="B558" s="135"/>
      <c r="C558" s="135"/>
      <c r="D558" s="135"/>
    </row>
    <row r="559" spans="2:4">
      <c r="B559" s="135"/>
      <c r="C559" s="135"/>
      <c r="D559" s="135"/>
    </row>
    <row r="560" spans="2:4">
      <c r="B560" s="135"/>
      <c r="C560" s="135"/>
      <c r="D560" s="135"/>
    </row>
    <row r="561" spans="2:4">
      <c r="B561" s="135"/>
      <c r="C561" s="135"/>
      <c r="D561" s="135"/>
    </row>
    <row r="562" spans="2:4">
      <c r="B562" s="135"/>
      <c r="C562" s="135"/>
      <c r="D562" s="135"/>
    </row>
    <row r="563" spans="2:4">
      <c r="B563" s="135"/>
      <c r="C563" s="135"/>
      <c r="D563" s="135"/>
    </row>
    <row r="564" spans="2:4">
      <c r="B564" s="135"/>
      <c r="C564" s="135"/>
      <c r="D564" s="135"/>
    </row>
    <row r="565" spans="2:4">
      <c r="B565" s="135"/>
      <c r="C565" s="135"/>
      <c r="D565" s="135"/>
    </row>
    <row r="566" spans="2:4">
      <c r="B566" s="135"/>
      <c r="C566" s="135"/>
      <c r="D566" s="135"/>
    </row>
    <row r="567" spans="2:4">
      <c r="B567" s="135"/>
      <c r="C567" s="135"/>
      <c r="D567" s="135"/>
    </row>
    <row r="568" spans="2:4">
      <c r="B568" s="135"/>
      <c r="C568" s="135"/>
      <c r="D568" s="135"/>
    </row>
    <row r="569" spans="2:4">
      <c r="B569" s="135"/>
      <c r="C569" s="135"/>
      <c r="D569" s="135"/>
    </row>
    <row r="570" spans="2:4">
      <c r="B570" s="135"/>
      <c r="C570" s="135"/>
      <c r="D570" s="135"/>
    </row>
    <row r="571" spans="2:4">
      <c r="B571" s="135"/>
      <c r="C571" s="135"/>
      <c r="D571" s="135"/>
    </row>
    <row r="572" spans="2:4">
      <c r="B572" s="135"/>
      <c r="C572" s="135"/>
      <c r="D572" s="135"/>
    </row>
    <row r="573" spans="2:4">
      <c r="B573" s="135"/>
      <c r="C573" s="135"/>
      <c r="D573" s="135"/>
    </row>
    <row r="574" spans="2:4">
      <c r="B574" s="135"/>
      <c r="C574" s="135"/>
      <c r="D574" s="135"/>
    </row>
    <row r="575" spans="2:4">
      <c r="B575" s="135"/>
      <c r="C575" s="135"/>
      <c r="D575" s="135"/>
    </row>
    <row r="576" spans="2:4">
      <c r="B576" s="135"/>
      <c r="C576" s="135"/>
      <c r="D576" s="135"/>
    </row>
    <row r="577" spans="2:4">
      <c r="B577" s="135"/>
      <c r="C577" s="135"/>
      <c r="D577" s="135"/>
    </row>
    <row r="578" spans="2:4">
      <c r="B578" s="135"/>
      <c r="C578" s="135"/>
      <c r="D578" s="135"/>
    </row>
    <row r="579" spans="2:4">
      <c r="B579" s="135"/>
      <c r="C579" s="135"/>
      <c r="D579" s="135"/>
    </row>
    <row r="580" spans="2:4">
      <c r="B580" s="135"/>
      <c r="C580" s="135"/>
      <c r="D580" s="135"/>
    </row>
    <row r="581" spans="2:4">
      <c r="B581" s="135"/>
      <c r="C581" s="135"/>
      <c r="D581" s="135"/>
    </row>
    <row r="582" spans="2:4">
      <c r="B582" s="135"/>
      <c r="C582" s="135"/>
      <c r="D582" s="135"/>
    </row>
    <row r="583" spans="2:4">
      <c r="B583" s="135"/>
      <c r="C583" s="135"/>
      <c r="D583" s="135"/>
    </row>
    <row r="584" spans="2:4">
      <c r="B584" s="135"/>
      <c r="C584" s="135"/>
      <c r="D584" s="135"/>
    </row>
    <row r="585" spans="2:4">
      <c r="B585" s="135"/>
      <c r="C585" s="135"/>
      <c r="D585" s="135"/>
    </row>
    <row r="586" spans="2:4">
      <c r="B586" s="135"/>
      <c r="C586" s="135"/>
      <c r="D586" s="135"/>
    </row>
    <row r="587" spans="2:4">
      <c r="B587" s="135"/>
      <c r="C587" s="135"/>
      <c r="D587" s="135"/>
    </row>
    <row r="588" spans="2:4">
      <c r="B588" s="135"/>
      <c r="C588" s="135"/>
      <c r="D588" s="135"/>
    </row>
    <row r="589" spans="2:4">
      <c r="B589" s="135"/>
      <c r="C589" s="135"/>
      <c r="D589" s="135"/>
    </row>
    <row r="590" spans="2:4">
      <c r="B590" s="135"/>
      <c r="C590" s="135"/>
      <c r="D590" s="135"/>
    </row>
    <row r="591" spans="2:4">
      <c r="B591" s="135"/>
      <c r="C591" s="135"/>
      <c r="D591" s="135"/>
    </row>
    <row r="592" spans="2:4">
      <c r="B592" s="135"/>
      <c r="C592" s="135"/>
      <c r="D592" s="135"/>
    </row>
    <row r="593" spans="2:4">
      <c r="B593" s="135"/>
      <c r="C593" s="135"/>
      <c r="D593" s="135"/>
    </row>
    <row r="594" spans="2:4">
      <c r="B594" s="135"/>
      <c r="C594" s="135"/>
      <c r="D594" s="135"/>
    </row>
    <row r="595" spans="2:4">
      <c r="B595" s="135"/>
      <c r="C595" s="135"/>
      <c r="D595" s="135"/>
    </row>
    <row r="596" spans="2:4">
      <c r="B596" s="135"/>
      <c r="C596" s="135"/>
      <c r="D596" s="135"/>
    </row>
    <row r="597" spans="2:4">
      <c r="B597" s="135"/>
      <c r="C597" s="135"/>
      <c r="D597" s="135"/>
    </row>
    <row r="598" spans="2:4">
      <c r="B598" s="135"/>
      <c r="C598" s="135"/>
      <c r="D598" s="135"/>
    </row>
    <row r="599" spans="2:4">
      <c r="B599" s="135"/>
      <c r="C599" s="135"/>
      <c r="D599" s="135"/>
    </row>
    <row r="600" spans="2:4">
      <c r="B600" s="135"/>
      <c r="C600" s="135"/>
      <c r="D600" s="135"/>
    </row>
    <row r="601" spans="2:4">
      <c r="B601" s="135"/>
      <c r="C601" s="135"/>
      <c r="D601" s="135"/>
    </row>
    <row r="602" spans="2:4">
      <c r="B602" s="135"/>
      <c r="C602" s="135"/>
      <c r="D602" s="135"/>
    </row>
    <row r="603" spans="2:4">
      <c r="B603" s="135"/>
      <c r="C603" s="135"/>
      <c r="D603" s="135"/>
    </row>
    <row r="604" spans="2:4">
      <c r="B604" s="135"/>
      <c r="C604" s="135"/>
      <c r="D604" s="135"/>
    </row>
    <row r="605" spans="2:4">
      <c r="B605" s="135"/>
      <c r="C605" s="135"/>
      <c r="D605" s="135"/>
    </row>
    <row r="606" spans="2:4">
      <c r="B606" s="135"/>
      <c r="C606" s="135"/>
      <c r="D606" s="135"/>
    </row>
    <row r="607" spans="2:4">
      <c r="B607" s="135"/>
      <c r="C607" s="135"/>
      <c r="D607" s="135"/>
    </row>
    <row r="608" spans="2:4">
      <c r="B608" s="135"/>
      <c r="C608" s="135"/>
      <c r="D608" s="135"/>
    </row>
    <row r="609" spans="2:4">
      <c r="B609" s="135"/>
      <c r="C609" s="135"/>
      <c r="D609" s="135"/>
    </row>
    <row r="610" spans="2:4">
      <c r="B610" s="135"/>
      <c r="C610" s="135"/>
      <c r="D610" s="135"/>
    </row>
    <row r="611" spans="2:4">
      <c r="B611" s="135"/>
      <c r="C611" s="135"/>
      <c r="D611" s="135"/>
    </row>
    <row r="612" spans="2:4">
      <c r="B612" s="135"/>
      <c r="C612" s="135"/>
      <c r="D612" s="135"/>
    </row>
    <row r="613" spans="2:4">
      <c r="B613" s="135"/>
      <c r="C613" s="135"/>
      <c r="D613" s="135"/>
    </row>
    <row r="614" spans="2:4">
      <c r="B614" s="135"/>
      <c r="C614" s="135"/>
      <c r="D614" s="135"/>
    </row>
    <row r="615" spans="2:4">
      <c r="B615" s="135"/>
      <c r="C615" s="135"/>
      <c r="D615" s="135"/>
    </row>
    <row r="616" spans="2:4">
      <c r="B616" s="135"/>
      <c r="C616" s="135"/>
      <c r="D616" s="135"/>
    </row>
    <row r="617" spans="2:4">
      <c r="B617" s="135"/>
      <c r="C617" s="135"/>
      <c r="D617" s="135"/>
    </row>
    <row r="618" spans="2:4">
      <c r="B618" s="135"/>
      <c r="C618" s="135"/>
      <c r="D618" s="135"/>
    </row>
    <row r="619" spans="2:4">
      <c r="B619" s="135"/>
      <c r="C619" s="135"/>
      <c r="D619" s="135"/>
    </row>
    <row r="620" spans="2:4">
      <c r="B620" s="135"/>
      <c r="C620" s="135"/>
      <c r="D620" s="135"/>
    </row>
    <row r="621" spans="2:4">
      <c r="B621" s="135"/>
      <c r="C621" s="135"/>
      <c r="D621" s="135"/>
    </row>
    <row r="622" spans="2:4">
      <c r="B622" s="135"/>
      <c r="C622" s="135"/>
      <c r="D622" s="135"/>
    </row>
    <row r="623" spans="2:4">
      <c r="B623" s="135"/>
      <c r="C623" s="135"/>
      <c r="D623" s="135"/>
    </row>
    <row r="624" spans="2:4">
      <c r="B624" s="135"/>
      <c r="C624" s="135"/>
      <c r="D624" s="135"/>
    </row>
    <row r="625" spans="2:4">
      <c r="B625" s="135"/>
      <c r="C625" s="135"/>
      <c r="D625" s="135"/>
    </row>
    <row r="626" spans="2:4">
      <c r="B626" s="135"/>
      <c r="C626" s="135"/>
      <c r="D626" s="135"/>
    </row>
    <row r="627" spans="2:4">
      <c r="B627" s="135"/>
      <c r="C627" s="135"/>
      <c r="D627" s="135"/>
    </row>
    <row r="628" spans="2:4">
      <c r="B628" s="135"/>
      <c r="C628" s="135"/>
      <c r="D628" s="135"/>
    </row>
    <row r="629" spans="2:4">
      <c r="B629" s="135"/>
      <c r="C629" s="135"/>
      <c r="D629" s="135"/>
    </row>
    <row r="630" spans="2:4">
      <c r="B630" s="135"/>
      <c r="C630" s="135"/>
      <c r="D630" s="135"/>
    </row>
    <row r="631" spans="2:4">
      <c r="B631" s="135"/>
      <c r="C631" s="135"/>
      <c r="D631" s="135"/>
    </row>
    <row r="632" spans="2:4">
      <c r="B632" s="135"/>
      <c r="C632" s="135"/>
      <c r="D632" s="135"/>
    </row>
    <row r="633" spans="2:4">
      <c r="B633" s="135"/>
      <c r="C633" s="135"/>
      <c r="D633" s="135"/>
    </row>
    <row r="634" spans="2:4">
      <c r="B634" s="135"/>
      <c r="C634" s="135"/>
      <c r="D634" s="135"/>
    </row>
    <row r="635" spans="2:4">
      <c r="B635" s="135"/>
      <c r="C635" s="135"/>
      <c r="D635" s="135"/>
    </row>
    <row r="636" spans="2:4">
      <c r="B636" s="135"/>
      <c r="C636" s="135"/>
      <c r="D636" s="135"/>
    </row>
    <row r="637" spans="2:4">
      <c r="B637" s="135"/>
      <c r="C637" s="135"/>
      <c r="D637" s="135"/>
    </row>
    <row r="638" spans="2:4">
      <c r="B638" s="135"/>
      <c r="C638" s="135"/>
      <c r="D638" s="135"/>
    </row>
    <row r="639" spans="2:4">
      <c r="B639" s="135"/>
      <c r="C639" s="135"/>
      <c r="D639" s="135"/>
    </row>
    <row r="640" spans="2:4">
      <c r="B640" s="135"/>
      <c r="C640" s="135"/>
      <c r="D640" s="135"/>
    </row>
    <row r="641" spans="2:4">
      <c r="B641" s="135"/>
      <c r="C641" s="135"/>
      <c r="D641" s="135"/>
    </row>
    <row r="642" spans="2:4">
      <c r="B642" s="135"/>
      <c r="C642" s="135"/>
      <c r="D642" s="135"/>
    </row>
    <row r="643" spans="2:4">
      <c r="B643" s="135"/>
      <c r="C643" s="135"/>
      <c r="D643" s="135"/>
    </row>
    <row r="644" spans="2:4">
      <c r="B644" s="135"/>
      <c r="C644" s="135"/>
      <c r="D644" s="135"/>
    </row>
    <row r="645" spans="2:4">
      <c r="B645" s="135"/>
      <c r="C645" s="135"/>
      <c r="D645" s="135"/>
    </row>
    <row r="646" spans="2:4">
      <c r="B646" s="135"/>
      <c r="C646" s="135"/>
      <c r="D646" s="135"/>
    </row>
    <row r="647" spans="2:4">
      <c r="B647" s="135"/>
      <c r="C647" s="135"/>
      <c r="D647" s="135"/>
    </row>
    <row r="648" spans="2:4">
      <c r="B648" s="135"/>
      <c r="C648" s="135"/>
      <c r="D648" s="135"/>
    </row>
    <row r="649" spans="2:4">
      <c r="B649" s="135"/>
      <c r="C649" s="135"/>
      <c r="D649" s="135"/>
    </row>
    <row r="650" spans="2:4">
      <c r="B650" s="135"/>
      <c r="C650" s="135"/>
      <c r="D650" s="135"/>
    </row>
    <row r="651" spans="2:4">
      <c r="B651" s="135"/>
      <c r="C651" s="135"/>
      <c r="D651" s="135"/>
    </row>
    <row r="652" spans="2:4">
      <c r="B652" s="135"/>
      <c r="C652" s="135"/>
      <c r="D652" s="135"/>
    </row>
    <row r="653" spans="2:4">
      <c r="B653" s="135"/>
      <c r="C653" s="135"/>
      <c r="D653" s="135"/>
    </row>
    <row r="654" spans="2:4">
      <c r="B654" s="135"/>
      <c r="C654" s="135"/>
      <c r="D654" s="135"/>
    </row>
    <row r="655" spans="2:4">
      <c r="B655" s="135"/>
      <c r="C655" s="135"/>
      <c r="D655" s="135"/>
    </row>
    <row r="656" spans="2:4">
      <c r="B656" s="135"/>
      <c r="C656" s="135"/>
      <c r="D656" s="135"/>
    </row>
    <row r="657" spans="2:4">
      <c r="B657" s="135"/>
      <c r="C657" s="135"/>
      <c r="D657" s="135"/>
    </row>
    <row r="658" spans="2:4">
      <c r="B658" s="135"/>
      <c r="C658" s="135"/>
      <c r="D658" s="135"/>
    </row>
    <row r="659" spans="2:4">
      <c r="B659" s="135"/>
      <c r="C659" s="135"/>
      <c r="D659" s="135"/>
    </row>
    <row r="660" spans="2:4">
      <c r="B660" s="135"/>
      <c r="C660" s="135"/>
      <c r="D660" s="135"/>
    </row>
    <row r="661" spans="2:4">
      <c r="B661" s="135"/>
      <c r="C661" s="135"/>
      <c r="D661" s="135"/>
    </row>
    <row r="662" spans="2:4">
      <c r="B662" s="135"/>
      <c r="C662" s="135"/>
      <c r="D662" s="135"/>
    </row>
    <row r="663" spans="2:4">
      <c r="B663" s="135"/>
      <c r="C663" s="135"/>
      <c r="D663" s="135"/>
    </row>
    <row r="664" spans="2:4">
      <c r="B664" s="135"/>
      <c r="C664" s="135"/>
      <c r="D664" s="135"/>
    </row>
    <row r="665" spans="2:4">
      <c r="B665" s="135"/>
      <c r="C665" s="135"/>
      <c r="D665" s="135"/>
    </row>
    <row r="666" spans="2:4">
      <c r="B666" s="135"/>
      <c r="C666" s="135"/>
      <c r="D666" s="135"/>
    </row>
    <row r="667" spans="2:4">
      <c r="B667" s="135"/>
      <c r="C667" s="135"/>
      <c r="D667" s="135"/>
    </row>
    <row r="668" spans="2:4">
      <c r="B668" s="135"/>
      <c r="C668" s="135"/>
      <c r="D668" s="135"/>
    </row>
    <row r="669" spans="2:4">
      <c r="B669" s="135"/>
      <c r="C669" s="135"/>
      <c r="D669" s="135"/>
    </row>
    <row r="670" spans="2:4">
      <c r="B670" s="135"/>
      <c r="C670" s="135"/>
      <c r="D670" s="135"/>
    </row>
    <row r="671" spans="2:4">
      <c r="B671" s="135"/>
      <c r="C671" s="135"/>
      <c r="D671" s="135"/>
    </row>
    <row r="672" spans="2:4">
      <c r="B672" s="135"/>
      <c r="C672" s="135"/>
      <c r="D672" s="135"/>
    </row>
    <row r="673" spans="2:4">
      <c r="B673" s="135"/>
      <c r="C673" s="135"/>
      <c r="D673" s="135"/>
    </row>
    <row r="674" spans="2:4">
      <c r="B674" s="135"/>
      <c r="C674" s="135"/>
      <c r="D674" s="135"/>
    </row>
    <row r="675" spans="2:4">
      <c r="B675" s="135"/>
      <c r="C675" s="135"/>
      <c r="D675" s="135"/>
    </row>
    <row r="676" spans="2:4">
      <c r="B676" s="135"/>
      <c r="C676" s="135"/>
      <c r="D676" s="135"/>
    </row>
    <row r="677" spans="2:4">
      <c r="B677" s="135"/>
      <c r="C677" s="135"/>
      <c r="D677" s="135"/>
    </row>
    <row r="678" spans="2:4">
      <c r="B678" s="135"/>
      <c r="C678" s="135"/>
      <c r="D678" s="135"/>
    </row>
    <row r="679" spans="2:4">
      <c r="B679" s="135"/>
      <c r="C679" s="135"/>
      <c r="D679" s="135"/>
    </row>
    <row r="680" spans="2:4">
      <c r="B680" s="135"/>
      <c r="C680" s="135"/>
      <c r="D680" s="135"/>
    </row>
    <row r="681" spans="2:4">
      <c r="B681" s="135"/>
      <c r="C681" s="135"/>
      <c r="D681" s="135"/>
    </row>
    <row r="682" spans="2:4">
      <c r="B682" s="135"/>
      <c r="C682" s="135"/>
      <c r="D682" s="135"/>
    </row>
    <row r="683" spans="2:4">
      <c r="B683" s="135"/>
      <c r="C683" s="135"/>
      <c r="D683" s="135"/>
    </row>
    <row r="684" spans="2:4">
      <c r="B684" s="135"/>
      <c r="C684" s="135"/>
      <c r="D684" s="135"/>
    </row>
    <row r="685" spans="2:4">
      <c r="B685" s="135"/>
      <c r="C685" s="135"/>
      <c r="D685" s="135"/>
    </row>
    <row r="686" spans="2:4">
      <c r="B686" s="135"/>
      <c r="C686" s="135"/>
      <c r="D686" s="135"/>
    </row>
    <row r="687" spans="2:4">
      <c r="B687" s="135"/>
      <c r="C687" s="135"/>
      <c r="D687" s="135"/>
    </row>
    <row r="688" spans="2:4">
      <c r="B688" s="135"/>
      <c r="C688" s="135"/>
      <c r="D688" s="135"/>
    </row>
    <row r="689" spans="2:4">
      <c r="B689" s="135"/>
      <c r="C689" s="135"/>
      <c r="D689" s="135"/>
    </row>
    <row r="690" spans="2:4">
      <c r="B690" s="135"/>
      <c r="C690" s="135"/>
      <c r="D690" s="135"/>
    </row>
    <row r="691" spans="2:4">
      <c r="B691" s="135"/>
      <c r="C691" s="135"/>
      <c r="D691" s="135"/>
    </row>
    <row r="692" spans="2:4">
      <c r="B692" s="135"/>
      <c r="C692" s="135"/>
      <c r="D692" s="135"/>
    </row>
    <row r="693" spans="2:4">
      <c r="B693" s="135"/>
      <c r="C693" s="135"/>
      <c r="D693" s="135"/>
    </row>
    <row r="694" spans="2:4">
      <c r="B694" s="135"/>
      <c r="C694" s="135"/>
      <c r="D694" s="135"/>
    </row>
    <row r="695" spans="2:4">
      <c r="B695" s="135"/>
      <c r="C695" s="135"/>
      <c r="D695" s="135"/>
    </row>
    <row r="696" spans="2:4">
      <c r="B696" s="135"/>
      <c r="C696" s="135"/>
      <c r="D696" s="135"/>
    </row>
    <row r="697" spans="2:4">
      <c r="B697" s="135"/>
      <c r="C697" s="135"/>
      <c r="D697" s="135"/>
    </row>
    <row r="698" spans="2:4">
      <c r="B698" s="135"/>
      <c r="C698" s="135"/>
      <c r="D698" s="135"/>
    </row>
    <row r="699" spans="2:4">
      <c r="B699" s="135"/>
      <c r="C699" s="135"/>
      <c r="D699" s="135"/>
    </row>
    <row r="700" spans="2:4">
      <c r="B700" s="135"/>
      <c r="C700" s="135"/>
      <c r="D700" s="135"/>
    </row>
    <row r="701" spans="2:4">
      <c r="B701" s="135"/>
      <c r="C701" s="135"/>
      <c r="D701" s="135"/>
    </row>
    <row r="702" spans="2:4">
      <c r="B702" s="135"/>
      <c r="C702" s="135"/>
      <c r="D702" s="135"/>
    </row>
    <row r="703" spans="2:4">
      <c r="B703" s="135"/>
      <c r="C703" s="135"/>
      <c r="D703" s="135"/>
    </row>
    <row r="704" spans="2:4">
      <c r="B704" s="135"/>
      <c r="C704" s="135"/>
      <c r="D704" s="135"/>
    </row>
    <row r="705" spans="2:4">
      <c r="B705" s="135"/>
      <c r="C705" s="135"/>
      <c r="D705" s="135"/>
    </row>
    <row r="706" spans="2:4">
      <c r="B706" s="135"/>
      <c r="C706" s="135"/>
      <c r="D706" s="135"/>
    </row>
    <row r="707" spans="2:4">
      <c r="B707" s="135"/>
      <c r="C707" s="135"/>
      <c r="D707" s="135"/>
    </row>
    <row r="708" spans="2:4">
      <c r="B708" s="135"/>
      <c r="C708" s="135"/>
      <c r="D708" s="135"/>
    </row>
    <row r="709" spans="2:4">
      <c r="B709" s="135"/>
      <c r="C709" s="135"/>
      <c r="D709" s="135"/>
    </row>
    <row r="710" spans="2:4">
      <c r="B710" s="135"/>
      <c r="C710" s="135"/>
      <c r="D710" s="135"/>
    </row>
    <row r="711" spans="2:4">
      <c r="B711" s="135"/>
      <c r="C711" s="135"/>
      <c r="D711" s="135"/>
    </row>
    <row r="712" spans="2:4">
      <c r="B712" s="135"/>
      <c r="C712" s="135"/>
      <c r="D712" s="135"/>
    </row>
    <row r="713" spans="2:4">
      <c r="B713" s="135"/>
      <c r="C713" s="135"/>
      <c r="D713" s="135"/>
    </row>
    <row r="714" spans="2:4">
      <c r="B714" s="135"/>
      <c r="C714" s="135"/>
      <c r="D714" s="135"/>
    </row>
    <row r="715" spans="2:4">
      <c r="B715" s="135"/>
      <c r="C715" s="135"/>
      <c r="D715" s="135"/>
    </row>
    <row r="716" spans="2:4">
      <c r="B716" s="135"/>
      <c r="C716" s="135"/>
      <c r="D716" s="135"/>
    </row>
    <row r="717" spans="2:4">
      <c r="B717" s="135"/>
      <c r="C717" s="135"/>
      <c r="D717" s="135"/>
    </row>
    <row r="718" spans="2:4">
      <c r="B718" s="135"/>
      <c r="C718" s="135"/>
      <c r="D718" s="135"/>
    </row>
    <row r="719" spans="2:4">
      <c r="B719" s="135"/>
      <c r="C719" s="135"/>
      <c r="D719" s="135"/>
    </row>
    <row r="720" spans="2:4">
      <c r="B720" s="135"/>
      <c r="C720" s="135"/>
      <c r="D720" s="135"/>
    </row>
    <row r="721" spans="2:4">
      <c r="B721" s="135"/>
      <c r="C721" s="135"/>
      <c r="D721" s="135"/>
    </row>
    <row r="722" spans="2:4">
      <c r="B722" s="135"/>
      <c r="C722" s="135"/>
      <c r="D722" s="135"/>
    </row>
    <row r="723" spans="2:4">
      <c r="B723" s="135"/>
      <c r="C723" s="135"/>
      <c r="D723" s="135"/>
    </row>
    <row r="724" spans="2:4">
      <c r="B724" s="135"/>
      <c r="C724" s="135"/>
      <c r="D724" s="135"/>
    </row>
    <row r="725" spans="2:4">
      <c r="B725" s="135"/>
      <c r="C725" s="135"/>
      <c r="D725" s="135"/>
    </row>
    <row r="726" spans="2:4">
      <c r="B726" s="135"/>
      <c r="C726" s="135"/>
      <c r="D726" s="135"/>
    </row>
    <row r="727" spans="2:4">
      <c r="B727" s="135"/>
      <c r="C727" s="135"/>
      <c r="D727" s="135"/>
    </row>
    <row r="728" spans="2:4">
      <c r="B728" s="135"/>
      <c r="C728" s="135"/>
      <c r="D728" s="135"/>
    </row>
    <row r="729" spans="2:4">
      <c r="B729" s="135"/>
      <c r="C729" s="135"/>
      <c r="D729" s="135"/>
    </row>
    <row r="730" spans="2:4">
      <c r="B730" s="135"/>
      <c r="C730" s="135"/>
      <c r="D730" s="135"/>
    </row>
    <row r="731" spans="2:4">
      <c r="B731" s="135"/>
      <c r="C731" s="135"/>
      <c r="D731" s="135"/>
    </row>
    <row r="732" spans="2:4">
      <c r="B732" s="135"/>
      <c r="C732" s="135"/>
      <c r="D732" s="135"/>
    </row>
    <row r="733" spans="2:4">
      <c r="B733" s="135"/>
      <c r="C733" s="135"/>
      <c r="D733" s="135"/>
    </row>
    <row r="734" spans="2:4">
      <c r="B734" s="135"/>
      <c r="C734" s="135"/>
      <c r="D734" s="135"/>
    </row>
    <row r="735" spans="2:4">
      <c r="B735" s="135"/>
      <c r="C735" s="135"/>
      <c r="D735" s="135"/>
    </row>
    <row r="736" spans="2:4">
      <c r="B736" s="135"/>
      <c r="C736" s="135"/>
      <c r="D736" s="135"/>
    </row>
    <row r="737" spans="1:4">
      <c r="B737" s="135"/>
      <c r="C737" s="135"/>
      <c r="D737" s="135"/>
    </row>
    <row r="738" spans="1:4">
      <c r="B738" s="135"/>
      <c r="C738" s="135"/>
      <c r="D738" s="135"/>
    </row>
    <row r="739" spans="1:4">
      <c r="B739" s="135"/>
      <c r="C739" s="135"/>
      <c r="D739" s="135"/>
    </row>
    <row r="740" spans="1:4">
      <c r="B740" s="135"/>
      <c r="C740" s="135"/>
      <c r="D740" s="135"/>
    </row>
    <row r="741" spans="1:4">
      <c r="A741" s="131"/>
      <c r="B741" s="131"/>
      <c r="C741" s="123"/>
      <c r="D741" s="123"/>
    </row>
    <row r="742" spans="1:4">
      <c r="A742" s="131"/>
      <c r="B742" s="131"/>
      <c r="C742" s="123"/>
      <c r="D742" s="123"/>
    </row>
    <row r="743" spans="1:4">
      <c r="A743" s="131"/>
      <c r="B743" s="131"/>
      <c r="C743" s="123"/>
      <c r="D743" s="123"/>
    </row>
    <row r="744" spans="1:4">
      <c r="A744" s="131"/>
      <c r="B744" s="131"/>
      <c r="C744" s="123"/>
      <c r="D744" s="123"/>
    </row>
    <row r="745" spans="1:4">
      <c r="A745" s="131"/>
      <c r="B745" s="131"/>
      <c r="C745" s="123"/>
      <c r="D745" s="123"/>
    </row>
    <row r="746" spans="1:4">
      <c r="A746" s="131"/>
      <c r="B746" s="131"/>
      <c r="C746" s="123"/>
      <c r="D746" s="123"/>
    </row>
    <row r="747" spans="1:4">
      <c r="A747" s="131"/>
      <c r="B747" s="131"/>
      <c r="C747" s="123"/>
      <c r="D747" s="123"/>
    </row>
    <row r="748" spans="1:4">
      <c r="A748" s="131"/>
      <c r="B748" s="131"/>
      <c r="C748" s="123"/>
      <c r="D748" s="123"/>
    </row>
    <row r="749" spans="1:4">
      <c r="A749" s="131"/>
      <c r="B749" s="131"/>
      <c r="C749" s="123"/>
      <c r="D749" s="123"/>
    </row>
    <row r="750" spans="1:4">
      <c r="A750" s="131"/>
      <c r="B750" s="131"/>
      <c r="C750" s="123"/>
      <c r="D750" s="123"/>
    </row>
    <row r="751" spans="1:4">
      <c r="A751" s="131"/>
      <c r="B751" s="131"/>
      <c r="C751" s="123"/>
      <c r="D751" s="123"/>
    </row>
    <row r="752" spans="1:4">
      <c r="A752" s="131"/>
      <c r="B752" s="131"/>
      <c r="C752" s="123"/>
      <c r="D752" s="123"/>
    </row>
    <row r="753" spans="1:4">
      <c r="A753" s="131"/>
      <c r="B753" s="131"/>
      <c r="C753" s="123"/>
      <c r="D753" s="123"/>
    </row>
    <row r="754" spans="1:4">
      <c r="A754" s="131"/>
      <c r="B754" s="131"/>
      <c r="C754" s="123"/>
      <c r="D754" s="123"/>
    </row>
    <row r="755" spans="1:4">
      <c r="A755" s="131"/>
      <c r="B755" s="131"/>
      <c r="C755" s="123"/>
      <c r="D755" s="123"/>
    </row>
    <row r="756" spans="1:4">
      <c r="A756" s="131"/>
      <c r="B756" s="131"/>
      <c r="C756" s="123"/>
      <c r="D756" s="123"/>
    </row>
    <row r="757" spans="1:4">
      <c r="A757" s="131"/>
      <c r="B757" s="131"/>
      <c r="C757" s="123"/>
      <c r="D757" s="123"/>
    </row>
    <row r="758" spans="1:4">
      <c r="A758" s="131"/>
      <c r="B758" s="131"/>
      <c r="C758" s="123"/>
      <c r="D758" s="123"/>
    </row>
    <row r="759" spans="1:4">
      <c r="A759" s="131"/>
      <c r="B759" s="131"/>
      <c r="C759" s="123"/>
      <c r="D759" s="123"/>
    </row>
    <row r="760" spans="1:4">
      <c r="A760" s="131"/>
      <c r="B760" s="131"/>
      <c r="C760" s="123"/>
      <c r="D760" s="123"/>
    </row>
    <row r="761" spans="1:4">
      <c r="A761" s="131"/>
      <c r="B761" s="131"/>
      <c r="C761" s="123"/>
      <c r="D761" s="123"/>
    </row>
    <row r="762" spans="1:4">
      <c r="A762" s="131"/>
      <c r="B762" s="131"/>
      <c r="C762" s="123"/>
      <c r="D762" s="123"/>
    </row>
    <row r="763" spans="1:4">
      <c r="A763" s="131"/>
      <c r="B763" s="131"/>
      <c r="C763" s="123"/>
      <c r="D763" s="123"/>
    </row>
    <row r="764" spans="1:4">
      <c r="A764" s="131"/>
      <c r="B764" s="131"/>
      <c r="C764" s="123"/>
      <c r="D764" s="123"/>
    </row>
    <row r="765" spans="1:4">
      <c r="A765" s="131"/>
      <c r="B765" s="131"/>
      <c r="C765" s="123"/>
      <c r="D765" s="123"/>
    </row>
    <row r="766" spans="1:4">
      <c r="A766" s="131"/>
      <c r="B766" s="131"/>
      <c r="C766" s="123"/>
      <c r="D766" s="123"/>
    </row>
    <row r="767" spans="1:4">
      <c r="A767" s="131"/>
      <c r="B767" s="131"/>
      <c r="C767" s="123"/>
      <c r="D767" s="123"/>
    </row>
    <row r="768" spans="1:4">
      <c r="A768" s="131"/>
      <c r="B768" s="131"/>
      <c r="C768" s="123"/>
      <c r="D768" s="123"/>
    </row>
    <row r="769" spans="1:4">
      <c r="A769" s="131"/>
      <c r="B769" s="131"/>
      <c r="C769" s="123"/>
      <c r="D769" s="123"/>
    </row>
    <row r="770" spans="1:4">
      <c r="A770" s="131"/>
      <c r="B770" s="131"/>
      <c r="C770" s="123"/>
      <c r="D770" s="123"/>
    </row>
    <row r="771" spans="1:4">
      <c r="A771" s="131"/>
      <c r="B771" s="131"/>
      <c r="C771" s="123"/>
      <c r="D771" s="123"/>
    </row>
    <row r="772" spans="1:4">
      <c r="A772" s="131"/>
      <c r="B772" s="131"/>
      <c r="C772" s="123"/>
      <c r="D772" s="123"/>
    </row>
    <row r="773" spans="1:4">
      <c r="A773" s="131"/>
      <c r="B773" s="131"/>
      <c r="C773" s="123"/>
      <c r="D773" s="123"/>
    </row>
    <row r="774" spans="1:4">
      <c r="A774" s="131"/>
      <c r="B774" s="131"/>
      <c r="C774" s="123"/>
      <c r="D774" s="123"/>
    </row>
    <row r="775" spans="1:4">
      <c r="A775" s="131"/>
      <c r="B775" s="131"/>
      <c r="C775" s="123"/>
      <c r="D775" s="123"/>
    </row>
    <row r="776" spans="1:4">
      <c r="A776" s="131"/>
      <c r="B776" s="131"/>
      <c r="C776" s="123"/>
      <c r="D776" s="123"/>
    </row>
    <row r="777" spans="1:4">
      <c r="A777" s="131"/>
      <c r="B777" s="131"/>
      <c r="C777" s="123"/>
      <c r="D777" s="123"/>
    </row>
    <row r="778" spans="1:4">
      <c r="A778" s="131"/>
      <c r="B778" s="131"/>
      <c r="C778" s="123"/>
      <c r="D778" s="123"/>
    </row>
    <row r="779" spans="1:4">
      <c r="A779" s="131"/>
      <c r="B779" s="131"/>
      <c r="C779" s="123"/>
      <c r="D779" s="123"/>
    </row>
    <row r="780" spans="1:4">
      <c r="A780" s="131"/>
      <c r="B780" s="131"/>
      <c r="C780" s="123"/>
      <c r="D780" s="123"/>
    </row>
    <row r="781" spans="1:4">
      <c r="A781" s="131"/>
      <c r="B781" s="131"/>
      <c r="C781" s="123"/>
      <c r="D781" s="123"/>
    </row>
    <row r="782" spans="1:4">
      <c r="A782" s="131"/>
      <c r="B782" s="131"/>
      <c r="C782" s="123"/>
      <c r="D782" s="123"/>
    </row>
    <row r="783" spans="1:4">
      <c r="A783" s="131"/>
      <c r="B783" s="131"/>
      <c r="C783" s="123"/>
      <c r="D783" s="123"/>
    </row>
    <row r="784" spans="1:4">
      <c r="A784" s="131"/>
      <c r="B784" s="131"/>
      <c r="C784" s="123"/>
      <c r="D784" s="123"/>
    </row>
    <row r="785" spans="1:4">
      <c r="A785" s="131"/>
      <c r="B785" s="131"/>
      <c r="C785" s="123"/>
      <c r="D785" s="123"/>
    </row>
    <row r="786" spans="1:4">
      <c r="A786" s="131"/>
      <c r="B786" s="131"/>
      <c r="C786" s="123"/>
      <c r="D786" s="123"/>
    </row>
    <row r="787" spans="1:4">
      <c r="A787" s="131"/>
      <c r="B787" s="131"/>
      <c r="C787" s="123"/>
      <c r="D787" s="123"/>
    </row>
    <row r="788" spans="1:4">
      <c r="A788" s="131"/>
      <c r="B788" s="131"/>
      <c r="C788" s="123"/>
      <c r="D788" s="123"/>
    </row>
    <row r="789" spans="1:4">
      <c r="A789" s="131"/>
      <c r="B789" s="131"/>
      <c r="C789" s="123"/>
      <c r="D789" s="123"/>
    </row>
    <row r="790" spans="1:4">
      <c r="A790" s="131"/>
      <c r="B790" s="131"/>
      <c r="C790" s="123"/>
      <c r="D790" s="123"/>
    </row>
    <row r="791" spans="1:4">
      <c r="A791" s="131"/>
      <c r="B791" s="131"/>
      <c r="C791" s="123"/>
      <c r="D791" s="123"/>
    </row>
    <row r="792" spans="1:4">
      <c r="A792" s="131"/>
      <c r="B792" s="131"/>
      <c r="C792" s="123"/>
      <c r="D792" s="123"/>
    </row>
    <row r="793" spans="1:4">
      <c r="A793" s="131"/>
      <c r="B793" s="131"/>
      <c r="C793" s="123"/>
      <c r="D793" s="123"/>
    </row>
    <row r="794" spans="1:4">
      <c r="A794" s="131"/>
      <c r="B794" s="131"/>
      <c r="C794" s="123"/>
      <c r="D794" s="123"/>
    </row>
    <row r="795" spans="1:4">
      <c r="A795" s="131"/>
      <c r="B795" s="131"/>
      <c r="C795" s="123"/>
      <c r="D795" s="123"/>
    </row>
    <row r="796" spans="1:4">
      <c r="A796" s="131"/>
      <c r="B796" s="131"/>
      <c r="C796" s="123"/>
      <c r="D796" s="123"/>
    </row>
    <row r="797" spans="1:4">
      <c r="A797" s="131"/>
      <c r="B797" s="131"/>
      <c r="C797" s="123"/>
      <c r="D797" s="123"/>
    </row>
    <row r="798" spans="1:4">
      <c r="A798" s="131"/>
      <c r="B798" s="131"/>
      <c r="C798" s="123"/>
      <c r="D798" s="123"/>
    </row>
    <row r="799" spans="1:4">
      <c r="A799" s="131"/>
      <c r="B799" s="131"/>
      <c r="C799" s="123"/>
      <c r="D799" s="123"/>
    </row>
    <row r="800" spans="1:4">
      <c r="A800" s="131"/>
      <c r="B800" s="131"/>
      <c r="C800" s="123"/>
      <c r="D800" s="123"/>
    </row>
    <row r="801" spans="1:4">
      <c r="A801" s="131"/>
      <c r="B801" s="131"/>
      <c r="C801" s="123"/>
      <c r="D801" s="123"/>
    </row>
    <row r="802" spans="1:4">
      <c r="A802" s="131"/>
      <c r="B802" s="131"/>
      <c r="C802" s="123"/>
      <c r="D802" s="123"/>
    </row>
    <row r="803" spans="1:4">
      <c r="A803" s="131"/>
      <c r="B803" s="131"/>
      <c r="C803" s="123"/>
      <c r="D803" s="123"/>
    </row>
    <row r="804" spans="1:4">
      <c r="A804" s="131"/>
      <c r="B804" s="131"/>
      <c r="C804" s="123"/>
      <c r="D804" s="123"/>
    </row>
    <row r="805" spans="1:4">
      <c r="A805" s="131"/>
      <c r="B805" s="131"/>
      <c r="C805" s="123"/>
      <c r="D805" s="123"/>
    </row>
    <row r="806" spans="1:4">
      <c r="A806" s="131"/>
      <c r="B806" s="131"/>
      <c r="C806" s="123"/>
      <c r="D806" s="123"/>
    </row>
    <row r="807" spans="1:4">
      <c r="A807" s="131"/>
      <c r="B807" s="131"/>
      <c r="C807" s="123"/>
      <c r="D807" s="123"/>
    </row>
    <row r="808" spans="1:4">
      <c r="A808" s="131"/>
      <c r="B808" s="131"/>
      <c r="C808" s="123"/>
      <c r="D808" s="123"/>
    </row>
    <row r="809" spans="1:4">
      <c r="A809" s="131"/>
      <c r="B809" s="131"/>
      <c r="C809" s="123"/>
      <c r="D809" s="123"/>
    </row>
  </sheetData>
  <mergeCells count="20">
    <mergeCell ref="A451:AE451"/>
    <mergeCell ref="A230:AE230"/>
    <mergeCell ref="A274:AE274"/>
    <mergeCell ref="A314:AE314"/>
    <mergeCell ref="A347:AE347"/>
    <mergeCell ref="A388:AE388"/>
    <mergeCell ref="A422:AE422"/>
    <mergeCell ref="A189:AE189"/>
    <mergeCell ref="A1:AE1"/>
    <mergeCell ref="A2:AE2"/>
    <mergeCell ref="A4:C4"/>
    <mergeCell ref="G19:R19"/>
    <mergeCell ref="T19:AE19"/>
    <mergeCell ref="G21:R21"/>
    <mergeCell ref="T21:AE21"/>
    <mergeCell ref="A22:AE22"/>
    <mergeCell ref="A37:AE37"/>
    <mergeCell ref="A76:AE76"/>
    <mergeCell ref="A113:AE113"/>
    <mergeCell ref="A146:AE14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32"/>
  <sheetViews>
    <sheetView zoomScaleNormal="100" workbookViewId="0">
      <selection sqref="A1:AE1"/>
    </sheetView>
  </sheetViews>
  <sheetFormatPr defaultRowHeight="15"/>
  <cols>
    <col min="1" max="2" width="11.7109375" style="117" customWidth="1"/>
    <col min="3" max="3" width="12.28515625" style="113" customWidth="1"/>
    <col min="4" max="4" width="18.42578125" style="113" customWidth="1"/>
    <col min="5" max="5" width="0.85546875" style="113" customWidth="1"/>
    <col min="6" max="17" width="3.28515625" style="113" customWidth="1"/>
    <col min="18" max="18" width="7.7109375" style="113" customWidth="1"/>
    <col min="19" max="19" width="19" style="113" customWidth="1"/>
    <col min="20" max="26" width="14.28515625" style="113" bestFit="1" customWidth="1"/>
    <col min="27" max="27" width="16.85546875" style="113" bestFit="1" customWidth="1"/>
    <col min="28" max="31" width="14.28515625" style="113" bestFit="1" customWidth="1"/>
    <col min="32" max="49" width="14.28515625" style="113" customWidth="1"/>
    <col min="50" max="16384" width="9.140625" style="113"/>
  </cols>
  <sheetData>
    <row r="1" spans="1:42">
      <c r="A1" s="188" t="s">
        <v>0</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row>
    <row r="2" spans="1:42">
      <c r="A2" s="188" t="s">
        <v>243</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row>
    <row r="3" spans="1:42" ht="15.75" thickBot="1"/>
    <row r="4" spans="1:42" ht="15.75" thickBot="1">
      <c r="A4" s="189" t="s">
        <v>200</v>
      </c>
      <c r="B4" s="190"/>
      <c r="C4" s="191"/>
    </row>
    <row r="5" spans="1:42">
      <c r="A5" s="119" t="s">
        <v>201</v>
      </c>
      <c r="B5" s="119" t="s">
        <v>202</v>
      </c>
      <c r="C5" s="119" t="s">
        <v>203</v>
      </c>
      <c r="X5" s="110"/>
    </row>
    <row r="6" spans="1:42">
      <c r="A6" s="120">
        <v>42370</v>
      </c>
      <c r="B6" s="120">
        <v>42400</v>
      </c>
      <c r="C6" s="121">
        <v>8.4229999999999999E-2</v>
      </c>
      <c r="U6" s="122"/>
      <c r="V6" s="123"/>
      <c r="W6" s="114"/>
      <c r="X6" s="110"/>
    </row>
    <row r="7" spans="1:42">
      <c r="A7" s="120">
        <v>42401</v>
      </c>
      <c r="B7" s="120">
        <v>42429</v>
      </c>
      <c r="C7" s="124">
        <v>0.10384</v>
      </c>
      <c r="U7" s="122"/>
      <c r="V7" s="123"/>
      <c r="W7" s="114"/>
      <c r="X7" s="110"/>
      <c r="Y7" s="116"/>
    </row>
    <row r="8" spans="1:42">
      <c r="A8" s="120">
        <v>42430</v>
      </c>
      <c r="B8" s="120">
        <v>42460</v>
      </c>
      <c r="C8" s="124">
        <v>9.0219999999999995E-2</v>
      </c>
      <c r="V8" s="123"/>
      <c r="X8" s="111"/>
      <c r="Y8" s="112"/>
      <c r="Z8" s="111"/>
      <c r="AB8" s="111"/>
      <c r="AC8" s="111"/>
      <c r="AD8" s="111"/>
      <c r="AF8" s="111"/>
      <c r="AG8" s="111"/>
      <c r="AH8" s="111"/>
      <c r="AN8" s="111"/>
      <c r="AO8" s="111"/>
      <c r="AP8" s="111"/>
    </row>
    <row r="9" spans="1:42">
      <c r="A9" s="120">
        <v>42461</v>
      </c>
      <c r="B9" s="120">
        <v>42490</v>
      </c>
      <c r="C9" s="124">
        <v>0.12114999999999999</v>
      </c>
      <c r="U9" s="110"/>
      <c r="X9" s="110"/>
      <c r="Y9" s="110"/>
      <c r="Z9" s="110"/>
      <c r="AB9" s="110"/>
      <c r="AC9" s="110"/>
      <c r="AD9" s="110"/>
      <c r="AF9" s="110"/>
      <c r="AG9" s="110"/>
      <c r="AH9" s="110"/>
      <c r="AN9" s="110"/>
      <c r="AO9" s="110"/>
      <c r="AP9" s="110"/>
    </row>
    <row r="10" spans="1:42">
      <c r="A10" s="120">
        <v>42491</v>
      </c>
      <c r="B10" s="120">
        <v>42521</v>
      </c>
      <c r="C10" s="124">
        <v>0.10405</v>
      </c>
      <c r="U10" s="110"/>
      <c r="X10" s="110"/>
      <c r="Y10" s="114"/>
      <c r="Z10" s="110"/>
      <c r="AB10" s="110"/>
      <c r="AC10" s="114"/>
      <c r="AD10" s="110"/>
      <c r="AF10" s="110"/>
      <c r="AG10" s="114"/>
      <c r="AH10" s="110"/>
      <c r="AN10" s="110"/>
      <c r="AO10" s="114"/>
      <c r="AP10" s="110"/>
    </row>
    <row r="11" spans="1:42">
      <c r="A11" s="120">
        <v>42522</v>
      </c>
      <c r="B11" s="120">
        <v>42551</v>
      </c>
      <c r="C11" s="124">
        <v>0.11650000000000001</v>
      </c>
      <c r="U11" s="116"/>
      <c r="V11" s="116"/>
      <c r="X11" s="110"/>
      <c r="Y11" s="114"/>
      <c r="Z11" s="110"/>
      <c r="AB11" s="110"/>
      <c r="AC11" s="114"/>
      <c r="AD11" s="110"/>
      <c r="AF11" s="110"/>
      <c r="AG11" s="114"/>
      <c r="AH11" s="110"/>
      <c r="AN11" s="110"/>
      <c r="AO11" s="114"/>
      <c r="AP11" s="110"/>
    </row>
    <row r="12" spans="1:42">
      <c r="A12" s="120">
        <v>42552</v>
      </c>
      <c r="B12" s="120">
        <v>42582</v>
      </c>
      <c r="C12" s="124">
        <v>7.6670000000000002E-2</v>
      </c>
      <c r="U12" s="110"/>
      <c r="V12" s="110"/>
      <c r="X12" s="110"/>
      <c r="Y12" s="110"/>
      <c r="Z12" s="110"/>
      <c r="AB12" s="110"/>
      <c r="AC12" s="110"/>
      <c r="AD12" s="110"/>
      <c r="AF12" s="110"/>
      <c r="AG12" s="110"/>
      <c r="AH12" s="110"/>
      <c r="AN12" s="110"/>
      <c r="AO12" s="110"/>
      <c r="AP12" s="110"/>
    </row>
    <row r="13" spans="1:42">
      <c r="A13" s="120">
        <v>42583</v>
      </c>
      <c r="B13" s="120">
        <v>42613</v>
      </c>
      <c r="C13" s="124">
        <v>8.5690000000000002E-2</v>
      </c>
      <c r="U13" s="116"/>
      <c r="X13" s="110"/>
      <c r="Y13" s="110"/>
      <c r="Z13" s="110"/>
      <c r="AB13" s="110"/>
      <c r="AC13" s="110"/>
      <c r="AD13" s="110"/>
      <c r="AF13" s="110"/>
      <c r="AG13" s="110"/>
      <c r="AH13" s="110"/>
      <c r="AN13" s="110"/>
      <c r="AO13" s="110"/>
      <c r="AP13" s="110"/>
    </row>
    <row r="14" spans="1:42">
      <c r="A14" s="120">
        <v>42614</v>
      </c>
      <c r="B14" s="120">
        <v>42643</v>
      </c>
      <c r="C14" s="124">
        <v>7.0599999999999996E-2</v>
      </c>
      <c r="X14" s="115"/>
      <c r="Z14" s="116"/>
      <c r="AB14" s="115"/>
      <c r="AD14" s="116"/>
      <c r="AF14" s="115"/>
      <c r="AH14" s="116"/>
      <c r="AN14" s="115"/>
      <c r="AP14" s="116"/>
    </row>
    <row r="15" spans="1:42">
      <c r="A15" s="120">
        <v>42644</v>
      </c>
      <c r="B15" s="120">
        <v>42674</v>
      </c>
      <c r="C15" s="124">
        <v>9.7199999999999995E-2</v>
      </c>
      <c r="W15" s="125"/>
      <c r="X15" s="125"/>
    </row>
    <row r="16" spans="1:42">
      <c r="A16" s="120">
        <v>42675</v>
      </c>
      <c r="B16" s="120">
        <v>42704</v>
      </c>
      <c r="C16" s="124">
        <v>0.12271</v>
      </c>
      <c r="W16" s="125"/>
      <c r="X16" s="125"/>
      <c r="Y16" s="110"/>
    </row>
    <row r="17" spans="1:31">
      <c r="A17" s="120">
        <v>42705</v>
      </c>
      <c r="B17" s="120">
        <v>42735</v>
      </c>
      <c r="C17" s="124">
        <v>0.10594000000000001</v>
      </c>
      <c r="W17" s="125"/>
      <c r="X17" s="125"/>
      <c r="Y17" s="125"/>
      <c r="Z17" s="125"/>
      <c r="AA17" s="125"/>
    </row>
    <row r="18" spans="1:31">
      <c r="A18" s="126"/>
      <c r="B18" s="126"/>
    </row>
    <row r="19" spans="1:31">
      <c r="F19" s="192" t="s">
        <v>204</v>
      </c>
      <c r="G19" s="192"/>
      <c r="H19" s="192"/>
      <c r="I19" s="192"/>
      <c r="J19" s="192"/>
      <c r="K19" s="192"/>
      <c r="L19" s="192"/>
      <c r="M19" s="192"/>
      <c r="N19" s="192"/>
      <c r="O19" s="192"/>
      <c r="P19" s="192"/>
      <c r="Q19" s="192"/>
      <c r="R19" s="127"/>
      <c r="S19" s="127"/>
      <c r="T19" s="192" t="s">
        <v>205</v>
      </c>
      <c r="U19" s="192"/>
      <c r="V19" s="192"/>
      <c r="W19" s="192"/>
      <c r="X19" s="192"/>
      <c r="Y19" s="192"/>
      <c r="Z19" s="192"/>
      <c r="AA19" s="192"/>
      <c r="AB19" s="192"/>
      <c r="AC19" s="192"/>
      <c r="AD19" s="192"/>
      <c r="AE19" s="192"/>
    </row>
    <row r="20" spans="1:31" ht="30">
      <c r="A20" s="128" t="s">
        <v>206</v>
      </c>
      <c r="B20" s="128" t="s">
        <v>207</v>
      </c>
      <c r="C20" s="128" t="s">
        <v>208</v>
      </c>
      <c r="D20" s="128" t="s">
        <v>210</v>
      </c>
      <c r="E20" s="128"/>
      <c r="F20" s="128">
        <v>1</v>
      </c>
      <c r="G20" s="128">
        <v>2</v>
      </c>
      <c r="H20" s="128">
        <v>3</v>
      </c>
      <c r="I20" s="128">
        <v>4</v>
      </c>
      <c r="J20" s="128">
        <v>5</v>
      </c>
      <c r="K20" s="128">
        <v>6</v>
      </c>
      <c r="L20" s="128">
        <v>7</v>
      </c>
      <c r="M20" s="128">
        <v>8</v>
      </c>
      <c r="N20" s="128">
        <v>9</v>
      </c>
      <c r="O20" s="128">
        <v>10</v>
      </c>
      <c r="P20" s="128">
        <v>11</v>
      </c>
      <c r="Q20" s="128">
        <v>12</v>
      </c>
      <c r="R20" s="128" t="s">
        <v>211</v>
      </c>
      <c r="S20" s="128">
        <v>2015</v>
      </c>
      <c r="T20" s="128">
        <v>1</v>
      </c>
      <c r="U20" s="128">
        <v>2</v>
      </c>
      <c r="V20" s="128">
        <v>3</v>
      </c>
      <c r="W20" s="128">
        <v>4</v>
      </c>
      <c r="X20" s="128">
        <v>5</v>
      </c>
      <c r="Y20" s="128">
        <v>6</v>
      </c>
      <c r="Z20" s="128">
        <v>7</v>
      </c>
      <c r="AA20" s="128">
        <v>8</v>
      </c>
      <c r="AB20" s="128">
        <v>9</v>
      </c>
      <c r="AC20" s="128">
        <v>10</v>
      </c>
      <c r="AD20" s="128">
        <v>11</v>
      </c>
      <c r="AE20" s="128">
        <v>12</v>
      </c>
    </row>
    <row r="21" spans="1:31" ht="15.75" thickBot="1">
      <c r="A21" s="129" t="s">
        <v>212</v>
      </c>
      <c r="B21" s="129" t="s">
        <v>213</v>
      </c>
      <c r="C21" s="129" t="s">
        <v>214</v>
      </c>
      <c r="D21" s="129" t="s">
        <v>215</v>
      </c>
      <c r="E21" s="129"/>
      <c r="F21" s="193" t="s">
        <v>216</v>
      </c>
      <c r="G21" s="193"/>
      <c r="H21" s="193"/>
      <c r="I21" s="193"/>
      <c r="J21" s="193"/>
      <c r="K21" s="193"/>
      <c r="L21" s="193"/>
      <c r="M21" s="193"/>
      <c r="N21" s="193"/>
      <c r="O21" s="193"/>
      <c r="P21" s="193"/>
      <c r="Q21" s="193"/>
      <c r="R21" s="130"/>
      <c r="S21" s="130"/>
      <c r="T21" s="193" t="s">
        <v>217</v>
      </c>
      <c r="U21" s="193"/>
      <c r="V21" s="193"/>
      <c r="W21" s="193"/>
      <c r="X21" s="193"/>
      <c r="Y21" s="193"/>
      <c r="Z21" s="193"/>
      <c r="AA21" s="193"/>
      <c r="AB21" s="193"/>
      <c r="AC21" s="193"/>
      <c r="AD21" s="193"/>
      <c r="AE21" s="193"/>
    </row>
    <row r="22" spans="1:31" ht="15.75" thickBot="1">
      <c r="A22" s="194" t="s">
        <v>35</v>
      </c>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6"/>
    </row>
    <row r="23" spans="1:31">
      <c r="A23" s="131">
        <v>42323</v>
      </c>
      <c r="B23" s="131">
        <v>42353</v>
      </c>
      <c r="C23" s="123">
        <f t="shared" ref="C23:C45" si="0">B23-A23</f>
        <v>30</v>
      </c>
      <c r="D23" s="132">
        <v>1873.77</v>
      </c>
      <c r="E23" s="129"/>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row>
    <row r="24" spans="1:31">
      <c r="A24" s="131">
        <v>42326</v>
      </c>
      <c r="B24" s="131">
        <v>42356</v>
      </c>
      <c r="C24" s="123">
        <f t="shared" si="0"/>
        <v>30</v>
      </c>
      <c r="D24" s="132">
        <v>501.42</v>
      </c>
      <c r="E24" s="129"/>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row>
    <row r="25" spans="1:31">
      <c r="A25" s="131">
        <v>42326</v>
      </c>
      <c r="B25" s="131">
        <v>42356</v>
      </c>
      <c r="C25" s="123">
        <f t="shared" si="0"/>
        <v>30</v>
      </c>
      <c r="D25" s="132">
        <v>2023.67</v>
      </c>
      <c r="E25" s="129"/>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row>
    <row r="26" spans="1:31">
      <c r="A26" s="131">
        <v>42326</v>
      </c>
      <c r="B26" s="131">
        <v>42356</v>
      </c>
      <c r="C26" s="123">
        <f t="shared" si="0"/>
        <v>30</v>
      </c>
      <c r="D26" s="132">
        <v>629.89</v>
      </c>
      <c r="E26" s="129"/>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row>
    <row r="27" spans="1:31">
      <c r="A27" s="131">
        <v>42323</v>
      </c>
      <c r="B27" s="131">
        <v>42353</v>
      </c>
      <c r="C27" s="123">
        <f t="shared" si="0"/>
        <v>30</v>
      </c>
      <c r="D27" s="110">
        <v>29391.35</v>
      </c>
      <c r="E27" s="129"/>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row>
    <row r="28" spans="1:31">
      <c r="A28" s="131">
        <v>42323</v>
      </c>
      <c r="B28" s="131">
        <v>42353</v>
      </c>
      <c r="C28" s="123">
        <f t="shared" si="0"/>
        <v>30</v>
      </c>
      <c r="D28" s="132">
        <v>7486.55</v>
      </c>
      <c r="E28" s="129"/>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row>
    <row r="29" spans="1:31">
      <c r="A29" s="131">
        <v>42323</v>
      </c>
      <c r="B29" s="131">
        <v>42353</v>
      </c>
      <c r="C29" s="123">
        <f t="shared" si="0"/>
        <v>30</v>
      </c>
      <c r="D29" s="132">
        <v>2846.85</v>
      </c>
      <c r="E29" s="129"/>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row>
    <row r="30" spans="1:31">
      <c r="A30" s="131">
        <v>42330</v>
      </c>
      <c r="B30" s="131">
        <v>42360</v>
      </c>
      <c r="C30" s="123">
        <f t="shared" si="0"/>
        <v>30</v>
      </c>
      <c r="D30" s="110">
        <v>254161.41</v>
      </c>
      <c r="E30" s="129"/>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row>
    <row r="31" spans="1:31">
      <c r="A31" s="131">
        <v>42334</v>
      </c>
      <c r="B31" s="131">
        <v>42364</v>
      </c>
      <c r="C31" s="123">
        <f t="shared" si="0"/>
        <v>30</v>
      </c>
      <c r="D31" s="132">
        <v>1311.47</v>
      </c>
      <c r="E31" s="129"/>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row>
    <row r="32" spans="1:31">
      <c r="A32" s="131">
        <v>42334</v>
      </c>
      <c r="B32" s="131">
        <v>42364</v>
      </c>
      <c r="C32" s="123">
        <f t="shared" si="0"/>
        <v>30</v>
      </c>
      <c r="D32" s="132">
        <v>1515.01</v>
      </c>
      <c r="E32" s="129"/>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row>
    <row r="33" spans="1:31">
      <c r="A33" s="131">
        <v>42336</v>
      </c>
      <c r="B33" s="131">
        <v>42366</v>
      </c>
      <c r="C33" s="123">
        <f t="shared" si="0"/>
        <v>30</v>
      </c>
      <c r="D33" s="132">
        <v>3525.9</v>
      </c>
      <c r="E33" s="129"/>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row>
    <row r="34" spans="1:31">
      <c r="A34" s="131">
        <v>42336</v>
      </c>
      <c r="B34" s="131">
        <v>42366</v>
      </c>
      <c r="C34" s="123">
        <f t="shared" si="0"/>
        <v>30</v>
      </c>
      <c r="D34" s="132">
        <v>1647.81</v>
      </c>
      <c r="E34" s="129"/>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row>
    <row r="35" spans="1:31">
      <c r="A35" s="131">
        <v>42339</v>
      </c>
      <c r="B35" s="131">
        <v>42370</v>
      </c>
      <c r="C35" s="123">
        <f t="shared" si="0"/>
        <v>31</v>
      </c>
      <c r="D35" s="132">
        <v>342.22</v>
      </c>
      <c r="E35" s="129"/>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row>
    <row r="36" spans="1:31">
      <c r="A36" s="131">
        <v>42339</v>
      </c>
      <c r="B36" s="131">
        <v>42370</v>
      </c>
      <c r="C36" s="123">
        <f t="shared" si="0"/>
        <v>31</v>
      </c>
      <c r="D36" s="132">
        <v>2122.58</v>
      </c>
      <c r="E36" s="129"/>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row>
    <row r="37" spans="1:31">
      <c r="A37" s="131">
        <v>42339</v>
      </c>
      <c r="B37" s="131">
        <v>42370</v>
      </c>
      <c r="C37" s="123">
        <f t="shared" si="0"/>
        <v>31</v>
      </c>
      <c r="D37" s="132">
        <v>299.64</v>
      </c>
      <c r="E37" s="129"/>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row>
    <row r="38" spans="1:31">
      <c r="A38" s="131">
        <v>42338</v>
      </c>
      <c r="B38" s="131">
        <v>42369</v>
      </c>
      <c r="C38" s="123">
        <f t="shared" si="0"/>
        <v>31</v>
      </c>
      <c r="D38" s="110">
        <v>8313.7199999999993</v>
      </c>
      <c r="E38" s="129"/>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row>
    <row r="39" spans="1:31">
      <c r="A39" s="131">
        <v>42339</v>
      </c>
      <c r="B39" s="131">
        <v>42370</v>
      </c>
      <c r="C39" s="123">
        <f t="shared" si="0"/>
        <v>31</v>
      </c>
      <c r="D39" s="110">
        <v>23453.14</v>
      </c>
      <c r="E39" s="129"/>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row>
    <row r="40" spans="1:31">
      <c r="A40" s="131">
        <v>42339</v>
      </c>
      <c r="B40" s="131">
        <v>42370</v>
      </c>
      <c r="C40" s="123">
        <f t="shared" si="0"/>
        <v>31</v>
      </c>
      <c r="D40" s="110">
        <v>1088.81</v>
      </c>
      <c r="E40" s="129"/>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row>
    <row r="41" spans="1:31">
      <c r="A41" s="131">
        <v>42339</v>
      </c>
      <c r="B41" s="131">
        <v>42370</v>
      </c>
      <c r="C41" s="123">
        <f t="shared" si="0"/>
        <v>31</v>
      </c>
      <c r="D41" s="110">
        <v>193284.99</v>
      </c>
      <c r="E41" s="129"/>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row>
    <row r="42" spans="1:31">
      <c r="A42" s="131">
        <v>42339</v>
      </c>
      <c r="B42" s="131">
        <v>42370</v>
      </c>
      <c r="C42" s="123">
        <f t="shared" si="0"/>
        <v>31</v>
      </c>
      <c r="D42" s="110">
        <v>5139.92</v>
      </c>
      <c r="E42" s="129"/>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row>
    <row r="43" spans="1:31">
      <c r="A43" s="131">
        <v>42339</v>
      </c>
      <c r="B43" s="131">
        <v>42370</v>
      </c>
      <c r="C43" s="123">
        <f t="shared" si="0"/>
        <v>31</v>
      </c>
      <c r="D43" s="110">
        <v>3055.24</v>
      </c>
      <c r="E43" s="129"/>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row>
    <row r="44" spans="1:31">
      <c r="A44" s="131">
        <v>42339</v>
      </c>
      <c r="B44" s="131">
        <v>42370</v>
      </c>
      <c r="C44" s="123">
        <f t="shared" si="0"/>
        <v>31</v>
      </c>
      <c r="D44" s="110">
        <v>60645.46</v>
      </c>
      <c r="E44" s="129"/>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row>
    <row r="45" spans="1:31" ht="15.75" thickBot="1">
      <c r="A45" s="131">
        <v>42339</v>
      </c>
      <c r="B45" s="131">
        <v>42370</v>
      </c>
      <c r="C45" s="123">
        <f t="shared" si="0"/>
        <v>31</v>
      </c>
      <c r="D45" s="110">
        <v>5098.41</v>
      </c>
      <c r="E45" s="129"/>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row>
    <row r="46" spans="1:31" ht="15.75" thickBot="1">
      <c r="A46" s="194" t="s">
        <v>36</v>
      </c>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6"/>
    </row>
    <row r="47" spans="1:31">
      <c r="A47" s="131">
        <v>42346</v>
      </c>
      <c r="B47" s="131">
        <v>42377</v>
      </c>
      <c r="C47" s="123">
        <f t="shared" ref="C47:C107" si="1">B47-A47</f>
        <v>31</v>
      </c>
      <c r="D47" s="132">
        <v>315.75</v>
      </c>
      <c r="E47" s="110"/>
      <c r="F47" s="123">
        <v>7</v>
      </c>
      <c r="G47" s="123"/>
      <c r="H47" s="123"/>
      <c r="I47" s="123"/>
      <c r="J47" s="123"/>
      <c r="K47" s="123"/>
      <c r="L47" s="123"/>
      <c r="M47" s="123"/>
      <c r="N47" s="123"/>
      <c r="O47" s="123"/>
      <c r="P47" s="123"/>
      <c r="Q47" s="123"/>
      <c r="R47" s="133">
        <f t="shared" ref="R47:R61" si="2">C47-SUM(F47:Q47)-($A$6-A47)</f>
        <v>0</v>
      </c>
      <c r="S47" s="133"/>
      <c r="T47" s="116">
        <f>ROUND((D47*F47/C47)/$C$6,2)</f>
        <v>846.47</v>
      </c>
      <c r="U47" s="116">
        <f t="shared" ref="U47:U107" si="3">ROUND(($D47*$G47/$C47)/$C$7,2)</f>
        <v>0</v>
      </c>
      <c r="V47" s="116">
        <f t="shared" ref="V47:V107" si="4">ROUND(($D47*$H47/$C47)/$C$8,2)</f>
        <v>0</v>
      </c>
      <c r="W47" s="116">
        <f t="shared" ref="W47:W107" si="5">ROUND(($D47*$I47/$C47)/$C$9,2)</f>
        <v>0</v>
      </c>
      <c r="X47" s="116">
        <f t="shared" ref="X47:X107" si="6">ROUND(($D47*$J47/$C47)/$C$10,2)</f>
        <v>0</v>
      </c>
      <c r="Y47" s="116">
        <f t="shared" ref="Y47:Y107" si="7">ROUND(($D47*$K47/$C47)/$C$11,2)</f>
        <v>0</v>
      </c>
      <c r="Z47" s="116">
        <f t="shared" ref="Z47:Z107" si="8">ROUND(($D47*$L47/$C47)/$C$12,2)</f>
        <v>0</v>
      </c>
      <c r="AA47" s="116">
        <f t="shared" ref="AA47:AA107" si="9">ROUND(($D47*$M47/$C47)/$C$13,2)</f>
        <v>0</v>
      </c>
      <c r="AB47" s="116">
        <f t="shared" ref="AB47:AB107" si="10">ROUND(($D47*$N47/$C47)/$C$14,2)</f>
        <v>0</v>
      </c>
      <c r="AC47" s="116">
        <f t="shared" ref="AC47:AC107" si="11">ROUND(($D47*$O47/$C47)/$C$15,2)</f>
        <v>0</v>
      </c>
      <c r="AD47" s="116">
        <f t="shared" ref="AD47:AD107" si="12">ROUND(($D47*$P47/$C47)/$C$16,2)</f>
        <v>0</v>
      </c>
      <c r="AE47" s="116">
        <f t="shared" ref="AE47:AE107" si="13">ROUND(($D47*$Q47/$C47)/$C$17,2)</f>
        <v>0</v>
      </c>
    </row>
    <row r="48" spans="1:31">
      <c r="A48" s="131">
        <v>42343</v>
      </c>
      <c r="B48" s="131">
        <v>42374</v>
      </c>
      <c r="C48" s="123">
        <f t="shared" si="1"/>
        <v>31</v>
      </c>
      <c r="D48" s="132">
        <v>1129.58</v>
      </c>
      <c r="E48" s="110"/>
      <c r="F48" s="123">
        <v>4</v>
      </c>
      <c r="G48" s="123"/>
      <c r="H48" s="123"/>
      <c r="I48" s="123"/>
      <c r="J48" s="123"/>
      <c r="K48" s="123"/>
      <c r="L48" s="123"/>
      <c r="M48" s="123"/>
      <c r="N48" s="123"/>
      <c r="O48" s="123"/>
      <c r="P48" s="123"/>
      <c r="Q48" s="123"/>
      <c r="R48" s="133">
        <f t="shared" si="2"/>
        <v>0</v>
      </c>
      <c r="S48" s="133"/>
      <c r="T48" s="116">
        <f t="shared" ref="T48:T108" si="14">ROUND((D48*F48/C48)/$C$6,2)</f>
        <v>1730.41</v>
      </c>
      <c r="U48" s="116">
        <f t="shared" si="3"/>
        <v>0</v>
      </c>
      <c r="V48" s="116">
        <f t="shared" si="4"/>
        <v>0</v>
      </c>
      <c r="W48" s="116">
        <f t="shared" si="5"/>
        <v>0</v>
      </c>
      <c r="X48" s="116">
        <f t="shared" si="6"/>
        <v>0</v>
      </c>
      <c r="Y48" s="116">
        <f t="shared" si="7"/>
        <v>0</v>
      </c>
      <c r="Z48" s="116">
        <f t="shared" si="8"/>
        <v>0</v>
      </c>
      <c r="AA48" s="116">
        <f t="shared" si="9"/>
        <v>0</v>
      </c>
      <c r="AB48" s="116">
        <f t="shared" si="10"/>
        <v>0</v>
      </c>
      <c r="AC48" s="116">
        <f t="shared" si="11"/>
        <v>0</v>
      </c>
      <c r="AD48" s="116">
        <f t="shared" si="12"/>
        <v>0</v>
      </c>
      <c r="AE48" s="116">
        <f t="shared" si="13"/>
        <v>0</v>
      </c>
    </row>
    <row r="49" spans="1:31">
      <c r="A49" s="131">
        <v>42343</v>
      </c>
      <c r="B49" s="131">
        <v>42374</v>
      </c>
      <c r="C49" s="123">
        <f t="shared" si="1"/>
        <v>31</v>
      </c>
      <c r="D49" s="132">
        <v>442.82</v>
      </c>
      <c r="E49" s="110"/>
      <c r="F49" s="123">
        <v>4</v>
      </c>
      <c r="G49" s="123"/>
      <c r="H49" s="123"/>
      <c r="I49" s="123"/>
      <c r="J49" s="123"/>
      <c r="K49" s="123"/>
      <c r="L49" s="123"/>
      <c r="M49" s="123"/>
      <c r="N49" s="123"/>
      <c r="O49" s="123"/>
      <c r="P49" s="123"/>
      <c r="Q49" s="123"/>
      <c r="R49" s="133">
        <f t="shared" si="2"/>
        <v>0</v>
      </c>
      <c r="S49" s="133"/>
      <c r="T49" s="116">
        <f t="shared" si="14"/>
        <v>678.36</v>
      </c>
      <c r="U49" s="116">
        <f t="shared" si="3"/>
        <v>0</v>
      </c>
      <c r="V49" s="116">
        <f t="shared" si="4"/>
        <v>0</v>
      </c>
      <c r="W49" s="116">
        <f t="shared" si="5"/>
        <v>0</v>
      </c>
      <c r="X49" s="116">
        <f t="shared" si="6"/>
        <v>0</v>
      </c>
      <c r="Y49" s="116">
        <f t="shared" si="7"/>
        <v>0</v>
      </c>
      <c r="Z49" s="116">
        <f t="shared" si="8"/>
        <v>0</v>
      </c>
      <c r="AA49" s="116">
        <f t="shared" si="9"/>
        <v>0</v>
      </c>
      <c r="AB49" s="116">
        <f t="shared" si="10"/>
        <v>0</v>
      </c>
      <c r="AC49" s="116">
        <f t="shared" si="11"/>
        <v>0</v>
      </c>
      <c r="AD49" s="116">
        <f t="shared" si="12"/>
        <v>0</v>
      </c>
      <c r="AE49" s="116">
        <f t="shared" si="13"/>
        <v>0</v>
      </c>
    </row>
    <row r="50" spans="1:31">
      <c r="A50" s="131">
        <v>42346</v>
      </c>
      <c r="B50" s="131">
        <v>42377</v>
      </c>
      <c r="C50" s="123">
        <f t="shared" si="1"/>
        <v>31</v>
      </c>
      <c r="D50" s="132">
        <v>322.53000000000003</v>
      </c>
      <c r="E50" s="110"/>
      <c r="F50" s="123">
        <v>7</v>
      </c>
      <c r="G50" s="123"/>
      <c r="H50" s="123"/>
      <c r="I50" s="123"/>
      <c r="J50" s="123"/>
      <c r="K50" s="123"/>
      <c r="L50" s="123"/>
      <c r="M50" s="123"/>
      <c r="N50" s="123"/>
      <c r="O50" s="123"/>
      <c r="P50" s="123"/>
      <c r="Q50" s="123"/>
      <c r="R50" s="133">
        <f t="shared" si="2"/>
        <v>0</v>
      </c>
      <c r="S50" s="133"/>
      <c r="T50" s="116">
        <f t="shared" si="14"/>
        <v>864.65</v>
      </c>
      <c r="U50" s="116">
        <f t="shared" si="3"/>
        <v>0</v>
      </c>
      <c r="V50" s="116">
        <f t="shared" si="4"/>
        <v>0</v>
      </c>
      <c r="W50" s="116">
        <f t="shared" si="5"/>
        <v>0</v>
      </c>
      <c r="X50" s="116">
        <f t="shared" si="6"/>
        <v>0</v>
      </c>
      <c r="Y50" s="116">
        <f t="shared" si="7"/>
        <v>0</v>
      </c>
      <c r="Z50" s="116">
        <f t="shared" si="8"/>
        <v>0</v>
      </c>
      <c r="AA50" s="116">
        <f t="shared" si="9"/>
        <v>0</v>
      </c>
      <c r="AB50" s="116">
        <f t="shared" si="10"/>
        <v>0</v>
      </c>
      <c r="AC50" s="116">
        <f t="shared" si="11"/>
        <v>0</v>
      </c>
      <c r="AD50" s="116">
        <f t="shared" si="12"/>
        <v>0</v>
      </c>
      <c r="AE50" s="116">
        <f t="shared" si="13"/>
        <v>0</v>
      </c>
    </row>
    <row r="51" spans="1:31">
      <c r="A51" s="131">
        <v>42343</v>
      </c>
      <c r="B51" s="131">
        <v>42374</v>
      </c>
      <c r="C51" s="123">
        <f t="shared" si="1"/>
        <v>31</v>
      </c>
      <c r="D51" s="132">
        <v>1634.16</v>
      </c>
      <c r="E51" s="110"/>
      <c r="F51" s="123">
        <v>4</v>
      </c>
      <c r="G51" s="123"/>
      <c r="H51" s="123"/>
      <c r="I51" s="123"/>
      <c r="J51" s="123"/>
      <c r="K51" s="123"/>
      <c r="L51" s="123"/>
      <c r="M51" s="123"/>
      <c r="N51" s="123"/>
      <c r="O51" s="123"/>
      <c r="P51" s="123"/>
      <c r="Q51" s="123"/>
      <c r="R51" s="133">
        <f t="shared" si="2"/>
        <v>0</v>
      </c>
      <c r="S51" s="133"/>
      <c r="T51" s="116">
        <f t="shared" si="14"/>
        <v>2503.38</v>
      </c>
      <c r="U51" s="116">
        <f t="shared" si="3"/>
        <v>0</v>
      </c>
      <c r="V51" s="116">
        <f t="shared" si="4"/>
        <v>0</v>
      </c>
      <c r="W51" s="116">
        <f t="shared" si="5"/>
        <v>0</v>
      </c>
      <c r="X51" s="116">
        <f t="shared" si="6"/>
        <v>0</v>
      </c>
      <c r="Y51" s="116">
        <f t="shared" si="7"/>
        <v>0</v>
      </c>
      <c r="Z51" s="116">
        <f t="shared" si="8"/>
        <v>0</v>
      </c>
      <c r="AA51" s="116">
        <f t="shared" si="9"/>
        <v>0</v>
      </c>
      <c r="AB51" s="116">
        <f t="shared" si="10"/>
        <v>0</v>
      </c>
      <c r="AC51" s="116">
        <f t="shared" si="11"/>
        <v>0</v>
      </c>
      <c r="AD51" s="116">
        <f t="shared" si="12"/>
        <v>0</v>
      </c>
      <c r="AE51" s="116">
        <f t="shared" si="13"/>
        <v>0</v>
      </c>
    </row>
    <row r="52" spans="1:31">
      <c r="A52" s="131">
        <v>42346</v>
      </c>
      <c r="B52" s="131">
        <v>42377</v>
      </c>
      <c r="C52" s="123">
        <f t="shared" si="1"/>
        <v>31</v>
      </c>
      <c r="D52" s="132">
        <v>956.38</v>
      </c>
      <c r="E52" s="110"/>
      <c r="F52" s="123">
        <v>7</v>
      </c>
      <c r="G52" s="123"/>
      <c r="H52" s="123"/>
      <c r="I52" s="123"/>
      <c r="J52" s="123"/>
      <c r="K52" s="123"/>
      <c r="L52" s="123"/>
      <c r="M52" s="123"/>
      <c r="N52" s="123"/>
      <c r="O52" s="123"/>
      <c r="P52" s="123"/>
      <c r="Q52" s="123"/>
      <c r="R52" s="133">
        <f t="shared" si="2"/>
        <v>0</v>
      </c>
      <c r="S52" s="133"/>
      <c r="T52" s="116">
        <f t="shared" si="14"/>
        <v>2563.89</v>
      </c>
      <c r="U52" s="116">
        <f t="shared" si="3"/>
        <v>0</v>
      </c>
      <c r="V52" s="116">
        <f t="shared" si="4"/>
        <v>0</v>
      </c>
      <c r="W52" s="116">
        <f t="shared" si="5"/>
        <v>0</v>
      </c>
      <c r="X52" s="116">
        <f t="shared" si="6"/>
        <v>0</v>
      </c>
      <c r="Y52" s="116">
        <f t="shared" si="7"/>
        <v>0</v>
      </c>
      <c r="Z52" s="116">
        <f t="shared" si="8"/>
        <v>0</v>
      </c>
      <c r="AA52" s="116">
        <f t="shared" si="9"/>
        <v>0</v>
      </c>
      <c r="AB52" s="116">
        <f t="shared" si="10"/>
        <v>0</v>
      </c>
      <c r="AC52" s="116">
        <f t="shared" si="11"/>
        <v>0</v>
      </c>
      <c r="AD52" s="116">
        <f t="shared" si="12"/>
        <v>0</v>
      </c>
      <c r="AE52" s="116">
        <f t="shared" si="13"/>
        <v>0</v>
      </c>
    </row>
    <row r="53" spans="1:31">
      <c r="A53" s="131">
        <v>42346</v>
      </c>
      <c r="B53" s="131">
        <v>42377</v>
      </c>
      <c r="C53" s="123">
        <f t="shared" si="1"/>
        <v>31</v>
      </c>
      <c r="D53" s="132">
        <v>115.2</v>
      </c>
      <c r="E53" s="110"/>
      <c r="F53" s="123">
        <v>7</v>
      </c>
      <c r="G53" s="123"/>
      <c r="H53" s="123"/>
      <c r="I53" s="123"/>
      <c r="J53" s="123"/>
      <c r="K53" s="123"/>
      <c r="L53" s="123"/>
      <c r="M53" s="123"/>
      <c r="N53" s="123"/>
      <c r="O53" s="123"/>
      <c r="P53" s="123"/>
      <c r="Q53" s="123"/>
      <c r="R53" s="133">
        <f t="shared" si="2"/>
        <v>0</v>
      </c>
      <c r="S53" s="133"/>
      <c r="T53" s="116">
        <f t="shared" si="14"/>
        <v>308.83</v>
      </c>
      <c r="U53" s="116">
        <f t="shared" si="3"/>
        <v>0</v>
      </c>
      <c r="V53" s="116">
        <f t="shared" si="4"/>
        <v>0</v>
      </c>
      <c r="W53" s="116">
        <f t="shared" si="5"/>
        <v>0</v>
      </c>
      <c r="X53" s="116">
        <f t="shared" si="6"/>
        <v>0</v>
      </c>
      <c r="Y53" s="116">
        <f t="shared" si="7"/>
        <v>0</v>
      </c>
      <c r="Z53" s="116">
        <f t="shared" si="8"/>
        <v>0</v>
      </c>
      <c r="AA53" s="116">
        <f t="shared" si="9"/>
        <v>0</v>
      </c>
      <c r="AB53" s="116">
        <f t="shared" si="10"/>
        <v>0</v>
      </c>
      <c r="AC53" s="116">
        <f t="shared" si="11"/>
        <v>0</v>
      </c>
      <c r="AD53" s="116">
        <f t="shared" si="12"/>
        <v>0</v>
      </c>
      <c r="AE53" s="116">
        <f t="shared" si="13"/>
        <v>0</v>
      </c>
    </row>
    <row r="54" spans="1:31">
      <c r="A54" s="131">
        <v>42350</v>
      </c>
      <c r="B54" s="131">
        <v>42381</v>
      </c>
      <c r="C54" s="123">
        <f>B54-A54</f>
        <v>31</v>
      </c>
      <c r="D54" s="132">
        <v>1159.3600000000001</v>
      </c>
      <c r="E54" s="110"/>
      <c r="F54" s="123">
        <v>11</v>
      </c>
      <c r="G54" s="123"/>
      <c r="H54" s="123"/>
      <c r="I54" s="123"/>
      <c r="J54" s="123"/>
      <c r="K54" s="123"/>
      <c r="L54" s="123"/>
      <c r="M54" s="123"/>
      <c r="N54" s="123"/>
      <c r="O54" s="123"/>
      <c r="P54" s="123"/>
      <c r="Q54" s="123"/>
      <c r="R54" s="133">
        <f t="shared" si="2"/>
        <v>0</v>
      </c>
      <c r="S54" s="133"/>
      <c r="T54" s="116">
        <f t="shared" si="14"/>
        <v>4884.08</v>
      </c>
      <c r="U54" s="116">
        <f t="shared" si="3"/>
        <v>0</v>
      </c>
      <c r="V54" s="116">
        <f t="shared" si="4"/>
        <v>0</v>
      </c>
      <c r="W54" s="116">
        <f t="shared" si="5"/>
        <v>0</v>
      </c>
      <c r="X54" s="116">
        <f t="shared" si="6"/>
        <v>0</v>
      </c>
      <c r="Y54" s="116">
        <f t="shared" si="7"/>
        <v>0</v>
      </c>
      <c r="Z54" s="116">
        <f t="shared" si="8"/>
        <v>0</v>
      </c>
      <c r="AA54" s="116">
        <f t="shared" si="9"/>
        <v>0</v>
      </c>
      <c r="AB54" s="116">
        <f t="shared" si="10"/>
        <v>0</v>
      </c>
      <c r="AC54" s="116">
        <f t="shared" si="11"/>
        <v>0</v>
      </c>
      <c r="AD54" s="116">
        <f t="shared" si="12"/>
        <v>0</v>
      </c>
      <c r="AE54" s="116">
        <f t="shared" si="13"/>
        <v>0</v>
      </c>
    </row>
    <row r="55" spans="1:31">
      <c r="A55" s="131">
        <v>42350</v>
      </c>
      <c r="B55" s="131">
        <v>42381</v>
      </c>
      <c r="C55" s="123">
        <f t="shared" si="1"/>
        <v>31</v>
      </c>
      <c r="D55" s="132">
        <v>174.23</v>
      </c>
      <c r="E55" s="110"/>
      <c r="F55" s="123">
        <v>11</v>
      </c>
      <c r="G55" s="123"/>
      <c r="H55" s="123"/>
      <c r="I55" s="123"/>
      <c r="J55" s="123"/>
      <c r="K55" s="123"/>
      <c r="L55" s="123"/>
      <c r="M55" s="123"/>
      <c r="N55" s="123"/>
      <c r="O55" s="123"/>
      <c r="P55" s="123"/>
      <c r="Q55" s="123"/>
      <c r="R55" s="133">
        <f t="shared" si="2"/>
        <v>0</v>
      </c>
      <c r="S55" s="133"/>
      <c r="T55" s="116">
        <f t="shared" si="14"/>
        <v>733.98</v>
      </c>
      <c r="U55" s="116">
        <f t="shared" si="3"/>
        <v>0</v>
      </c>
      <c r="V55" s="116">
        <f t="shared" si="4"/>
        <v>0</v>
      </c>
      <c r="W55" s="116">
        <f t="shared" si="5"/>
        <v>0</v>
      </c>
      <c r="X55" s="116">
        <f t="shared" si="6"/>
        <v>0</v>
      </c>
      <c r="Y55" s="116">
        <f t="shared" si="7"/>
        <v>0</v>
      </c>
      <c r="Z55" s="116">
        <f t="shared" si="8"/>
        <v>0</v>
      </c>
      <c r="AA55" s="116">
        <f t="shared" si="9"/>
        <v>0</v>
      </c>
      <c r="AB55" s="116">
        <f t="shared" si="10"/>
        <v>0</v>
      </c>
      <c r="AC55" s="116">
        <f t="shared" si="11"/>
        <v>0</v>
      </c>
      <c r="AD55" s="116">
        <f t="shared" si="12"/>
        <v>0</v>
      </c>
      <c r="AE55" s="116">
        <f t="shared" si="13"/>
        <v>0</v>
      </c>
    </row>
    <row r="56" spans="1:31">
      <c r="A56" s="131">
        <v>42350</v>
      </c>
      <c r="B56" s="131">
        <v>42381</v>
      </c>
      <c r="C56" s="123">
        <f t="shared" si="1"/>
        <v>31</v>
      </c>
      <c r="D56" s="132">
        <v>1569.69</v>
      </c>
      <c r="E56" s="110"/>
      <c r="F56" s="123">
        <v>11</v>
      </c>
      <c r="G56" s="123"/>
      <c r="H56" s="123"/>
      <c r="I56" s="123"/>
      <c r="J56" s="123"/>
      <c r="K56" s="123"/>
      <c r="L56" s="123"/>
      <c r="M56" s="123"/>
      <c r="N56" s="123"/>
      <c r="O56" s="123"/>
      <c r="P56" s="123"/>
      <c r="Q56" s="123"/>
      <c r="R56" s="133">
        <f t="shared" si="2"/>
        <v>0</v>
      </c>
      <c r="S56" s="133"/>
      <c r="T56" s="116">
        <f t="shared" si="14"/>
        <v>6612.69</v>
      </c>
      <c r="U56" s="116">
        <f t="shared" si="3"/>
        <v>0</v>
      </c>
      <c r="V56" s="116">
        <f t="shared" si="4"/>
        <v>0</v>
      </c>
      <c r="W56" s="116">
        <f t="shared" si="5"/>
        <v>0</v>
      </c>
      <c r="X56" s="116">
        <f t="shared" si="6"/>
        <v>0</v>
      </c>
      <c r="Y56" s="116">
        <f t="shared" si="7"/>
        <v>0</v>
      </c>
      <c r="Z56" s="116">
        <f t="shared" si="8"/>
        <v>0</v>
      </c>
      <c r="AA56" s="116">
        <f t="shared" si="9"/>
        <v>0</v>
      </c>
      <c r="AB56" s="116">
        <f t="shared" si="10"/>
        <v>0</v>
      </c>
      <c r="AC56" s="116">
        <f t="shared" si="11"/>
        <v>0</v>
      </c>
      <c r="AD56" s="116">
        <f t="shared" si="12"/>
        <v>0</v>
      </c>
      <c r="AE56" s="116">
        <f t="shared" si="13"/>
        <v>0</v>
      </c>
    </row>
    <row r="57" spans="1:31">
      <c r="A57" s="131">
        <v>42357</v>
      </c>
      <c r="B57" s="131">
        <v>42388</v>
      </c>
      <c r="C57" s="123">
        <f t="shared" si="1"/>
        <v>31</v>
      </c>
      <c r="D57" s="132">
        <v>2319.2000000000003</v>
      </c>
      <c r="E57" s="110"/>
      <c r="F57" s="123">
        <v>18</v>
      </c>
      <c r="G57" s="123"/>
      <c r="H57" s="123"/>
      <c r="I57" s="123"/>
      <c r="J57" s="123"/>
      <c r="K57" s="123"/>
      <c r="L57" s="123"/>
      <c r="M57" s="123"/>
      <c r="N57" s="123"/>
      <c r="O57" s="123"/>
      <c r="P57" s="123"/>
      <c r="Q57" s="123"/>
      <c r="R57" s="133">
        <f t="shared" si="2"/>
        <v>0</v>
      </c>
      <c r="S57" s="133"/>
      <c r="T57" s="116">
        <f t="shared" si="14"/>
        <v>15987.56</v>
      </c>
      <c r="U57" s="116">
        <f t="shared" si="3"/>
        <v>0</v>
      </c>
      <c r="V57" s="116">
        <f t="shared" si="4"/>
        <v>0</v>
      </c>
      <c r="W57" s="116">
        <f t="shared" si="5"/>
        <v>0</v>
      </c>
      <c r="X57" s="116">
        <f t="shared" si="6"/>
        <v>0</v>
      </c>
      <c r="Y57" s="116">
        <f t="shared" si="7"/>
        <v>0</v>
      </c>
      <c r="Z57" s="116">
        <f t="shared" si="8"/>
        <v>0</v>
      </c>
      <c r="AA57" s="116">
        <f t="shared" si="9"/>
        <v>0</v>
      </c>
      <c r="AB57" s="116">
        <f t="shared" si="10"/>
        <v>0</v>
      </c>
      <c r="AC57" s="116">
        <f t="shared" si="11"/>
        <v>0</v>
      </c>
      <c r="AD57" s="116">
        <f t="shared" si="12"/>
        <v>0</v>
      </c>
      <c r="AE57" s="116">
        <f t="shared" si="13"/>
        <v>0</v>
      </c>
    </row>
    <row r="58" spans="1:31">
      <c r="A58" s="131">
        <v>42353</v>
      </c>
      <c r="B58" s="131">
        <v>42384</v>
      </c>
      <c r="C58" s="123">
        <f t="shared" si="1"/>
        <v>31</v>
      </c>
      <c r="D58" s="132">
        <v>2116.7400000000002</v>
      </c>
      <c r="E58" s="110"/>
      <c r="F58" s="123">
        <v>14</v>
      </c>
      <c r="G58" s="123"/>
      <c r="H58" s="123"/>
      <c r="I58" s="123"/>
      <c r="J58" s="123"/>
      <c r="K58" s="123"/>
      <c r="L58" s="123"/>
      <c r="M58" s="123"/>
      <c r="N58" s="123"/>
      <c r="O58" s="123"/>
      <c r="P58" s="123"/>
      <c r="Q58" s="123"/>
      <c r="R58" s="133">
        <f t="shared" si="2"/>
        <v>0</v>
      </c>
      <c r="S58" s="133"/>
      <c r="T58" s="116">
        <f t="shared" si="14"/>
        <v>11349.25</v>
      </c>
      <c r="U58" s="116">
        <f t="shared" si="3"/>
        <v>0</v>
      </c>
      <c r="V58" s="116">
        <f t="shared" si="4"/>
        <v>0</v>
      </c>
      <c r="W58" s="116">
        <f t="shared" si="5"/>
        <v>0</v>
      </c>
      <c r="X58" s="116">
        <f t="shared" si="6"/>
        <v>0</v>
      </c>
      <c r="Y58" s="116">
        <f t="shared" si="7"/>
        <v>0</v>
      </c>
      <c r="Z58" s="116">
        <f t="shared" si="8"/>
        <v>0</v>
      </c>
      <c r="AA58" s="116">
        <f t="shared" si="9"/>
        <v>0</v>
      </c>
      <c r="AB58" s="116">
        <f t="shared" si="10"/>
        <v>0</v>
      </c>
      <c r="AC58" s="116">
        <f t="shared" si="11"/>
        <v>0</v>
      </c>
      <c r="AD58" s="116">
        <f t="shared" si="12"/>
        <v>0</v>
      </c>
      <c r="AE58" s="116">
        <f t="shared" si="13"/>
        <v>0</v>
      </c>
    </row>
    <row r="59" spans="1:31">
      <c r="A59" s="131">
        <v>42357</v>
      </c>
      <c r="B59" s="131">
        <v>42388</v>
      </c>
      <c r="C59" s="123">
        <f t="shared" si="1"/>
        <v>31</v>
      </c>
      <c r="D59" s="132">
        <v>719.56</v>
      </c>
      <c r="E59" s="110"/>
      <c r="F59" s="123">
        <v>18</v>
      </c>
      <c r="G59" s="123"/>
      <c r="H59" s="123"/>
      <c r="I59" s="123"/>
      <c r="J59" s="123"/>
      <c r="K59" s="123"/>
      <c r="L59" s="123"/>
      <c r="M59" s="123"/>
      <c r="N59" s="123"/>
      <c r="O59" s="123"/>
      <c r="P59" s="123"/>
      <c r="Q59" s="123"/>
      <c r="R59" s="133">
        <f t="shared" si="2"/>
        <v>0</v>
      </c>
      <c r="S59" s="133"/>
      <c r="T59" s="116">
        <f t="shared" si="14"/>
        <v>4960.34</v>
      </c>
      <c r="U59" s="116">
        <f t="shared" si="3"/>
        <v>0</v>
      </c>
      <c r="V59" s="116">
        <f t="shared" si="4"/>
        <v>0</v>
      </c>
      <c r="W59" s="116">
        <f t="shared" si="5"/>
        <v>0</v>
      </c>
      <c r="X59" s="116">
        <f t="shared" si="6"/>
        <v>0</v>
      </c>
      <c r="Y59" s="116">
        <f t="shared" si="7"/>
        <v>0</v>
      </c>
      <c r="Z59" s="116">
        <f t="shared" si="8"/>
        <v>0</v>
      </c>
      <c r="AA59" s="116">
        <f t="shared" si="9"/>
        <v>0</v>
      </c>
      <c r="AB59" s="116">
        <f t="shared" si="10"/>
        <v>0</v>
      </c>
      <c r="AC59" s="116">
        <f t="shared" si="11"/>
        <v>0</v>
      </c>
      <c r="AD59" s="116">
        <f t="shared" si="12"/>
        <v>0</v>
      </c>
      <c r="AE59" s="116">
        <f t="shared" si="13"/>
        <v>0</v>
      </c>
    </row>
    <row r="60" spans="1:31">
      <c r="A60" s="131">
        <v>42357</v>
      </c>
      <c r="B60" s="131">
        <v>42388</v>
      </c>
      <c r="C60" s="123">
        <f t="shared" si="1"/>
        <v>31</v>
      </c>
      <c r="D60" s="132">
        <v>762.88</v>
      </c>
      <c r="E60" s="110"/>
      <c r="F60" s="123">
        <v>18</v>
      </c>
      <c r="G60" s="123"/>
      <c r="H60" s="123"/>
      <c r="I60" s="123"/>
      <c r="J60" s="123"/>
      <c r="K60" s="123"/>
      <c r="L60" s="123"/>
      <c r="M60" s="123"/>
      <c r="N60" s="123"/>
      <c r="O60" s="123"/>
      <c r="P60" s="123"/>
      <c r="Q60" s="123"/>
      <c r="R60" s="133">
        <f t="shared" si="2"/>
        <v>0</v>
      </c>
      <c r="S60" s="133"/>
      <c r="T60" s="116">
        <f t="shared" si="14"/>
        <v>5258.96</v>
      </c>
      <c r="U60" s="116">
        <f t="shared" si="3"/>
        <v>0</v>
      </c>
      <c r="V60" s="116">
        <f t="shared" si="4"/>
        <v>0</v>
      </c>
      <c r="W60" s="116">
        <f t="shared" si="5"/>
        <v>0</v>
      </c>
      <c r="X60" s="116">
        <f t="shared" si="6"/>
        <v>0</v>
      </c>
      <c r="Y60" s="116">
        <f t="shared" si="7"/>
        <v>0</v>
      </c>
      <c r="Z60" s="116">
        <f t="shared" si="8"/>
        <v>0</v>
      </c>
      <c r="AA60" s="116">
        <f t="shared" si="9"/>
        <v>0</v>
      </c>
      <c r="AB60" s="116">
        <f t="shared" si="10"/>
        <v>0</v>
      </c>
      <c r="AC60" s="116">
        <f t="shared" si="11"/>
        <v>0</v>
      </c>
      <c r="AD60" s="116">
        <f t="shared" si="12"/>
        <v>0</v>
      </c>
      <c r="AE60" s="116">
        <f t="shared" si="13"/>
        <v>0</v>
      </c>
    </row>
    <row r="61" spans="1:31">
      <c r="A61" s="131">
        <v>42360</v>
      </c>
      <c r="B61" s="131">
        <v>42391</v>
      </c>
      <c r="C61" s="123">
        <f t="shared" si="1"/>
        <v>31</v>
      </c>
      <c r="D61" s="132">
        <v>239895.78</v>
      </c>
      <c r="E61" s="110"/>
      <c r="F61" s="123">
        <v>21</v>
      </c>
      <c r="G61" s="123"/>
      <c r="H61" s="123"/>
      <c r="I61" s="123"/>
      <c r="J61" s="123"/>
      <c r="K61" s="123"/>
      <c r="L61" s="123"/>
      <c r="M61" s="123"/>
      <c r="N61" s="123"/>
      <c r="O61" s="123"/>
      <c r="P61" s="123"/>
      <c r="Q61" s="123"/>
      <c r="R61" s="133">
        <f t="shared" si="2"/>
        <v>0</v>
      </c>
      <c r="S61" s="133"/>
      <c r="T61" s="148">
        <v>1716144.35</v>
      </c>
      <c r="U61" s="116">
        <f t="shared" si="3"/>
        <v>0</v>
      </c>
      <c r="V61" s="116">
        <f t="shared" si="4"/>
        <v>0</v>
      </c>
      <c r="W61" s="116">
        <f t="shared" si="5"/>
        <v>0</v>
      </c>
      <c r="X61" s="116">
        <f t="shared" si="6"/>
        <v>0</v>
      </c>
      <c r="Y61" s="116">
        <f t="shared" si="7"/>
        <v>0</v>
      </c>
      <c r="Z61" s="116">
        <f t="shared" si="8"/>
        <v>0</v>
      </c>
      <c r="AA61" s="116">
        <f t="shared" si="9"/>
        <v>0</v>
      </c>
      <c r="AB61" s="116">
        <f t="shared" si="10"/>
        <v>0</v>
      </c>
      <c r="AC61" s="116">
        <f t="shared" si="11"/>
        <v>0</v>
      </c>
      <c r="AD61" s="116">
        <f t="shared" si="12"/>
        <v>0</v>
      </c>
      <c r="AE61" s="116">
        <f t="shared" si="13"/>
        <v>0</v>
      </c>
    </row>
    <row r="62" spans="1:31">
      <c r="A62" s="131">
        <v>42370</v>
      </c>
      <c r="B62" s="131">
        <v>42390</v>
      </c>
      <c r="C62" s="123">
        <f t="shared" si="1"/>
        <v>20</v>
      </c>
      <c r="D62" s="132">
        <v>35.1</v>
      </c>
      <c r="E62" s="110"/>
      <c r="F62" s="123">
        <v>20</v>
      </c>
      <c r="G62" s="123"/>
      <c r="H62" s="123"/>
      <c r="I62" s="123"/>
      <c r="J62" s="123"/>
      <c r="K62" s="123"/>
      <c r="L62" s="123"/>
      <c r="M62" s="123"/>
      <c r="N62" s="123"/>
      <c r="O62" s="123"/>
      <c r="P62" s="123"/>
      <c r="Q62" s="123"/>
      <c r="R62" s="133">
        <f t="shared" ref="R62" si="15">C62-SUM(F62:Q62)</f>
        <v>0</v>
      </c>
      <c r="S62" s="133"/>
      <c r="T62" s="116">
        <f t="shared" si="14"/>
        <v>416.72</v>
      </c>
      <c r="U62" s="116">
        <f t="shared" si="3"/>
        <v>0</v>
      </c>
      <c r="V62" s="116">
        <f t="shared" si="4"/>
        <v>0</v>
      </c>
      <c r="W62" s="116">
        <f t="shared" si="5"/>
        <v>0</v>
      </c>
      <c r="X62" s="116">
        <f t="shared" si="6"/>
        <v>0</v>
      </c>
      <c r="Y62" s="116">
        <f t="shared" si="7"/>
        <v>0</v>
      </c>
      <c r="Z62" s="116">
        <f t="shared" si="8"/>
        <v>0</v>
      </c>
      <c r="AA62" s="116">
        <f t="shared" si="9"/>
        <v>0</v>
      </c>
      <c r="AB62" s="116">
        <f t="shared" si="10"/>
        <v>0</v>
      </c>
      <c r="AC62" s="116">
        <f t="shared" si="11"/>
        <v>0</v>
      </c>
      <c r="AD62" s="116">
        <f t="shared" si="12"/>
        <v>0</v>
      </c>
      <c r="AE62" s="116">
        <f t="shared" si="13"/>
        <v>0</v>
      </c>
    </row>
    <row r="63" spans="1:31">
      <c r="A63" s="131">
        <v>42353</v>
      </c>
      <c r="B63" s="131">
        <v>42384</v>
      </c>
      <c r="C63" s="123">
        <f t="shared" si="1"/>
        <v>31</v>
      </c>
      <c r="D63" s="132">
        <v>3696.56</v>
      </c>
      <c r="E63" s="110"/>
      <c r="F63" s="123">
        <v>14</v>
      </c>
      <c r="G63" s="123"/>
      <c r="H63" s="123"/>
      <c r="I63" s="123"/>
      <c r="J63" s="123"/>
      <c r="K63" s="123"/>
      <c r="L63" s="123"/>
      <c r="M63" s="123"/>
      <c r="N63" s="123"/>
      <c r="O63" s="123"/>
      <c r="P63" s="123"/>
      <c r="Q63" s="123"/>
      <c r="R63" s="133">
        <f t="shared" ref="R63:R70" si="16">C63-SUM(F63:Q63)-($A$6-A63)</f>
        <v>0</v>
      </c>
      <c r="S63" s="133"/>
      <c r="T63" s="116">
        <f t="shared" si="14"/>
        <v>19819.71</v>
      </c>
      <c r="U63" s="116">
        <f t="shared" si="3"/>
        <v>0</v>
      </c>
      <c r="V63" s="116">
        <f t="shared" si="4"/>
        <v>0</v>
      </c>
      <c r="W63" s="116">
        <f t="shared" si="5"/>
        <v>0</v>
      </c>
      <c r="X63" s="116">
        <f t="shared" si="6"/>
        <v>0</v>
      </c>
      <c r="Y63" s="116">
        <f t="shared" si="7"/>
        <v>0</v>
      </c>
      <c r="Z63" s="116">
        <f t="shared" si="8"/>
        <v>0</v>
      </c>
      <c r="AA63" s="116">
        <f t="shared" si="9"/>
        <v>0</v>
      </c>
      <c r="AB63" s="116">
        <f t="shared" si="10"/>
        <v>0</v>
      </c>
      <c r="AC63" s="116">
        <f t="shared" si="11"/>
        <v>0</v>
      </c>
      <c r="AD63" s="116">
        <f t="shared" si="12"/>
        <v>0</v>
      </c>
      <c r="AE63" s="116">
        <f t="shared" si="13"/>
        <v>0</v>
      </c>
    </row>
    <row r="64" spans="1:31">
      <c r="A64" s="131">
        <v>42353</v>
      </c>
      <c r="B64" s="131">
        <v>42384</v>
      </c>
      <c r="C64" s="123">
        <f t="shared" si="1"/>
        <v>31</v>
      </c>
      <c r="D64" s="132">
        <v>8662.76</v>
      </c>
      <c r="E64" s="110"/>
      <c r="F64" s="123">
        <v>14</v>
      </c>
      <c r="G64" s="123"/>
      <c r="H64" s="123"/>
      <c r="I64" s="123"/>
      <c r="J64" s="123"/>
      <c r="K64" s="123"/>
      <c r="L64" s="123"/>
      <c r="M64" s="123"/>
      <c r="N64" s="123"/>
      <c r="O64" s="123"/>
      <c r="P64" s="123"/>
      <c r="Q64" s="123"/>
      <c r="R64" s="133">
        <f t="shared" si="16"/>
        <v>0</v>
      </c>
      <c r="S64" s="133"/>
      <c r="T64" s="116">
        <f t="shared" si="14"/>
        <v>46446.8</v>
      </c>
      <c r="U64" s="116">
        <f t="shared" si="3"/>
        <v>0</v>
      </c>
      <c r="V64" s="116">
        <f t="shared" si="4"/>
        <v>0</v>
      </c>
      <c r="W64" s="116">
        <f t="shared" si="5"/>
        <v>0</v>
      </c>
      <c r="X64" s="116">
        <f t="shared" si="6"/>
        <v>0</v>
      </c>
      <c r="Y64" s="116">
        <f t="shared" si="7"/>
        <v>0</v>
      </c>
      <c r="Z64" s="116">
        <f t="shared" si="8"/>
        <v>0</v>
      </c>
      <c r="AA64" s="116">
        <f t="shared" si="9"/>
        <v>0</v>
      </c>
      <c r="AB64" s="116">
        <f t="shared" si="10"/>
        <v>0</v>
      </c>
      <c r="AC64" s="116">
        <f t="shared" si="11"/>
        <v>0</v>
      </c>
      <c r="AD64" s="116">
        <f t="shared" si="12"/>
        <v>0</v>
      </c>
      <c r="AE64" s="116">
        <f t="shared" si="13"/>
        <v>0</v>
      </c>
    </row>
    <row r="65" spans="1:31">
      <c r="A65" s="131">
        <v>42353</v>
      </c>
      <c r="B65" s="131">
        <v>42384</v>
      </c>
      <c r="C65" s="123">
        <f t="shared" si="1"/>
        <v>31</v>
      </c>
      <c r="D65" s="132">
        <v>33233.440000000002</v>
      </c>
      <c r="E65" s="110"/>
      <c r="F65" s="123">
        <v>14</v>
      </c>
      <c r="G65" s="123"/>
      <c r="H65" s="123"/>
      <c r="I65" s="123"/>
      <c r="J65" s="123"/>
      <c r="K65" s="123"/>
      <c r="L65" s="123"/>
      <c r="M65" s="123"/>
      <c r="N65" s="123"/>
      <c r="O65" s="123"/>
      <c r="P65" s="123"/>
      <c r="Q65" s="123"/>
      <c r="R65" s="133">
        <f t="shared" si="16"/>
        <v>0</v>
      </c>
      <c r="S65" s="133"/>
      <c r="T65" s="116">
        <f t="shared" si="14"/>
        <v>178186.52</v>
      </c>
      <c r="U65" s="116">
        <f t="shared" si="3"/>
        <v>0</v>
      </c>
      <c r="V65" s="116">
        <f t="shared" si="4"/>
        <v>0</v>
      </c>
      <c r="W65" s="116">
        <f t="shared" si="5"/>
        <v>0</v>
      </c>
      <c r="X65" s="116">
        <f t="shared" si="6"/>
        <v>0</v>
      </c>
      <c r="Y65" s="116">
        <f t="shared" si="7"/>
        <v>0</v>
      </c>
      <c r="Z65" s="116">
        <f t="shared" si="8"/>
        <v>0</v>
      </c>
      <c r="AA65" s="116">
        <f t="shared" si="9"/>
        <v>0</v>
      </c>
      <c r="AB65" s="116">
        <f t="shared" si="10"/>
        <v>0</v>
      </c>
      <c r="AC65" s="116">
        <f t="shared" si="11"/>
        <v>0</v>
      </c>
      <c r="AD65" s="116">
        <f t="shared" si="12"/>
        <v>0</v>
      </c>
      <c r="AE65" s="116">
        <f t="shared" si="13"/>
        <v>0</v>
      </c>
    </row>
    <row r="66" spans="1:31">
      <c r="A66" s="131">
        <v>42364</v>
      </c>
      <c r="B66" s="131">
        <v>42395</v>
      </c>
      <c r="C66" s="123">
        <f t="shared" si="1"/>
        <v>31</v>
      </c>
      <c r="D66" s="132">
        <v>1567.19</v>
      </c>
      <c r="E66" s="110"/>
      <c r="F66" s="123">
        <v>25</v>
      </c>
      <c r="G66" s="123"/>
      <c r="H66" s="123"/>
      <c r="I66" s="123"/>
      <c r="J66" s="123"/>
      <c r="K66" s="123"/>
      <c r="L66" s="123"/>
      <c r="M66" s="123"/>
      <c r="N66" s="123"/>
      <c r="O66" s="123"/>
      <c r="P66" s="123"/>
      <c r="Q66" s="123"/>
      <c r="R66" s="133">
        <f t="shared" si="16"/>
        <v>0</v>
      </c>
      <c r="S66" s="133"/>
      <c r="T66" s="116">
        <f t="shared" si="14"/>
        <v>15004.9</v>
      </c>
      <c r="U66" s="116">
        <f t="shared" si="3"/>
        <v>0</v>
      </c>
      <c r="V66" s="116">
        <f t="shared" si="4"/>
        <v>0</v>
      </c>
      <c r="W66" s="116">
        <f t="shared" si="5"/>
        <v>0</v>
      </c>
      <c r="X66" s="116">
        <f t="shared" si="6"/>
        <v>0</v>
      </c>
      <c r="Y66" s="116">
        <f t="shared" si="7"/>
        <v>0</v>
      </c>
      <c r="Z66" s="116">
        <f t="shared" si="8"/>
        <v>0</v>
      </c>
      <c r="AA66" s="116">
        <f t="shared" si="9"/>
        <v>0</v>
      </c>
      <c r="AB66" s="116">
        <f t="shared" si="10"/>
        <v>0</v>
      </c>
      <c r="AC66" s="116">
        <f t="shared" si="11"/>
        <v>0</v>
      </c>
      <c r="AD66" s="116">
        <f t="shared" si="12"/>
        <v>0</v>
      </c>
      <c r="AE66" s="116">
        <f t="shared" si="13"/>
        <v>0</v>
      </c>
    </row>
    <row r="67" spans="1:31">
      <c r="A67" s="131">
        <v>42364</v>
      </c>
      <c r="B67" s="131">
        <v>42395</v>
      </c>
      <c r="C67" s="123">
        <f t="shared" si="1"/>
        <v>31</v>
      </c>
      <c r="D67" s="132">
        <v>1306.3900000000001</v>
      </c>
      <c r="E67" s="110"/>
      <c r="F67" s="123">
        <v>25</v>
      </c>
      <c r="G67" s="123"/>
      <c r="H67" s="123"/>
      <c r="I67" s="123"/>
      <c r="J67" s="123"/>
      <c r="K67" s="123"/>
      <c r="L67" s="123"/>
      <c r="M67" s="123"/>
      <c r="N67" s="123"/>
      <c r="O67" s="123"/>
      <c r="P67" s="123"/>
      <c r="Q67" s="123"/>
      <c r="R67" s="133">
        <f t="shared" si="16"/>
        <v>0</v>
      </c>
      <c r="S67" s="133"/>
      <c r="T67" s="116">
        <f t="shared" si="14"/>
        <v>12507.9</v>
      </c>
      <c r="U67" s="116">
        <f t="shared" si="3"/>
        <v>0</v>
      </c>
      <c r="V67" s="116">
        <f t="shared" si="4"/>
        <v>0</v>
      </c>
      <c r="W67" s="116">
        <f t="shared" si="5"/>
        <v>0</v>
      </c>
      <c r="X67" s="116">
        <f t="shared" si="6"/>
        <v>0</v>
      </c>
      <c r="Y67" s="116">
        <f t="shared" si="7"/>
        <v>0</v>
      </c>
      <c r="Z67" s="116">
        <f t="shared" si="8"/>
        <v>0</v>
      </c>
      <c r="AA67" s="116">
        <f t="shared" si="9"/>
        <v>0</v>
      </c>
      <c r="AB67" s="116">
        <f t="shared" si="10"/>
        <v>0</v>
      </c>
      <c r="AC67" s="116">
        <f t="shared" si="11"/>
        <v>0</v>
      </c>
      <c r="AD67" s="116">
        <f t="shared" si="12"/>
        <v>0</v>
      </c>
      <c r="AE67" s="116">
        <f t="shared" si="13"/>
        <v>0</v>
      </c>
    </row>
    <row r="68" spans="1:31">
      <c r="A68" s="131">
        <v>42366</v>
      </c>
      <c r="B68" s="131">
        <v>42397</v>
      </c>
      <c r="C68" s="123">
        <f t="shared" si="1"/>
        <v>31</v>
      </c>
      <c r="D68" s="132">
        <v>1502.16</v>
      </c>
      <c r="E68" s="110"/>
      <c r="F68" s="123">
        <v>27</v>
      </c>
      <c r="G68" s="123"/>
      <c r="H68" s="123"/>
      <c r="I68" s="123"/>
      <c r="J68" s="123"/>
      <c r="K68" s="123"/>
      <c r="L68" s="123"/>
      <c r="M68" s="123"/>
      <c r="N68" s="123"/>
      <c r="O68" s="123"/>
      <c r="P68" s="123"/>
      <c r="Q68" s="123"/>
      <c r="R68" s="133">
        <f t="shared" si="16"/>
        <v>0</v>
      </c>
      <c r="S68" s="133"/>
      <c r="T68" s="116">
        <f t="shared" si="14"/>
        <v>15532.86</v>
      </c>
      <c r="U68" s="116">
        <f t="shared" si="3"/>
        <v>0</v>
      </c>
      <c r="V68" s="116">
        <f t="shared" si="4"/>
        <v>0</v>
      </c>
      <c r="W68" s="116">
        <f t="shared" si="5"/>
        <v>0</v>
      </c>
      <c r="X68" s="116">
        <f t="shared" si="6"/>
        <v>0</v>
      </c>
      <c r="Y68" s="116">
        <f t="shared" si="7"/>
        <v>0</v>
      </c>
      <c r="Z68" s="116">
        <f t="shared" si="8"/>
        <v>0</v>
      </c>
      <c r="AA68" s="116">
        <f t="shared" si="9"/>
        <v>0</v>
      </c>
      <c r="AB68" s="116">
        <f t="shared" si="10"/>
        <v>0</v>
      </c>
      <c r="AC68" s="116">
        <f t="shared" si="11"/>
        <v>0</v>
      </c>
      <c r="AD68" s="116">
        <f t="shared" si="12"/>
        <v>0</v>
      </c>
      <c r="AE68" s="116">
        <f t="shared" si="13"/>
        <v>0</v>
      </c>
    </row>
    <row r="69" spans="1:31">
      <c r="A69" s="131">
        <v>42366</v>
      </c>
      <c r="B69" s="131">
        <v>42397</v>
      </c>
      <c r="C69" s="123">
        <f t="shared" si="1"/>
        <v>31</v>
      </c>
      <c r="D69" s="132">
        <v>1471</v>
      </c>
      <c r="E69" s="110"/>
      <c r="F69" s="123">
        <v>27</v>
      </c>
      <c r="G69" s="123"/>
      <c r="H69" s="123"/>
      <c r="I69" s="123"/>
      <c r="J69" s="123"/>
      <c r="K69" s="123"/>
      <c r="L69" s="123"/>
      <c r="M69" s="123"/>
      <c r="N69" s="123"/>
      <c r="O69" s="123"/>
      <c r="P69" s="123"/>
      <c r="Q69" s="123"/>
      <c r="R69" s="133">
        <f t="shared" si="16"/>
        <v>0</v>
      </c>
      <c r="S69" s="133"/>
      <c r="T69" s="116">
        <f t="shared" si="14"/>
        <v>15210.66</v>
      </c>
      <c r="U69" s="116">
        <f t="shared" si="3"/>
        <v>0</v>
      </c>
      <c r="V69" s="116">
        <f t="shared" si="4"/>
        <v>0</v>
      </c>
      <c r="W69" s="116">
        <f t="shared" si="5"/>
        <v>0</v>
      </c>
      <c r="X69" s="116">
        <f t="shared" si="6"/>
        <v>0</v>
      </c>
      <c r="Y69" s="116">
        <f t="shared" si="7"/>
        <v>0</v>
      </c>
      <c r="Z69" s="116">
        <f t="shared" si="8"/>
        <v>0</v>
      </c>
      <c r="AA69" s="116">
        <f t="shared" si="9"/>
        <v>0</v>
      </c>
      <c r="AB69" s="116">
        <f t="shared" si="10"/>
        <v>0</v>
      </c>
      <c r="AC69" s="116">
        <f t="shared" si="11"/>
        <v>0</v>
      </c>
      <c r="AD69" s="116">
        <f t="shared" si="12"/>
        <v>0</v>
      </c>
      <c r="AE69" s="116">
        <f t="shared" si="13"/>
        <v>0</v>
      </c>
    </row>
    <row r="70" spans="1:31">
      <c r="A70" s="131">
        <v>42369</v>
      </c>
      <c r="B70" s="131">
        <v>42400</v>
      </c>
      <c r="C70" s="123">
        <f t="shared" si="1"/>
        <v>31</v>
      </c>
      <c r="D70" s="132">
        <v>11252.45</v>
      </c>
      <c r="E70" s="110"/>
      <c r="F70" s="123">
        <v>30</v>
      </c>
      <c r="G70" s="123"/>
      <c r="H70" s="123"/>
      <c r="I70" s="123"/>
      <c r="J70" s="123"/>
      <c r="K70" s="123"/>
      <c r="L70" s="123"/>
      <c r="M70" s="123"/>
      <c r="N70" s="123"/>
      <c r="O70" s="123"/>
      <c r="P70" s="123"/>
      <c r="Q70" s="123"/>
      <c r="R70" s="133">
        <f t="shared" si="16"/>
        <v>0</v>
      </c>
      <c r="S70" s="133"/>
      <c r="T70" s="116">
        <v>1574.65</v>
      </c>
      <c r="U70" s="116">
        <f t="shared" si="3"/>
        <v>0</v>
      </c>
      <c r="V70" s="116">
        <f t="shared" si="4"/>
        <v>0</v>
      </c>
      <c r="W70" s="116">
        <f t="shared" si="5"/>
        <v>0</v>
      </c>
      <c r="X70" s="116">
        <f t="shared" si="6"/>
        <v>0</v>
      </c>
      <c r="Y70" s="116">
        <f t="shared" si="7"/>
        <v>0</v>
      </c>
      <c r="Z70" s="116">
        <f t="shared" si="8"/>
        <v>0</v>
      </c>
      <c r="AA70" s="116">
        <f t="shared" si="9"/>
        <v>0</v>
      </c>
      <c r="AB70" s="116">
        <f t="shared" si="10"/>
        <v>0</v>
      </c>
      <c r="AC70" s="116">
        <f t="shared" si="11"/>
        <v>0</v>
      </c>
      <c r="AD70" s="116">
        <f t="shared" si="12"/>
        <v>0</v>
      </c>
      <c r="AE70" s="116">
        <f t="shared" si="13"/>
        <v>0</v>
      </c>
    </row>
    <row r="71" spans="1:31">
      <c r="A71" s="131">
        <v>42370</v>
      </c>
      <c r="B71" s="131">
        <v>42401</v>
      </c>
      <c r="C71" s="123">
        <f t="shared" si="1"/>
        <v>31</v>
      </c>
      <c r="D71" s="132">
        <v>220.18</v>
      </c>
      <c r="E71" s="110"/>
      <c r="F71" s="123">
        <v>31</v>
      </c>
      <c r="G71" s="123"/>
      <c r="H71" s="123"/>
      <c r="I71" s="123"/>
      <c r="J71" s="123"/>
      <c r="K71" s="123"/>
      <c r="L71" s="123"/>
      <c r="M71" s="123"/>
      <c r="N71" s="123"/>
      <c r="O71" s="123"/>
      <c r="P71" s="123"/>
      <c r="Q71" s="123"/>
      <c r="R71" s="133">
        <f t="shared" ref="R71:R88" si="17">C71-SUM(F71:Q71)</f>
        <v>0</v>
      </c>
      <c r="S71" s="133"/>
      <c r="T71" s="116">
        <f t="shared" si="14"/>
        <v>2614.0300000000002</v>
      </c>
      <c r="U71" s="116">
        <f t="shared" si="3"/>
        <v>0</v>
      </c>
      <c r="V71" s="116">
        <f t="shared" si="4"/>
        <v>0</v>
      </c>
      <c r="W71" s="116">
        <f t="shared" si="5"/>
        <v>0</v>
      </c>
      <c r="X71" s="116">
        <f t="shared" si="6"/>
        <v>0</v>
      </c>
      <c r="Y71" s="116">
        <f t="shared" si="7"/>
        <v>0</v>
      </c>
      <c r="Z71" s="116">
        <f t="shared" si="8"/>
        <v>0</v>
      </c>
      <c r="AA71" s="116">
        <f t="shared" si="9"/>
        <v>0</v>
      </c>
      <c r="AB71" s="116">
        <f t="shared" si="10"/>
        <v>0</v>
      </c>
      <c r="AC71" s="116">
        <f t="shared" si="11"/>
        <v>0</v>
      </c>
      <c r="AD71" s="116">
        <f t="shared" si="12"/>
        <v>0</v>
      </c>
      <c r="AE71" s="116">
        <f t="shared" si="13"/>
        <v>0</v>
      </c>
    </row>
    <row r="72" spans="1:31">
      <c r="A72" s="131">
        <v>42353</v>
      </c>
      <c r="B72" s="131">
        <v>42384</v>
      </c>
      <c r="C72" s="123">
        <f t="shared" si="1"/>
        <v>31</v>
      </c>
      <c r="D72" s="132">
        <v>2017.13</v>
      </c>
      <c r="E72" s="110"/>
      <c r="F72" s="123">
        <v>14</v>
      </c>
      <c r="G72" s="123"/>
      <c r="H72" s="123"/>
      <c r="I72" s="123"/>
      <c r="J72" s="123"/>
      <c r="K72" s="123"/>
      <c r="L72" s="123"/>
      <c r="M72" s="123"/>
      <c r="N72" s="123"/>
      <c r="O72" s="123"/>
      <c r="P72" s="123"/>
      <c r="Q72" s="123"/>
      <c r="R72" s="133">
        <f>C72-SUM(F72:Q72)-($A$6-A72)</f>
        <v>0</v>
      </c>
      <c r="S72" s="133"/>
      <c r="T72" s="116">
        <f t="shared" si="14"/>
        <v>10815.17</v>
      </c>
      <c r="U72" s="116">
        <f t="shared" si="3"/>
        <v>0</v>
      </c>
      <c r="V72" s="116">
        <f t="shared" si="4"/>
        <v>0</v>
      </c>
      <c r="W72" s="116">
        <f t="shared" si="5"/>
        <v>0</v>
      </c>
      <c r="X72" s="116">
        <f t="shared" si="6"/>
        <v>0</v>
      </c>
      <c r="Y72" s="116">
        <f t="shared" si="7"/>
        <v>0</v>
      </c>
      <c r="Z72" s="116">
        <f t="shared" si="8"/>
        <v>0</v>
      </c>
      <c r="AA72" s="116">
        <f t="shared" si="9"/>
        <v>0</v>
      </c>
      <c r="AB72" s="116">
        <f t="shared" si="10"/>
        <v>0</v>
      </c>
      <c r="AC72" s="116">
        <f t="shared" si="11"/>
        <v>0</v>
      </c>
      <c r="AD72" s="116">
        <f t="shared" si="12"/>
        <v>0</v>
      </c>
      <c r="AE72" s="116">
        <f t="shared" si="13"/>
        <v>0</v>
      </c>
    </row>
    <row r="73" spans="1:31">
      <c r="A73" s="131">
        <v>42370</v>
      </c>
      <c r="B73" s="131">
        <v>42401</v>
      </c>
      <c r="C73" s="123">
        <f t="shared" si="1"/>
        <v>31</v>
      </c>
      <c r="D73" s="132">
        <v>129866.63</v>
      </c>
      <c r="E73" s="110"/>
      <c r="F73" s="123">
        <v>31</v>
      </c>
      <c r="G73" s="123"/>
      <c r="H73" s="123"/>
      <c r="I73" s="123"/>
      <c r="J73" s="123"/>
      <c r="K73" s="123"/>
      <c r="L73" s="123"/>
      <c r="M73" s="123"/>
      <c r="N73" s="123"/>
      <c r="O73" s="123"/>
      <c r="P73" s="123"/>
      <c r="Q73" s="123"/>
      <c r="R73" s="133">
        <f t="shared" si="17"/>
        <v>0</v>
      </c>
      <c r="S73" s="133"/>
      <c r="T73" s="116">
        <f t="shared" si="14"/>
        <v>1541809.69</v>
      </c>
      <c r="U73" s="116">
        <f t="shared" si="3"/>
        <v>0</v>
      </c>
      <c r="V73" s="116">
        <f t="shared" si="4"/>
        <v>0</v>
      </c>
      <c r="W73" s="116">
        <f t="shared" si="5"/>
        <v>0</v>
      </c>
      <c r="X73" s="116">
        <f t="shared" si="6"/>
        <v>0</v>
      </c>
      <c r="Y73" s="116">
        <f t="shared" si="7"/>
        <v>0</v>
      </c>
      <c r="Z73" s="116">
        <f t="shared" si="8"/>
        <v>0</v>
      </c>
      <c r="AA73" s="116">
        <f t="shared" si="9"/>
        <v>0</v>
      </c>
      <c r="AB73" s="116">
        <f t="shared" si="10"/>
        <v>0</v>
      </c>
      <c r="AC73" s="116">
        <f t="shared" si="11"/>
        <v>0</v>
      </c>
      <c r="AD73" s="116">
        <f t="shared" si="12"/>
        <v>0</v>
      </c>
      <c r="AE73" s="116">
        <f t="shared" si="13"/>
        <v>0</v>
      </c>
    </row>
    <row r="74" spans="1:31">
      <c r="A74" s="131">
        <v>42370</v>
      </c>
      <c r="B74" s="131">
        <v>42401</v>
      </c>
      <c r="C74" s="123">
        <f t="shared" si="1"/>
        <v>31</v>
      </c>
      <c r="D74" s="132">
        <v>45988.51</v>
      </c>
      <c r="E74" s="110"/>
      <c r="F74" s="123">
        <v>31</v>
      </c>
      <c r="G74" s="123"/>
      <c r="H74" s="123"/>
      <c r="I74" s="123"/>
      <c r="J74" s="123"/>
      <c r="K74" s="123"/>
      <c r="L74" s="123"/>
      <c r="M74" s="123"/>
      <c r="N74" s="123"/>
      <c r="O74" s="123"/>
      <c r="P74" s="123"/>
      <c r="Q74" s="123"/>
      <c r="R74" s="133">
        <f t="shared" si="17"/>
        <v>0</v>
      </c>
      <c r="S74" s="133"/>
      <c r="T74" s="116">
        <f t="shared" si="14"/>
        <v>545987.30000000005</v>
      </c>
      <c r="U74" s="116">
        <f t="shared" si="3"/>
        <v>0</v>
      </c>
      <c r="V74" s="116">
        <f t="shared" si="4"/>
        <v>0</v>
      </c>
      <c r="W74" s="116">
        <f t="shared" si="5"/>
        <v>0</v>
      </c>
      <c r="X74" s="116">
        <f t="shared" si="6"/>
        <v>0</v>
      </c>
      <c r="Y74" s="116">
        <f t="shared" si="7"/>
        <v>0</v>
      </c>
      <c r="Z74" s="116">
        <f t="shared" si="8"/>
        <v>0</v>
      </c>
      <c r="AA74" s="116">
        <f t="shared" si="9"/>
        <v>0</v>
      </c>
      <c r="AB74" s="116">
        <f t="shared" si="10"/>
        <v>0</v>
      </c>
      <c r="AC74" s="116">
        <f t="shared" si="11"/>
        <v>0</v>
      </c>
      <c r="AD74" s="116">
        <f t="shared" si="12"/>
        <v>0</v>
      </c>
      <c r="AE74" s="116">
        <f t="shared" si="13"/>
        <v>0</v>
      </c>
    </row>
    <row r="75" spans="1:31">
      <c r="A75" s="131">
        <v>42370</v>
      </c>
      <c r="B75" s="131">
        <v>42401</v>
      </c>
      <c r="C75" s="123">
        <f t="shared" si="1"/>
        <v>31</v>
      </c>
      <c r="D75" s="132">
        <v>3712.01</v>
      </c>
      <c r="E75" s="110"/>
      <c r="F75" s="123">
        <v>31</v>
      </c>
      <c r="G75" s="123"/>
      <c r="H75" s="123"/>
      <c r="I75" s="123"/>
      <c r="J75" s="123"/>
      <c r="K75" s="123"/>
      <c r="L75" s="123"/>
      <c r="M75" s="123"/>
      <c r="N75" s="123"/>
      <c r="O75" s="123"/>
      <c r="P75" s="123"/>
      <c r="Q75" s="123"/>
      <c r="R75" s="133">
        <f t="shared" si="17"/>
        <v>0</v>
      </c>
      <c r="S75" s="133"/>
      <c r="T75" s="116">
        <f t="shared" si="14"/>
        <v>44069.93</v>
      </c>
      <c r="U75" s="116">
        <f t="shared" si="3"/>
        <v>0</v>
      </c>
      <c r="V75" s="116">
        <f t="shared" si="4"/>
        <v>0</v>
      </c>
      <c r="W75" s="116">
        <f t="shared" si="5"/>
        <v>0</v>
      </c>
      <c r="X75" s="116">
        <f t="shared" si="6"/>
        <v>0</v>
      </c>
      <c r="Y75" s="116">
        <f t="shared" si="7"/>
        <v>0</v>
      </c>
      <c r="Z75" s="116">
        <f t="shared" si="8"/>
        <v>0</v>
      </c>
      <c r="AA75" s="116">
        <f t="shared" si="9"/>
        <v>0</v>
      </c>
      <c r="AB75" s="116">
        <f t="shared" si="10"/>
        <v>0</v>
      </c>
      <c r="AC75" s="116">
        <f t="shared" si="11"/>
        <v>0</v>
      </c>
      <c r="AD75" s="116">
        <f t="shared" si="12"/>
        <v>0</v>
      </c>
      <c r="AE75" s="116">
        <f t="shared" si="13"/>
        <v>0</v>
      </c>
    </row>
    <row r="76" spans="1:31">
      <c r="A76" s="131">
        <v>42370</v>
      </c>
      <c r="B76" s="131">
        <v>42401</v>
      </c>
      <c r="C76" s="123">
        <f t="shared" si="1"/>
        <v>31</v>
      </c>
      <c r="D76" s="132">
        <v>2096.62</v>
      </c>
      <c r="E76" s="110"/>
      <c r="F76" s="123">
        <v>31</v>
      </c>
      <c r="G76" s="123"/>
      <c r="H76" s="123"/>
      <c r="I76" s="123"/>
      <c r="J76" s="123"/>
      <c r="K76" s="123"/>
      <c r="L76" s="123"/>
      <c r="M76" s="123"/>
      <c r="N76" s="123"/>
      <c r="O76" s="123"/>
      <c r="P76" s="123"/>
      <c r="Q76" s="123"/>
      <c r="R76" s="133">
        <f t="shared" si="17"/>
        <v>0</v>
      </c>
      <c r="S76" s="133"/>
      <c r="T76" s="116">
        <f t="shared" si="14"/>
        <v>24891.61</v>
      </c>
      <c r="U76" s="116">
        <f t="shared" si="3"/>
        <v>0</v>
      </c>
      <c r="V76" s="116">
        <f t="shared" si="4"/>
        <v>0</v>
      </c>
      <c r="W76" s="116">
        <f t="shared" si="5"/>
        <v>0</v>
      </c>
      <c r="X76" s="116">
        <f t="shared" si="6"/>
        <v>0</v>
      </c>
      <c r="Y76" s="116">
        <f t="shared" si="7"/>
        <v>0</v>
      </c>
      <c r="Z76" s="116">
        <f t="shared" si="8"/>
        <v>0</v>
      </c>
      <c r="AA76" s="116">
        <f t="shared" si="9"/>
        <v>0</v>
      </c>
      <c r="AB76" s="116">
        <f t="shared" si="10"/>
        <v>0</v>
      </c>
      <c r="AC76" s="116">
        <f t="shared" si="11"/>
        <v>0</v>
      </c>
      <c r="AD76" s="116">
        <f t="shared" si="12"/>
        <v>0</v>
      </c>
      <c r="AE76" s="116">
        <f t="shared" si="13"/>
        <v>0</v>
      </c>
    </row>
    <row r="77" spans="1:31">
      <c r="A77" s="131">
        <v>42370</v>
      </c>
      <c r="B77" s="131">
        <v>42401</v>
      </c>
      <c r="C77" s="123">
        <f t="shared" si="1"/>
        <v>31</v>
      </c>
      <c r="D77" s="132">
        <v>300.29000000000002</v>
      </c>
      <c r="E77" s="110"/>
      <c r="F77" s="123">
        <v>31</v>
      </c>
      <c r="G77" s="123"/>
      <c r="H77" s="123"/>
      <c r="I77" s="123"/>
      <c r="J77" s="123"/>
      <c r="K77" s="123"/>
      <c r="L77" s="123"/>
      <c r="M77" s="123"/>
      <c r="N77" s="123"/>
      <c r="O77" s="123"/>
      <c r="P77" s="123"/>
      <c r="Q77" s="123"/>
      <c r="R77" s="133">
        <f t="shared" si="17"/>
        <v>0</v>
      </c>
      <c r="S77" s="133"/>
      <c r="T77" s="116">
        <f t="shared" si="14"/>
        <v>3565.12</v>
      </c>
      <c r="U77" s="116">
        <f t="shared" si="3"/>
        <v>0</v>
      </c>
      <c r="V77" s="116">
        <f t="shared" si="4"/>
        <v>0</v>
      </c>
      <c r="W77" s="116">
        <f t="shared" si="5"/>
        <v>0</v>
      </c>
      <c r="X77" s="116">
        <f t="shared" si="6"/>
        <v>0</v>
      </c>
      <c r="Y77" s="116">
        <f t="shared" si="7"/>
        <v>0</v>
      </c>
      <c r="Z77" s="116">
        <f t="shared" si="8"/>
        <v>0</v>
      </c>
      <c r="AA77" s="116">
        <f t="shared" si="9"/>
        <v>0</v>
      </c>
      <c r="AB77" s="116">
        <f t="shared" si="10"/>
        <v>0</v>
      </c>
      <c r="AC77" s="116">
        <f t="shared" si="11"/>
        <v>0</v>
      </c>
      <c r="AD77" s="116">
        <f t="shared" si="12"/>
        <v>0</v>
      </c>
      <c r="AE77" s="116">
        <f t="shared" si="13"/>
        <v>0</v>
      </c>
    </row>
    <row r="78" spans="1:31">
      <c r="A78" s="131">
        <v>42370</v>
      </c>
      <c r="B78" s="131">
        <v>42401</v>
      </c>
      <c r="C78" s="123">
        <f t="shared" si="1"/>
        <v>31</v>
      </c>
      <c r="D78" s="132">
        <v>1460.37</v>
      </c>
      <c r="E78" s="110"/>
      <c r="F78" s="123">
        <v>31</v>
      </c>
      <c r="G78" s="123"/>
      <c r="H78" s="123"/>
      <c r="I78" s="123"/>
      <c r="J78" s="123"/>
      <c r="K78" s="123"/>
      <c r="L78" s="123"/>
      <c r="M78" s="123"/>
      <c r="N78" s="123"/>
      <c r="O78" s="123"/>
      <c r="P78" s="123"/>
      <c r="Q78" s="123"/>
      <c r="R78" s="133">
        <f t="shared" si="17"/>
        <v>0</v>
      </c>
      <c r="S78" s="133"/>
      <c r="T78" s="116">
        <f t="shared" si="14"/>
        <v>17337.88</v>
      </c>
      <c r="U78" s="116">
        <f t="shared" si="3"/>
        <v>0</v>
      </c>
      <c r="V78" s="116">
        <f t="shared" si="4"/>
        <v>0</v>
      </c>
      <c r="W78" s="116">
        <f t="shared" si="5"/>
        <v>0</v>
      </c>
      <c r="X78" s="116">
        <f t="shared" si="6"/>
        <v>0</v>
      </c>
      <c r="Y78" s="116">
        <f t="shared" si="7"/>
        <v>0</v>
      </c>
      <c r="Z78" s="116">
        <f t="shared" si="8"/>
        <v>0</v>
      </c>
      <c r="AA78" s="116">
        <f t="shared" si="9"/>
        <v>0</v>
      </c>
      <c r="AB78" s="116">
        <f t="shared" si="10"/>
        <v>0</v>
      </c>
      <c r="AC78" s="116">
        <f t="shared" si="11"/>
        <v>0</v>
      </c>
      <c r="AD78" s="116">
        <f t="shared" si="12"/>
        <v>0</v>
      </c>
      <c r="AE78" s="116">
        <f t="shared" si="13"/>
        <v>0</v>
      </c>
    </row>
    <row r="79" spans="1:31">
      <c r="A79" s="131">
        <v>42370</v>
      </c>
      <c r="B79" s="131">
        <v>42401</v>
      </c>
      <c r="C79" s="123">
        <f t="shared" si="1"/>
        <v>31</v>
      </c>
      <c r="D79" s="132">
        <v>888.23</v>
      </c>
      <c r="E79" s="110"/>
      <c r="F79" s="123">
        <v>31</v>
      </c>
      <c r="G79" s="123"/>
      <c r="H79" s="123"/>
      <c r="I79" s="123"/>
      <c r="J79" s="123"/>
      <c r="K79" s="123"/>
      <c r="L79" s="123"/>
      <c r="M79" s="123"/>
      <c r="N79" s="123"/>
      <c r="O79" s="123"/>
      <c r="P79" s="123"/>
      <c r="Q79" s="123"/>
      <c r="R79" s="133">
        <f t="shared" si="17"/>
        <v>0</v>
      </c>
      <c r="S79" s="133"/>
      <c r="T79" s="116">
        <f t="shared" si="14"/>
        <v>10545.29</v>
      </c>
      <c r="U79" s="116">
        <f t="shared" si="3"/>
        <v>0</v>
      </c>
      <c r="V79" s="116">
        <f t="shared" si="4"/>
        <v>0</v>
      </c>
      <c r="W79" s="116">
        <f t="shared" si="5"/>
        <v>0</v>
      </c>
      <c r="X79" s="116">
        <f t="shared" si="6"/>
        <v>0</v>
      </c>
      <c r="Y79" s="116">
        <f t="shared" si="7"/>
        <v>0</v>
      </c>
      <c r="Z79" s="116">
        <f t="shared" si="8"/>
        <v>0</v>
      </c>
      <c r="AA79" s="116">
        <f t="shared" si="9"/>
        <v>0</v>
      </c>
      <c r="AB79" s="116">
        <f t="shared" si="10"/>
        <v>0</v>
      </c>
      <c r="AC79" s="116">
        <f t="shared" si="11"/>
        <v>0</v>
      </c>
      <c r="AD79" s="116">
        <f t="shared" si="12"/>
        <v>0</v>
      </c>
      <c r="AE79" s="116">
        <f t="shared" si="13"/>
        <v>0</v>
      </c>
    </row>
    <row r="80" spans="1:31">
      <c r="A80" s="131">
        <v>42370</v>
      </c>
      <c r="B80" s="131">
        <v>42401</v>
      </c>
      <c r="C80" s="123">
        <f t="shared" si="1"/>
        <v>31</v>
      </c>
      <c r="D80" s="132">
        <v>679.48</v>
      </c>
      <c r="E80" s="110"/>
      <c r="F80" s="123">
        <v>31</v>
      </c>
      <c r="G80" s="123"/>
      <c r="H80" s="123"/>
      <c r="I80" s="123"/>
      <c r="J80" s="123"/>
      <c r="K80" s="123"/>
      <c r="L80" s="123"/>
      <c r="M80" s="123"/>
      <c r="N80" s="123"/>
      <c r="O80" s="123"/>
      <c r="P80" s="123"/>
      <c r="Q80" s="123"/>
      <c r="R80" s="133">
        <f t="shared" si="17"/>
        <v>0</v>
      </c>
      <c r="S80" s="133"/>
      <c r="T80" s="116">
        <f t="shared" si="14"/>
        <v>8066.96</v>
      </c>
      <c r="U80" s="116">
        <f t="shared" si="3"/>
        <v>0</v>
      </c>
      <c r="V80" s="116">
        <f t="shared" si="4"/>
        <v>0</v>
      </c>
      <c r="W80" s="116">
        <f t="shared" si="5"/>
        <v>0</v>
      </c>
      <c r="X80" s="116">
        <f t="shared" si="6"/>
        <v>0</v>
      </c>
      <c r="Y80" s="116">
        <f t="shared" si="7"/>
        <v>0</v>
      </c>
      <c r="Z80" s="116">
        <f t="shared" si="8"/>
        <v>0</v>
      </c>
      <c r="AA80" s="116">
        <f t="shared" si="9"/>
        <v>0</v>
      </c>
      <c r="AB80" s="116">
        <f t="shared" si="10"/>
        <v>0</v>
      </c>
      <c r="AC80" s="116">
        <f t="shared" si="11"/>
        <v>0</v>
      </c>
      <c r="AD80" s="116">
        <f t="shared" si="12"/>
        <v>0</v>
      </c>
      <c r="AE80" s="116">
        <f t="shared" si="13"/>
        <v>0</v>
      </c>
    </row>
    <row r="81" spans="1:31">
      <c r="A81" s="131">
        <v>42360</v>
      </c>
      <c r="B81" s="131">
        <v>42391</v>
      </c>
      <c r="C81" s="123">
        <f t="shared" si="1"/>
        <v>31</v>
      </c>
      <c r="D81" s="132">
        <v>2843.49</v>
      </c>
      <c r="E81" s="110"/>
      <c r="F81" s="123">
        <v>21</v>
      </c>
      <c r="G81" s="123"/>
      <c r="H81" s="123"/>
      <c r="I81" s="123"/>
      <c r="J81" s="123"/>
      <c r="K81" s="123"/>
      <c r="L81" s="123"/>
      <c r="M81" s="123"/>
      <c r="N81" s="123"/>
      <c r="O81" s="123"/>
      <c r="P81" s="123"/>
      <c r="Q81" s="123"/>
      <c r="R81" s="133">
        <f>C81-SUM(F81:Q81)-($A$6-A81)</f>
        <v>0</v>
      </c>
      <c r="S81" s="133"/>
      <c r="T81" s="116">
        <f t="shared" si="14"/>
        <v>22868.75</v>
      </c>
      <c r="U81" s="116">
        <f t="shared" si="3"/>
        <v>0</v>
      </c>
      <c r="V81" s="116">
        <f t="shared" si="4"/>
        <v>0</v>
      </c>
      <c r="W81" s="116">
        <f t="shared" si="5"/>
        <v>0</v>
      </c>
      <c r="X81" s="116">
        <f t="shared" si="6"/>
        <v>0</v>
      </c>
      <c r="Y81" s="116">
        <f t="shared" si="7"/>
        <v>0</v>
      </c>
      <c r="Z81" s="116">
        <f t="shared" si="8"/>
        <v>0</v>
      </c>
      <c r="AA81" s="116">
        <f t="shared" si="9"/>
        <v>0</v>
      </c>
      <c r="AB81" s="116">
        <f t="shared" si="10"/>
        <v>0</v>
      </c>
      <c r="AC81" s="116">
        <f t="shared" si="11"/>
        <v>0</v>
      </c>
      <c r="AD81" s="116">
        <f t="shared" si="12"/>
        <v>0</v>
      </c>
      <c r="AE81" s="116">
        <f t="shared" si="13"/>
        <v>0</v>
      </c>
    </row>
    <row r="82" spans="1:31">
      <c r="A82" s="131">
        <v>42370</v>
      </c>
      <c r="B82" s="131">
        <v>42401</v>
      </c>
      <c r="C82" s="123">
        <f t="shared" si="1"/>
        <v>31</v>
      </c>
      <c r="D82" s="132">
        <v>16792.990000000002</v>
      </c>
      <c r="E82" s="110"/>
      <c r="F82" s="123">
        <v>31</v>
      </c>
      <c r="G82" s="123"/>
      <c r="H82" s="123"/>
      <c r="I82" s="123"/>
      <c r="J82" s="123"/>
      <c r="K82" s="123"/>
      <c r="L82" s="123"/>
      <c r="M82" s="123"/>
      <c r="N82" s="123"/>
      <c r="O82" s="123"/>
      <c r="P82" s="123"/>
      <c r="Q82" s="123"/>
      <c r="R82" s="133">
        <f t="shared" si="17"/>
        <v>0</v>
      </c>
      <c r="S82" s="133"/>
      <c r="T82" s="116">
        <f t="shared" si="14"/>
        <v>199370.65</v>
      </c>
      <c r="U82" s="116">
        <f t="shared" si="3"/>
        <v>0</v>
      </c>
      <c r="V82" s="116">
        <f t="shared" si="4"/>
        <v>0</v>
      </c>
      <c r="W82" s="116">
        <f t="shared" si="5"/>
        <v>0</v>
      </c>
      <c r="X82" s="116">
        <f t="shared" si="6"/>
        <v>0</v>
      </c>
      <c r="Y82" s="116">
        <f t="shared" si="7"/>
        <v>0</v>
      </c>
      <c r="Z82" s="116">
        <f t="shared" si="8"/>
        <v>0</v>
      </c>
      <c r="AA82" s="116">
        <f t="shared" si="9"/>
        <v>0</v>
      </c>
      <c r="AB82" s="116">
        <f t="shared" si="10"/>
        <v>0</v>
      </c>
      <c r="AC82" s="116">
        <f t="shared" si="11"/>
        <v>0</v>
      </c>
      <c r="AD82" s="116">
        <f t="shared" si="12"/>
        <v>0</v>
      </c>
      <c r="AE82" s="116">
        <f t="shared" si="13"/>
        <v>0</v>
      </c>
    </row>
    <row r="83" spans="1:31">
      <c r="A83" s="131">
        <v>42366</v>
      </c>
      <c r="B83" s="131">
        <v>42397</v>
      </c>
      <c r="C83" s="123">
        <f t="shared" si="1"/>
        <v>31</v>
      </c>
      <c r="D83" s="132">
        <v>2172.08</v>
      </c>
      <c r="E83" s="110"/>
      <c r="F83" s="123">
        <v>27</v>
      </c>
      <c r="G83" s="123"/>
      <c r="H83" s="123"/>
      <c r="I83" s="123"/>
      <c r="J83" s="123"/>
      <c r="K83" s="123"/>
      <c r="L83" s="123"/>
      <c r="M83" s="123"/>
      <c r="N83" s="123"/>
      <c r="O83" s="123"/>
      <c r="P83" s="123"/>
      <c r="Q83" s="123"/>
      <c r="R83" s="133">
        <f>C83-SUM(F83:Q83)-($A$6-A83)</f>
        <v>0</v>
      </c>
      <c r="S83" s="133"/>
      <c r="T83" s="116">
        <f t="shared" si="14"/>
        <v>22460.07</v>
      </c>
      <c r="U83" s="116">
        <f t="shared" si="3"/>
        <v>0</v>
      </c>
      <c r="V83" s="116">
        <f t="shared" si="4"/>
        <v>0</v>
      </c>
      <c r="W83" s="116">
        <f t="shared" si="5"/>
        <v>0</v>
      </c>
      <c r="X83" s="116">
        <f t="shared" si="6"/>
        <v>0</v>
      </c>
      <c r="Y83" s="116">
        <f t="shared" si="7"/>
        <v>0</v>
      </c>
      <c r="Z83" s="116">
        <f t="shared" si="8"/>
        <v>0</v>
      </c>
      <c r="AA83" s="116">
        <f t="shared" si="9"/>
        <v>0</v>
      </c>
      <c r="AB83" s="116">
        <f t="shared" si="10"/>
        <v>0</v>
      </c>
      <c r="AC83" s="116">
        <f t="shared" si="11"/>
        <v>0</v>
      </c>
      <c r="AD83" s="116">
        <f t="shared" si="12"/>
        <v>0</v>
      </c>
      <c r="AE83" s="116">
        <f t="shared" si="13"/>
        <v>0</v>
      </c>
    </row>
    <row r="84" spans="1:31">
      <c r="A84" s="131">
        <v>42374</v>
      </c>
      <c r="B84" s="131">
        <v>42405</v>
      </c>
      <c r="C84" s="123">
        <f t="shared" si="1"/>
        <v>31</v>
      </c>
      <c r="D84" s="132">
        <v>1190.25</v>
      </c>
      <c r="E84" s="110"/>
      <c r="F84" s="123">
        <v>27</v>
      </c>
      <c r="G84" s="123">
        <v>4</v>
      </c>
      <c r="H84" s="123"/>
      <c r="I84" s="123"/>
      <c r="J84" s="123"/>
      <c r="K84" s="123"/>
      <c r="L84" s="123"/>
      <c r="M84" s="123"/>
      <c r="N84" s="123"/>
      <c r="O84" s="123"/>
      <c r="P84" s="123"/>
      <c r="Q84" s="123"/>
      <c r="R84" s="133">
        <f t="shared" si="17"/>
        <v>0</v>
      </c>
      <c r="S84" s="133"/>
      <c r="T84" s="116">
        <f t="shared" si="14"/>
        <v>12307.6</v>
      </c>
      <c r="U84" s="116">
        <f t="shared" si="3"/>
        <v>1479.01</v>
      </c>
      <c r="V84" s="116">
        <f t="shared" si="4"/>
        <v>0</v>
      </c>
      <c r="W84" s="116">
        <f t="shared" si="5"/>
        <v>0</v>
      </c>
      <c r="X84" s="116">
        <f t="shared" si="6"/>
        <v>0</v>
      </c>
      <c r="Y84" s="116">
        <f t="shared" si="7"/>
        <v>0</v>
      </c>
      <c r="Z84" s="116">
        <f t="shared" si="8"/>
        <v>0</v>
      </c>
      <c r="AA84" s="116">
        <f t="shared" si="9"/>
        <v>0</v>
      </c>
      <c r="AB84" s="116">
        <f t="shared" si="10"/>
        <v>0</v>
      </c>
      <c r="AC84" s="116">
        <f t="shared" si="11"/>
        <v>0</v>
      </c>
      <c r="AD84" s="116">
        <f t="shared" si="12"/>
        <v>0</v>
      </c>
      <c r="AE84" s="116">
        <f t="shared" si="13"/>
        <v>0</v>
      </c>
    </row>
    <row r="85" spans="1:31">
      <c r="A85" s="131">
        <v>42374</v>
      </c>
      <c r="B85" s="131">
        <v>42405</v>
      </c>
      <c r="C85" s="123">
        <f t="shared" si="1"/>
        <v>31</v>
      </c>
      <c r="D85" s="132">
        <v>881.14</v>
      </c>
      <c r="E85" s="110"/>
      <c r="F85" s="123">
        <v>27</v>
      </c>
      <c r="G85" s="123">
        <v>4</v>
      </c>
      <c r="H85" s="123"/>
      <c r="I85" s="123"/>
      <c r="J85" s="123"/>
      <c r="K85" s="123"/>
      <c r="L85" s="123"/>
      <c r="M85" s="123"/>
      <c r="N85" s="123"/>
      <c r="O85" s="123"/>
      <c r="P85" s="123"/>
      <c r="Q85" s="123"/>
      <c r="R85" s="133">
        <f t="shared" si="17"/>
        <v>0</v>
      </c>
      <c r="S85" s="133"/>
      <c r="T85" s="116">
        <f t="shared" si="14"/>
        <v>9111.2999999999993</v>
      </c>
      <c r="U85" s="116">
        <f t="shared" si="3"/>
        <v>1094.9100000000001</v>
      </c>
      <c r="V85" s="116">
        <f t="shared" si="4"/>
        <v>0</v>
      </c>
      <c r="W85" s="116">
        <f t="shared" si="5"/>
        <v>0</v>
      </c>
      <c r="X85" s="116">
        <f t="shared" si="6"/>
        <v>0</v>
      </c>
      <c r="Y85" s="116">
        <f t="shared" si="7"/>
        <v>0</v>
      </c>
      <c r="Z85" s="116">
        <f t="shared" si="8"/>
        <v>0</v>
      </c>
      <c r="AA85" s="116">
        <f t="shared" si="9"/>
        <v>0</v>
      </c>
      <c r="AB85" s="116">
        <f t="shared" si="10"/>
        <v>0</v>
      </c>
      <c r="AC85" s="116">
        <f t="shared" si="11"/>
        <v>0</v>
      </c>
      <c r="AD85" s="116">
        <f t="shared" si="12"/>
        <v>0</v>
      </c>
      <c r="AE85" s="116">
        <f t="shared" si="13"/>
        <v>0</v>
      </c>
    </row>
    <row r="86" spans="1:31">
      <c r="A86" s="131">
        <v>42374</v>
      </c>
      <c r="B86" s="131">
        <v>42405</v>
      </c>
      <c r="C86" s="123">
        <f t="shared" si="1"/>
        <v>31</v>
      </c>
      <c r="D86" s="132">
        <v>136.66</v>
      </c>
      <c r="E86" s="110"/>
      <c r="F86" s="123">
        <v>27</v>
      </c>
      <c r="G86" s="123">
        <v>4</v>
      </c>
      <c r="H86" s="123"/>
      <c r="I86" s="123"/>
      <c r="J86" s="123"/>
      <c r="K86" s="123"/>
      <c r="L86" s="123"/>
      <c r="M86" s="123"/>
      <c r="N86" s="123"/>
      <c r="O86" s="123"/>
      <c r="P86" s="123"/>
      <c r="Q86" s="123"/>
      <c r="R86" s="133">
        <f t="shared" si="17"/>
        <v>0</v>
      </c>
      <c r="S86" s="133"/>
      <c r="T86" s="116">
        <f t="shared" si="14"/>
        <v>1413.11</v>
      </c>
      <c r="U86" s="116">
        <f t="shared" si="3"/>
        <v>169.81</v>
      </c>
      <c r="V86" s="116">
        <f t="shared" si="4"/>
        <v>0</v>
      </c>
      <c r="W86" s="116">
        <f t="shared" si="5"/>
        <v>0</v>
      </c>
      <c r="X86" s="116">
        <f t="shared" si="6"/>
        <v>0</v>
      </c>
      <c r="Y86" s="116">
        <f t="shared" si="7"/>
        <v>0</v>
      </c>
      <c r="Z86" s="116">
        <f t="shared" si="8"/>
        <v>0</v>
      </c>
      <c r="AA86" s="116">
        <f t="shared" si="9"/>
        <v>0</v>
      </c>
      <c r="AB86" s="116">
        <f t="shared" si="10"/>
        <v>0</v>
      </c>
      <c r="AC86" s="116">
        <f t="shared" si="11"/>
        <v>0</v>
      </c>
      <c r="AD86" s="116">
        <f t="shared" si="12"/>
        <v>0</v>
      </c>
      <c r="AE86" s="116">
        <f t="shared" si="13"/>
        <v>0</v>
      </c>
    </row>
    <row r="87" spans="1:31">
      <c r="A87" s="131">
        <v>42377</v>
      </c>
      <c r="B87" s="131">
        <v>42408</v>
      </c>
      <c r="C87" s="123">
        <f t="shared" si="1"/>
        <v>31</v>
      </c>
      <c r="D87" s="132">
        <v>234.69</v>
      </c>
      <c r="E87" s="110"/>
      <c r="F87" s="123">
        <v>24</v>
      </c>
      <c r="G87" s="123">
        <v>7</v>
      </c>
      <c r="H87" s="123"/>
      <c r="I87" s="123"/>
      <c r="J87" s="123"/>
      <c r="K87" s="123"/>
      <c r="L87" s="123"/>
      <c r="M87" s="123"/>
      <c r="N87" s="123"/>
      <c r="O87" s="123"/>
      <c r="P87" s="123"/>
      <c r="Q87" s="123"/>
      <c r="R87" s="133">
        <f t="shared" si="17"/>
        <v>0</v>
      </c>
      <c r="S87" s="133"/>
      <c r="T87" s="116">
        <f t="shared" si="14"/>
        <v>2157.14</v>
      </c>
      <c r="U87" s="116">
        <f t="shared" si="3"/>
        <v>510.35</v>
      </c>
      <c r="V87" s="116">
        <f t="shared" si="4"/>
        <v>0</v>
      </c>
      <c r="W87" s="116">
        <f t="shared" si="5"/>
        <v>0</v>
      </c>
      <c r="X87" s="116">
        <f t="shared" si="6"/>
        <v>0</v>
      </c>
      <c r="Y87" s="116">
        <f t="shared" si="7"/>
        <v>0</v>
      </c>
      <c r="Z87" s="116">
        <f t="shared" si="8"/>
        <v>0</v>
      </c>
      <c r="AA87" s="116">
        <f t="shared" si="9"/>
        <v>0</v>
      </c>
      <c r="AB87" s="116">
        <f t="shared" si="10"/>
        <v>0</v>
      </c>
      <c r="AC87" s="116">
        <f t="shared" si="11"/>
        <v>0</v>
      </c>
      <c r="AD87" s="116">
        <f t="shared" si="12"/>
        <v>0</v>
      </c>
      <c r="AE87" s="116">
        <f t="shared" si="13"/>
        <v>0</v>
      </c>
    </row>
    <row r="88" spans="1:31">
      <c r="A88" s="131">
        <v>42377</v>
      </c>
      <c r="B88" s="131">
        <v>42408</v>
      </c>
      <c r="C88" s="123">
        <f t="shared" si="1"/>
        <v>31</v>
      </c>
      <c r="D88" s="132">
        <v>290.12</v>
      </c>
      <c r="E88" s="110"/>
      <c r="F88" s="123">
        <v>24</v>
      </c>
      <c r="G88" s="123">
        <v>7</v>
      </c>
      <c r="H88" s="123"/>
      <c r="I88" s="123"/>
      <c r="J88" s="123"/>
      <c r="K88" s="123"/>
      <c r="L88" s="123"/>
      <c r="M88" s="123"/>
      <c r="N88" s="123"/>
      <c r="O88" s="123"/>
      <c r="P88" s="123"/>
      <c r="Q88" s="123"/>
      <c r="R88" s="133">
        <f t="shared" si="17"/>
        <v>0</v>
      </c>
      <c r="S88" s="133"/>
      <c r="T88" s="116">
        <f t="shared" si="14"/>
        <v>2666.62</v>
      </c>
      <c r="U88" s="116">
        <f t="shared" si="3"/>
        <v>630.88</v>
      </c>
      <c r="V88" s="116">
        <f t="shared" si="4"/>
        <v>0</v>
      </c>
      <c r="W88" s="116">
        <f t="shared" si="5"/>
        <v>0</v>
      </c>
      <c r="X88" s="116">
        <f t="shared" si="6"/>
        <v>0</v>
      </c>
      <c r="Y88" s="116">
        <f t="shared" si="7"/>
        <v>0</v>
      </c>
      <c r="Z88" s="116">
        <f t="shared" si="8"/>
        <v>0</v>
      </c>
      <c r="AA88" s="116">
        <f t="shared" si="9"/>
        <v>0</v>
      </c>
      <c r="AB88" s="116">
        <f t="shared" si="10"/>
        <v>0</v>
      </c>
      <c r="AC88" s="116">
        <f t="shared" si="11"/>
        <v>0</v>
      </c>
      <c r="AD88" s="116">
        <f t="shared" si="12"/>
        <v>0</v>
      </c>
      <c r="AE88" s="116">
        <f t="shared" si="13"/>
        <v>0</v>
      </c>
    </row>
    <row r="89" spans="1:31">
      <c r="A89" s="131">
        <v>42377</v>
      </c>
      <c r="B89" s="131">
        <v>42408</v>
      </c>
      <c r="C89" s="123">
        <f t="shared" si="1"/>
        <v>31</v>
      </c>
      <c r="D89" s="132">
        <v>255</v>
      </c>
      <c r="E89" s="110"/>
      <c r="F89" s="123">
        <v>24</v>
      </c>
      <c r="G89" s="123">
        <v>7</v>
      </c>
      <c r="H89" s="123"/>
      <c r="I89" s="123"/>
      <c r="J89" s="123"/>
      <c r="K89" s="123"/>
      <c r="L89" s="123"/>
      <c r="M89" s="123"/>
      <c r="N89" s="123"/>
      <c r="O89" s="123"/>
      <c r="P89" s="123"/>
      <c r="Q89" s="123"/>
      <c r="R89" s="133">
        <f t="shared" ref="R89:R153" si="18">C89-SUM(F89:Q89)</f>
        <v>0</v>
      </c>
      <c r="S89" s="133"/>
      <c r="T89" s="116">
        <f t="shared" si="14"/>
        <v>2343.81</v>
      </c>
      <c r="U89" s="116">
        <f t="shared" si="3"/>
        <v>554.51</v>
      </c>
      <c r="V89" s="116">
        <f t="shared" si="4"/>
        <v>0</v>
      </c>
      <c r="W89" s="116">
        <f t="shared" si="5"/>
        <v>0</v>
      </c>
      <c r="X89" s="116">
        <f t="shared" si="6"/>
        <v>0</v>
      </c>
      <c r="Y89" s="116">
        <f t="shared" si="7"/>
        <v>0</v>
      </c>
      <c r="Z89" s="116">
        <f t="shared" si="8"/>
        <v>0</v>
      </c>
      <c r="AA89" s="116">
        <f t="shared" si="9"/>
        <v>0</v>
      </c>
      <c r="AB89" s="116">
        <f t="shared" si="10"/>
        <v>0</v>
      </c>
      <c r="AC89" s="116">
        <f t="shared" si="11"/>
        <v>0</v>
      </c>
      <c r="AD89" s="116">
        <f t="shared" si="12"/>
        <v>0</v>
      </c>
      <c r="AE89" s="116">
        <f t="shared" si="13"/>
        <v>0</v>
      </c>
    </row>
    <row r="90" spans="1:31">
      <c r="A90" s="131">
        <v>42377</v>
      </c>
      <c r="B90" s="131">
        <v>42408</v>
      </c>
      <c r="C90" s="123">
        <f t="shared" si="1"/>
        <v>31</v>
      </c>
      <c r="D90" s="132">
        <v>993.07</v>
      </c>
      <c r="E90" s="110"/>
      <c r="F90" s="123">
        <v>24</v>
      </c>
      <c r="G90" s="123">
        <v>7</v>
      </c>
      <c r="H90" s="123"/>
      <c r="I90" s="123"/>
      <c r="J90" s="123"/>
      <c r="K90" s="123"/>
      <c r="L90" s="123"/>
      <c r="M90" s="123"/>
      <c r="N90" s="123"/>
      <c r="O90" s="123"/>
      <c r="P90" s="123"/>
      <c r="Q90" s="123"/>
      <c r="R90" s="133">
        <f t="shared" si="18"/>
        <v>0</v>
      </c>
      <c r="S90" s="133"/>
      <c r="T90" s="116">
        <f t="shared" si="14"/>
        <v>9127.73</v>
      </c>
      <c r="U90" s="116">
        <f t="shared" si="3"/>
        <v>2159.4899999999998</v>
      </c>
      <c r="V90" s="116">
        <f t="shared" si="4"/>
        <v>0</v>
      </c>
      <c r="W90" s="116">
        <f t="shared" si="5"/>
        <v>0</v>
      </c>
      <c r="X90" s="116">
        <f t="shared" si="6"/>
        <v>0</v>
      </c>
      <c r="Y90" s="116">
        <f t="shared" si="7"/>
        <v>0</v>
      </c>
      <c r="Z90" s="116">
        <f t="shared" si="8"/>
        <v>0</v>
      </c>
      <c r="AA90" s="116">
        <f t="shared" si="9"/>
        <v>0</v>
      </c>
      <c r="AB90" s="116">
        <f t="shared" si="10"/>
        <v>0</v>
      </c>
      <c r="AC90" s="116">
        <f t="shared" si="11"/>
        <v>0</v>
      </c>
      <c r="AD90" s="116">
        <f t="shared" si="12"/>
        <v>0</v>
      </c>
      <c r="AE90" s="116">
        <f t="shared" si="13"/>
        <v>0</v>
      </c>
    </row>
    <row r="91" spans="1:31">
      <c r="A91" s="131">
        <v>42370</v>
      </c>
      <c r="B91" s="131">
        <v>42401</v>
      </c>
      <c r="C91" s="123">
        <f t="shared" si="1"/>
        <v>31</v>
      </c>
      <c r="D91" s="132">
        <v>1679.68</v>
      </c>
      <c r="E91" s="110"/>
      <c r="F91" s="123">
        <v>31</v>
      </c>
      <c r="G91" s="123"/>
      <c r="H91" s="123"/>
      <c r="I91" s="123"/>
      <c r="J91" s="123"/>
      <c r="K91" s="123"/>
      <c r="L91" s="123"/>
      <c r="M91" s="123"/>
      <c r="N91" s="123"/>
      <c r="O91" s="123"/>
      <c r="P91" s="123"/>
      <c r="Q91" s="123"/>
      <c r="R91" s="133">
        <f t="shared" si="18"/>
        <v>0</v>
      </c>
      <c r="S91" s="133"/>
      <c r="T91" s="116">
        <f t="shared" si="14"/>
        <v>19941.59</v>
      </c>
      <c r="U91" s="116">
        <f t="shared" si="3"/>
        <v>0</v>
      </c>
      <c r="V91" s="116">
        <f t="shared" si="4"/>
        <v>0</v>
      </c>
      <c r="W91" s="116">
        <f t="shared" si="5"/>
        <v>0</v>
      </c>
      <c r="X91" s="116">
        <f t="shared" si="6"/>
        <v>0</v>
      </c>
      <c r="Y91" s="116">
        <f t="shared" si="7"/>
        <v>0</v>
      </c>
      <c r="Z91" s="116">
        <f t="shared" si="8"/>
        <v>0</v>
      </c>
      <c r="AA91" s="116">
        <f t="shared" si="9"/>
        <v>0</v>
      </c>
      <c r="AB91" s="116">
        <f t="shared" si="10"/>
        <v>0</v>
      </c>
      <c r="AC91" s="116">
        <f t="shared" si="11"/>
        <v>0</v>
      </c>
      <c r="AD91" s="116">
        <f t="shared" si="12"/>
        <v>0</v>
      </c>
      <c r="AE91" s="116">
        <f t="shared" si="13"/>
        <v>0</v>
      </c>
    </row>
    <row r="92" spans="1:31" ht="15.75" thickBot="1">
      <c r="A92" s="131">
        <v>42370</v>
      </c>
      <c r="B92" s="131">
        <v>42401</v>
      </c>
      <c r="C92" s="123">
        <f t="shared" si="1"/>
        <v>31</v>
      </c>
      <c r="D92" s="132">
        <v>2560.1</v>
      </c>
      <c r="E92" s="110"/>
      <c r="F92" s="123">
        <v>31</v>
      </c>
      <c r="G92" s="123"/>
      <c r="H92" s="123"/>
      <c r="I92" s="123"/>
      <c r="J92" s="123"/>
      <c r="K92" s="123"/>
      <c r="L92" s="123"/>
      <c r="M92" s="123"/>
      <c r="N92" s="123"/>
      <c r="O92" s="123"/>
      <c r="P92" s="123"/>
      <c r="Q92" s="123"/>
      <c r="R92" s="133">
        <f t="shared" si="18"/>
        <v>0</v>
      </c>
      <c r="S92" s="133"/>
      <c r="T92" s="116">
        <f t="shared" si="14"/>
        <v>30394.16</v>
      </c>
      <c r="U92" s="116">
        <f t="shared" si="3"/>
        <v>0</v>
      </c>
      <c r="V92" s="116">
        <f t="shared" si="4"/>
        <v>0</v>
      </c>
      <c r="W92" s="116">
        <f t="shared" si="5"/>
        <v>0</v>
      </c>
      <c r="X92" s="116">
        <f t="shared" si="6"/>
        <v>0</v>
      </c>
      <c r="Y92" s="116">
        <f t="shared" si="7"/>
        <v>0</v>
      </c>
      <c r="Z92" s="116">
        <f t="shared" si="8"/>
        <v>0</v>
      </c>
      <c r="AA92" s="116">
        <f t="shared" si="9"/>
        <v>0</v>
      </c>
      <c r="AB92" s="116">
        <f t="shared" si="10"/>
        <v>0</v>
      </c>
      <c r="AC92" s="116">
        <f t="shared" si="11"/>
        <v>0</v>
      </c>
      <c r="AD92" s="116">
        <f t="shared" si="12"/>
        <v>0</v>
      </c>
      <c r="AE92" s="116">
        <f t="shared" si="13"/>
        <v>0</v>
      </c>
    </row>
    <row r="93" spans="1:31" ht="15.75" thickBot="1">
      <c r="A93" s="194" t="s">
        <v>37</v>
      </c>
      <c r="B93" s="195"/>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6"/>
    </row>
    <row r="94" spans="1:31">
      <c r="A94" s="131">
        <v>42381</v>
      </c>
      <c r="B94" s="131">
        <v>42412</v>
      </c>
      <c r="C94" s="123">
        <f t="shared" si="1"/>
        <v>31</v>
      </c>
      <c r="D94" s="132">
        <v>1713.42</v>
      </c>
      <c r="E94" s="110"/>
      <c r="F94" s="123">
        <v>20</v>
      </c>
      <c r="G94" s="123">
        <v>11</v>
      </c>
      <c r="H94" s="123"/>
      <c r="I94" s="123"/>
      <c r="J94" s="123"/>
      <c r="K94" s="123"/>
      <c r="L94" s="123"/>
      <c r="M94" s="123"/>
      <c r="N94" s="123"/>
      <c r="O94" s="123"/>
      <c r="P94" s="123"/>
      <c r="Q94" s="123"/>
      <c r="R94" s="133">
        <f t="shared" si="18"/>
        <v>0</v>
      </c>
      <c r="S94" s="133"/>
      <c r="T94" s="116">
        <f t="shared" si="14"/>
        <v>13123.97</v>
      </c>
      <c r="U94" s="116">
        <f t="shared" si="3"/>
        <v>5855.04</v>
      </c>
      <c r="V94" s="116">
        <f t="shared" si="4"/>
        <v>0</v>
      </c>
      <c r="W94" s="116">
        <f t="shared" si="5"/>
        <v>0</v>
      </c>
      <c r="X94" s="116">
        <f t="shared" si="6"/>
        <v>0</v>
      </c>
      <c r="Y94" s="116">
        <f t="shared" si="7"/>
        <v>0</v>
      </c>
      <c r="Z94" s="116">
        <f t="shared" si="8"/>
        <v>0</v>
      </c>
      <c r="AA94" s="116">
        <f t="shared" si="9"/>
        <v>0</v>
      </c>
      <c r="AB94" s="116">
        <f t="shared" si="10"/>
        <v>0</v>
      </c>
      <c r="AC94" s="116">
        <f t="shared" si="11"/>
        <v>0</v>
      </c>
      <c r="AD94" s="116">
        <f t="shared" si="12"/>
        <v>0</v>
      </c>
      <c r="AE94" s="116">
        <f t="shared" si="13"/>
        <v>0</v>
      </c>
    </row>
    <row r="95" spans="1:31">
      <c r="A95" s="131">
        <v>42381</v>
      </c>
      <c r="B95" s="131">
        <v>42412</v>
      </c>
      <c r="C95" s="123">
        <f t="shared" si="1"/>
        <v>31</v>
      </c>
      <c r="D95" s="132">
        <v>126.2</v>
      </c>
      <c r="E95" s="110"/>
      <c r="F95" s="123">
        <v>20</v>
      </c>
      <c r="G95" s="123">
        <v>11</v>
      </c>
      <c r="H95" s="123"/>
      <c r="I95" s="123"/>
      <c r="J95" s="123"/>
      <c r="K95" s="123"/>
      <c r="L95" s="123"/>
      <c r="M95" s="123"/>
      <c r="N95" s="123"/>
      <c r="O95" s="123"/>
      <c r="P95" s="123"/>
      <c r="Q95" s="123"/>
      <c r="R95" s="133">
        <f t="shared" si="18"/>
        <v>0</v>
      </c>
      <c r="S95" s="133"/>
      <c r="T95" s="116">
        <f t="shared" si="14"/>
        <v>966.63</v>
      </c>
      <c r="U95" s="116">
        <f t="shared" si="3"/>
        <v>431.25</v>
      </c>
      <c r="V95" s="116">
        <f t="shared" si="4"/>
        <v>0</v>
      </c>
      <c r="W95" s="116">
        <f t="shared" si="5"/>
        <v>0</v>
      </c>
      <c r="X95" s="116">
        <f t="shared" si="6"/>
        <v>0</v>
      </c>
      <c r="Y95" s="116">
        <f t="shared" si="7"/>
        <v>0</v>
      </c>
      <c r="Z95" s="116">
        <f t="shared" si="8"/>
        <v>0</v>
      </c>
      <c r="AA95" s="116">
        <f t="shared" si="9"/>
        <v>0</v>
      </c>
      <c r="AB95" s="116">
        <f t="shared" si="10"/>
        <v>0</v>
      </c>
      <c r="AC95" s="116">
        <f t="shared" si="11"/>
        <v>0</v>
      </c>
      <c r="AD95" s="116">
        <f t="shared" si="12"/>
        <v>0</v>
      </c>
      <c r="AE95" s="116">
        <f t="shared" si="13"/>
        <v>0</v>
      </c>
    </row>
    <row r="96" spans="1:31">
      <c r="A96" s="131">
        <v>42381</v>
      </c>
      <c r="B96" s="131">
        <v>42412</v>
      </c>
      <c r="C96" s="123">
        <f t="shared" si="1"/>
        <v>31</v>
      </c>
      <c r="D96" s="132">
        <v>1074.03</v>
      </c>
      <c r="E96" s="110"/>
      <c r="F96" s="123">
        <v>20</v>
      </c>
      <c r="G96" s="123">
        <v>11</v>
      </c>
      <c r="H96" s="123"/>
      <c r="I96" s="123"/>
      <c r="J96" s="123"/>
      <c r="K96" s="123"/>
      <c r="L96" s="123"/>
      <c r="M96" s="123"/>
      <c r="N96" s="123"/>
      <c r="O96" s="123"/>
      <c r="P96" s="123"/>
      <c r="Q96" s="123"/>
      <c r="R96" s="133">
        <f t="shared" si="18"/>
        <v>0</v>
      </c>
      <c r="S96" s="133"/>
      <c r="T96" s="116">
        <f t="shared" si="14"/>
        <v>8226.5499999999993</v>
      </c>
      <c r="U96" s="116">
        <f t="shared" si="3"/>
        <v>3670.14</v>
      </c>
      <c r="V96" s="116">
        <f t="shared" si="4"/>
        <v>0</v>
      </c>
      <c r="W96" s="116">
        <f t="shared" si="5"/>
        <v>0</v>
      </c>
      <c r="X96" s="116">
        <f t="shared" si="6"/>
        <v>0</v>
      </c>
      <c r="Y96" s="116">
        <f t="shared" si="7"/>
        <v>0</v>
      </c>
      <c r="Z96" s="116">
        <f t="shared" si="8"/>
        <v>0</v>
      </c>
      <c r="AA96" s="116">
        <f t="shared" si="9"/>
        <v>0</v>
      </c>
      <c r="AB96" s="116">
        <f t="shared" si="10"/>
        <v>0</v>
      </c>
      <c r="AC96" s="116">
        <f t="shared" si="11"/>
        <v>0</v>
      </c>
      <c r="AD96" s="116">
        <f t="shared" si="12"/>
        <v>0</v>
      </c>
      <c r="AE96" s="116">
        <f t="shared" si="13"/>
        <v>0</v>
      </c>
    </row>
    <row r="97" spans="1:32">
      <c r="A97" s="131">
        <v>42381</v>
      </c>
      <c r="B97" s="131">
        <v>42412</v>
      </c>
      <c r="C97" s="123">
        <f t="shared" si="1"/>
        <v>31</v>
      </c>
      <c r="D97" s="132">
        <v>138.63</v>
      </c>
      <c r="E97" s="110"/>
      <c r="F97" s="123">
        <v>20</v>
      </c>
      <c r="G97" s="123">
        <v>11</v>
      </c>
      <c r="H97" s="123"/>
      <c r="I97" s="123"/>
      <c r="J97" s="123"/>
      <c r="K97" s="123"/>
      <c r="L97" s="123"/>
      <c r="M97" s="123"/>
      <c r="N97" s="123"/>
      <c r="O97" s="123"/>
      <c r="P97" s="123"/>
      <c r="Q97" s="123"/>
      <c r="R97" s="133">
        <f t="shared" si="18"/>
        <v>0</v>
      </c>
      <c r="S97" s="133"/>
      <c r="T97" s="116">
        <f t="shared" si="14"/>
        <v>1061.8399999999999</v>
      </c>
      <c r="U97" s="116">
        <f t="shared" si="3"/>
        <v>473.72</v>
      </c>
      <c r="V97" s="116">
        <f t="shared" si="4"/>
        <v>0</v>
      </c>
      <c r="W97" s="116">
        <f t="shared" si="5"/>
        <v>0</v>
      </c>
      <c r="X97" s="116">
        <f t="shared" si="6"/>
        <v>0</v>
      </c>
      <c r="Y97" s="116">
        <f t="shared" si="7"/>
        <v>0</v>
      </c>
      <c r="Z97" s="116">
        <f t="shared" si="8"/>
        <v>0</v>
      </c>
      <c r="AA97" s="116">
        <f t="shared" si="9"/>
        <v>0</v>
      </c>
      <c r="AB97" s="116">
        <f t="shared" si="10"/>
        <v>0</v>
      </c>
      <c r="AC97" s="116">
        <f t="shared" si="11"/>
        <v>0</v>
      </c>
      <c r="AD97" s="116">
        <f t="shared" si="12"/>
        <v>0</v>
      </c>
      <c r="AE97" s="116">
        <f t="shared" si="13"/>
        <v>0</v>
      </c>
    </row>
    <row r="98" spans="1:32">
      <c r="A98" s="131">
        <v>42388</v>
      </c>
      <c r="B98" s="131">
        <v>42419</v>
      </c>
      <c r="C98" s="123">
        <f t="shared" si="1"/>
        <v>31</v>
      </c>
      <c r="D98" s="132">
        <v>683.85</v>
      </c>
      <c r="E98" s="110"/>
      <c r="F98" s="123">
        <v>13</v>
      </c>
      <c r="G98" s="123">
        <v>18</v>
      </c>
      <c r="H98" s="123"/>
      <c r="I98" s="123"/>
      <c r="J98" s="123"/>
      <c r="K98" s="123"/>
      <c r="L98" s="123"/>
      <c r="M98" s="123"/>
      <c r="N98" s="123"/>
      <c r="O98" s="123"/>
      <c r="P98" s="123"/>
      <c r="Q98" s="123"/>
      <c r="R98" s="133">
        <f t="shared" si="18"/>
        <v>0</v>
      </c>
      <c r="S98" s="133"/>
      <c r="T98" s="116">
        <f t="shared" si="14"/>
        <v>3404.68</v>
      </c>
      <c r="U98" s="116">
        <f t="shared" si="3"/>
        <v>3823.9</v>
      </c>
      <c r="V98" s="116">
        <f t="shared" si="4"/>
        <v>0</v>
      </c>
      <c r="W98" s="116">
        <f t="shared" si="5"/>
        <v>0</v>
      </c>
      <c r="X98" s="116">
        <f t="shared" si="6"/>
        <v>0</v>
      </c>
      <c r="Y98" s="116">
        <f t="shared" si="7"/>
        <v>0</v>
      </c>
      <c r="Z98" s="116">
        <f t="shared" si="8"/>
        <v>0</v>
      </c>
      <c r="AA98" s="116">
        <f t="shared" si="9"/>
        <v>0</v>
      </c>
      <c r="AB98" s="116">
        <f t="shared" si="10"/>
        <v>0</v>
      </c>
      <c r="AC98" s="116">
        <f t="shared" si="11"/>
        <v>0</v>
      </c>
      <c r="AD98" s="116">
        <f t="shared" si="12"/>
        <v>0</v>
      </c>
      <c r="AE98" s="116">
        <f t="shared" si="13"/>
        <v>0</v>
      </c>
    </row>
    <row r="99" spans="1:32">
      <c r="A99" s="131">
        <v>42388</v>
      </c>
      <c r="B99" s="131">
        <v>42419</v>
      </c>
      <c r="C99" s="123">
        <f t="shared" si="1"/>
        <v>31</v>
      </c>
      <c r="D99" s="132">
        <v>2283.58</v>
      </c>
      <c r="E99" s="110"/>
      <c r="F99" s="123">
        <v>13</v>
      </c>
      <c r="G99" s="123">
        <v>18</v>
      </c>
      <c r="H99" s="123"/>
      <c r="I99" s="123"/>
      <c r="J99" s="123"/>
      <c r="K99" s="123"/>
      <c r="L99" s="123"/>
      <c r="M99" s="123"/>
      <c r="N99" s="123"/>
      <c r="O99" s="123"/>
      <c r="P99" s="123"/>
      <c r="Q99" s="123"/>
      <c r="R99" s="133">
        <f t="shared" si="18"/>
        <v>0</v>
      </c>
      <c r="S99" s="133"/>
      <c r="T99" s="116">
        <f t="shared" si="14"/>
        <v>11369.23</v>
      </c>
      <c r="U99" s="116">
        <f t="shared" si="3"/>
        <v>12769.16</v>
      </c>
      <c r="V99" s="116">
        <f t="shared" si="4"/>
        <v>0</v>
      </c>
      <c r="W99" s="116">
        <f t="shared" si="5"/>
        <v>0</v>
      </c>
      <c r="X99" s="116">
        <f t="shared" si="6"/>
        <v>0</v>
      </c>
      <c r="Y99" s="116">
        <f t="shared" si="7"/>
        <v>0</v>
      </c>
      <c r="Z99" s="116">
        <f t="shared" si="8"/>
        <v>0</v>
      </c>
      <c r="AA99" s="116">
        <f t="shared" si="9"/>
        <v>0</v>
      </c>
      <c r="AB99" s="116">
        <f t="shared" si="10"/>
        <v>0</v>
      </c>
      <c r="AC99" s="116">
        <f t="shared" si="11"/>
        <v>0</v>
      </c>
      <c r="AD99" s="116">
        <f t="shared" si="12"/>
        <v>0</v>
      </c>
      <c r="AE99" s="116">
        <f t="shared" si="13"/>
        <v>0</v>
      </c>
    </row>
    <row r="100" spans="1:32">
      <c r="A100" s="131">
        <v>42388</v>
      </c>
      <c r="B100" s="131">
        <v>42419</v>
      </c>
      <c r="C100" s="123">
        <f t="shared" si="1"/>
        <v>31</v>
      </c>
      <c r="D100" s="132">
        <v>762.07</v>
      </c>
      <c r="E100" s="110"/>
      <c r="F100" s="123">
        <v>13</v>
      </c>
      <c r="G100" s="123">
        <v>18</v>
      </c>
      <c r="H100" s="123"/>
      <c r="I100" s="123"/>
      <c r="J100" s="123"/>
      <c r="K100" s="123"/>
      <c r="L100" s="123"/>
      <c r="M100" s="123"/>
      <c r="N100" s="123"/>
      <c r="O100" s="123"/>
      <c r="P100" s="123"/>
      <c r="Q100" s="123"/>
      <c r="R100" s="133">
        <f t="shared" si="18"/>
        <v>0</v>
      </c>
      <c r="S100" s="133"/>
      <c r="T100" s="116">
        <f t="shared" si="14"/>
        <v>3794.11</v>
      </c>
      <c r="U100" s="116">
        <f t="shared" si="3"/>
        <v>4261.29</v>
      </c>
      <c r="V100" s="116">
        <f t="shared" si="4"/>
        <v>0</v>
      </c>
      <c r="W100" s="116">
        <f t="shared" si="5"/>
        <v>0</v>
      </c>
      <c r="X100" s="116">
        <f t="shared" si="6"/>
        <v>0</v>
      </c>
      <c r="Y100" s="116">
        <f t="shared" si="7"/>
        <v>0</v>
      </c>
      <c r="Z100" s="116">
        <f t="shared" si="8"/>
        <v>0</v>
      </c>
      <c r="AA100" s="116">
        <f t="shared" si="9"/>
        <v>0</v>
      </c>
      <c r="AB100" s="116">
        <f t="shared" si="10"/>
        <v>0</v>
      </c>
      <c r="AC100" s="116">
        <f t="shared" si="11"/>
        <v>0</v>
      </c>
      <c r="AD100" s="116">
        <f t="shared" si="12"/>
        <v>0</v>
      </c>
      <c r="AE100" s="116">
        <f t="shared" si="13"/>
        <v>0</v>
      </c>
    </row>
    <row r="101" spans="1:32">
      <c r="A101" s="131">
        <v>42384</v>
      </c>
      <c r="B101" s="131">
        <v>42415</v>
      </c>
      <c r="C101" s="123">
        <f t="shared" si="1"/>
        <v>31</v>
      </c>
      <c r="D101" s="132">
        <v>8726.02</v>
      </c>
      <c r="E101" s="110"/>
      <c r="F101" s="123">
        <v>17</v>
      </c>
      <c r="G101" s="123">
        <v>14</v>
      </c>
      <c r="H101" s="123"/>
      <c r="I101" s="123"/>
      <c r="J101" s="123"/>
      <c r="K101" s="123"/>
      <c r="L101" s="123"/>
      <c r="M101" s="123"/>
      <c r="N101" s="123"/>
      <c r="O101" s="123"/>
      <c r="P101" s="123"/>
      <c r="Q101" s="123"/>
      <c r="R101" s="133">
        <f t="shared" si="18"/>
        <v>0</v>
      </c>
      <c r="S101" s="133"/>
      <c r="T101" s="116">
        <f t="shared" si="14"/>
        <v>56811.55</v>
      </c>
      <c r="U101" s="116">
        <f t="shared" si="3"/>
        <v>37950.53</v>
      </c>
      <c r="V101" s="116">
        <f t="shared" si="4"/>
        <v>0</v>
      </c>
      <c r="W101" s="116">
        <f t="shared" si="5"/>
        <v>0</v>
      </c>
      <c r="X101" s="116">
        <f t="shared" si="6"/>
        <v>0</v>
      </c>
      <c r="Y101" s="116">
        <f t="shared" si="7"/>
        <v>0</v>
      </c>
      <c r="Z101" s="116">
        <f t="shared" si="8"/>
        <v>0</v>
      </c>
      <c r="AA101" s="116">
        <f t="shared" si="9"/>
        <v>0</v>
      </c>
      <c r="AB101" s="116">
        <f t="shared" si="10"/>
        <v>0</v>
      </c>
      <c r="AC101" s="116">
        <f t="shared" si="11"/>
        <v>0</v>
      </c>
      <c r="AD101" s="116">
        <f t="shared" si="12"/>
        <v>0</v>
      </c>
      <c r="AE101" s="116">
        <f t="shared" si="13"/>
        <v>0</v>
      </c>
    </row>
    <row r="102" spans="1:32">
      <c r="A102" s="131">
        <v>42384</v>
      </c>
      <c r="B102" s="131">
        <v>42415</v>
      </c>
      <c r="C102" s="123">
        <f t="shared" si="1"/>
        <v>31</v>
      </c>
      <c r="D102" s="132">
        <v>40337.040000000001</v>
      </c>
      <c r="E102" s="110"/>
      <c r="F102" s="123">
        <v>17</v>
      </c>
      <c r="G102" s="123">
        <v>14</v>
      </c>
      <c r="H102" s="123"/>
      <c r="I102" s="123"/>
      <c r="J102" s="123"/>
      <c r="K102" s="123"/>
      <c r="L102" s="123"/>
      <c r="M102" s="123"/>
      <c r="N102" s="123"/>
      <c r="O102" s="123"/>
      <c r="P102" s="123"/>
      <c r="Q102" s="123"/>
      <c r="R102" s="133">
        <f t="shared" si="18"/>
        <v>0</v>
      </c>
      <c r="S102" s="133"/>
      <c r="T102" s="116">
        <f t="shared" si="14"/>
        <v>262617.98</v>
      </c>
      <c r="U102" s="116">
        <f t="shared" si="3"/>
        <v>175430.74</v>
      </c>
      <c r="V102" s="116">
        <f t="shared" si="4"/>
        <v>0</v>
      </c>
      <c r="W102" s="116">
        <f t="shared" si="5"/>
        <v>0</v>
      </c>
      <c r="X102" s="116">
        <f t="shared" si="6"/>
        <v>0</v>
      </c>
      <c r="Y102" s="116">
        <f t="shared" si="7"/>
        <v>0</v>
      </c>
      <c r="Z102" s="116">
        <f t="shared" si="8"/>
        <v>0</v>
      </c>
      <c r="AA102" s="116">
        <f t="shared" si="9"/>
        <v>0</v>
      </c>
      <c r="AB102" s="116">
        <f t="shared" si="10"/>
        <v>0</v>
      </c>
      <c r="AC102" s="116">
        <f t="shared" si="11"/>
        <v>0</v>
      </c>
      <c r="AD102" s="116">
        <f t="shared" si="12"/>
        <v>0</v>
      </c>
      <c r="AE102" s="116">
        <f t="shared" si="13"/>
        <v>0</v>
      </c>
    </row>
    <row r="103" spans="1:32">
      <c r="A103" s="131">
        <v>42397</v>
      </c>
      <c r="B103" s="131">
        <v>42425</v>
      </c>
      <c r="C103" s="123">
        <f t="shared" si="1"/>
        <v>28</v>
      </c>
      <c r="D103" s="132">
        <v>2228.6</v>
      </c>
      <c r="E103" s="110"/>
      <c r="F103" s="123">
        <v>4</v>
      </c>
      <c r="G103" s="123">
        <v>24</v>
      </c>
      <c r="H103" s="123"/>
      <c r="I103" s="123"/>
      <c r="J103" s="123"/>
      <c r="K103" s="123"/>
      <c r="L103" s="123"/>
      <c r="M103" s="123"/>
      <c r="N103" s="123"/>
      <c r="O103" s="123"/>
      <c r="P103" s="123"/>
      <c r="Q103" s="123"/>
      <c r="R103" s="133">
        <f t="shared" si="18"/>
        <v>0</v>
      </c>
      <c r="S103" s="133"/>
      <c r="T103" s="116">
        <f t="shared" si="14"/>
        <v>3779.79</v>
      </c>
      <c r="U103" s="116">
        <f t="shared" si="3"/>
        <v>18395.88</v>
      </c>
      <c r="V103" s="116">
        <f t="shared" si="4"/>
        <v>0</v>
      </c>
      <c r="W103" s="116">
        <f t="shared" si="5"/>
        <v>0</v>
      </c>
      <c r="X103" s="116">
        <f t="shared" si="6"/>
        <v>0</v>
      </c>
      <c r="Y103" s="116">
        <f t="shared" si="7"/>
        <v>0</v>
      </c>
      <c r="Z103" s="116">
        <f t="shared" si="8"/>
        <v>0</v>
      </c>
      <c r="AA103" s="116">
        <f t="shared" si="9"/>
        <v>0</v>
      </c>
      <c r="AB103" s="116">
        <f t="shared" si="10"/>
        <v>0</v>
      </c>
      <c r="AC103" s="116">
        <f t="shared" si="11"/>
        <v>0</v>
      </c>
      <c r="AD103" s="116">
        <f t="shared" si="12"/>
        <v>0</v>
      </c>
      <c r="AE103" s="116">
        <f t="shared" si="13"/>
        <v>0</v>
      </c>
    </row>
    <row r="104" spans="1:32">
      <c r="A104" s="131">
        <v>42384</v>
      </c>
      <c r="B104" s="131">
        <v>42415</v>
      </c>
      <c r="C104" s="123">
        <f t="shared" si="1"/>
        <v>31</v>
      </c>
      <c r="D104" s="132">
        <v>3468.99</v>
      </c>
      <c r="E104" s="110"/>
      <c r="F104" s="123">
        <v>17</v>
      </c>
      <c r="G104" s="123">
        <v>14</v>
      </c>
      <c r="H104" s="123"/>
      <c r="I104" s="123"/>
      <c r="J104" s="123"/>
      <c r="K104" s="123"/>
      <c r="L104" s="123"/>
      <c r="M104" s="123"/>
      <c r="N104" s="123"/>
      <c r="O104" s="123"/>
      <c r="P104" s="123"/>
      <c r="Q104" s="123"/>
      <c r="R104" s="133">
        <f t="shared" si="18"/>
        <v>0</v>
      </c>
      <c r="S104" s="133"/>
      <c r="T104" s="116">
        <f t="shared" si="14"/>
        <v>22585.18</v>
      </c>
      <c r="U104" s="116">
        <f t="shared" si="3"/>
        <v>15087.06</v>
      </c>
      <c r="V104" s="116">
        <f t="shared" si="4"/>
        <v>0</v>
      </c>
      <c r="W104" s="116">
        <f t="shared" si="5"/>
        <v>0</v>
      </c>
      <c r="X104" s="116">
        <f t="shared" si="6"/>
        <v>0</v>
      </c>
      <c r="Y104" s="116">
        <f t="shared" si="7"/>
        <v>0</v>
      </c>
      <c r="Z104" s="116">
        <f t="shared" si="8"/>
        <v>0</v>
      </c>
      <c r="AA104" s="116">
        <f t="shared" si="9"/>
        <v>0</v>
      </c>
      <c r="AB104" s="116">
        <f t="shared" si="10"/>
        <v>0</v>
      </c>
      <c r="AC104" s="116">
        <f t="shared" si="11"/>
        <v>0</v>
      </c>
      <c r="AD104" s="116">
        <f t="shared" si="12"/>
        <v>0</v>
      </c>
      <c r="AE104" s="116">
        <f t="shared" si="13"/>
        <v>0</v>
      </c>
    </row>
    <row r="105" spans="1:32">
      <c r="A105" s="131">
        <v>42391</v>
      </c>
      <c r="B105" s="131">
        <v>42422</v>
      </c>
      <c r="C105" s="123">
        <f t="shared" si="1"/>
        <v>31</v>
      </c>
      <c r="D105" s="132">
        <v>270563.77</v>
      </c>
      <c r="E105" s="110"/>
      <c r="F105" s="123">
        <v>10</v>
      </c>
      <c r="G105" s="123">
        <v>21</v>
      </c>
      <c r="H105" s="123"/>
      <c r="I105" s="123"/>
      <c r="J105" s="123"/>
      <c r="K105" s="123"/>
      <c r="L105" s="123"/>
      <c r="M105" s="123"/>
      <c r="N105" s="123"/>
      <c r="O105" s="123"/>
      <c r="P105" s="123"/>
      <c r="Q105" s="123"/>
      <c r="R105" s="133">
        <f t="shared" si="18"/>
        <v>0</v>
      </c>
      <c r="S105" s="133"/>
      <c r="T105" s="116">
        <f>2789943.9-U105</f>
        <v>976236.89999999991</v>
      </c>
      <c r="U105" s="116">
        <v>1813707</v>
      </c>
      <c r="V105" s="116">
        <f t="shared" si="4"/>
        <v>0</v>
      </c>
      <c r="W105" s="116">
        <f t="shared" si="5"/>
        <v>0</v>
      </c>
      <c r="X105" s="116">
        <f t="shared" si="6"/>
        <v>0</v>
      </c>
      <c r="Y105" s="116">
        <f t="shared" si="7"/>
        <v>0</v>
      </c>
      <c r="Z105" s="116">
        <f t="shared" si="8"/>
        <v>0</v>
      </c>
      <c r="AA105" s="116">
        <f t="shared" si="9"/>
        <v>0</v>
      </c>
      <c r="AB105" s="116">
        <f t="shared" si="10"/>
        <v>0</v>
      </c>
      <c r="AC105" s="116">
        <f t="shared" si="11"/>
        <v>0</v>
      </c>
      <c r="AD105" s="116">
        <f t="shared" si="12"/>
        <v>0</v>
      </c>
      <c r="AE105" s="116">
        <f t="shared" si="13"/>
        <v>0</v>
      </c>
      <c r="AF105" s="116"/>
    </row>
    <row r="106" spans="1:32">
      <c r="A106" s="131">
        <v>42395</v>
      </c>
      <c r="B106" s="131">
        <v>42426</v>
      </c>
      <c r="C106" s="123">
        <f t="shared" si="1"/>
        <v>31</v>
      </c>
      <c r="D106" s="132">
        <v>1417.5</v>
      </c>
      <c r="E106" s="110"/>
      <c r="F106" s="123">
        <v>6</v>
      </c>
      <c r="G106" s="123">
        <v>25</v>
      </c>
      <c r="H106" s="123"/>
      <c r="I106" s="123"/>
      <c r="J106" s="123"/>
      <c r="K106" s="123"/>
      <c r="L106" s="123"/>
      <c r="M106" s="123"/>
      <c r="N106" s="123"/>
      <c r="O106" s="123"/>
      <c r="P106" s="123"/>
      <c r="Q106" s="123"/>
      <c r="R106" s="133">
        <f t="shared" si="18"/>
        <v>0</v>
      </c>
      <c r="S106" s="133"/>
      <c r="T106" s="116">
        <f t="shared" si="14"/>
        <v>3257.21</v>
      </c>
      <c r="U106" s="116">
        <f t="shared" si="3"/>
        <v>11008.72</v>
      </c>
      <c r="V106" s="116">
        <f t="shared" si="4"/>
        <v>0</v>
      </c>
      <c r="W106" s="116">
        <f t="shared" si="5"/>
        <v>0</v>
      </c>
      <c r="X106" s="116">
        <f t="shared" si="6"/>
        <v>0</v>
      </c>
      <c r="Y106" s="116">
        <f t="shared" si="7"/>
        <v>0</v>
      </c>
      <c r="Z106" s="116">
        <f t="shared" si="8"/>
        <v>0</v>
      </c>
      <c r="AA106" s="116">
        <f t="shared" si="9"/>
        <v>0</v>
      </c>
      <c r="AB106" s="116">
        <f t="shared" si="10"/>
        <v>0</v>
      </c>
      <c r="AC106" s="116">
        <f t="shared" si="11"/>
        <v>0</v>
      </c>
      <c r="AD106" s="116">
        <f t="shared" si="12"/>
        <v>0</v>
      </c>
      <c r="AE106" s="116">
        <f t="shared" si="13"/>
        <v>0</v>
      </c>
    </row>
    <row r="107" spans="1:32">
      <c r="A107" s="131">
        <v>42401</v>
      </c>
      <c r="B107" s="131">
        <v>42430</v>
      </c>
      <c r="C107" s="123">
        <f t="shared" si="1"/>
        <v>29</v>
      </c>
      <c r="D107" s="132">
        <v>17822.95</v>
      </c>
      <c r="E107" s="110"/>
      <c r="F107" s="123"/>
      <c r="G107" s="123">
        <v>29</v>
      </c>
      <c r="H107" s="123"/>
      <c r="I107" s="123"/>
      <c r="J107" s="123"/>
      <c r="K107" s="123"/>
      <c r="L107" s="123"/>
      <c r="M107" s="123"/>
      <c r="N107" s="123"/>
      <c r="O107" s="123"/>
      <c r="P107" s="123"/>
      <c r="Q107" s="123"/>
      <c r="R107" s="133">
        <f t="shared" si="18"/>
        <v>0</v>
      </c>
      <c r="S107" s="133"/>
      <c r="T107" s="116">
        <f t="shared" si="14"/>
        <v>0</v>
      </c>
      <c r="U107" s="116">
        <f t="shared" si="3"/>
        <v>171638.58</v>
      </c>
      <c r="V107" s="116">
        <f t="shared" si="4"/>
        <v>0</v>
      </c>
      <c r="W107" s="116">
        <f t="shared" si="5"/>
        <v>0</v>
      </c>
      <c r="X107" s="116">
        <f t="shared" si="6"/>
        <v>0</v>
      </c>
      <c r="Y107" s="116">
        <f t="shared" si="7"/>
        <v>0</v>
      </c>
      <c r="Z107" s="116">
        <f t="shared" si="8"/>
        <v>0</v>
      </c>
      <c r="AA107" s="116">
        <f t="shared" si="9"/>
        <v>0</v>
      </c>
      <c r="AB107" s="116">
        <f t="shared" si="10"/>
        <v>0</v>
      </c>
      <c r="AC107" s="116">
        <f t="shared" si="11"/>
        <v>0</v>
      </c>
      <c r="AD107" s="116">
        <f t="shared" si="12"/>
        <v>0</v>
      </c>
      <c r="AE107" s="116">
        <f t="shared" si="13"/>
        <v>0</v>
      </c>
    </row>
    <row r="108" spans="1:32">
      <c r="A108" s="131">
        <v>42395</v>
      </c>
      <c r="B108" s="131">
        <v>42426</v>
      </c>
      <c r="C108" s="123">
        <f t="shared" ref="C108:C173" si="19">B108-A108</f>
        <v>31</v>
      </c>
      <c r="D108" s="132">
        <v>1708.7</v>
      </c>
      <c r="E108" s="110"/>
      <c r="F108" s="123">
        <v>6</v>
      </c>
      <c r="G108" s="123">
        <v>25</v>
      </c>
      <c r="H108" s="123"/>
      <c r="I108" s="123"/>
      <c r="J108" s="123"/>
      <c r="K108" s="123"/>
      <c r="L108" s="123"/>
      <c r="M108" s="123"/>
      <c r="N108" s="123"/>
      <c r="O108" s="123"/>
      <c r="P108" s="123"/>
      <c r="Q108" s="123"/>
      <c r="R108" s="133">
        <f t="shared" si="18"/>
        <v>0</v>
      </c>
      <c r="S108" s="133"/>
      <c r="T108" s="116">
        <f t="shared" si="14"/>
        <v>3926.35</v>
      </c>
      <c r="U108" s="116">
        <f t="shared" ref="U108:U173" si="20">ROUND(($D108*$G108/$C108)/$C$7,2)</f>
        <v>13270.26</v>
      </c>
      <c r="V108" s="116">
        <f t="shared" ref="V108:V173" si="21">ROUND(($D108*$H108/$C108)/$C$8,2)</f>
        <v>0</v>
      </c>
      <c r="W108" s="116">
        <f t="shared" ref="W108:W173" si="22">ROUND(($D108*$I108/$C108)/$C$9,2)</f>
        <v>0</v>
      </c>
      <c r="X108" s="116">
        <f t="shared" ref="X108:X173" si="23">ROUND(($D108*$J108/$C108)/$C$10,2)</f>
        <v>0</v>
      </c>
      <c r="Y108" s="116">
        <f t="shared" ref="Y108:Y173" si="24">ROUND(($D108*$K108/$C108)/$C$11,2)</f>
        <v>0</v>
      </c>
      <c r="Z108" s="116">
        <f t="shared" ref="Z108:Z173" si="25">ROUND(($D108*$L108/$C108)/$C$12,2)</f>
        <v>0</v>
      </c>
      <c r="AA108" s="116">
        <f t="shared" ref="AA108:AA173" si="26">ROUND(($D108*$M108/$C108)/$C$13,2)</f>
        <v>0</v>
      </c>
      <c r="AB108" s="116">
        <f t="shared" ref="AB108:AB173" si="27">ROUND(($D108*$N108/$C108)/$C$14,2)</f>
        <v>0</v>
      </c>
      <c r="AC108" s="116">
        <f t="shared" ref="AC108:AC173" si="28">ROUND(($D108*$O108/$C108)/$C$15,2)</f>
        <v>0</v>
      </c>
      <c r="AD108" s="116">
        <f t="shared" ref="AD108:AD173" si="29">ROUND(($D108*$P108/$C108)/$C$16,2)</f>
        <v>0</v>
      </c>
      <c r="AE108" s="116">
        <f t="shared" ref="AE108:AE173" si="30">ROUND(($D108*$Q108/$C108)/$C$17,2)</f>
        <v>0</v>
      </c>
      <c r="AF108" s="149"/>
    </row>
    <row r="109" spans="1:32">
      <c r="A109" s="131">
        <v>42401</v>
      </c>
      <c r="B109" s="131">
        <v>42430</v>
      </c>
      <c r="C109" s="123">
        <f t="shared" si="19"/>
        <v>29</v>
      </c>
      <c r="D109" s="132">
        <v>271.45</v>
      </c>
      <c r="E109" s="110"/>
      <c r="F109" s="123"/>
      <c r="G109" s="123">
        <v>29</v>
      </c>
      <c r="H109" s="123"/>
      <c r="I109" s="123"/>
      <c r="J109" s="123"/>
      <c r="K109" s="123"/>
      <c r="L109" s="123"/>
      <c r="M109" s="123"/>
      <c r="N109" s="123"/>
      <c r="O109" s="123"/>
      <c r="P109" s="123"/>
      <c r="Q109" s="123"/>
      <c r="R109" s="133">
        <f t="shared" si="18"/>
        <v>0</v>
      </c>
      <c r="S109" s="133"/>
      <c r="T109" s="116">
        <f t="shared" ref="T109:T173" si="31">ROUND((D109*F109/C109)/$C$6,2)</f>
        <v>0</v>
      </c>
      <c r="U109" s="116">
        <f t="shared" si="20"/>
        <v>2614.12</v>
      </c>
      <c r="V109" s="116">
        <f t="shared" si="21"/>
        <v>0</v>
      </c>
      <c r="W109" s="116">
        <f t="shared" si="22"/>
        <v>0</v>
      </c>
      <c r="X109" s="116">
        <f t="shared" si="23"/>
        <v>0</v>
      </c>
      <c r="Y109" s="116">
        <f t="shared" si="24"/>
        <v>0</v>
      </c>
      <c r="Z109" s="116">
        <f t="shared" si="25"/>
        <v>0</v>
      </c>
      <c r="AA109" s="116">
        <f t="shared" si="26"/>
        <v>0</v>
      </c>
      <c r="AB109" s="116">
        <f t="shared" si="27"/>
        <v>0</v>
      </c>
      <c r="AC109" s="116">
        <f t="shared" si="28"/>
        <v>0</v>
      </c>
      <c r="AD109" s="116">
        <f t="shared" si="29"/>
        <v>0</v>
      </c>
      <c r="AE109" s="116">
        <f t="shared" si="30"/>
        <v>0</v>
      </c>
    </row>
    <row r="110" spans="1:32">
      <c r="A110" s="131">
        <v>42401</v>
      </c>
      <c r="B110" s="131">
        <v>42429</v>
      </c>
      <c r="C110" s="123">
        <f t="shared" si="19"/>
        <v>28</v>
      </c>
      <c r="D110" s="132">
        <v>8.52</v>
      </c>
      <c r="E110" s="110"/>
      <c r="F110" s="123"/>
      <c r="G110" s="123">
        <v>28</v>
      </c>
      <c r="H110" s="123"/>
      <c r="I110" s="123"/>
      <c r="J110" s="123"/>
      <c r="K110" s="123"/>
      <c r="L110" s="123"/>
      <c r="M110" s="123"/>
      <c r="N110" s="123"/>
      <c r="O110" s="123"/>
      <c r="P110" s="123"/>
      <c r="Q110" s="123"/>
      <c r="R110" s="133">
        <f t="shared" si="18"/>
        <v>0</v>
      </c>
      <c r="S110" s="133"/>
      <c r="T110" s="116">
        <f t="shared" si="31"/>
        <v>0</v>
      </c>
      <c r="U110" s="116">
        <f t="shared" si="20"/>
        <v>82.05</v>
      </c>
      <c r="V110" s="116">
        <f t="shared" si="21"/>
        <v>0</v>
      </c>
      <c r="W110" s="116">
        <f t="shared" si="22"/>
        <v>0</v>
      </c>
      <c r="X110" s="116">
        <f t="shared" si="23"/>
        <v>0</v>
      </c>
      <c r="Y110" s="116">
        <f t="shared" si="24"/>
        <v>0</v>
      </c>
      <c r="Z110" s="116">
        <f t="shared" si="25"/>
        <v>0</v>
      </c>
      <c r="AA110" s="116">
        <f t="shared" si="26"/>
        <v>0</v>
      </c>
      <c r="AB110" s="116">
        <f t="shared" si="27"/>
        <v>0</v>
      </c>
      <c r="AC110" s="116">
        <f t="shared" si="28"/>
        <v>0</v>
      </c>
      <c r="AD110" s="116">
        <f t="shared" si="29"/>
        <v>0</v>
      </c>
      <c r="AE110" s="116">
        <f t="shared" si="30"/>
        <v>0</v>
      </c>
    </row>
    <row r="111" spans="1:32">
      <c r="A111" s="131">
        <v>42400</v>
      </c>
      <c r="B111" s="131">
        <v>42429</v>
      </c>
      <c r="C111" s="123">
        <f t="shared" si="19"/>
        <v>29</v>
      </c>
      <c r="D111" s="132">
        <v>17984.88</v>
      </c>
      <c r="E111" s="110"/>
      <c r="F111" s="123">
        <v>1</v>
      </c>
      <c r="G111" s="123">
        <v>28</v>
      </c>
      <c r="H111" s="123"/>
      <c r="I111" s="123"/>
      <c r="J111" s="123"/>
      <c r="K111" s="123"/>
      <c r="L111" s="123"/>
      <c r="M111" s="123"/>
      <c r="N111" s="123"/>
      <c r="O111" s="123"/>
      <c r="P111" s="123"/>
      <c r="Q111" s="123"/>
      <c r="R111" s="133">
        <f t="shared" si="18"/>
        <v>0</v>
      </c>
      <c r="S111" s="133"/>
      <c r="T111" s="116">
        <v>7036.47</v>
      </c>
      <c r="U111" s="116">
        <f>211094.1-T111</f>
        <v>204057.63</v>
      </c>
      <c r="V111" s="116">
        <f t="shared" si="21"/>
        <v>0</v>
      </c>
      <c r="W111" s="116">
        <f t="shared" si="22"/>
        <v>0</v>
      </c>
      <c r="X111" s="116">
        <f t="shared" si="23"/>
        <v>0</v>
      </c>
      <c r="Y111" s="116">
        <f t="shared" si="24"/>
        <v>0</v>
      </c>
      <c r="Z111" s="116">
        <f t="shared" si="25"/>
        <v>0</v>
      </c>
      <c r="AA111" s="116">
        <f t="shared" si="26"/>
        <v>0</v>
      </c>
      <c r="AB111" s="116">
        <f t="shared" si="27"/>
        <v>0</v>
      </c>
      <c r="AC111" s="116">
        <f t="shared" si="28"/>
        <v>0</v>
      </c>
      <c r="AD111" s="116">
        <f t="shared" si="29"/>
        <v>0</v>
      </c>
      <c r="AE111" s="116">
        <f t="shared" si="30"/>
        <v>0</v>
      </c>
    </row>
    <row r="112" spans="1:32">
      <c r="A112" s="131">
        <v>42401</v>
      </c>
      <c r="B112" s="131">
        <v>42430</v>
      </c>
      <c r="C112" s="123">
        <f t="shared" si="19"/>
        <v>29</v>
      </c>
      <c r="D112" s="132">
        <v>171875.29</v>
      </c>
      <c r="E112" s="110"/>
      <c r="F112" s="123"/>
      <c r="G112" s="123">
        <v>29</v>
      </c>
      <c r="H112" s="123"/>
      <c r="I112" s="123"/>
      <c r="J112" s="123"/>
      <c r="K112" s="123"/>
      <c r="L112" s="123"/>
      <c r="M112" s="123"/>
      <c r="N112" s="123"/>
      <c r="O112" s="123"/>
      <c r="P112" s="123"/>
      <c r="Q112" s="123"/>
      <c r="R112" s="133">
        <f t="shared" si="18"/>
        <v>0</v>
      </c>
      <c r="S112" s="133"/>
      <c r="T112" s="116">
        <f t="shared" si="31"/>
        <v>0</v>
      </c>
      <c r="U112" s="116">
        <f t="shared" si="20"/>
        <v>1655193.47</v>
      </c>
      <c r="V112" s="116">
        <f t="shared" si="21"/>
        <v>0</v>
      </c>
      <c r="W112" s="116">
        <f t="shared" si="22"/>
        <v>0</v>
      </c>
      <c r="X112" s="116">
        <f t="shared" si="23"/>
        <v>0</v>
      </c>
      <c r="Y112" s="116">
        <f t="shared" si="24"/>
        <v>0</v>
      </c>
      <c r="Z112" s="116">
        <f t="shared" si="25"/>
        <v>0</v>
      </c>
      <c r="AA112" s="116">
        <f t="shared" si="26"/>
        <v>0</v>
      </c>
      <c r="AB112" s="116">
        <f t="shared" si="27"/>
        <v>0</v>
      </c>
      <c r="AC112" s="116">
        <f t="shared" si="28"/>
        <v>0</v>
      </c>
      <c r="AD112" s="116">
        <f t="shared" si="29"/>
        <v>0</v>
      </c>
      <c r="AE112" s="116">
        <f t="shared" si="30"/>
        <v>0</v>
      </c>
      <c r="AF112" s="149"/>
    </row>
    <row r="113" spans="1:32">
      <c r="A113" s="131">
        <v>42397</v>
      </c>
      <c r="B113" s="131">
        <v>42428</v>
      </c>
      <c r="C113" s="123">
        <f t="shared" si="19"/>
        <v>31</v>
      </c>
      <c r="D113" s="132">
        <v>1153.6300000000001</v>
      </c>
      <c r="E113" s="110"/>
      <c r="F113" s="123">
        <v>4</v>
      </c>
      <c r="G113" s="123">
        <v>27</v>
      </c>
      <c r="H113" s="123"/>
      <c r="I113" s="123"/>
      <c r="J113" s="123"/>
      <c r="K113" s="123"/>
      <c r="L113" s="123"/>
      <c r="M113" s="123"/>
      <c r="N113" s="123"/>
      <c r="O113" s="123"/>
      <c r="P113" s="123"/>
      <c r="Q113" s="123"/>
      <c r="R113" s="133">
        <f t="shared" si="18"/>
        <v>0</v>
      </c>
      <c r="S113" s="133"/>
      <c r="T113" s="116">
        <f t="shared" si="31"/>
        <v>1767.25</v>
      </c>
      <c r="U113" s="116">
        <f t="shared" si="20"/>
        <v>9676.18</v>
      </c>
      <c r="V113" s="116">
        <f t="shared" si="21"/>
        <v>0</v>
      </c>
      <c r="W113" s="116">
        <f t="shared" si="22"/>
        <v>0</v>
      </c>
      <c r="X113" s="116">
        <f t="shared" si="23"/>
        <v>0</v>
      </c>
      <c r="Y113" s="116">
        <f t="shared" si="24"/>
        <v>0</v>
      </c>
      <c r="Z113" s="116">
        <f t="shared" si="25"/>
        <v>0</v>
      </c>
      <c r="AA113" s="116">
        <f t="shared" si="26"/>
        <v>0</v>
      </c>
      <c r="AB113" s="116">
        <f t="shared" si="27"/>
        <v>0</v>
      </c>
      <c r="AC113" s="116">
        <f t="shared" si="28"/>
        <v>0</v>
      </c>
      <c r="AD113" s="116">
        <f t="shared" si="29"/>
        <v>0</v>
      </c>
      <c r="AE113" s="116">
        <f t="shared" si="30"/>
        <v>0</v>
      </c>
    </row>
    <row r="114" spans="1:32">
      <c r="A114" s="131">
        <v>42397</v>
      </c>
      <c r="B114" s="131">
        <v>42428</v>
      </c>
      <c r="C114" s="123">
        <f t="shared" si="19"/>
        <v>31</v>
      </c>
      <c r="D114" s="132">
        <v>1651.96</v>
      </c>
      <c r="E114" s="110"/>
      <c r="F114" s="123">
        <v>4</v>
      </c>
      <c r="G114" s="123">
        <v>27</v>
      </c>
      <c r="H114" s="123"/>
      <c r="I114" s="123"/>
      <c r="J114" s="123"/>
      <c r="K114" s="123"/>
      <c r="L114" s="123"/>
      <c r="M114" s="123"/>
      <c r="N114" s="123"/>
      <c r="O114" s="123"/>
      <c r="P114" s="123"/>
      <c r="Q114" s="123"/>
      <c r="R114" s="133">
        <f t="shared" si="18"/>
        <v>0</v>
      </c>
      <c r="S114" s="133"/>
      <c r="T114" s="116">
        <f t="shared" si="31"/>
        <v>2530.64</v>
      </c>
      <c r="U114" s="116">
        <f t="shared" si="20"/>
        <v>13855.97</v>
      </c>
      <c r="V114" s="116">
        <f t="shared" si="21"/>
        <v>0</v>
      </c>
      <c r="W114" s="116">
        <f t="shared" si="22"/>
        <v>0</v>
      </c>
      <c r="X114" s="116">
        <f t="shared" si="23"/>
        <v>0</v>
      </c>
      <c r="Y114" s="116">
        <f t="shared" si="24"/>
        <v>0</v>
      </c>
      <c r="Z114" s="116">
        <f t="shared" si="25"/>
        <v>0</v>
      </c>
      <c r="AA114" s="116">
        <f t="shared" si="26"/>
        <v>0</v>
      </c>
      <c r="AB114" s="116">
        <f t="shared" si="27"/>
        <v>0</v>
      </c>
      <c r="AC114" s="116">
        <f t="shared" si="28"/>
        <v>0</v>
      </c>
      <c r="AD114" s="116">
        <f t="shared" si="29"/>
        <v>0</v>
      </c>
      <c r="AE114" s="116">
        <f t="shared" si="30"/>
        <v>0</v>
      </c>
    </row>
    <row r="115" spans="1:32">
      <c r="A115" s="131">
        <v>42401</v>
      </c>
      <c r="B115" s="131">
        <v>42430</v>
      </c>
      <c r="C115" s="123">
        <f t="shared" si="19"/>
        <v>29</v>
      </c>
      <c r="D115" s="132">
        <v>53325.57</v>
      </c>
      <c r="E115" s="110"/>
      <c r="F115" s="123"/>
      <c r="G115" s="123">
        <v>29</v>
      </c>
      <c r="H115" s="123"/>
      <c r="I115" s="123"/>
      <c r="J115" s="123"/>
      <c r="K115" s="123"/>
      <c r="L115" s="123"/>
      <c r="M115" s="123"/>
      <c r="N115" s="123"/>
      <c r="O115" s="123"/>
      <c r="P115" s="123"/>
      <c r="Q115" s="123"/>
      <c r="R115" s="133">
        <f t="shared" si="18"/>
        <v>0</v>
      </c>
      <c r="S115" s="133"/>
      <c r="T115" s="116">
        <f t="shared" si="31"/>
        <v>0</v>
      </c>
      <c r="U115" s="116">
        <f t="shared" si="20"/>
        <v>513535.92</v>
      </c>
      <c r="V115" s="116">
        <f t="shared" si="21"/>
        <v>0</v>
      </c>
      <c r="W115" s="116">
        <f t="shared" si="22"/>
        <v>0</v>
      </c>
      <c r="X115" s="116">
        <f t="shared" si="23"/>
        <v>0</v>
      </c>
      <c r="Y115" s="116">
        <f t="shared" si="24"/>
        <v>0</v>
      </c>
      <c r="Z115" s="116">
        <f t="shared" si="25"/>
        <v>0</v>
      </c>
      <c r="AA115" s="116">
        <f t="shared" si="26"/>
        <v>0</v>
      </c>
      <c r="AB115" s="116">
        <f t="shared" si="27"/>
        <v>0</v>
      </c>
      <c r="AC115" s="116">
        <f t="shared" si="28"/>
        <v>0</v>
      </c>
      <c r="AD115" s="116">
        <f t="shared" si="29"/>
        <v>0</v>
      </c>
      <c r="AE115" s="116">
        <f t="shared" si="30"/>
        <v>0</v>
      </c>
      <c r="AF115" s="149"/>
    </row>
    <row r="116" spans="1:32">
      <c r="A116" s="131">
        <v>42401</v>
      </c>
      <c r="B116" s="131">
        <v>42430</v>
      </c>
      <c r="C116" s="123">
        <f t="shared" si="19"/>
        <v>29</v>
      </c>
      <c r="D116" s="132">
        <v>3939.67</v>
      </c>
      <c r="E116" s="110"/>
      <c r="F116" s="123"/>
      <c r="G116" s="123">
        <v>29</v>
      </c>
      <c r="H116" s="123"/>
      <c r="I116" s="123"/>
      <c r="J116" s="123"/>
      <c r="K116" s="123"/>
      <c r="L116" s="123"/>
      <c r="M116" s="123"/>
      <c r="N116" s="123"/>
      <c r="O116" s="123"/>
      <c r="P116" s="123"/>
      <c r="Q116" s="123"/>
      <c r="R116" s="133">
        <f t="shared" si="18"/>
        <v>0</v>
      </c>
      <c r="S116" s="133"/>
      <c r="T116" s="116">
        <f t="shared" si="31"/>
        <v>0</v>
      </c>
      <c r="U116" s="116">
        <f t="shared" si="20"/>
        <v>37939.81</v>
      </c>
      <c r="V116" s="116">
        <f t="shared" si="21"/>
        <v>0</v>
      </c>
      <c r="W116" s="116">
        <f t="shared" si="22"/>
        <v>0</v>
      </c>
      <c r="X116" s="116">
        <f t="shared" si="23"/>
        <v>0</v>
      </c>
      <c r="Y116" s="116">
        <f t="shared" si="24"/>
        <v>0</v>
      </c>
      <c r="Z116" s="116">
        <f t="shared" si="25"/>
        <v>0</v>
      </c>
      <c r="AA116" s="116">
        <f t="shared" si="26"/>
        <v>0</v>
      </c>
      <c r="AB116" s="116">
        <f t="shared" si="27"/>
        <v>0</v>
      </c>
      <c r="AC116" s="116">
        <f t="shared" si="28"/>
        <v>0</v>
      </c>
      <c r="AD116" s="116">
        <f t="shared" si="29"/>
        <v>0</v>
      </c>
      <c r="AE116" s="116">
        <f t="shared" si="30"/>
        <v>0</v>
      </c>
      <c r="AF116" s="149"/>
    </row>
    <row r="117" spans="1:32">
      <c r="A117" s="131">
        <v>42401</v>
      </c>
      <c r="B117" s="131">
        <v>42430</v>
      </c>
      <c r="C117" s="123">
        <f t="shared" si="19"/>
        <v>29</v>
      </c>
      <c r="D117" s="132">
        <v>3230.26</v>
      </c>
      <c r="E117" s="110"/>
      <c r="F117" s="123"/>
      <c r="G117" s="123">
        <v>29</v>
      </c>
      <c r="H117" s="123"/>
      <c r="I117" s="123"/>
      <c r="J117" s="123"/>
      <c r="K117" s="123"/>
      <c r="L117" s="123"/>
      <c r="M117" s="123"/>
      <c r="N117" s="123"/>
      <c r="O117" s="123"/>
      <c r="P117" s="123"/>
      <c r="Q117" s="123"/>
      <c r="R117" s="133">
        <f t="shared" si="18"/>
        <v>0</v>
      </c>
      <c r="S117" s="133"/>
      <c r="T117" s="116">
        <f t="shared" si="31"/>
        <v>0</v>
      </c>
      <c r="U117" s="116">
        <f t="shared" si="20"/>
        <v>31108.05</v>
      </c>
      <c r="V117" s="116">
        <f t="shared" si="21"/>
        <v>0</v>
      </c>
      <c r="W117" s="116">
        <f t="shared" si="22"/>
        <v>0</v>
      </c>
      <c r="X117" s="116">
        <f t="shared" si="23"/>
        <v>0</v>
      </c>
      <c r="Y117" s="116">
        <f t="shared" si="24"/>
        <v>0</v>
      </c>
      <c r="Z117" s="116">
        <f t="shared" si="25"/>
        <v>0</v>
      </c>
      <c r="AA117" s="116">
        <f t="shared" si="26"/>
        <v>0</v>
      </c>
      <c r="AB117" s="116">
        <f t="shared" si="27"/>
        <v>0</v>
      </c>
      <c r="AC117" s="116">
        <f t="shared" si="28"/>
        <v>0</v>
      </c>
      <c r="AD117" s="116">
        <f t="shared" si="29"/>
        <v>0</v>
      </c>
      <c r="AE117" s="116">
        <f t="shared" si="30"/>
        <v>0</v>
      </c>
      <c r="AF117" s="149"/>
    </row>
    <row r="118" spans="1:32">
      <c r="A118" s="131">
        <v>42401</v>
      </c>
      <c r="B118" s="131">
        <v>42430</v>
      </c>
      <c r="C118" s="123">
        <f t="shared" si="19"/>
        <v>29</v>
      </c>
      <c r="D118" s="132">
        <v>331.34</v>
      </c>
      <c r="E118" s="110"/>
      <c r="F118" s="123"/>
      <c r="G118" s="123">
        <v>29</v>
      </c>
      <c r="H118" s="123"/>
      <c r="I118" s="123"/>
      <c r="J118" s="123"/>
      <c r="K118" s="123"/>
      <c r="L118" s="123"/>
      <c r="M118" s="123"/>
      <c r="N118" s="123"/>
      <c r="O118" s="123"/>
      <c r="P118" s="123"/>
      <c r="Q118" s="123"/>
      <c r="R118" s="133">
        <f t="shared" si="18"/>
        <v>0</v>
      </c>
      <c r="S118" s="133"/>
      <c r="T118" s="116">
        <f t="shared" si="31"/>
        <v>0</v>
      </c>
      <c r="U118" s="116">
        <f t="shared" si="20"/>
        <v>3190.87</v>
      </c>
      <c r="V118" s="116">
        <f t="shared" si="21"/>
        <v>0</v>
      </c>
      <c r="W118" s="116">
        <f t="shared" si="22"/>
        <v>0</v>
      </c>
      <c r="X118" s="116">
        <f t="shared" si="23"/>
        <v>0</v>
      </c>
      <c r="Y118" s="116">
        <f t="shared" si="24"/>
        <v>0</v>
      </c>
      <c r="Z118" s="116">
        <f t="shared" si="25"/>
        <v>0</v>
      </c>
      <c r="AA118" s="116">
        <f t="shared" si="26"/>
        <v>0</v>
      </c>
      <c r="AB118" s="116">
        <f t="shared" si="27"/>
        <v>0</v>
      </c>
      <c r="AC118" s="116">
        <f t="shared" si="28"/>
        <v>0</v>
      </c>
      <c r="AD118" s="116">
        <f t="shared" si="29"/>
        <v>0</v>
      </c>
      <c r="AE118" s="116">
        <f t="shared" si="30"/>
        <v>0</v>
      </c>
      <c r="AF118" s="149"/>
    </row>
    <row r="119" spans="1:32">
      <c r="A119" s="131">
        <v>42401</v>
      </c>
      <c r="B119" s="131">
        <v>42430</v>
      </c>
      <c r="C119" s="123">
        <f t="shared" si="19"/>
        <v>29</v>
      </c>
      <c r="D119" s="132">
        <v>1142.01</v>
      </c>
      <c r="E119" s="110"/>
      <c r="F119" s="123"/>
      <c r="G119" s="123">
        <v>29</v>
      </c>
      <c r="H119" s="123"/>
      <c r="I119" s="123"/>
      <c r="J119" s="123"/>
      <c r="K119" s="123"/>
      <c r="L119" s="123"/>
      <c r="M119" s="123"/>
      <c r="N119" s="123"/>
      <c r="O119" s="123"/>
      <c r="P119" s="123"/>
      <c r="Q119" s="123"/>
      <c r="R119" s="133">
        <f t="shared" si="18"/>
        <v>0</v>
      </c>
      <c r="S119" s="133"/>
      <c r="T119" s="116">
        <f t="shared" si="31"/>
        <v>0</v>
      </c>
      <c r="U119" s="116">
        <f t="shared" si="20"/>
        <v>10997.79</v>
      </c>
      <c r="V119" s="116">
        <f t="shared" si="21"/>
        <v>0</v>
      </c>
      <c r="W119" s="116">
        <f t="shared" si="22"/>
        <v>0</v>
      </c>
      <c r="X119" s="116">
        <f t="shared" si="23"/>
        <v>0</v>
      </c>
      <c r="Y119" s="116">
        <f t="shared" si="24"/>
        <v>0</v>
      </c>
      <c r="Z119" s="116">
        <f t="shared" si="25"/>
        <v>0</v>
      </c>
      <c r="AA119" s="116">
        <f t="shared" si="26"/>
        <v>0</v>
      </c>
      <c r="AB119" s="116">
        <f t="shared" si="27"/>
        <v>0</v>
      </c>
      <c r="AC119" s="116">
        <f t="shared" si="28"/>
        <v>0</v>
      </c>
      <c r="AD119" s="116">
        <f t="shared" si="29"/>
        <v>0</v>
      </c>
      <c r="AE119" s="116">
        <f t="shared" si="30"/>
        <v>0</v>
      </c>
      <c r="AF119" s="149"/>
    </row>
    <row r="120" spans="1:32">
      <c r="A120" s="131">
        <v>42401</v>
      </c>
      <c r="B120" s="131">
        <v>42430</v>
      </c>
      <c r="C120" s="123">
        <f t="shared" si="19"/>
        <v>29</v>
      </c>
      <c r="D120" s="132">
        <v>1712.08</v>
      </c>
      <c r="E120" s="110"/>
      <c r="F120" s="123"/>
      <c r="G120" s="123">
        <v>29</v>
      </c>
      <c r="H120" s="123"/>
      <c r="I120" s="123"/>
      <c r="J120" s="123"/>
      <c r="K120" s="123"/>
      <c r="L120" s="123"/>
      <c r="M120" s="123"/>
      <c r="N120" s="123"/>
      <c r="O120" s="123"/>
      <c r="P120" s="123"/>
      <c r="Q120" s="123"/>
      <c r="R120" s="133">
        <f t="shared" si="18"/>
        <v>0</v>
      </c>
      <c r="S120" s="133"/>
      <c r="T120" s="116">
        <f t="shared" si="31"/>
        <v>0</v>
      </c>
      <c r="U120" s="116">
        <f t="shared" si="20"/>
        <v>16487.669999999998</v>
      </c>
      <c r="V120" s="116">
        <f t="shared" si="21"/>
        <v>0</v>
      </c>
      <c r="W120" s="116">
        <f t="shared" si="22"/>
        <v>0</v>
      </c>
      <c r="X120" s="116">
        <f t="shared" si="23"/>
        <v>0</v>
      </c>
      <c r="Y120" s="116">
        <f t="shared" si="24"/>
        <v>0</v>
      </c>
      <c r="Z120" s="116">
        <f t="shared" si="25"/>
        <v>0</v>
      </c>
      <c r="AA120" s="116">
        <f t="shared" si="26"/>
        <v>0</v>
      </c>
      <c r="AB120" s="116">
        <f t="shared" si="27"/>
        <v>0</v>
      </c>
      <c r="AC120" s="116">
        <f t="shared" si="28"/>
        <v>0</v>
      </c>
      <c r="AD120" s="116">
        <f t="shared" si="29"/>
        <v>0</v>
      </c>
      <c r="AE120" s="116">
        <f t="shared" si="30"/>
        <v>0</v>
      </c>
      <c r="AF120" s="149"/>
    </row>
    <row r="121" spans="1:32">
      <c r="A121" s="131">
        <v>42405</v>
      </c>
      <c r="B121" s="131">
        <v>42434</v>
      </c>
      <c r="C121" s="123">
        <f t="shared" si="19"/>
        <v>29</v>
      </c>
      <c r="D121" s="132">
        <v>1010.27</v>
      </c>
      <c r="E121" s="110"/>
      <c r="F121" s="123"/>
      <c r="G121" s="123">
        <v>25</v>
      </c>
      <c r="H121" s="123">
        <v>4</v>
      </c>
      <c r="I121" s="123"/>
      <c r="J121" s="123"/>
      <c r="K121" s="123"/>
      <c r="L121" s="123"/>
      <c r="M121" s="123"/>
      <c r="N121" s="123"/>
      <c r="O121" s="123"/>
      <c r="P121" s="123"/>
      <c r="Q121" s="123"/>
      <c r="R121" s="133">
        <f t="shared" si="18"/>
        <v>0</v>
      </c>
      <c r="S121" s="133"/>
      <c r="T121" s="116">
        <f t="shared" si="31"/>
        <v>0</v>
      </c>
      <c r="U121" s="116">
        <f t="shared" si="20"/>
        <v>8387.16</v>
      </c>
      <c r="V121" s="116">
        <f t="shared" si="21"/>
        <v>1544.53</v>
      </c>
      <c r="W121" s="116">
        <f t="shared" si="22"/>
        <v>0</v>
      </c>
      <c r="X121" s="116">
        <f t="shared" si="23"/>
        <v>0</v>
      </c>
      <c r="Y121" s="116">
        <f t="shared" si="24"/>
        <v>0</v>
      </c>
      <c r="Z121" s="116">
        <f t="shared" si="25"/>
        <v>0</v>
      </c>
      <c r="AA121" s="116">
        <f t="shared" si="26"/>
        <v>0</v>
      </c>
      <c r="AB121" s="116">
        <f t="shared" si="27"/>
        <v>0</v>
      </c>
      <c r="AC121" s="116">
        <f t="shared" si="28"/>
        <v>0</v>
      </c>
      <c r="AD121" s="116">
        <f t="shared" si="29"/>
        <v>0</v>
      </c>
      <c r="AE121" s="116">
        <f t="shared" si="30"/>
        <v>0</v>
      </c>
    </row>
    <row r="122" spans="1:32">
      <c r="A122" s="131">
        <v>42405</v>
      </c>
      <c r="B122" s="131">
        <v>42434</v>
      </c>
      <c r="C122" s="123">
        <f t="shared" si="19"/>
        <v>29</v>
      </c>
      <c r="D122" s="132">
        <v>164.6</v>
      </c>
      <c r="E122" s="110"/>
      <c r="F122" s="123"/>
      <c r="G122" s="123">
        <v>25</v>
      </c>
      <c r="H122" s="123">
        <v>4</v>
      </c>
      <c r="I122" s="123"/>
      <c r="J122" s="123"/>
      <c r="K122" s="123"/>
      <c r="L122" s="123"/>
      <c r="M122" s="123"/>
      <c r="N122" s="123"/>
      <c r="O122" s="123"/>
      <c r="P122" s="123"/>
      <c r="Q122" s="123"/>
      <c r="R122" s="133">
        <f t="shared" si="18"/>
        <v>0</v>
      </c>
      <c r="S122" s="133"/>
      <c r="T122" s="116">
        <f t="shared" si="31"/>
        <v>0</v>
      </c>
      <c r="U122" s="116">
        <f t="shared" si="20"/>
        <v>1366.49</v>
      </c>
      <c r="V122" s="116">
        <f t="shared" si="21"/>
        <v>251.65</v>
      </c>
      <c r="W122" s="116">
        <f t="shared" si="22"/>
        <v>0</v>
      </c>
      <c r="X122" s="116">
        <f t="shared" si="23"/>
        <v>0</v>
      </c>
      <c r="Y122" s="116">
        <f t="shared" si="24"/>
        <v>0</v>
      </c>
      <c r="Z122" s="116">
        <f t="shared" si="25"/>
        <v>0</v>
      </c>
      <c r="AA122" s="116">
        <f t="shared" si="26"/>
        <v>0</v>
      </c>
      <c r="AB122" s="116">
        <f t="shared" si="27"/>
        <v>0</v>
      </c>
      <c r="AC122" s="116">
        <f t="shared" si="28"/>
        <v>0</v>
      </c>
      <c r="AD122" s="116">
        <f t="shared" si="29"/>
        <v>0</v>
      </c>
      <c r="AE122" s="116">
        <f t="shared" si="30"/>
        <v>0</v>
      </c>
    </row>
    <row r="123" spans="1:32">
      <c r="A123" s="131">
        <v>42401</v>
      </c>
      <c r="B123" s="131">
        <v>42430</v>
      </c>
      <c r="C123" s="123">
        <f t="shared" si="19"/>
        <v>29</v>
      </c>
      <c r="D123" s="132">
        <v>4724.54</v>
      </c>
      <c r="E123" s="110"/>
      <c r="F123" s="123"/>
      <c r="G123" s="123">
        <v>29</v>
      </c>
      <c r="H123" s="123"/>
      <c r="I123" s="123"/>
      <c r="J123" s="123"/>
      <c r="K123" s="123"/>
      <c r="L123" s="123"/>
      <c r="M123" s="123"/>
      <c r="N123" s="123"/>
      <c r="O123" s="123"/>
      <c r="P123" s="123"/>
      <c r="Q123" s="123"/>
      <c r="R123" s="133">
        <f t="shared" si="18"/>
        <v>0</v>
      </c>
      <c r="S123" s="133"/>
      <c r="T123" s="116">
        <f t="shared" si="31"/>
        <v>0</v>
      </c>
      <c r="U123" s="116">
        <f t="shared" si="20"/>
        <v>45498.27</v>
      </c>
      <c r="V123" s="116">
        <f t="shared" si="21"/>
        <v>0</v>
      </c>
      <c r="W123" s="116">
        <f t="shared" si="22"/>
        <v>0</v>
      </c>
      <c r="X123" s="116">
        <f t="shared" si="23"/>
        <v>0</v>
      </c>
      <c r="Y123" s="116">
        <f t="shared" si="24"/>
        <v>0</v>
      </c>
      <c r="Z123" s="116">
        <f t="shared" si="25"/>
        <v>0</v>
      </c>
      <c r="AA123" s="116">
        <f t="shared" si="26"/>
        <v>0</v>
      </c>
      <c r="AB123" s="116">
        <f t="shared" si="27"/>
        <v>0</v>
      </c>
      <c r="AC123" s="116">
        <f t="shared" si="28"/>
        <v>0</v>
      </c>
      <c r="AD123" s="116">
        <f t="shared" si="29"/>
        <v>0</v>
      </c>
      <c r="AE123" s="116">
        <f t="shared" si="30"/>
        <v>0</v>
      </c>
      <c r="AF123" s="149"/>
    </row>
    <row r="124" spans="1:32">
      <c r="A124" s="131">
        <v>42405</v>
      </c>
      <c r="B124" s="131">
        <v>42434</v>
      </c>
      <c r="C124" s="123">
        <f t="shared" si="19"/>
        <v>29</v>
      </c>
      <c r="D124" s="132">
        <v>1464.77</v>
      </c>
      <c r="E124" s="110"/>
      <c r="F124" s="123"/>
      <c r="G124" s="123">
        <v>25</v>
      </c>
      <c r="H124" s="123">
        <v>4</v>
      </c>
      <c r="I124" s="123"/>
      <c r="J124" s="123"/>
      <c r="K124" s="123"/>
      <c r="L124" s="123"/>
      <c r="M124" s="123"/>
      <c r="N124" s="123"/>
      <c r="O124" s="123"/>
      <c r="P124" s="123"/>
      <c r="Q124" s="123"/>
      <c r="R124" s="133">
        <f t="shared" si="18"/>
        <v>0</v>
      </c>
      <c r="S124" s="133"/>
      <c r="T124" s="116">
        <f t="shared" si="31"/>
        <v>0</v>
      </c>
      <c r="U124" s="116">
        <f t="shared" si="20"/>
        <v>12160.37</v>
      </c>
      <c r="V124" s="116">
        <f t="shared" si="21"/>
        <v>2239.38</v>
      </c>
      <c r="W124" s="116">
        <f t="shared" si="22"/>
        <v>0</v>
      </c>
      <c r="X124" s="116">
        <f t="shared" si="23"/>
        <v>0</v>
      </c>
      <c r="Y124" s="116">
        <f t="shared" si="24"/>
        <v>0</v>
      </c>
      <c r="Z124" s="116">
        <f t="shared" si="25"/>
        <v>0</v>
      </c>
      <c r="AA124" s="116">
        <f t="shared" si="26"/>
        <v>0</v>
      </c>
      <c r="AB124" s="116">
        <f t="shared" si="27"/>
        <v>0</v>
      </c>
      <c r="AC124" s="116">
        <f t="shared" si="28"/>
        <v>0</v>
      </c>
      <c r="AD124" s="116">
        <f t="shared" si="29"/>
        <v>0</v>
      </c>
      <c r="AE124" s="116">
        <f t="shared" si="30"/>
        <v>0</v>
      </c>
    </row>
    <row r="125" spans="1:32">
      <c r="A125" s="131">
        <v>42408</v>
      </c>
      <c r="B125" s="131">
        <v>42437</v>
      </c>
      <c r="C125" s="123">
        <f t="shared" si="19"/>
        <v>29</v>
      </c>
      <c r="D125" s="132">
        <v>290.16000000000003</v>
      </c>
      <c r="E125" s="110"/>
      <c r="F125" s="123"/>
      <c r="G125" s="123">
        <v>22</v>
      </c>
      <c r="H125" s="123">
        <v>7</v>
      </c>
      <c r="I125" s="123"/>
      <c r="J125" s="123"/>
      <c r="K125" s="123"/>
      <c r="L125" s="123"/>
      <c r="M125" s="123"/>
      <c r="N125" s="123"/>
      <c r="O125" s="123"/>
      <c r="P125" s="123"/>
      <c r="Q125" s="123"/>
      <c r="R125" s="133">
        <f t="shared" si="18"/>
        <v>0</v>
      </c>
      <c r="S125" s="133"/>
      <c r="T125" s="116">
        <f t="shared" si="31"/>
        <v>0</v>
      </c>
      <c r="U125" s="116">
        <f t="shared" si="20"/>
        <v>2119.81</v>
      </c>
      <c r="V125" s="116">
        <f t="shared" si="21"/>
        <v>776.31</v>
      </c>
      <c r="W125" s="116">
        <f t="shared" si="22"/>
        <v>0</v>
      </c>
      <c r="X125" s="116">
        <f t="shared" si="23"/>
        <v>0</v>
      </c>
      <c r="Y125" s="116">
        <f t="shared" si="24"/>
        <v>0</v>
      </c>
      <c r="Z125" s="116">
        <f t="shared" si="25"/>
        <v>0</v>
      </c>
      <c r="AA125" s="116">
        <f t="shared" si="26"/>
        <v>0</v>
      </c>
      <c r="AB125" s="116">
        <f t="shared" si="27"/>
        <v>0</v>
      </c>
      <c r="AC125" s="116">
        <f t="shared" si="28"/>
        <v>0</v>
      </c>
      <c r="AD125" s="116">
        <f t="shared" si="29"/>
        <v>0</v>
      </c>
      <c r="AE125" s="116">
        <f t="shared" si="30"/>
        <v>0</v>
      </c>
    </row>
    <row r="126" spans="1:32">
      <c r="A126" s="131">
        <v>42408</v>
      </c>
      <c r="B126" s="131">
        <v>42437</v>
      </c>
      <c r="C126" s="123">
        <f t="shared" si="19"/>
        <v>29</v>
      </c>
      <c r="D126" s="132">
        <v>342.01</v>
      </c>
      <c r="E126" s="110"/>
      <c r="F126" s="123"/>
      <c r="G126" s="123">
        <v>22</v>
      </c>
      <c r="H126" s="123">
        <v>7</v>
      </c>
      <c r="I126" s="123"/>
      <c r="J126" s="123"/>
      <c r="K126" s="123"/>
      <c r="L126" s="123"/>
      <c r="M126" s="123"/>
      <c r="N126" s="123"/>
      <c r="O126" s="123"/>
      <c r="P126" s="123"/>
      <c r="Q126" s="123"/>
      <c r="R126" s="133">
        <f t="shared" si="18"/>
        <v>0</v>
      </c>
      <c r="S126" s="133"/>
      <c r="T126" s="116">
        <f t="shared" si="31"/>
        <v>0</v>
      </c>
      <c r="U126" s="116">
        <f t="shared" si="20"/>
        <v>2498.61</v>
      </c>
      <c r="V126" s="116">
        <f t="shared" si="21"/>
        <v>915.03</v>
      </c>
      <c r="W126" s="116">
        <f t="shared" si="22"/>
        <v>0</v>
      </c>
      <c r="X126" s="116">
        <f t="shared" si="23"/>
        <v>0</v>
      </c>
      <c r="Y126" s="116">
        <f t="shared" si="24"/>
        <v>0</v>
      </c>
      <c r="Z126" s="116">
        <f t="shared" si="25"/>
        <v>0</v>
      </c>
      <c r="AA126" s="116">
        <f t="shared" si="26"/>
        <v>0</v>
      </c>
      <c r="AB126" s="116">
        <f t="shared" si="27"/>
        <v>0</v>
      </c>
      <c r="AC126" s="116">
        <f t="shared" si="28"/>
        <v>0</v>
      </c>
      <c r="AD126" s="116">
        <f t="shared" si="29"/>
        <v>0</v>
      </c>
      <c r="AE126" s="116">
        <f t="shared" si="30"/>
        <v>0</v>
      </c>
    </row>
    <row r="127" spans="1:32">
      <c r="A127" s="131">
        <v>42408</v>
      </c>
      <c r="B127" s="131">
        <v>42437</v>
      </c>
      <c r="C127" s="123">
        <f t="shared" si="19"/>
        <v>29</v>
      </c>
      <c r="D127" s="132">
        <v>251.51000000000005</v>
      </c>
      <c r="E127" s="110"/>
      <c r="F127" s="123"/>
      <c r="G127" s="123">
        <v>22</v>
      </c>
      <c r="H127" s="123">
        <v>7</v>
      </c>
      <c r="I127" s="123"/>
      <c r="J127" s="123"/>
      <c r="K127" s="123"/>
      <c r="L127" s="123"/>
      <c r="M127" s="123"/>
      <c r="N127" s="123"/>
      <c r="O127" s="123"/>
      <c r="P127" s="123"/>
      <c r="Q127" s="123"/>
      <c r="R127" s="133">
        <f t="shared" si="18"/>
        <v>0</v>
      </c>
      <c r="S127" s="133"/>
      <c r="T127" s="116">
        <f t="shared" si="31"/>
        <v>0</v>
      </c>
      <c r="U127" s="116">
        <f t="shared" si="20"/>
        <v>1837.45</v>
      </c>
      <c r="V127" s="116">
        <f t="shared" si="21"/>
        <v>672.9</v>
      </c>
      <c r="W127" s="116">
        <f t="shared" si="22"/>
        <v>0</v>
      </c>
      <c r="X127" s="116">
        <f t="shared" si="23"/>
        <v>0</v>
      </c>
      <c r="Y127" s="116">
        <f t="shared" si="24"/>
        <v>0</v>
      </c>
      <c r="Z127" s="116">
        <f t="shared" si="25"/>
        <v>0</v>
      </c>
      <c r="AA127" s="116">
        <f t="shared" si="26"/>
        <v>0</v>
      </c>
      <c r="AB127" s="116">
        <f t="shared" si="27"/>
        <v>0</v>
      </c>
      <c r="AC127" s="116">
        <f t="shared" si="28"/>
        <v>0</v>
      </c>
      <c r="AD127" s="116">
        <f t="shared" si="29"/>
        <v>0</v>
      </c>
      <c r="AE127" s="116">
        <f t="shared" si="30"/>
        <v>0</v>
      </c>
    </row>
    <row r="128" spans="1:32">
      <c r="A128" s="131">
        <v>42408</v>
      </c>
      <c r="B128" s="131">
        <v>42437</v>
      </c>
      <c r="C128" s="123">
        <f t="shared" si="19"/>
        <v>29</v>
      </c>
      <c r="D128" s="132">
        <v>1049.08</v>
      </c>
      <c r="E128" s="110"/>
      <c r="F128" s="123"/>
      <c r="G128" s="123">
        <v>22</v>
      </c>
      <c r="H128" s="123">
        <v>7</v>
      </c>
      <c r="I128" s="123"/>
      <c r="J128" s="123"/>
      <c r="K128" s="123"/>
      <c r="L128" s="123"/>
      <c r="M128" s="123"/>
      <c r="N128" s="123"/>
      <c r="O128" s="123"/>
      <c r="P128" s="123"/>
      <c r="Q128" s="123"/>
      <c r="R128" s="133">
        <f t="shared" si="18"/>
        <v>0</v>
      </c>
      <c r="S128" s="133"/>
      <c r="T128" s="116">
        <f t="shared" si="31"/>
        <v>0</v>
      </c>
      <c r="U128" s="116">
        <f t="shared" si="20"/>
        <v>7664.23</v>
      </c>
      <c r="V128" s="116">
        <f t="shared" si="21"/>
        <v>2806.76</v>
      </c>
      <c r="W128" s="116">
        <f t="shared" si="22"/>
        <v>0</v>
      </c>
      <c r="X128" s="116">
        <f t="shared" si="23"/>
        <v>0</v>
      </c>
      <c r="Y128" s="116">
        <f t="shared" si="24"/>
        <v>0</v>
      </c>
      <c r="Z128" s="116">
        <f t="shared" si="25"/>
        <v>0</v>
      </c>
      <c r="AA128" s="116">
        <f t="shared" si="26"/>
        <v>0</v>
      </c>
      <c r="AB128" s="116">
        <f t="shared" si="27"/>
        <v>0</v>
      </c>
      <c r="AC128" s="116">
        <f t="shared" si="28"/>
        <v>0</v>
      </c>
      <c r="AD128" s="116">
        <f t="shared" si="29"/>
        <v>0</v>
      </c>
      <c r="AE128" s="116">
        <f t="shared" si="30"/>
        <v>0</v>
      </c>
    </row>
    <row r="129" spans="1:32">
      <c r="A129" s="131">
        <v>42401</v>
      </c>
      <c r="B129" s="131">
        <v>42430</v>
      </c>
      <c r="C129" s="123">
        <f t="shared" si="19"/>
        <v>29</v>
      </c>
      <c r="D129" s="132">
        <v>84.91</v>
      </c>
      <c r="E129" s="110"/>
      <c r="F129" s="123"/>
      <c r="G129" s="123">
        <v>29</v>
      </c>
      <c r="H129" s="123"/>
      <c r="I129" s="123"/>
      <c r="J129" s="123"/>
      <c r="K129" s="123"/>
      <c r="L129" s="123"/>
      <c r="M129" s="123"/>
      <c r="N129" s="123"/>
      <c r="O129" s="123"/>
      <c r="P129" s="123"/>
      <c r="Q129" s="123"/>
      <c r="R129" s="133">
        <f t="shared" si="18"/>
        <v>0</v>
      </c>
      <c r="S129" s="133"/>
      <c r="T129" s="116">
        <f t="shared" si="31"/>
        <v>0</v>
      </c>
      <c r="U129" s="116">
        <f t="shared" si="20"/>
        <v>817.7</v>
      </c>
      <c r="V129" s="116">
        <f t="shared" si="21"/>
        <v>0</v>
      </c>
      <c r="W129" s="116">
        <f t="shared" si="22"/>
        <v>0</v>
      </c>
      <c r="X129" s="116">
        <f t="shared" si="23"/>
        <v>0</v>
      </c>
      <c r="Y129" s="116">
        <f t="shared" si="24"/>
        <v>0</v>
      </c>
      <c r="Z129" s="116">
        <f t="shared" si="25"/>
        <v>0</v>
      </c>
      <c r="AA129" s="116">
        <f t="shared" si="26"/>
        <v>0</v>
      </c>
      <c r="AB129" s="116">
        <f t="shared" si="27"/>
        <v>0</v>
      </c>
      <c r="AC129" s="116">
        <f t="shared" si="28"/>
        <v>0</v>
      </c>
      <c r="AD129" s="116">
        <f t="shared" si="29"/>
        <v>0</v>
      </c>
      <c r="AE129" s="116">
        <f t="shared" si="30"/>
        <v>0</v>
      </c>
      <c r="AF129" s="149"/>
    </row>
    <row r="130" spans="1:32">
      <c r="A130" s="131">
        <v>42412</v>
      </c>
      <c r="B130" s="131">
        <v>42441</v>
      </c>
      <c r="C130" s="123">
        <f t="shared" si="19"/>
        <v>29</v>
      </c>
      <c r="D130" s="132">
        <v>1884.11</v>
      </c>
      <c r="E130" s="110"/>
      <c r="F130" s="123"/>
      <c r="G130" s="123">
        <v>18</v>
      </c>
      <c r="H130" s="123">
        <v>11</v>
      </c>
      <c r="I130" s="123"/>
      <c r="J130" s="123"/>
      <c r="K130" s="123"/>
      <c r="L130" s="123"/>
      <c r="M130" s="123"/>
      <c r="N130" s="123"/>
      <c r="O130" s="123"/>
      <c r="P130" s="123"/>
      <c r="Q130" s="123"/>
      <c r="R130" s="133">
        <f t="shared" si="18"/>
        <v>0</v>
      </c>
      <c r="S130" s="133"/>
      <c r="T130" s="116">
        <f t="shared" si="31"/>
        <v>0</v>
      </c>
      <c r="U130" s="116">
        <f t="shared" si="20"/>
        <v>11262.01</v>
      </c>
      <c r="V130" s="116">
        <f t="shared" si="21"/>
        <v>7921.33</v>
      </c>
      <c r="W130" s="116">
        <f t="shared" si="22"/>
        <v>0</v>
      </c>
      <c r="X130" s="116">
        <f t="shared" si="23"/>
        <v>0</v>
      </c>
      <c r="Y130" s="116">
        <f t="shared" si="24"/>
        <v>0</v>
      </c>
      <c r="Z130" s="116">
        <f t="shared" si="25"/>
        <v>0</v>
      </c>
      <c r="AA130" s="116">
        <f t="shared" si="26"/>
        <v>0</v>
      </c>
      <c r="AB130" s="116">
        <f t="shared" si="27"/>
        <v>0</v>
      </c>
      <c r="AC130" s="116">
        <f t="shared" si="28"/>
        <v>0</v>
      </c>
      <c r="AD130" s="116">
        <f t="shared" si="29"/>
        <v>0</v>
      </c>
      <c r="AE130" s="116">
        <f t="shared" si="30"/>
        <v>0</v>
      </c>
    </row>
    <row r="131" spans="1:32">
      <c r="A131" s="131">
        <v>42412</v>
      </c>
      <c r="B131" s="131">
        <v>42441</v>
      </c>
      <c r="C131" s="123">
        <f t="shared" si="19"/>
        <v>29</v>
      </c>
      <c r="D131" s="132">
        <v>150.56</v>
      </c>
      <c r="E131" s="110"/>
      <c r="F131" s="123"/>
      <c r="G131" s="123">
        <v>18</v>
      </c>
      <c r="H131" s="123">
        <v>11</v>
      </c>
      <c r="I131" s="123"/>
      <c r="J131" s="123"/>
      <c r="K131" s="123"/>
      <c r="L131" s="123"/>
      <c r="M131" s="123"/>
      <c r="N131" s="123"/>
      <c r="O131" s="123"/>
      <c r="P131" s="123"/>
      <c r="Q131" s="123"/>
      <c r="R131" s="133">
        <f t="shared" si="18"/>
        <v>0</v>
      </c>
      <c r="S131" s="133"/>
      <c r="T131" s="116">
        <f t="shared" si="31"/>
        <v>0</v>
      </c>
      <c r="U131" s="116">
        <f t="shared" si="20"/>
        <v>899.95</v>
      </c>
      <c r="V131" s="116">
        <f t="shared" si="21"/>
        <v>633</v>
      </c>
      <c r="W131" s="116">
        <f t="shared" si="22"/>
        <v>0</v>
      </c>
      <c r="X131" s="116">
        <f t="shared" si="23"/>
        <v>0</v>
      </c>
      <c r="Y131" s="116">
        <f t="shared" si="24"/>
        <v>0</v>
      </c>
      <c r="Z131" s="116">
        <f t="shared" si="25"/>
        <v>0</v>
      </c>
      <c r="AA131" s="116">
        <f t="shared" si="26"/>
        <v>0</v>
      </c>
      <c r="AB131" s="116">
        <f t="shared" si="27"/>
        <v>0</v>
      </c>
      <c r="AC131" s="116">
        <f t="shared" si="28"/>
        <v>0</v>
      </c>
      <c r="AD131" s="116">
        <f t="shared" si="29"/>
        <v>0</v>
      </c>
      <c r="AE131" s="116">
        <f t="shared" si="30"/>
        <v>0</v>
      </c>
    </row>
    <row r="132" spans="1:32" ht="15.75" thickBot="1">
      <c r="A132" s="131">
        <v>42412</v>
      </c>
      <c r="B132" s="131">
        <v>42441</v>
      </c>
      <c r="C132" s="123">
        <f t="shared" si="19"/>
        <v>29</v>
      </c>
      <c r="D132" s="132">
        <v>1125.1000000000001</v>
      </c>
      <c r="E132" s="110"/>
      <c r="F132" s="123"/>
      <c r="G132" s="123">
        <v>18</v>
      </c>
      <c r="H132" s="123">
        <v>11</v>
      </c>
      <c r="I132" s="123"/>
      <c r="J132" s="123"/>
      <c r="K132" s="123"/>
      <c r="L132" s="123"/>
      <c r="M132" s="123"/>
      <c r="N132" s="123"/>
      <c r="O132" s="123"/>
      <c r="P132" s="123"/>
      <c r="Q132" s="123"/>
      <c r="R132" s="133">
        <f t="shared" si="18"/>
        <v>0</v>
      </c>
      <c r="S132" s="133"/>
      <c r="T132" s="116">
        <f t="shared" si="31"/>
        <v>0</v>
      </c>
      <c r="U132" s="116">
        <f t="shared" si="20"/>
        <v>6725.13</v>
      </c>
      <c r="V132" s="116">
        <f t="shared" si="21"/>
        <v>4730.24</v>
      </c>
      <c r="W132" s="116">
        <f t="shared" si="22"/>
        <v>0</v>
      </c>
      <c r="X132" s="116">
        <f t="shared" si="23"/>
        <v>0</v>
      </c>
      <c r="Y132" s="116">
        <f t="shared" si="24"/>
        <v>0</v>
      </c>
      <c r="Z132" s="116">
        <f t="shared" si="25"/>
        <v>0</v>
      </c>
      <c r="AA132" s="116">
        <f t="shared" si="26"/>
        <v>0</v>
      </c>
      <c r="AB132" s="116">
        <f t="shared" si="27"/>
        <v>0</v>
      </c>
      <c r="AC132" s="116">
        <f t="shared" si="28"/>
        <v>0</v>
      </c>
      <c r="AD132" s="116">
        <f t="shared" si="29"/>
        <v>0</v>
      </c>
      <c r="AE132" s="116">
        <f t="shared" si="30"/>
        <v>0</v>
      </c>
    </row>
    <row r="133" spans="1:32" ht="15.75" thickBot="1">
      <c r="A133" s="194" t="s">
        <v>38</v>
      </c>
      <c r="B133" s="195"/>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6"/>
    </row>
    <row r="134" spans="1:32">
      <c r="A134" s="131">
        <v>42419</v>
      </c>
      <c r="B134" s="131">
        <v>42448</v>
      </c>
      <c r="C134" s="123">
        <f t="shared" si="19"/>
        <v>29</v>
      </c>
      <c r="D134" s="132">
        <v>1910.55</v>
      </c>
      <c r="E134" s="110"/>
      <c r="F134" s="123"/>
      <c r="G134" s="123">
        <v>11</v>
      </c>
      <c r="H134" s="123">
        <v>18</v>
      </c>
      <c r="I134" s="123"/>
      <c r="J134" s="123"/>
      <c r="K134" s="123"/>
      <c r="L134" s="123"/>
      <c r="M134" s="123"/>
      <c r="N134" s="123"/>
      <c r="O134" s="123"/>
      <c r="P134" s="123"/>
      <c r="Q134" s="123"/>
      <c r="R134" s="133">
        <f t="shared" si="18"/>
        <v>0</v>
      </c>
      <c r="S134" s="133"/>
      <c r="T134" s="116">
        <f t="shared" si="31"/>
        <v>0</v>
      </c>
      <c r="U134" s="116">
        <v>7318.15</v>
      </c>
      <c r="V134" s="116">
        <v>12640.44</v>
      </c>
      <c r="W134" s="116">
        <f t="shared" si="22"/>
        <v>0</v>
      </c>
      <c r="X134" s="116">
        <f t="shared" si="23"/>
        <v>0</v>
      </c>
      <c r="Y134" s="116">
        <f t="shared" si="24"/>
        <v>0</v>
      </c>
      <c r="Z134" s="116">
        <f t="shared" si="25"/>
        <v>0</v>
      </c>
      <c r="AA134" s="116">
        <f t="shared" si="26"/>
        <v>0</v>
      </c>
      <c r="AB134" s="116">
        <f t="shared" si="27"/>
        <v>0</v>
      </c>
      <c r="AC134" s="116">
        <f t="shared" si="28"/>
        <v>0</v>
      </c>
      <c r="AD134" s="116">
        <f t="shared" si="29"/>
        <v>0</v>
      </c>
      <c r="AE134" s="116">
        <f t="shared" si="30"/>
        <v>0</v>
      </c>
    </row>
    <row r="135" spans="1:32">
      <c r="A135" s="131">
        <v>42419</v>
      </c>
      <c r="B135" s="131">
        <v>42448</v>
      </c>
      <c r="C135" s="123">
        <f t="shared" si="19"/>
        <v>29</v>
      </c>
      <c r="D135" s="132">
        <v>671.39</v>
      </c>
      <c r="E135" s="110"/>
      <c r="F135" s="123"/>
      <c r="G135" s="123">
        <v>11</v>
      </c>
      <c r="H135" s="123">
        <v>18</v>
      </c>
      <c r="I135" s="123"/>
      <c r="J135" s="123"/>
      <c r="K135" s="123"/>
      <c r="L135" s="123"/>
      <c r="M135" s="123"/>
      <c r="N135" s="123"/>
      <c r="O135" s="123"/>
      <c r="P135" s="123"/>
      <c r="Q135" s="123"/>
      <c r="R135" s="133">
        <f t="shared" si="18"/>
        <v>0</v>
      </c>
      <c r="S135" s="133"/>
      <c r="T135" s="116">
        <f t="shared" si="31"/>
        <v>0</v>
      </c>
      <c r="U135" s="116">
        <v>2571.69</v>
      </c>
      <c r="V135" s="116">
        <f>7013.69-U135</f>
        <v>4442</v>
      </c>
      <c r="W135" s="116">
        <f t="shared" si="22"/>
        <v>0</v>
      </c>
      <c r="X135" s="116">
        <f t="shared" si="23"/>
        <v>0</v>
      </c>
      <c r="Y135" s="116">
        <f t="shared" si="24"/>
        <v>0</v>
      </c>
      <c r="Z135" s="116">
        <f t="shared" si="25"/>
        <v>0</v>
      </c>
      <c r="AA135" s="116">
        <f t="shared" si="26"/>
        <v>0</v>
      </c>
      <c r="AB135" s="116">
        <f t="shared" si="27"/>
        <v>0</v>
      </c>
      <c r="AC135" s="116">
        <f t="shared" si="28"/>
        <v>0</v>
      </c>
      <c r="AD135" s="116">
        <f t="shared" si="29"/>
        <v>0</v>
      </c>
      <c r="AE135" s="116">
        <f t="shared" si="30"/>
        <v>0</v>
      </c>
    </row>
    <row r="136" spans="1:32">
      <c r="A136" s="131">
        <v>42419</v>
      </c>
      <c r="B136" s="131">
        <v>42448</v>
      </c>
      <c r="C136" s="123">
        <f t="shared" si="19"/>
        <v>29</v>
      </c>
      <c r="D136" s="132">
        <v>617.74</v>
      </c>
      <c r="E136" s="110"/>
      <c r="F136" s="123"/>
      <c r="G136" s="123">
        <v>11</v>
      </c>
      <c r="H136" s="123">
        <v>18</v>
      </c>
      <c r="I136" s="123"/>
      <c r="J136" s="123"/>
      <c r="K136" s="123"/>
      <c r="L136" s="123"/>
      <c r="M136" s="123"/>
      <c r="N136" s="123"/>
      <c r="O136" s="123"/>
      <c r="P136" s="123"/>
      <c r="Q136" s="123"/>
      <c r="R136" s="133">
        <f t="shared" si="18"/>
        <v>0</v>
      </c>
      <c r="S136" s="133"/>
      <c r="T136" s="116">
        <f t="shared" si="31"/>
        <v>0</v>
      </c>
      <c r="U136" s="116">
        <v>2366.19</v>
      </c>
      <c r="V136" s="116">
        <f>6453.23-U136</f>
        <v>4087.0399999999995</v>
      </c>
      <c r="W136" s="116">
        <f t="shared" si="22"/>
        <v>0</v>
      </c>
      <c r="X136" s="116">
        <f t="shared" si="23"/>
        <v>0</v>
      </c>
      <c r="Y136" s="116">
        <f t="shared" si="24"/>
        <v>0</v>
      </c>
      <c r="Z136" s="116">
        <f t="shared" si="25"/>
        <v>0</v>
      </c>
      <c r="AA136" s="116">
        <f t="shared" si="26"/>
        <v>0</v>
      </c>
      <c r="AB136" s="116">
        <f t="shared" si="27"/>
        <v>0</v>
      </c>
      <c r="AC136" s="116">
        <f t="shared" si="28"/>
        <v>0</v>
      </c>
      <c r="AD136" s="116">
        <f t="shared" si="29"/>
        <v>0</v>
      </c>
      <c r="AE136" s="116">
        <f t="shared" si="30"/>
        <v>0</v>
      </c>
    </row>
    <row r="137" spans="1:32">
      <c r="A137" s="131">
        <v>42415</v>
      </c>
      <c r="B137" s="131">
        <v>42444</v>
      </c>
      <c r="C137" s="123">
        <f t="shared" si="19"/>
        <v>29</v>
      </c>
      <c r="D137" s="132">
        <v>38566.44</v>
      </c>
      <c r="E137" s="110"/>
      <c r="F137" s="123"/>
      <c r="G137" s="123">
        <v>15</v>
      </c>
      <c r="H137" s="123">
        <v>14</v>
      </c>
      <c r="I137" s="123"/>
      <c r="J137" s="123"/>
      <c r="K137" s="123"/>
      <c r="L137" s="123"/>
      <c r="M137" s="123"/>
      <c r="N137" s="123"/>
      <c r="O137" s="123"/>
      <c r="P137" s="123"/>
      <c r="Q137" s="123"/>
      <c r="R137" s="133">
        <f t="shared" si="18"/>
        <v>0</v>
      </c>
      <c r="S137" s="133"/>
      <c r="T137" s="116">
        <f t="shared" si="31"/>
        <v>0</v>
      </c>
      <c r="U137" s="116">
        <v>197486.22</v>
      </c>
      <c r="V137" s="116">
        <f>394972.44-U137</f>
        <v>197486.22</v>
      </c>
      <c r="W137" s="116">
        <f t="shared" si="22"/>
        <v>0</v>
      </c>
      <c r="X137" s="116">
        <f t="shared" si="23"/>
        <v>0</v>
      </c>
      <c r="Y137" s="116">
        <f t="shared" si="24"/>
        <v>0</v>
      </c>
      <c r="Z137" s="116">
        <f t="shared" si="25"/>
        <v>0</v>
      </c>
      <c r="AA137" s="116">
        <f t="shared" si="26"/>
        <v>0</v>
      </c>
      <c r="AB137" s="116">
        <f t="shared" si="27"/>
        <v>0</v>
      </c>
      <c r="AC137" s="116">
        <f t="shared" si="28"/>
        <v>0</v>
      </c>
      <c r="AD137" s="116">
        <f t="shared" si="29"/>
        <v>0</v>
      </c>
      <c r="AE137" s="116">
        <f t="shared" si="30"/>
        <v>0</v>
      </c>
    </row>
    <row r="138" spans="1:32">
      <c r="A138" s="131">
        <v>42415</v>
      </c>
      <c r="B138" s="131">
        <v>42444</v>
      </c>
      <c r="C138" s="123">
        <f t="shared" si="19"/>
        <v>29</v>
      </c>
      <c r="D138" s="132">
        <v>84.33</v>
      </c>
      <c r="E138" s="110"/>
      <c r="F138" s="123"/>
      <c r="G138" s="123">
        <v>15</v>
      </c>
      <c r="H138" s="123">
        <v>14</v>
      </c>
      <c r="I138" s="123"/>
      <c r="J138" s="123"/>
      <c r="K138" s="123"/>
      <c r="L138" s="123"/>
      <c r="M138" s="123"/>
      <c r="N138" s="123"/>
      <c r="O138" s="123"/>
      <c r="P138" s="123"/>
      <c r="Q138" s="123"/>
      <c r="R138" s="133">
        <f t="shared" si="18"/>
        <v>0</v>
      </c>
      <c r="S138" s="133"/>
      <c r="T138" s="116">
        <f t="shared" si="31"/>
        <v>0</v>
      </c>
      <c r="U138" s="116">
        <v>431.82</v>
      </c>
      <c r="V138" s="116">
        <v>431.82</v>
      </c>
      <c r="W138" s="116">
        <f t="shared" si="22"/>
        <v>0</v>
      </c>
      <c r="X138" s="116">
        <f t="shared" si="23"/>
        <v>0</v>
      </c>
      <c r="Y138" s="116">
        <f t="shared" si="24"/>
        <v>0</v>
      </c>
      <c r="Z138" s="116">
        <f t="shared" si="25"/>
        <v>0</v>
      </c>
      <c r="AA138" s="116">
        <f t="shared" si="26"/>
        <v>0</v>
      </c>
      <c r="AB138" s="116">
        <f t="shared" si="27"/>
        <v>0</v>
      </c>
      <c r="AC138" s="116">
        <f t="shared" si="28"/>
        <v>0</v>
      </c>
      <c r="AD138" s="116">
        <f t="shared" si="29"/>
        <v>0</v>
      </c>
      <c r="AE138" s="116">
        <f t="shared" si="30"/>
        <v>0</v>
      </c>
    </row>
    <row r="139" spans="1:32">
      <c r="A139" s="131">
        <v>42415</v>
      </c>
      <c r="B139" s="131">
        <v>42444</v>
      </c>
      <c r="C139" s="123">
        <f t="shared" si="19"/>
        <v>29</v>
      </c>
      <c r="D139" s="132">
        <v>8274.880000000001</v>
      </c>
      <c r="E139" s="110"/>
      <c r="F139" s="123"/>
      <c r="G139" s="123">
        <v>15</v>
      </c>
      <c r="H139" s="123">
        <v>14</v>
      </c>
      <c r="I139" s="123"/>
      <c r="J139" s="123"/>
      <c r="K139" s="123"/>
      <c r="L139" s="123"/>
      <c r="M139" s="123"/>
      <c r="N139" s="123"/>
      <c r="O139" s="123"/>
      <c r="P139" s="123"/>
      <c r="Q139" s="123"/>
      <c r="R139" s="133">
        <f t="shared" si="18"/>
        <v>0</v>
      </c>
      <c r="S139" s="133"/>
      <c r="T139" s="116">
        <f t="shared" si="31"/>
        <v>0</v>
      </c>
      <c r="U139" s="116">
        <v>42372.97</v>
      </c>
      <c r="V139" s="116">
        <f>+U139</f>
        <v>42372.97</v>
      </c>
      <c r="W139" s="116">
        <f t="shared" si="22"/>
        <v>0</v>
      </c>
      <c r="X139" s="116">
        <f t="shared" si="23"/>
        <v>0</v>
      </c>
      <c r="Y139" s="116">
        <f t="shared" si="24"/>
        <v>0</v>
      </c>
      <c r="Z139" s="116">
        <f t="shared" si="25"/>
        <v>0</v>
      </c>
      <c r="AA139" s="116">
        <f t="shared" si="26"/>
        <v>0</v>
      </c>
      <c r="AB139" s="116">
        <f t="shared" si="27"/>
        <v>0</v>
      </c>
      <c r="AC139" s="116">
        <f t="shared" si="28"/>
        <v>0</v>
      </c>
      <c r="AD139" s="116">
        <f t="shared" si="29"/>
        <v>0</v>
      </c>
      <c r="AE139" s="116">
        <f t="shared" si="30"/>
        <v>0</v>
      </c>
    </row>
    <row r="140" spans="1:32">
      <c r="A140" s="131">
        <v>42415</v>
      </c>
      <c r="B140" s="131">
        <v>42444</v>
      </c>
      <c r="C140" s="123">
        <f t="shared" si="19"/>
        <v>29</v>
      </c>
      <c r="D140" s="132">
        <v>2982.21</v>
      </c>
      <c r="E140" s="110"/>
      <c r="F140" s="123"/>
      <c r="G140" s="123">
        <v>15</v>
      </c>
      <c r="H140" s="123">
        <v>14</v>
      </c>
      <c r="I140" s="123"/>
      <c r="J140" s="123"/>
      <c r="K140" s="123"/>
      <c r="L140" s="123"/>
      <c r="M140" s="123"/>
      <c r="N140" s="123"/>
      <c r="O140" s="123"/>
      <c r="P140" s="123"/>
      <c r="Q140" s="123"/>
      <c r="R140" s="133">
        <f t="shared" si="18"/>
        <v>0</v>
      </c>
      <c r="S140" s="133"/>
      <c r="T140" s="116">
        <f t="shared" si="31"/>
        <v>0</v>
      </c>
      <c r="U140" s="116">
        <v>15270.93</v>
      </c>
      <c r="V140" s="116">
        <v>15270.93</v>
      </c>
      <c r="W140" s="116">
        <f t="shared" si="22"/>
        <v>0</v>
      </c>
      <c r="X140" s="116">
        <f t="shared" si="23"/>
        <v>0</v>
      </c>
      <c r="Y140" s="116">
        <f t="shared" si="24"/>
        <v>0</v>
      </c>
      <c r="Z140" s="116">
        <f t="shared" si="25"/>
        <v>0</v>
      </c>
      <c r="AA140" s="116">
        <f t="shared" si="26"/>
        <v>0</v>
      </c>
      <c r="AB140" s="116">
        <f t="shared" si="27"/>
        <v>0</v>
      </c>
      <c r="AC140" s="116">
        <f t="shared" si="28"/>
        <v>0</v>
      </c>
      <c r="AD140" s="116">
        <f t="shared" si="29"/>
        <v>0</v>
      </c>
      <c r="AE140" s="116">
        <f t="shared" si="30"/>
        <v>0</v>
      </c>
    </row>
    <row r="141" spans="1:32">
      <c r="A141" s="131">
        <v>42426</v>
      </c>
      <c r="B141" s="131">
        <v>42455</v>
      </c>
      <c r="C141" s="123">
        <f t="shared" si="19"/>
        <v>29</v>
      </c>
      <c r="D141" s="132">
        <v>1213.82</v>
      </c>
      <c r="E141" s="110"/>
      <c r="F141" s="123"/>
      <c r="G141" s="123">
        <v>4</v>
      </c>
      <c r="H141" s="123">
        <v>25</v>
      </c>
      <c r="I141" s="123"/>
      <c r="J141" s="123"/>
      <c r="K141" s="123"/>
      <c r="L141" s="123"/>
      <c r="M141" s="123"/>
      <c r="N141" s="123"/>
      <c r="O141" s="123"/>
      <c r="P141" s="123"/>
      <c r="Q141" s="123"/>
      <c r="R141" s="133">
        <f t="shared" si="18"/>
        <v>0</v>
      </c>
      <c r="S141" s="133"/>
      <c r="T141" s="116">
        <f t="shared" si="31"/>
        <v>0</v>
      </c>
      <c r="U141" s="116">
        <v>1753.75</v>
      </c>
      <c r="V141" s="116">
        <f>13153.14-U141</f>
        <v>11399.39</v>
      </c>
      <c r="W141" s="116">
        <f t="shared" si="22"/>
        <v>0</v>
      </c>
      <c r="X141" s="116">
        <f t="shared" si="23"/>
        <v>0</v>
      </c>
      <c r="Y141" s="116">
        <f t="shared" si="24"/>
        <v>0</v>
      </c>
      <c r="Z141" s="116">
        <f t="shared" si="25"/>
        <v>0</v>
      </c>
      <c r="AA141" s="116">
        <f t="shared" si="26"/>
        <v>0</v>
      </c>
      <c r="AB141" s="116">
        <f t="shared" si="27"/>
        <v>0</v>
      </c>
      <c r="AC141" s="116">
        <f t="shared" si="28"/>
        <v>0</v>
      </c>
      <c r="AD141" s="116">
        <f t="shared" si="29"/>
        <v>0</v>
      </c>
      <c r="AE141" s="116">
        <f t="shared" si="30"/>
        <v>0</v>
      </c>
    </row>
    <row r="142" spans="1:32">
      <c r="A142" s="131">
        <v>42426</v>
      </c>
      <c r="B142" s="131">
        <v>42455</v>
      </c>
      <c r="C142" s="123">
        <f t="shared" si="19"/>
        <v>29</v>
      </c>
      <c r="D142" s="132">
        <v>1136.03</v>
      </c>
      <c r="E142" s="110"/>
      <c r="F142" s="123"/>
      <c r="G142" s="123">
        <v>4</v>
      </c>
      <c r="H142" s="123">
        <v>25</v>
      </c>
      <c r="I142" s="123"/>
      <c r="J142" s="123"/>
      <c r="K142" s="123"/>
      <c r="L142" s="123"/>
      <c r="M142" s="123"/>
      <c r="N142" s="123"/>
      <c r="O142" s="123"/>
      <c r="P142" s="123"/>
      <c r="Q142" s="123"/>
      <c r="R142" s="133">
        <f t="shared" si="18"/>
        <v>0</v>
      </c>
      <c r="S142" s="133"/>
      <c r="T142" s="116">
        <f t="shared" si="31"/>
        <v>0</v>
      </c>
      <c r="U142" s="116">
        <v>1641.36</v>
      </c>
      <c r="V142" s="116">
        <f>12310.2-U142</f>
        <v>10668.84</v>
      </c>
      <c r="W142" s="116">
        <f t="shared" si="22"/>
        <v>0</v>
      </c>
      <c r="X142" s="116">
        <f t="shared" si="23"/>
        <v>0</v>
      </c>
      <c r="Y142" s="116">
        <f t="shared" si="24"/>
        <v>0</v>
      </c>
      <c r="Z142" s="116">
        <f t="shared" si="25"/>
        <v>0</v>
      </c>
      <c r="AA142" s="116">
        <f t="shared" si="26"/>
        <v>0</v>
      </c>
      <c r="AB142" s="116">
        <f t="shared" si="27"/>
        <v>0</v>
      </c>
      <c r="AC142" s="116">
        <f t="shared" si="28"/>
        <v>0</v>
      </c>
      <c r="AD142" s="116">
        <f t="shared" si="29"/>
        <v>0</v>
      </c>
      <c r="AE142" s="116">
        <f t="shared" si="30"/>
        <v>0</v>
      </c>
    </row>
    <row r="143" spans="1:32">
      <c r="A143" s="131">
        <v>42428</v>
      </c>
      <c r="B143" s="131">
        <v>42457</v>
      </c>
      <c r="C143" s="123">
        <f t="shared" si="19"/>
        <v>29</v>
      </c>
      <c r="D143" s="132">
        <v>1246.1300000000001</v>
      </c>
      <c r="E143" s="110"/>
      <c r="F143" s="123"/>
      <c r="G143" s="123">
        <v>2</v>
      </c>
      <c r="H143" s="123">
        <v>27</v>
      </c>
      <c r="I143" s="123"/>
      <c r="J143" s="123"/>
      <c r="K143" s="123"/>
      <c r="L143" s="123"/>
      <c r="M143" s="123"/>
      <c r="N143" s="123"/>
      <c r="O143" s="123"/>
      <c r="P143" s="123"/>
      <c r="Q143" s="123"/>
      <c r="R143" s="133">
        <f t="shared" si="18"/>
        <v>0</v>
      </c>
      <c r="S143" s="133"/>
      <c r="T143" s="116">
        <f t="shared" si="31"/>
        <v>0</v>
      </c>
      <c r="U143" s="116">
        <f t="shared" si="20"/>
        <v>827.62</v>
      </c>
      <c r="V143" s="116">
        <f t="shared" si="21"/>
        <v>12859.57</v>
      </c>
      <c r="W143" s="116">
        <f t="shared" si="22"/>
        <v>0</v>
      </c>
      <c r="X143" s="116">
        <f t="shared" si="23"/>
        <v>0</v>
      </c>
      <c r="Y143" s="116">
        <f t="shared" si="24"/>
        <v>0</v>
      </c>
      <c r="Z143" s="116">
        <f t="shared" si="25"/>
        <v>0</v>
      </c>
      <c r="AA143" s="116">
        <f t="shared" si="26"/>
        <v>0</v>
      </c>
      <c r="AB143" s="116">
        <f t="shared" si="27"/>
        <v>0</v>
      </c>
      <c r="AC143" s="116">
        <f t="shared" si="28"/>
        <v>0</v>
      </c>
      <c r="AD143" s="116">
        <f t="shared" si="29"/>
        <v>0</v>
      </c>
      <c r="AE143" s="116">
        <f t="shared" si="30"/>
        <v>0</v>
      </c>
    </row>
    <row r="144" spans="1:32">
      <c r="A144" s="131">
        <v>42428</v>
      </c>
      <c r="B144" s="131">
        <v>42457</v>
      </c>
      <c r="C144" s="123">
        <f t="shared" si="19"/>
        <v>29</v>
      </c>
      <c r="D144" s="132">
        <v>1288.99</v>
      </c>
      <c r="E144" s="110"/>
      <c r="F144" s="123"/>
      <c r="G144" s="123">
        <v>2</v>
      </c>
      <c r="H144" s="123">
        <v>27</v>
      </c>
      <c r="I144" s="123"/>
      <c r="J144" s="123"/>
      <c r="K144" s="123"/>
      <c r="L144" s="123"/>
      <c r="M144" s="123"/>
      <c r="N144" s="123"/>
      <c r="O144" s="123"/>
      <c r="P144" s="123"/>
      <c r="Q144" s="123"/>
      <c r="R144" s="133">
        <f t="shared" si="18"/>
        <v>0</v>
      </c>
      <c r="S144" s="133"/>
      <c r="T144" s="116">
        <f t="shared" si="31"/>
        <v>0</v>
      </c>
      <c r="U144" s="116">
        <f t="shared" si="20"/>
        <v>856.08</v>
      </c>
      <c r="V144" s="116">
        <f t="shared" si="21"/>
        <v>13301.86</v>
      </c>
      <c r="W144" s="116">
        <f t="shared" si="22"/>
        <v>0</v>
      </c>
      <c r="X144" s="116">
        <f t="shared" si="23"/>
        <v>0</v>
      </c>
      <c r="Y144" s="116">
        <f t="shared" si="24"/>
        <v>0</v>
      </c>
      <c r="Z144" s="116">
        <f t="shared" si="25"/>
        <v>0</v>
      </c>
      <c r="AA144" s="116">
        <f t="shared" si="26"/>
        <v>0</v>
      </c>
      <c r="AB144" s="116">
        <f t="shared" si="27"/>
        <v>0</v>
      </c>
      <c r="AC144" s="116">
        <f t="shared" si="28"/>
        <v>0</v>
      </c>
      <c r="AD144" s="116">
        <f t="shared" si="29"/>
        <v>0</v>
      </c>
      <c r="AE144" s="116">
        <f t="shared" si="30"/>
        <v>0</v>
      </c>
    </row>
    <row r="145" spans="1:32">
      <c r="A145" s="131">
        <v>42422</v>
      </c>
      <c r="B145" s="131">
        <v>42451</v>
      </c>
      <c r="C145" s="123">
        <f t="shared" si="19"/>
        <v>29</v>
      </c>
      <c r="D145" s="132">
        <v>239053.07</v>
      </c>
      <c r="E145" s="110"/>
      <c r="F145" s="123"/>
      <c r="G145" s="123">
        <v>8</v>
      </c>
      <c r="H145" s="123">
        <v>21</v>
      </c>
      <c r="I145" s="123"/>
      <c r="J145" s="123"/>
      <c r="K145" s="123"/>
      <c r="L145" s="123"/>
      <c r="M145" s="123"/>
      <c r="N145" s="123"/>
      <c r="O145" s="123"/>
      <c r="P145" s="123"/>
      <c r="Q145" s="123"/>
      <c r="R145" s="133">
        <f t="shared" si="18"/>
        <v>0</v>
      </c>
      <c r="S145" s="133"/>
      <c r="T145" s="116">
        <f t="shared" si="31"/>
        <v>0</v>
      </c>
      <c r="U145" s="116">
        <v>675901.75</v>
      </c>
      <c r="V145" s="116">
        <v>1858729.83</v>
      </c>
      <c r="W145" s="116">
        <f t="shared" si="22"/>
        <v>0</v>
      </c>
      <c r="X145" s="116">
        <f t="shared" si="23"/>
        <v>0</v>
      </c>
      <c r="Y145" s="116">
        <f t="shared" si="24"/>
        <v>0</v>
      </c>
      <c r="Z145" s="116">
        <f t="shared" si="25"/>
        <v>0</v>
      </c>
      <c r="AA145" s="116">
        <f t="shared" si="26"/>
        <v>0</v>
      </c>
      <c r="AB145" s="116">
        <f t="shared" si="27"/>
        <v>0</v>
      </c>
      <c r="AC145" s="116">
        <f t="shared" si="28"/>
        <v>0</v>
      </c>
      <c r="AD145" s="116">
        <f t="shared" si="29"/>
        <v>0</v>
      </c>
      <c r="AE145" s="116">
        <f t="shared" si="30"/>
        <v>0</v>
      </c>
      <c r="AF145" s="116"/>
    </row>
    <row r="146" spans="1:32">
      <c r="A146" s="131">
        <v>42430</v>
      </c>
      <c r="B146" s="131">
        <v>42461</v>
      </c>
      <c r="C146" s="123">
        <f t="shared" si="19"/>
        <v>31</v>
      </c>
      <c r="D146" s="132">
        <v>235.85</v>
      </c>
      <c r="E146" s="110"/>
      <c r="F146" s="123"/>
      <c r="G146" s="123"/>
      <c r="H146" s="123">
        <v>31</v>
      </c>
      <c r="I146" s="123"/>
      <c r="J146" s="123"/>
      <c r="K146" s="123"/>
      <c r="L146" s="123"/>
      <c r="M146" s="123"/>
      <c r="N146" s="123"/>
      <c r="O146" s="123"/>
      <c r="P146" s="123"/>
      <c r="Q146" s="123"/>
      <c r="R146" s="133">
        <f t="shared" si="18"/>
        <v>0</v>
      </c>
      <c r="S146" s="133"/>
      <c r="T146" s="116">
        <f t="shared" si="31"/>
        <v>0</v>
      </c>
      <c r="U146" s="116">
        <f t="shared" si="20"/>
        <v>0</v>
      </c>
      <c r="V146" s="116">
        <f t="shared" si="21"/>
        <v>2614.17</v>
      </c>
      <c r="W146" s="116">
        <f t="shared" si="22"/>
        <v>0</v>
      </c>
      <c r="X146" s="116">
        <f t="shared" si="23"/>
        <v>0</v>
      </c>
      <c r="Y146" s="116">
        <f t="shared" si="24"/>
        <v>0</v>
      </c>
      <c r="Z146" s="116">
        <f t="shared" si="25"/>
        <v>0</v>
      </c>
      <c r="AA146" s="116">
        <f t="shared" si="26"/>
        <v>0</v>
      </c>
      <c r="AB146" s="116">
        <f t="shared" si="27"/>
        <v>0</v>
      </c>
      <c r="AC146" s="116">
        <f t="shared" si="28"/>
        <v>0</v>
      </c>
      <c r="AD146" s="116">
        <f t="shared" si="29"/>
        <v>0</v>
      </c>
      <c r="AE146" s="116">
        <f t="shared" si="30"/>
        <v>0</v>
      </c>
    </row>
    <row r="147" spans="1:32">
      <c r="A147" s="131">
        <v>42429</v>
      </c>
      <c r="B147" s="131">
        <v>42460</v>
      </c>
      <c r="C147" s="123">
        <f t="shared" si="19"/>
        <v>31</v>
      </c>
      <c r="D147" s="132">
        <v>5885.91</v>
      </c>
      <c r="E147" s="110"/>
      <c r="F147" s="123"/>
      <c r="G147" s="123">
        <v>1</v>
      </c>
      <c r="H147" s="123">
        <v>30</v>
      </c>
      <c r="I147" s="123"/>
      <c r="J147" s="123"/>
      <c r="K147" s="123"/>
      <c r="L147" s="123"/>
      <c r="M147" s="123"/>
      <c r="N147" s="123"/>
      <c r="O147" s="123"/>
      <c r="P147" s="123"/>
      <c r="Q147" s="123"/>
      <c r="R147" s="133">
        <f t="shared" si="18"/>
        <v>0</v>
      </c>
      <c r="S147" s="133"/>
      <c r="T147" s="116">
        <f t="shared" si="31"/>
        <v>0</v>
      </c>
      <c r="U147" s="116">
        <v>2162.87</v>
      </c>
      <c r="V147" s="116">
        <v>62723.32</v>
      </c>
      <c r="W147" s="116">
        <f t="shared" si="22"/>
        <v>0</v>
      </c>
      <c r="X147" s="116">
        <f t="shared" si="23"/>
        <v>0</v>
      </c>
      <c r="Y147" s="116">
        <f t="shared" si="24"/>
        <v>0</v>
      </c>
      <c r="Z147" s="116">
        <f t="shared" si="25"/>
        <v>0</v>
      </c>
      <c r="AA147" s="116">
        <f t="shared" si="26"/>
        <v>0</v>
      </c>
      <c r="AB147" s="116">
        <f t="shared" si="27"/>
        <v>0</v>
      </c>
      <c r="AC147" s="116">
        <f t="shared" si="28"/>
        <v>0</v>
      </c>
      <c r="AD147" s="116">
        <f t="shared" si="29"/>
        <v>0</v>
      </c>
      <c r="AE147" s="116">
        <f t="shared" si="30"/>
        <v>0</v>
      </c>
    </row>
    <row r="148" spans="1:32">
      <c r="A148" s="131">
        <v>42430</v>
      </c>
      <c r="B148" s="131">
        <v>42461</v>
      </c>
      <c r="C148" s="123">
        <f t="shared" si="19"/>
        <v>31</v>
      </c>
      <c r="D148" s="132">
        <v>14826.64</v>
      </c>
      <c r="E148" s="110"/>
      <c r="F148" s="123"/>
      <c r="G148" s="123"/>
      <c r="H148" s="123">
        <v>31</v>
      </c>
      <c r="I148" s="123"/>
      <c r="J148" s="123"/>
      <c r="K148" s="123"/>
      <c r="L148" s="123"/>
      <c r="M148" s="123"/>
      <c r="N148" s="123"/>
      <c r="O148" s="123"/>
      <c r="P148" s="123"/>
      <c r="Q148" s="123"/>
      <c r="R148" s="133">
        <f t="shared" si="18"/>
        <v>0</v>
      </c>
      <c r="S148" s="133"/>
      <c r="T148" s="116">
        <f t="shared" si="31"/>
        <v>0</v>
      </c>
      <c r="U148" s="116">
        <f t="shared" si="20"/>
        <v>0</v>
      </c>
      <c r="V148" s="116">
        <f t="shared" si="21"/>
        <v>164338.73000000001</v>
      </c>
      <c r="W148" s="116">
        <f t="shared" si="22"/>
        <v>0</v>
      </c>
      <c r="X148" s="116">
        <f t="shared" si="23"/>
        <v>0</v>
      </c>
      <c r="Y148" s="116">
        <f t="shared" si="24"/>
        <v>0</v>
      </c>
      <c r="Z148" s="116">
        <f t="shared" si="25"/>
        <v>0</v>
      </c>
      <c r="AA148" s="116">
        <f t="shared" si="26"/>
        <v>0</v>
      </c>
      <c r="AB148" s="116">
        <f t="shared" si="27"/>
        <v>0</v>
      </c>
      <c r="AC148" s="116">
        <f t="shared" si="28"/>
        <v>0</v>
      </c>
      <c r="AD148" s="116">
        <f t="shared" si="29"/>
        <v>0</v>
      </c>
      <c r="AE148" s="116">
        <f t="shared" si="30"/>
        <v>0</v>
      </c>
    </row>
    <row r="149" spans="1:32">
      <c r="A149" s="131">
        <v>42430</v>
      </c>
      <c r="B149" s="131">
        <v>42461</v>
      </c>
      <c r="C149" s="123">
        <f t="shared" si="19"/>
        <v>31</v>
      </c>
      <c r="D149" s="132">
        <v>144330.31</v>
      </c>
      <c r="E149" s="134"/>
      <c r="F149" s="135"/>
      <c r="G149" s="123"/>
      <c r="H149" s="123">
        <v>31</v>
      </c>
      <c r="I149" s="123"/>
      <c r="J149" s="123"/>
      <c r="K149" s="123"/>
      <c r="L149" s="123"/>
      <c r="M149" s="123"/>
      <c r="N149" s="123"/>
      <c r="O149" s="123"/>
      <c r="P149" s="123"/>
      <c r="Q149" s="123"/>
      <c r="R149" s="133">
        <f t="shared" si="18"/>
        <v>0</v>
      </c>
      <c r="S149" s="133"/>
      <c r="T149" s="116">
        <f>ROUND((D149*F149/C149)/$C$6,2)</f>
        <v>0</v>
      </c>
      <c r="U149" s="116">
        <f t="shared" si="20"/>
        <v>0</v>
      </c>
      <c r="V149" s="116">
        <f t="shared" si="21"/>
        <v>1599759.59</v>
      </c>
      <c r="W149" s="116">
        <f t="shared" si="22"/>
        <v>0</v>
      </c>
      <c r="X149" s="116">
        <f t="shared" si="23"/>
        <v>0</v>
      </c>
      <c r="Y149" s="116">
        <f t="shared" si="24"/>
        <v>0</v>
      </c>
      <c r="Z149" s="116">
        <f t="shared" si="25"/>
        <v>0</v>
      </c>
      <c r="AA149" s="116">
        <f t="shared" si="26"/>
        <v>0</v>
      </c>
      <c r="AB149" s="116">
        <f t="shared" si="27"/>
        <v>0</v>
      </c>
      <c r="AC149" s="116">
        <f t="shared" si="28"/>
        <v>0</v>
      </c>
      <c r="AD149" s="116">
        <f t="shared" si="29"/>
        <v>0</v>
      </c>
      <c r="AE149" s="116">
        <f t="shared" si="30"/>
        <v>0</v>
      </c>
    </row>
    <row r="150" spans="1:32">
      <c r="A150" s="131">
        <v>42430</v>
      </c>
      <c r="B150" s="131">
        <v>42461</v>
      </c>
      <c r="C150" s="123">
        <f t="shared" si="19"/>
        <v>31</v>
      </c>
      <c r="D150" s="132">
        <v>49091.93</v>
      </c>
      <c r="E150" s="134"/>
      <c r="F150" s="135"/>
      <c r="G150" s="123"/>
      <c r="H150" s="123">
        <v>31</v>
      </c>
      <c r="I150" s="123"/>
      <c r="J150" s="123"/>
      <c r="K150" s="123"/>
      <c r="L150" s="123"/>
      <c r="M150" s="123"/>
      <c r="N150" s="123"/>
      <c r="O150" s="123"/>
      <c r="P150" s="123"/>
      <c r="Q150" s="123"/>
      <c r="R150" s="133">
        <f t="shared" si="18"/>
        <v>0</v>
      </c>
      <c r="S150" s="133"/>
      <c r="T150" s="116">
        <f t="shared" si="31"/>
        <v>0</v>
      </c>
      <c r="U150" s="116">
        <f t="shared" si="20"/>
        <v>0</v>
      </c>
      <c r="V150" s="116">
        <f t="shared" si="21"/>
        <v>544135.78</v>
      </c>
      <c r="W150" s="116">
        <f t="shared" si="22"/>
        <v>0</v>
      </c>
      <c r="X150" s="116">
        <f t="shared" si="23"/>
        <v>0</v>
      </c>
      <c r="Y150" s="116">
        <f t="shared" si="24"/>
        <v>0</v>
      </c>
      <c r="Z150" s="116">
        <f t="shared" si="25"/>
        <v>0</v>
      </c>
      <c r="AA150" s="116">
        <f t="shared" si="26"/>
        <v>0</v>
      </c>
      <c r="AB150" s="116">
        <f t="shared" si="27"/>
        <v>0</v>
      </c>
      <c r="AC150" s="116">
        <f t="shared" si="28"/>
        <v>0</v>
      </c>
      <c r="AD150" s="116">
        <f t="shared" si="29"/>
        <v>0</v>
      </c>
      <c r="AE150" s="116">
        <f t="shared" si="30"/>
        <v>0</v>
      </c>
    </row>
    <row r="151" spans="1:32">
      <c r="A151" s="131">
        <v>42430</v>
      </c>
      <c r="B151" s="131">
        <v>42461</v>
      </c>
      <c r="C151" s="123">
        <f t="shared" si="19"/>
        <v>31</v>
      </c>
      <c r="D151" s="132">
        <v>3277.36</v>
      </c>
      <c r="E151" s="134"/>
      <c r="F151" s="135"/>
      <c r="G151" s="123"/>
      <c r="H151" s="123">
        <v>31</v>
      </c>
      <c r="I151" s="123"/>
      <c r="J151" s="123"/>
      <c r="K151" s="123"/>
      <c r="L151" s="123"/>
      <c r="M151" s="123"/>
      <c r="N151" s="123"/>
      <c r="O151" s="123"/>
      <c r="P151" s="123"/>
      <c r="Q151" s="123"/>
      <c r="R151" s="133">
        <f t="shared" si="18"/>
        <v>0</v>
      </c>
      <c r="S151" s="133"/>
      <c r="T151" s="116">
        <f t="shared" si="31"/>
        <v>0</v>
      </c>
      <c r="U151" s="116">
        <f t="shared" si="20"/>
        <v>0</v>
      </c>
      <c r="V151" s="116">
        <f t="shared" si="21"/>
        <v>36326.31</v>
      </c>
      <c r="W151" s="116">
        <f t="shared" si="22"/>
        <v>0</v>
      </c>
      <c r="X151" s="116">
        <f t="shared" si="23"/>
        <v>0</v>
      </c>
      <c r="Y151" s="116">
        <f t="shared" si="24"/>
        <v>0</v>
      </c>
      <c r="Z151" s="116">
        <f t="shared" si="25"/>
        <v>0</v>
      </c>
      <c r="AA151" s="116">
        <f t="shared" si="26"/>
        <v>0</v>
      </c>
      <c r="AB151" s="116">
        <f t="shared" si="27"/>
        <v>0</v>
      </c>
      <c r="AC151" s="116">
        <f t="shared" si="28"/>
        <v>0</v>
      </c>
      <c r="AD151" s="116">
        <f t="shared" si="29"/>
        <v>0</v>
      </c>
      <c r="AE151" s="116">
        <f t="shared" si="30"/>
        <v>0</v>
      </c>
    </row>
    <row r="152" spans="1:32">
      <c r="A152" s="131">
        <v>42430</v>
      </c>
      <c r="B152" s="131">
        <v>42461</v>
      </c>
      <c r="C152" s="123">
        <f t="shared" si="19"/>
        <v>31</v>
      </c>
      <c r="D152" s="132">
        <v>38.71</v>
      </c>
      <c r="E152" s="134"/>
      <c r="F152" s="135"/>
      <c r="G152" s="123"/>
      <c r="H152" s="123">
        <v>31</v>
      </c>
      <c r="I152" s="123"/>
      <c r="J152" s="123"/>
      <c r="K152" s="123"/>
      <c r="L152" s="123"/>
      <c r="M152" s="123"/>
      <c r="N152" s="123"/>
      <c r="O152" s="123"/>
      <c r="P152" s="123"/>
      <c r="Q152" s="123"/>
      <c r="R152" s="133">
        <f t="shared" si="18"/>
        <v>0</v>
      </c>
      <c r="S152" s="133"/>
      <c r="T152" s="116">
        <f t="shared" si="31"/>
        <v>0</v>
      </c>
      <c r="U152" s="116">
        <f t="shared" si="20"/>
        <v>0</v>
      </c>
      <c r="V152" s="116">
        <f t="shared" si="21"/>
        <v>429.06</v>
      </c>
      <c r="W152" s="116">
        <f t="shared" si="22"/>
        <v>0</v>
      </c>
      <c r="X152" s="116">
        <f t="shared" si="23"/>
        <v>0</v>
      </c>
      <c r="Y152" s="116">
        <f t="shared" si="24"/>
        <v>0</v>
      </c>
      <c r="Z152" s="116">
        <f t="shared" si="25"/>
        <v>0</v>
      </c>
      <c r="AA152" s="116">
        <f t="shared" si="26"/>
        <v>0</v>
      </c>
      <c r="AB152" s="116">
        <f t="shared" si="27"/>
        <v>0</v>
      </c>
      <c r="AC152" s="116">
        <f t="shared" si="28"/>
        <v>0</v>
      </c>
      <c r="AD152" s="116">
        <f t="shared" si="29"/>
        <v>0</v>
      </c>
      <c r="AE152" s="116">
        <f t="shared" si="30"/>
        <v>0</v>
      </c>
    </row>
    <row r="153" spans="1:32">
      <c r="A153" s="131">
        <v>42430</v>
      </c>
      <c r="B153" s="131">
        <v>42461</v>
      </c>
      <c r="C153" s="123">
        <f t="shared" si="19"/>
        <v>31</v>
      </c>
      <c r="D153" s="132">
        <v>319.54000000000002</v>
      </c>
      <c r="E153" s="134"/>
      <c r="F153" s="135"/>
      <c r="G153" s="123"/>
      <c r="H153" s="123">
        <v>31</v>
      </c>
      <c r="I153" s="123"/>
      <c r="J153" s="123"/>
      <c r="K153" s="123"/>
      <c r="L153" s="123"/>
      <c r="M153" s="123"/>
      <c r="N153" s="123"/>
      <c r="O153" s="123"/>
      <c r="P153" s="123"/>
      <c r="Q153" s="123"/>
      <c r="R153" s="133">
        <f t="shared" si="18"/>
        <v>0</v>
      </c>
      <c r="S153" s="133"/>
      <c r="T153" s="116">
        <f t="shared" si="31"/>
        <v>0</v>
      </c>
      <c r="U153" s="116">
        <f t="shared" si="20"/>
        <v>0</v>
      </c>
      <c r="V153" s="116">
        <f t="shared" si="21"/>
        <v>3541.79</v>
      </c>
      <c r="W153" s="116">
        <f t="shared" si="22"/>
        <v>0</v>
      </c>
      <c r="X153" s="116">
        <f t="shared" si="23"/>
        <v>0</v>
      </c>
      <c r="Y153" s="116">
        <f t="shared" si="24"/>
        <v>0</v>
      </c>
      <c r="Z153" s="116">
        <f t="shared" si="25"/>
        <v>0</v>
      </c>
      <c r="AA153" s="116">
        <f t="shared" si="26"/>
        <v>0</v>
      </c>
      <c r="AB153" s="116">
        <f t="shared" si="27"/>
        <v>0</v>
      </c>
      <c r="AC153" s="116">
        <f t="shared" si="28"/>
        <v>0</v>
      </c>
      <c r="AD153" s="116">
        <f t="shared" si="29"/>
        <v>0</v>
      </c>
      <c r="AE153" s="116">
        <f t="shared" si="30"/>
        <v>0</v>
      </c>
    </row>
    <row r="154" spans="1:32">
      <c r="A154" s="131">
        <v>42430</v>
      </c>
      <c r="B154" s="131">
        <v>42461</v>
      </c>
      <c r="C154" s="123">
        <f t="shared" si="19"/>
        <v>31</v>
      </c>
      <c r="D154" s="132">
        <v>2529.5700000000002</v>
      </c>
      <c r="E154" s="134"/>
      <c r="F154" s="135"/>
      <c r="G154" s="123"/>
      <c r="H154" s="123">
        <v>31</v>
      </c>
      <c r="I154" s="123"/>
      <c r="J154" s="123"/>
      <c r="K154" s="123"/>
      <c r="L154" s="123"/>
      <c r="M154" s="123"/>
      <c r="N154" s="123"/>
      <c r="O154" s="123"/>
      <c r="P154" s="123"/>
      <c r="Q154" s="123"/>
      <c r="R154" s="133">
        <f t="shared" ref="R154:R219" si="32">C154-SUM(F154:Q154)</f>
        <v>0</v>
      </c>
      <c r="S154" s="133"/>
      <c r="T154" s="116">
        <f t="shared" si="31"/>
        <v>0</v>
      </c>
      <c r="U154" s="116">
        <f t="shared" si="20"/>
        <v>0</v>
      </c>
      <c r="V154" s="116">
        <f t="shared" si="21"/>
        <v>28037.8</v>
      </c>
      <c r="W154" s="116">
        <f t="shared" si="22"/>
        <v>0</v>
      </c>
      <c r="X154" s="116">
        <f t="shared" si="23"/>
        <v>0</v>
      </c>
      <c r="Y154" s="116">
        <f t="shared" si="24"/>
        <v>0</v>
      </c>
      <c r="Z154" s="116">
        <f t="shared" si="25"/>
        <v>0</v>
      </c>
      <c r="AA154" s="116">
        <f t="shared" si="26"/>
        <v>0</v>
      </c>
      <c r="AB154" s="116">
        <f t="shared" si="27"/>
        <v>0</v>
      </c>
      <c r="AC154" s="116">
        <f t="shared" si="28"/>
        <v>0</v>
      </c>
      <c r="AD154" s="116">
        <f t="shared" si="29"/>
        <v>0</v>
      </c>
      <c r="AE154" s="116">
        <f t="shared" si="30"/>
        <v>0</v>
      </c>
    </row>
    <row r="155" spans="1:32">
      <c r="A155" s="131">
        <v>42430</v>
      </c>
      <c r="B155" s="131">
        <v>42461</v>
      </c>
      <c r="C155" s="123">
        <f t="shared" si="19"/>
        <v>31</v>
      </c>
      <c r="D155" s="132">
        <v>849.73</v>
      </c>
      <c r="E155" s="134"/>
      <c r="F155" s="135"/>
      <c r="G155" s="123"/>
      <c r="H155" s="123">
        <v>31</v>
      </c>
      <c r="I155" s="123"/>
      <c r="J155" s="123"/>
      <c r="K155" s="123"/>
      <c r="L155" s="123"/>
      <c r="M155" s="123"/>
      <c r="N155" s="123"/>
      <c r="O155" s="123"/>
      <c r="P155" s="123"/>
      <c r="Q155" s="123"/>
      <c r="R155" s="133">
        <f t="shared" si="32"/>
        <v>0</v>
      </c>
      <c r="S155" s="133"/>
      <c r="T155" s="116">
        <f t="shared" si="31"/>
        <v>0</v>
      </c>
      <c r="U155" s="116">
        <f t="shared" si="20"/>
        <v>0</v>
      </c>
      <c r="V155" s="116">
        <f t="shared" si="21"/>
        <v>9418.42</v>
      </c>
      <c r="W155" s="116">
        <f t="shared" si="22"/>
        <v>0</v>
      </c>
      <c r="X155" s="116">
        <f t="shared" si="23"/>
        <v>0</v>
      </c>
      <c r="Y155" s="116">
        <f t="shared" si="24"/>
        <v>0</v>
      </c>
      <c r="Z155" s="116">
        <f t="shared" si="25"/>
        <v>0</v>
      </c>
      <c r="AA155" s="116">
        <f t="shared" si="26"/>
        <v>0</v>
      </c>
      <c r="AB155" s="116">
        <f t="shared" si="27"/>
        <v>0</v>
      </c>
      <c r="AC155" s="116">
        <f t="shared" si="28"/>
        <v>0</v>
      </c>
      <c r="AD155" s="116">
        <f t="shared" si="29"/>
        <v>0</v>
      </c>
      <c r="AE155" s="116">
        <f t="shared" si="30"/>
        <v>0</v>
      </c>
    </row>
    <row r="156" spans="1:32">
      <c r="A156" s="131">
        <v>42426</v>
      </c>
      <c r="B156" s="131">
        <v>42461</v>
      </c>
      <c r="C156" s="123">
        <f t="shared" si="19"/>
        <v>35</v>
      </c>
      <c r="D156" s="132">
        <v>3468.84</v>
      </c>
      <c r="E156" s="134"/>
      <c r="F156" s="135"/>
      <c r="G156" s="123"/>
      <c r="H156" s="123">
        <v>31</v>
      </c>
      <c r="I156" s="123"/>
      <c r="J156" s="123"/>
      <c r="K156" s="123"/>
      <c r="L156" s="123"/>
      <c r="M156" s="123"/>
      <c r="N156" s="123"/>
      <c r="O156" s="123"/>
      <c r="P156" s="123"/>
      <c r="Q156" s="123"/>
      <c r="R156" s="133">
        <f t="shared" si="32"/>
        <v>4</v>
      </c>
      <c r="S156" s="133"/>
      <c r="T156" s="116">
        <f t="shared" si="31"/>
        <v>0</v>
      </c>
      <c r="U156" s="116">
        <v>2131.34</v>
      </c>
      <c r="V156" s="116">
        <f>37298.57-U156</f>
        <v>35167.229999999996</v>
      </c>
      <c r="W156" s="116">
        <f t="shared" si="22"/>
        <v>0</v>
      </c>
      <c r="X156" s="116">
        <f t="shared" si="23"/>
        <v>0</v>
      </c>
      <c r="Y156" s="116">
        <f t="shared" si="24"/>
        <v>0</v>
      </c>
      <c r="Z156" s="116">
        <f t="shared" si="25"/>
        <v>0</v>
      </c>
      <c r="AA156" s="116">
        <f t="shared" si="26"/>
        <v>0</v>
      </c>
      <c r="AB156" s="116">
        <f t="shared" si="27"/>
        <v>0</v>
      </c>
      <c r="AC156" s="116">
        <f t="shared" si="28"/>
        <v>0</v>
      </c>
      <c r="AD156" s="116">
        <f t="shared" si="29"/>
        <v>0</v>
      </c>
      <c r="AE156" s="116">
        <f t="shared" si="30"/>
        <v>0</v>
      </c>
    </row>
    <row r="157" spans="1:32">
      <c r="A157" s="131">
        <v>42430</v>
      </c>
      <c r="B157" s="131">
        <v>42461</v>
      </c>
      <c r="C157" s="123">
        <f t="shared" si="19"/>
        <v>31</v>
      </c>
      <c r="D157" s="132">
        <v>1407.75</v>
      </c>
      <c r="E157" s="134"/>
      <c r="F157" s="135"/>
      <c r="G157" s="123"/>
      <c r="H157" s="123">
        <v>31</v>
      </c>
      <c r="I157" s="123"/>
      <c r="J157" s="123"/>
      <c r="K157" s="123"/>
      <c r="L157" s="123"/>
      <c r="M157" s="123"/>
      <c r="N157" s="123"/>
      <c r="O157" s="123"/>
      <c r="P157" s="123"/>
      <c r="Q157" s="123"/>
      <c r="R157" s="133">
        <f t="shared" si="32"/>
        <v>0</v>
      </c>
      <c r="S157" s="133"/>
      <c r="T157" s="116">
        <f t="shared" si="31"/>
        <v>0</v>
      </c>
      <c r="U157" s="116">
        <f t="shared" si="20"/>
        <v>0</v>
      </c>
      <c r="V157" s="116">
        <f t="shared" si="21"/>
        <v>15603.52</v>
      </c>
      <c r="W157" s="116">
        <f t="shared" si="22"/>
        <v>0</v>
      </c>
      <c r="X157" s="116">
        <f t="shared" si="23"/>
        <v>0</v>
      </c>
      <c r="Y157" s="116">
        <f t="shared" si="24"/>
        <v>0</v>
      </c>
      <c r="Z157" s="116">
        <f t="shared" si="25"/>
        <v>0</v>
      </c>
      <c r="AA157" s="116">
        <f t="shared" si="26"/>
        <v>0</v>
      </c>
      <c r="AB157" s="116">
        <f t="shared" si="27"/>
        <v>0</v>
      </c>
      <c r="AC157" s="116">
        <f t="shared" si="28"/>
        <v>0</v>
      </c>
      <c r="AD157" s="116">
        <f t="shared" si="29"/>
        <v>0</v>
      </c>
      <c r="AE157" s="116">
        <f t="shared" si="30"/>
        <v>0</v>
      </c>
    </row>
    <row r="158" spans="1:32">
      <c r="A158" s="131">
        <v>42430</v>
      </c>
      <c r="B158" s="131">
        <v>42461</v>
      </c>
      <c r="C158" s="123">
        <f t="shared" si="19"/>
        <v>31</v>
      </c>
      <c r="D158" s="132">
        <v>3538.28</v>
      </c>
      <c r="E158" s="134"/>
      <c r="F158" s="135"/>
      <c r="G158" s="123"/>
      <c r="H158" s="123">
        <v>31</v>
      </c>
      <c r="I158" s="123"/>
      <c r="J158" s="123"/>
      <c r="K158" s="123"/>
      <c r="L158" s="123"/>
      <c r="M158" s="123"/>
      <c r="N158" s="123"/>
      <c r="O158" s="123"/>
      <c r="P158" s="123"/>
      <c r="Q158" s="123"/>
      <c r="R158" s="133">
        <f t="shared" si="32"/>
        <v>0</v>
      </c>
      <c r="S158" s="133"/>
      <c r="T158" s="116">
        <f t="shared" si="31"/>
        <v>0</v>
      </c>
      <c r="U158" s="116">
        <f t="shared" si="20"/>
        <v>0</v>
      </c>
      <c r="V158" s="116">
        <f t="shared" si="21"/>
        <v>39218.36</v>
      </c>
      <c r="W158" s="116">
        <f t="shared" si="22"/>
        <v>0</v>
      </c>
      <c r="X158" s="116">
        <f t="shared" si="23"/>
        <v>0</v>
      </c>
      <c r="Y158" s="116">
        <f t="shared" si="24"/>
        <v>0</v>
      </c>
      <c r="Z158" s="116">
        <f t="shared" si="25"/>
        <v>0</v>
      </c>
      <c r="AA158" s="116">
        <f t="shared" si="26"/>
        <v>0</v>
      </c>
      <c r="AB158" s="116">
        <f t="shared" si="27"/>
        <v>0</v>
      </c>
      <c r="AC158" s="116">
        <f t="shared" si="28"/>
        <v>0</v>
      </c>
      <c r="AD158" s="116">
        <f t="shared" si="29"/>
        <v>0</v>
      </c>
      <c r="AE158" s="116">
        <f t="shared" si="30"/>
        <v>0</v>
      </c>
    </row>
    <row r="159" spans="1:32">
      <c r="A159" s="131">
        <v>42434</v>
      </c>
      <c r="B159" s="131">
        <v>42465</v>
      </c>
      <c r="C159" s="123">
        <f t="shared" si="19"/>
        <v>31</v>
      </c>
      <c r="D159" s="132">
        <v>1136.17</v>
      </c>
      <c r="E159" s="134"/>
      <c r="F159" s="135"/>
      <c r="G159" s="123"/>
      <c r="H159" s="123">
        <v>27</v>
      </c>
      <c r="I159" s="123">
        <v>4</v>
      </c>
      <c r="J159" s="123"/>
      <c r="K159" s="123"/>
      <c r="L159" s="123"/>
      <c r="M159" s="123"/>
      <c r="N159" s="123"/>
      <c r="O159" s="123"/>
      <c r="P159" s="123"/>
      <c r="Q159" s="123"/>
      <c r="R159" s="133">
        <f t="shared" si="32"/>
        <v>0</v>
      </c>
      <c r="S159" s="133"/>
      <c r="T159" s="116">
        <f t="shared" si="31"/>
        <v>0</v>
      </c>
      <c r="U159" s="116">
        <f t="shared" si="20"/>
        <v>0</v>
      </c>
      <c r="V159" s="116">
        <f t="shared" si="21"/>
        <v>10968.38</v>
      </c>
      <c r="W159" s="116">
        <f t="shared" si="22"/>
        <v>1210.0899999999999</v>
      </c>
      <c r="X159" s="116">
        <f t="shared" si="23"/>
        <v>0</v>
      </c>
      <c r="Y159" s="116">
        <f t="shared" si="24"/>
        <v>0</v>
      </c>
      <c r="Z159" s="116">
        <f t="shared" si="25"/>
        <v>0</v>
      </c>
      <c r="AA159" s="116">
        <f t="shared" si="26"/>
        <v>0</v>
      </c>
      <c r="AB159" s="116">
        <f t="shared" si="27"/>
        <v>0</v>
      </c>
      <c r="AC159" s="116">
        <f t="shared" si="28"/>
        <v>0</v>
      </c>
      <c r="AD159" s="116">
        <f t="shared" si="29"/>
        <v>0</v>
      </c>
      <c r="AE159" s="116">
        <f t="shared" si="30"/>
        <v>0</v>
      </c>
    </row>
    <row r="160" spans="1:32">
      <c r="A160" s="131">
        <v>42434</v>
      </c>
      <c r="B160" s="131">
        <v>42465</v>
      </c>
      <c r="C160" s="123">
        <f t="shared" si="19"/>
        <v>31</v>
      </c>
      <c r="D160" s="132">
        <v>852.84</v>
      </c>
      <c r="E160" s="134"/>
      <c r="F160" s="135"/>
      <c r="G160" s="123"/>
      <c r="H160" s="123">
        <v>27</v>
      </c>
      <c r="I160" s="123">
        <v>4</v>
      </c>
      <c r="J160" s="123"/>
      <c r="K160" s="123"/>
      <c r="L160" s="123"/>
      <c r="M160" s="123"/>
      <c r="N160" s="123"/>
      <c r="O160" s="123"/>
      <c r="P160" s="123"/>
      <c r="Q160" s="123"/>
      <c r="R160" s="133">
        <f t="shared" si="32"/>
        <v>0</v>
      </c>
      <c r="S160" s="133"/>
      <c r="T160" s="116">
        <f t="shared" si="31"/>
        <v>0</v>
      </c>
      <c r="U160" s="116">
        <f t="shared" si="20"/>
        <v>0</v>
      </c>
      <c r="V160" s="116">
        <f t="shared" si="21"/>
        <v>8233.16</v>
      </c>
      <c r="W160" s="116">
        <f t="shared" si="22"/>
        <v>908.33</v>
      </c>
      <c r="X160" s="116">
        <f t="shared" si="23"/>
        <v>0</v>
      </c>
      <c r="Y160" s="116">
        <f t="shared" si="24"/>
        <v>0</v>
      </c>
      <c r="Z160" s="116">
        <f t="shared" si="25"/>
        <v>0</v>
      </c>
      <c r="AA160" s="116">
        <f t="shared" si="26"/>
        <v>0</v>
      </c>
      <c r="AB160" s="116">
        <f t="shared" si="27"/>
        <v>0</v>
      </c>
      <c r="AC160" s="116">
        <f t="shared" si="28"/>
        <v>0</v>
      </c>
      <c r="AD160" s="116">
        <f t="shared" si="29"/>
        <v>0</v>
      </c>
      <c r="AE160" s="116">
        <f t="shared" si="30"/>
        <v>0</v>
      </c>
    </row>
    <row r="161" spans="1:31">
      <c r="A161" s="131">
        <v>42434</v>
      </c>
      <c r="B161" s="131">
        <v>42465</v>
      </c>
      <c r="C161" s="123">
        <f t="shared" si="19"/>
        <v>31</v>
      </c>
      <c r="D161" s="132">
        <v>136.92000000000002</v>
      </c>
      <c r="E161" s="134"/>
      <c r="F161" s="135"/>
      <c r="G161" s="123"/>
      <c r="H161" s="123">
        <v>27</v>
      </c>
      <c r="I161" s="123">
        <v>4</v>
      </c>
      <c r="J161" s="123"/>
      <c r="K161" s="123"/>
      <c r="L161" s="123"/>
      <c r="M161" s="123"/>
      <c r="N161" s="123"/>
      <c r="O161" s="123"/>
      <c r="P161" s="123"/>
      <c r="Q161" s="123"/>
      <c r="R161" s="133">
        <f t="shared" si="32"/>
        <v>0</v>
      </c>
      <c r="S161" s="133"/>
      <c r="T161" s="116">
        <f t="shared" si="31"/>
        <v>0</v>
      </c>
      <c r="U161" s="116">
        <f t="shared" si="20"/>
        <v>0</v>
      </c>
      <c r="V161" s="116">
        <f t="shared" si="21"/>
        <v>1321.8</v>
      </c>
      <c r="W161" s="116">
        <f t="shared" si="22"/>
        <v>145.83000000000001</v>
      </c>
      <c r="X161" s="116">
        <f t="shared" si="23"/>
        <v>0</v>
      </c>
      <c r="Y161" s="116">
        <f t="shared" si="24"/>
        <v>0</v>
      </c>
      <c r="Z161" s="116">
        <f t="shared" si="25"/>
        <v>0</v>
      </c>
      <c r="AA161" s="116">
        <f t="shared" si="26"/>
        <v>0</v>
      </c>
      <c r="AB161" s="116">
        <f t="shared" si="27"/>
        <v>0</v>
      </c>
      <c r="AC161" s="116">
        <f t="shared" si="28"/>
        <v>0</v>
      </c>
      <c r="AD161" s="116">
        <f t="shared" si="29"/>
        <v>0</v>
      </c>
      <c r="AE161" s="116">
        <f t="shared" si="30"/>
        <v>0</v>
      </c>
    </row>
    <row r="162" spans="1:31">
      <c r="A162" s="131">
        <v>42437</v>
      </c>
      <c r="B162" s="131">
        <v>42468</v>
      </c>
      <c r="C162" s="123">
        <f t="shared" si="19"/>
        <v>31</v>
      </c>
      <c r="D162" s="132">
        <v>305.27</v>
      </c>
      <c r="E162" s="134"/>
      <c r="F162" s="135"/>
      <c r="G162" s="123"/>
      <c r="H162" s="123">
        <v>24</v>
      </c>
      <c r="I162" s="123">
        <v>7</v>
      </c>
      <c r="J162" s="123"/>
      <c r="K162" s="123"/>
      <c r="L162" s="123"/>
      <c r="M162" s="123"/>
      <c r="N162" s="123"/>
      <c r="O162" s="123"/>
      <c r="P162" s="123"/>
      <c r="Q162" s="123"/>
      <c r="R162" s="133">
        <f t="shared" si="32"/>
        <v>0</v>
      </c>
      <c r="S162" s="133"/>
      <c r="T162" s="116">
        <f t="shared" si="31"/>
        <v>0</v>
      </c>
      <c r="U162" s="116">
        <f t="shared" si="20"/>
        <v>0</v>
      </c>
      <c r="V162" s="116">
        <f t="shared" si="21"/>
        <v>2619.58</v>
      </c>
      <c r="W162" s="116">
        <f t="shared" si="22"/>
        <v>568.98</v>
      </c>
      <c r="X162" s="116">
        <f t="shared" si="23"/>
        <v>0</v>
      </c>
      <c r="Y162" s="116">
        <f t="shared" si="24"/>
        <v>0</v>
      </c>
      <c r="Z162" s="116">
        <f t="shared" si="25"/>
        <v>0</v>
      </c>
      <c r="AA162" s="116">
        <f t="shared" si="26"/>
        <v>0</v>
      </c>
      <c r="AB162" s="116">
        <f t="shared" si="27"/>
        <v>0</v>
      </c>
      <c r="AC162" s="116">
        <f t="shared" si="28"/>
        <v>0</v>
      </c>
      <c r="AD162" s="116">
        <f t="shared" si="29"/>
        <v>0</v>
      </c>
      <c r="AE162" s="116">
        <f t="shared" si="30"/>
        <v>0</v>
      </c>
    </row>
    <row r="163" spans="1:31">
      <c r="A163" s="131">
        <v>42437</v>
      </c>
      <c r="B163" s="131">
        <v>42468</v>
      </c>
      <c r="C163" s="123">
        <f t="shared" si="19"/>
        <v>31</v>
      </c>
      <c r="D163" s="132">
        <v>233.45</v>
      </c>
      <c r="E163" s="134"/>
      <c r="F163" s="135"/>
      <c r="G163" s="123"/>
      <c r="H163" s="123">
        <v>24</v>
      </c>
      <c r="I163" s="123">
        <v>7</v>
      </c>
      <c r="J163" s="123"/>
      <c r="K163" s="123"/>
      <c r="L163" s="123"/>
      <c r="M163" s="123"/>
      <c r="N163" s="123"/>
      <c r="O163" s="123"/>
      <c r="P163" s="123"/>
      <c r="Q163" s="123"/>
      <c r="R163" s="133">
        <f t="shared" si="32"/>
        <v>0</v>
      </c>
      <c r="S163" s="133"/>
      <c r="T163" s="116">
        <f t="shared" si="31"/>
        <v>0</v>
      </c>
      <c r="U163" s="116">
        <f t="shared" si="20"/>
        <v>0</v>
      </c>
      <c r="V163" s="116">
        <f t="shared" si="21"/>
        <v>2003.28</v>
      </c>
      <c r="W163" s="116">
        <f t="shared" si="22"/>
        <v>435.12</v>
      </c>
      <c r="X163" s="116">
        <f t="shared" si="23"/>
        <v>0</v>
      </c>
      <c r="Y163" s="116">
        <f t="shared" si="24"/>
        <v>0</v>
      </c>
      <c r="Z163" s="116">
        <f t="shared" si="25"/>
        <v>0</v>
      </c>
      <c r="AA163" s="116">
        <f t="shared" si="26"/>
        <v>0</v>
      </c>
      <c r="AB163" s="116">
        <f t="shared" si="27"/>
        <v>0</v>
      </c>
      <c r="AC163" s="116">
        <f t="shared" si="28"/>
        <v>0</v>
      </c>
      <c r="AD163" s="116">
        <f t="shared" si="29"/>
        <v>0</v>
      </c>
      <c r="AE163" s="116">
        <f t="shared" si="30"/>
        <v>0</v>
      </c>
    </row>
    <row r="164" spans="1:31">
      <c r="A164" s="131">
        <v>42437</v>
      </c>
      <c r="B164" s="131">
        <v>42468</v>
      </c>
      <c r="C164" s="123">
        <f t="shared" si="19"/>
        <v>31</v>
      </c>
      <c r="D164" s="132">
        <v>285.66000000000003</v>
      </c>
      <c r="E164" s="134"/>
      <c r="F164" s="135"/>
      <c r="G164" s="123"/>
      <c r="H164" s="123">
        <v>24</v>
      </c>
      <c r="I164" s="123">
        <v>7</v>
      </c>
      <c r="J164" s="123"/>
      <c r="K164" s="123"/>
      <c r="L164" s="123"/>
      <c r="M164" s="123"/>
      <c r="N164" s="123"/>
      <c r="O164" s="123"/>
      <c r="P164" s="123"/>
      <c r="Q164" s="123"/>
      <c r="R164" s="133">
        <f t="shared" si="32"/>
        <v>0</v>
      </c>
      <c r="S164" s="133"/>
      <c r="T164" s="116">
        <f t="shared" si="31"/>
        <v>0</v>
      </c>
      <c r="U164" s="116">
        <f t="shared" si="20"/>
        <v>0</v>
      </c>
      <c r="V164" s="116">
        <f t="shared" si="21"/>
        <v>2451.3000000000002</v>
      </c>
      <c r="W164" s="116">
        <f t="shared" si="22"/>
        <v>532.42999999999995</v>
      </c>
      <c r="X164" s="116">
        <f t="shared" si="23"/>
        <v>0</v>
      </c>
      <c r="Y164" s="116">
        <f t="shared" si="24"/>
        <v>0</v>
      </c>
      <c r="Z164" s="116">
        <f t="shared" si="25"/>
        <v>0</v>
      </c>
      <c r="AA164" s="116">
        <f t="shared" si="26"/>
        <v>0</v>
      </c>
      <c r="AB164" s="116">
        <f t="shared" si="27"/>
        <v>0</v>
      </c>
      <c r="AC164" s="116">
        <f t="shared" si="28"/>
        <v>0</v>
      </c>
      <c r="AD164" s="116">
        <f t="shared" si="29"/>
        <v>0</v>
      </c>
      <c r="AE164" s="116">
        <f t="shared" si="30"/>
        <v>0</v>
      </c>
    </row>
    <row r="165" spans="1:31">
      <c r="A165" s="131">
        <v>42437</v>
      </c>
      <c r="B165" s="131">
        <v>42468</v>
      </c>
      <c r="C165" s="123">
        <f t="shared" si="19"/>
        <v>31</v>
      </c>
      <c r="D165" s="132">
        <v>893.52</v>
      </c>
      <c r="E165" s="134"/>
      <c r="F165" s="135"/>
      <c r="G165" s="123"/>
      <c r="H165" s="123">
        <v>24</v>
      </c>
      <c r="I165" s="123">
        <v>7</v>
      </c>
      <c r="J165" s="123"/>
      <c r="K165" s="123"/>
      <c r="L165" s="123"/>
      <c r="M165" s="123"/>
      <c r="N165" s="123"/>
      <c r="O165" s="123"/>
      <c r="P165" s="123"/>
      <c r="Q165" s="123"/>
      <c r="R165" s="133">
        <f t="shared" si="32"/>
        <v>0</v>
      </c>
      <c r="S165" s="133"/>
      <c r="T165" s="116">
        <f t="shared" si="31"/>
        <v>0</v>
      </c>
      <c r="U165" s="116">
        <f t="shared" si="20"/>
        <v>0</v>
      </c>
      <c r="V165" s="116">
        <f t="shared" si="21"/>
        <v>7667.45</v>
      </c>
      <c r="W165" s="116">
        <f t="shared" si="22"/>
        <v>1665.39</v>
      </c>
      <c r="X165" s="116">
        <f t="shared" si="23"/>
        <v>0</v>
      </c>
      <c r="Y165" s="116">
        <f t="shared" si="24"/>
        <v>0</v>
      </c>
      <c r="Z165" s="116">
        <f t="shared" si="25"/>
        <v>0</v>
      </c>
      <c r="AA165" s="116">
        <f t="shared" si="26"/>
        <v>0</v>
      </c>
      <c r="AB165" s="116">
        <f t="shared" si="27"/>
        <v>0</v>
      </c>
      <c r="AC165" s="116">
        <f t="shared" si="28"/>
        <v>0</v>
      </c>
      <c r="AD165" s="116">
        <f t="shared" si="29"/>
        <v>0</v>
      </c>
      <c r="AE165" s="116">
        <f t="shared" si="30"/>
        <v>0</v>
      </c>
    </row>
    <row r="166" spans="1:31">
      <c r="A166" s="131">
        <v>42441</v>
      </c>
      <c r="B166" s="131">
        <v>42461</v>
      </c>
      <c r="C166" s="123">
        <f t="shared" si="19"/>
        <v>20</v>
      </c>
      <c r="D166" s="132">
        <v>53.9</v>
      </c>
      <c r="E166" s="134"/>
      <c r="F166" s="135"/>
      <c r="G166" s="123"/>
      <c r="H166" s="123">
        <v>20</v>
      </c>
      <c r="I166" s="123"/>
      <c r="J166" s="123"/>
      <c r="K166" s="123"/>
      <c r="L166" s="123"/>
      <c r="M166" s="123"/>
      <c r="N166" s="123"/>
      <c r="O166" s="123"/>
      <c r="P166" s="123"/>
      <c r="Q166" s="123"/>
      <c r="R166" s="133">
        <f t="shared" si="32"/>
        <v>0</v>
      </c>
      <c r="S166" s="133"/>
      <c r="T166" s="116">
        <f t="shared" si="31"/>
        <v>0</v>
      </c>
      <c r="U166" s="116">
        <f t="shared" si="20"/>
        <v>0</v>
      </c>
      <c r="V166" s="116">
        <f t="shared" si="21"/>
        <v>597.42999999999995</v>
      </c>
      <c r="W166" s="116">
        <f t="shared" si="22"/>
        <v>0</v>
      </c>
      <c r="X166" s="116">
        <f t="shared" si="23"/>
        <v>0</v>
      </c>
      <c r="Y166" s="116">
        <f t="shared" si="24"/>
        <v>0</v>
      </c>
      <c r="Z166" s="116">
        <f t="shared" si="25"/>
        <v>0</v>
      </c>
      <c r="AA166" s="116">
        <f t="shared" si="26"/>
        <v>0</v>
      </c>
      <c r="AB166" s="116">
        <f t="shared" si="27"/>
        <v>0</v>
      </c>
      <c r="AC166" s="116">
        <f t="shared" si="28"/>
        <v>0</v>
      </c>
      <c r="AD166" s="116">
        <f t="shared" si="29"/>
        <v>0</v>
      </c>
      <c r="AE166" s="116">
        <f t="shared" si="30"/>
        <v>0</v>
      </c>
    </row>
    <row r="167" spans="1:31">
      <c r="A167" s="131">
        <v>42430</v>
      </c>
      <c r="B167" s="131">
        <v>42462</v>
      </c>
      <c r="C167" s="123">
        <f t="shared" si="19"/>
        <v>32</v>
      </c>
      <c r="D167" s="132">
        <v>162.30000000000001</v>
      </c>
      <c r="E167" s="134"/>
      <c r="F167" s="135"/>
      <c r="G167" s="123"/>
      <c r="H167" s="123">
        <v>31</v>
      </c>
      <c r="I167" s="123">
        <v>1</v>
      </c>
      <c r="J167" s="123"/>
      <c r="K167" s="123"/>
      <c r="L167" s="123"/>
      <c r="M167" s="123"/>
      <c r="N167" s="123"/>
      <c r="O167" s="123"/>
      <c r="P167" s="123"/>
      <c r="Q167" s="123"/>
      <c r="R167" s="133">
        <f t="shared" si="32"/>
        <v>0</v>
      </c>
      <c r="S167" s="133"/>
      <c r="T167" s="116">
        <f t="shared" si="31"/>
        <v>0</v>
      </c>
      <c r="U167" s="116">
        <f t="shared" si="20"/>
        <v>0</v>
      </c>
      <c r="V167" s="116">
        <f t="shared" si="21"/>
        <v>1742.72</v>
      </c>
      <c r="W167" s="116">
        <f t="shared" si="22"/>
        <v>41.86</v>
      </c>
      <c r="X167" s="116">
        <f t="shared" si="23"/>
        <v>0</v>
      </c>
      <c r="Y167" s="116">
        <f t="shared" si="24"/>
        <v>0</v>
      </c>
      <c r="Z167" s="116">
        <f t="shared" si="25"/>
        <v>0</v>
      </c>
      <c r="AA167" s="116">
        <f t="shared" si="26"/>
        <v>0</v>
      </c>
      <c r="AB167" s="116">
        <f t="shared" si="27"/>
        <v>0</v>
      </c>
      <c r="AC167" s="116">
        <f t="shared" si="28"/>
        <v>0</v>
      </c>
      <c r="AD167" s="116">
        <f t="shared" si="29"/>
        <v>0</v>
      </c>
      <c r="AE167" s="116">
        <f t="shared" si="30"/>
        <v>0</v>
      </c>
    </row>
    <row r="168" spans="1:31">
      <c r="A168" s="131">
        <v>42451</v>
      </c>
      <c r="B168" s="131">
        <v>42461</v>
      </c>
      <c r="C168" s="123">
        <f t="shared" si="19"/>
        <v>10</v>
      </c>
      <c r="D168" s="132">
        <v>1811.03</v>
      </c>
      <c r="E168" s="134"/>
      <c r="F168" s="135"/>
      <c r="G168" s="123"/>
      <c r="H168" s="123">
        <v>10</v>
      </c>
      <c r="I168" s="123"/>
      <c r="J168" s="123"/>
      <c r="K168" s="123"/>
      <c r="L168" s="123"/>
      <c r="M168" s="123"/>
      <c r="N168" s="123"/>
      <c r="O168" s="123"/>
      <c r="P168" s="123"/>
      <c r="Q168" s="123"/>
      <c r="R168" s="133">
        <f t="shared" si="32"/>
        <v>0</v>
      </c>
      <c r="S168" s="133"/>
      <c r="T168" s="116">
        <f t="shared" si="31"/>
        <v>0</v>
      </c>
      <c r="U168" s="116">
        <f t="shared" si="20"/>
        <v>0</v>
      </c>
      <c r="V168" s="116">
        <v>20073.490000000002</v>
      </c>
      <c r="W168" s="116">
        <f t="shared" si="22"/>
        <v>0</v>
      </c>
      <c r="X168" s="116">
        <f t="shared" si="23"/>
        <v>0</v>
      </c>
      <c r="Y168" s="116">
        <f t="shared" si="24"/>
        <v>0</v>
      </c>
      <c r="Z168" s="116">
        <f t="shared" si="25"/>
        <v>0</v>
      </c>
      <c r="AA168" s="116">
        <f t="shared" si="26"/>
        <v>0</v>
      </c>
      <c r="AB168" s="116">
        <f t="shared" si="27"/>
        <v>0</v>
      </c>
      <c r="AC168" s="116">
        <f t="shared" si="28"/>
        <v>0</v>
      </c>
      <c r="AD168" s="116">
        <f t="shared" si="29"/>
        <v>0</v>
      </c>
      <c r="AE168" s="116">
        <f t="shared" si="30"/>
        <v>0</v>
      </c>
    </row>
    <row r="169" spans="1:31">
      <c r="A169" s="131">
        <v>42441</v>
      </c>
      <c r="B169" s="131">
        <v>42472</v>
      </c>
      <c r="C169" s="123">
        <f t="shared" si="19"/>
        <v>31</v>
      </c>
      <c r="D169" s="132">
        <v>156.32</v>
      </c>
      <c r="E169" s="134"/>
      <c r="F169" s="135"/>
      <c r="G169" s="123"/>
      <c r="H169" s="123">
        <v>20</v>
      </c>
      <c r="I169" s="123">
        <v>11</v>
      </c>
      <c r="J169" s="123"/>
      <c r="K169" s="123"/>
      <c r="L169" s="123"/>
      <c r="M169" s="123"/>
      <c r="N169" s="123"/>
      <c r="O169" s="123"/>
      <c r="P169" s="123"/>
      <c r="Q169" s="123"/>
      <c r="R169" s="133">
        <f t="shared" si="32"/>
        <v>0</v>
      </c>
      <c r="S169" s="133"/>
      <c r="T169" s="116">
        <f t="shared" si="31"/>
        <v>0</v>
      </c>
      <c r="U169" s="116">
        <f t="shared" si="20"/>
        <v>0</v>
      </c>
      <c r="V169" s="116">
        <f t="shared" si="21"/>
        <v>1117.8399999999999</v>
      </c>
      <c r="W169" s="116">
        <f t="shared" si="22"/>
        <v>457.85</v>
      </c>
      <c r="X169" s="116">
        <f t="shared" si="23"/>
        <v>0</v>
      </c>
      <c r="Y169" s="116">
        <f t="shared" si="24"/>
        <v>0</v>
      </c>
      <c r="Z169" s="116">
        <f t="shared" si="25"/>
        <v>0</v>
      </c>
      <c r="AA169" s="116">
        <f t="shared" si="26"/>
        <v>0</v>
      </c>
      <c r="AB169" s="116">
        <f t="shared" si="27"/>
        <v>0</v>
      </c>
      <c r="AC169" s="116">
        <f t="shared" si="28"/>
        <v>0</v>
      </c>
      <c r="AD169" s="116">
        <f t="shared" si="29"/>
        <v>0</v>
      </c>
      <c r="AE169" s="116">
        <f t="shared" si="30"/>
        <v>0</v>
      </c>
    </row>
    <row r="170" spans="1:31">
      <c r="A170" s="131">
        <v>42441</v>
      </c>
      <c r="B170" s="131">
        <v>42472</v>
      </c>
      <c r="C170" s="123">
        <f t="shared" si="19"/>
        <v>31</v>
      </c>
      <c r="D170" s="132">
        <v>1571.46</v>
      </c>
      <c r="E170" s="134"/>
      <c r="F170" s="135"/>
      <c r="G170" s="123"/>
      <c r="H170" s="123">
        <v>20</v>
      </c>
      <c r="I170" s="123">
        <v>11</v>
      </c>
      <c r="J170" s="123"/>
      <c r="K170" s="123"/>
      <c r="L170" s="123"/>
      <c r="M170" s="123"/>
      <c r="N170" s="123"/>
      <c r="O170" s="123"/>
      <c r="P170" s="123"/>
      <c r="Q170" s="123"/>
      <c r="R170" s="133">
        <f t="shared" si="32"/>
        <v>0</v>
      </c>
      <c r="S170" s="133"/>
      <c r="T170" s="116">
        <f t="shared" si="31"/>
        <v>0</v>
      </c>
      <c r="U170" s="116">
        <f t="shared" si="20"/>
        <v>0</v>
      </c>
      <c r="V170" s="116">
        <f t="shared" si="21"/>
        <v>11237.48</v>
      </c>
      <c r="W170" s="116">
        <f t="shared" si="22"/>
        <v>4602.68</v>
      </c>
      <c r="X170" s="116">
        <f t="shared" si="23"/>
        <v>0</v>
      </c>
      <c r="Y170" s="116">
        <f t="shared" si="24"/>
        <v>0</v>
      </c>
      <c r="Z170" s="116">
        <f t="shared" si="25"/>
        <v>0</v>
      </c>
      <c r="AA170" s="116">
        <f t="shared" si="26"/>
        <v>0</v>
      </c>
      <c r="AB170" s="116">
        <f t="shared" si="27"/>
        <v>0</v>
      </c>
      <c r="AC170" s="116">
        <f t="shared" si="28"/>
        <v>0</v>
      </c>
      <c r="AD170" s="116">
        <f t="shared" si="29"/>
        <v>0</v>
      </c>
      <c r="AE170" s="116">
        <f t="shared" si="30"/>
        <v>0</v>
      </c>
    </row>
    <row r="171" spans="1:31">
      <c r="A171" s="131">
        <v>42441</v>
      </c>
      <c r="B171" s="131">
        <v>42472</v>
      </c>
      <c r="C171" s="123">
        <f t="shared" si="19"/>
        <v>31</v>
      </c>
      <c r="D171" s="132">
        <v>1090.8700000000001</v>
      </c>
      <c r="E171" s="134"/>
      <c r="F171" s="135"/>
      <c r="G171" s="123"/>
      <c r="H171" s="123">
        <v>20</v>
      </c>
      <c r="I171" s="123">
        <v>11</v>
      </c>
      <c r="J171" s="123"/>
      <c r="K171" s="123"/>
      <c r="L171" s="123"/>
      <c r="M171" s="123"/>
      <c r="N171" s="123"/>
      <c r="O171" s="123"/>
      <c r="P171" s="123"/>
      <c r="Q171" s="123"/>
      <c r="R171" s="133">
        <f t="shared" si="32"/>
        <v>0</v>
      </c>
      <c r="S171" s="133"/>
      <c r="T171" s="116">
        <f t="shared" si="31"/>
        <v>0</v>
      </c>
      <c r="U171" s="116">
        <f t="shared" si="20"/>
        <v>0</v>
      </c>
      <c r="V171" s="116">
        <f t="shared" si="21"/>
        <v>7800.79</v>
      </c>
      <c r="W171" s="116">
        <f t="shared" si="22"/>
        <v>3195.07</v>
      </c>
      <c r="X171" s="116">
        <f t="shared" si="23"/>
        <v>0</v>
      </c>
      <c r="Y171" s="116">
        <f t="shared" si="24"/>
        <v>0</v>
      </c>
      <c r="Z171" s="116">
        <f t="shared" si="25"/>
        <v>0</v>
      </c>
      <c r="AA171" s="116">
        <f t="shared" si="26"/>
        <v>0</v>
      </c>
      <c r="AB171" s="116">
        <f t="shared" si="27"/>
        <v>0</v>
      </c>
      <c r="AC171" s="116">
        <f t="shared" si="28"/>
        <v>0</v>
      </c>
      <c r="AD171" s="116">
        <f t="shared" si="29"/>
        <v>0</v>
      </c>
      <c r="AE171" s="116">
        <f t="shared" si="30"/>
        <v>0</v>
      </c>
    </row>
    <row r="172" spans="1:31">
      <c r="A172" s="131">
        <v>42441</v>
      </c>
      <c r="B172" s="131">
        <v>42467</v>
      </c>
      <c r="C172" s="123">
        <f t="shared" si="19"/>
        <v>26</v>
      </c>
      <c r="D172" s="132">
        <v>21.49</v>
      </c>
      <c r="E172" s="134"/>
      <c r="F172" s="135"/>
      <c r="G172" s="123"/>
      <c r="H172" s="123">
        <v>20</v>
      </c>
      <c r="I172" s="123">
        <v>6</v>
      </c>
      <c r="J172" s="123"/>
      <c r="K172" s="123"/>
      <c r="L172" s="123"/>
      <c r="M172" s="123"/>
      <c r="N172" s="123"/>
      <c r="O172" s="123"/>
      <c r="P172" s="123"/>
      <c r="Q172" s="123"/>
      <c r="R172" s="133">
        <f t="shared" si="32"/>
        <v>0</v>
      </c>
      <c r="S172" s="133"/>
      <c r="T172" s="116">
        <f t="shared" si="31"/>
        <v>0</v>
      </c>
      <c r="U172" s="116">
        <f t="shared" si="20"/>
        <v>0</v>
      </c>
      <c r="V172" s="116">
        <f t="shared" si="21"/>
        <v>183.23</v>
      </c>
      <c r="W172" s="116">
        <f t="shared" si="22"/>
        <v>40.93</v>
      </c>
      <c r="X172" s="116">
        <f t="shared" si="23"/>
        <v>0</v>
      </c>
      <c r="Y172" s="116">
        <f t="shared" si="24"/>
        <v>0</v>
      </c>
      <c r="Z172" s="116">
        <f t="shared" si="25"/>
        <v>0</v>
      </c>
      <c r="AA172" s="116">
        <f t="shared" si="26"/>
        <v>0</v>
      </c>
      <c r="AB172" s="116">
        <f t="shared" si="27"/>
        <v>0</v>
      </c>
      <c r="AC172" s="116">
        <f t="shared" si="28"/>
        <v>0</v>
      </c>
      <c r="AD172" s="116">
        <f t="shared" si="29"/>
        <v>0</v>
      </c>
      <c r="AE172" s="116">
        <f t="shared" si="30"/>
        <v>0</v>
      </c>
    </row>
    <row r="173" spans="1:31" ht="15.75" thickBot="1">
      <c r="A173" s="131">
        <v>42441</v>
      </c>
      <c r="B173" s="131">
        <v>42472</v>
      </c>
      <c r="C173" s="123">
        <f t="shared" si="19"/>
        <v>31</v>
      </c>
      <c r="D173" s="132">
        <v>-94.7</v>
      </c>
      <c r="E173" s="134"/>
      <c r="F173" s="135"/>
      <c r="G173" s="123"/>
      <c r="H173" s="123">
        <v>20</v>
      </c>
      <c r="I173" s="123">
        <v>11</v>
      </c>
      <c r="J173" s="123"/>
      <c r="K173" s="123"/>
      <c r="L173" s="123"/>
      <c r="M173" s="123"/>
      <c r="N173" s="123"/>
      <c r="O173" s="123"/>
      <c r="P173" s="123"/>
      <c r="Q173" s="123"/>
      <c r="R173" s="133">
        <f t="shared" si="32"/>
        <v>0</v>
      </c>
      <c r="S173" s="133"/>
      <c r="T173" s="116">
        <f t="shared" si="31"/>
        <v>0</v>
      </c>
      <c r="U173" s="116">
        <f t="shared" si="20"/>
        <v>0</v>
      </c>
      <c r="V173" s="116">
        <f t="shared" si="21"/>
        <v>-677.2</v>
      </c>
      <c r="W173" s="116">
        <f t="shared" si="22"/>
        <v>-277.37</v>
      </c>
      <c r="X173" s="116">
        <f t="shared" si="23"/>
        <v>0</v>
      </c>
      <c r="Y173" s="116">
        <f t="shared" si="24"/>
        <v>0</v>
      </c>
      <c r="Z173" s="116">
        <f t="shared" si="25"/>
        <v>0</v>
      </c>
      <c r="AA173" s="116">
        <f t="shared" si="26"/>
        <v>0</v>
      </c>
      <c r="AB173" s="116">
        <f t="shared" si="27"/>
        <v>0</v>
      </c>
      <c r="AC173" s="116">
        <f t="shared" si="28"/>
        <v>0</v>
      </c>
      <c r="AD173" s="116">
        <f t="shared" si="29"/>
        <v>0</v>
      </c>
      <c r="AE173" s="116">
        <f t="shared" si="30"/>
        <v>0</v>
      </c>
    </row>
    <row r="174" spans="1:31" ht="15.75" thickBot="1">
      <c r="A174" s="194" t="s">
        <v>39</v>
      </c>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6"/>
    </row>
    <row r="175" spans="1:31">
      <c r="A175" s="131">
        <v>42441</v>
      </c>
      <c r="B175" s="131">
        <v>42472</v>
      </c>
      <c r="C175" s="123">
        <f t="shared" ref="C175:C244" si="33">B175-A175</f>
        <v>31</v>
      </c>
      <c r="D175" s="132">
        <v>41.72</v>
      </c>
      <c r="E175" s="134"/>
      <c r="F175" s="135"/>
      <c r="G175" s="123"/>
      <c r="H175" s="123">
        <v>20</v>
      </c>
      <c r="I175" s="123">
        <v>11</v>
      </c>
      <c r="J175" s="123"/>
      <c r="K175" s="123"/>
      <c r="L175" s="123"/>
      <c r="M175" s="123"/>
      <c r="N175" s="123"/>
      <c r="O175" s="123"/>
      <c r="P175" s="123"/>
      <c r="Q175" s="123"/>
      <c r="R175" s="133">
        <f t="shared" si="32"/>
        <v>0</v>
      </c>
      <c r="S175" s="133"/>
      <c r="T175" s="116">
        <f t="shared" ref="T175:T244" si="34">ROUND((D175*F175/C175)/$C$6,2)</f>
        <v>0</v>
      </c>
      <c r="U175" s="116">
        <f t="shared" ref="U175:U244" si="35">ROUND(($D175*$G175/$C175)/$C$7,2)</f>
        <v>0</v>
      </c>
      <c r="V175" s="116">
        <f t="shared" ref="V175:V244" si="36">ROUND(($D175*$H175/$C175)/$C$8,2)</f>
        <v>298.33999999999997</v>
      </c>
      <c r="W175" s="116">
        <f t="shared" ref="W175:W244" si="37">ROUND(($D175*$I175/$C175)/$C$9,2)</f>
        <v>122.19</v>
      </c>
      <c r="X175" s="116">
        <f t="shared" ref="X175:X244" si="38">ROUND(($D175*$J175/$C175)/$C$10,2)</f>
        <v>0</v>
      </c>
      <c r="Y175" s="116">
        <f t="shared" ref="Y175:Y244" si="39">ROUND(($D175*$K175/$C175)/$C$11,2)</f>
        <v>0</v>
      </c>
      <c r="Z175" s="116">
        <f t="shared" ref="Z175:Z244" si="40">ROUND(($D175*$L175/$C175)/$C$12,2)</f>
        <v>0</v>
      </c>
      <c r="AA175" s="116">
        <f t="shared" ref="AA175:AA244" si="41">ROUND(($D175*$M175/$C175)/$C$13,2)</f>
        <v>0</v>
      </c>
      <c r="AB175" s="116">
        <f t="shared" ref="AB175:AB244" si="42">ROUND(($D175*$N175/$C175)/$C$14,2)</f>
        <v>0</v>
      </c>
      <c r="AC175" s="116">
        <f t="shared" ref="AC175:AC244" si="43">ROUND(($D175*$O175/$C175)/$C$15,2)</f>
        <v>0</v>
      </c>
      <c r="AD175" s="116">
        <f t="shared" ref="AD175:AD244" si="44">ROUND(($D175*$P175/$C175)/$C$16,2)</f>
        <v>0</v>
      </c>
      <c r="AE175" s="116">
        <f t="shared" ref="AE175:AE244" si="45">ROUND(($D175*$Q175/$C175)/$C$17,2)</f>
        <v>0</v>
      </c>
    </row>
    <row r="176" spans="1:31">
      <c r="A176" s="131">
        <v>42444</v>
      </c>
      <c r="B176" s="131">
        <v>42475</v>
      </c>
      <c r="C176" s="123">
        <f t="shared" si="33"/>
        <v>31</v>
      </c>
      <c r="D176" s="132">
        <v>51.88</v>
      </c>
      <c r="E176" s="134"/>
      <c r="F176" s="135"/>
      <c r="G176" s="123"/>
      <c r="H176" s="123">
        <v>17</v>
      </c>
      <c r="I176" s="123">
        <v>14</v>
      </c>
      <c r="J176" s="123"/>
      <c r="K176" s="123"/>
      <c r="L176" s="123"/>
      <c r="M176" s="123"/>
      <c r="N176" s="123"/>
      <c r="O176" s="123"/>
      <c r="P176" s="123"/>
      <c r="Q176" s="123"/>
      <c r="R176" s="133">
        <f t="shared" si="32"/>
        <v>0</v>
      </c>
      <c r="S176" s="133"/>
      <c r="T176" s="116">
        <f t="shared" si="34"/>
        <v>0</v>
      </c>
      <c r="U176" s="116">
        <f t="shared" si="35"/>
        <v>0</v>
      </c>
      <c r="V176" s="116">
        <f t="shared" si="36"/>
        <v>315.33999999999997</v>
      </c>
      <c r="W176" s="116">
        <f t="shared" si="37"/>
        <v>193.39</v>
      </c>
      <c r="X176" s="116">
        <f t="shared" si="38"/>
        <v>0</v>
      </c>
      <c r="Y176" s="116">
        <f t="shared" si="39"/>
        <v>0</v>
      </c>
      <c r="Z176" s="116">
        <f t="shared" si="40"/>
        <v>0</v>
      </c>
      <c r="AA176" s="116">
        <f t="shared" si="41"/>
        <v>0</v>
      </c>
      <c r="AB176" s="116">
        <f t="shared" si="42"/>
        <v>0</v>
      </c>
      <c r="AC176" s="116">
        <f t="shared" si="43"/>
        <v>0</v>
      </c>
      <c r="AD176" s="116">
        <f t="shared" si="44"/>
        <v>0</v>
      </c>
      <c r="AE176" s="116">
        <f t="shared" si="45"/>
        <v>0</v>
      </c>
    </row>
    <row r="177" spans="1:31">
      <c r="A177" s="131">
        <v>42444</v>
      </c>
      <c r="B177" s="131">
        <v>42475</v>
      </c>
      <c r="C177" s="123">
        <f t="shared" si="33"/>
        <v>31</v>
      </c>
      <c r="D177" s="132">
        <v>36468</v>
      </c>
      <c r="E177" s="134"/>
      <c r="F177" s="135"/>
      <c r="G177" s="123"/>
      <c r="H177" s="123">
        <v>17</v>
      </c>
      <c r="I177" s="123">
        <v>14</v>
      </c>
      <c r="J177" s="123"/>
      <c r="K177" s="123"/>
      <c r="L177" s="123"/>
      <c r="M177" s="123"/>
      <c r="N177" s="123"/>
      <c r="O177" s="123"/>
      <c r="P177" s="123"/>
      <c r="Q177" s="123"/>
      <c r="R177" s="133">
        <f t="shared" si="32"/>
        <v>0</v>
      </c>
      <c r="S177" s="133"/>
      <c r="T177" s="116">
        <f t="shared" si="34"/>
        <v>0</v>
      </c>
      <c r="U177" s="116">
        <f t="shared" si="35"/>
        <v>0</v>
      </c>
      <c r="V177" s="116">
        <f>ROUND(($D177*$H177/$C177)/$C$8,2)</f>
        <v>221664.6</v>
      </c>
      <c r="W177" s="116">
        <f>ROUND(($D177*$I177/$C177)/$C$9,2)</f>
        <v>135942.38</v>
      </c>
      <c r="X177" s="116">
        <f t="shared" si="38"/>
        <v>0</v>
      </c>
      <c r="Y177" s="116">
        <f t="shared" si="39"/>
        <v>0</v>
      </c>
      <c r="Z177" s="116">
        <f t="shared" si="40"/>
        <v>0</v>
      </c>
      <c r="AA177" s="116">
        <f t="shared" si="41"/>
        <v>0</v>
      </c>
      <c r="AB177" s="116">
        <f t="shared" si="42"/>
        <v>0</v>
      </c>
      <c r="AC177" s="116">
        <f t="shared" si="43"/>
        <v>0</v>
      </c>
      <c r="AD177" s="116">
        <f t="shared" si="44"/>
        <v>0</v>
      </c>
      <c r="AE177" s="116">
        <f t="shared" si="45"/>
        <v>0</v>
      </c>
    </row>
    <row r="178" spans="1:31">
      <c r="A178" s="131">
        <v>42444</v>
      </c>
      <c r="B178" s="131">
        <v>42475</v>
      </c>
      <c r="C178" s="123">
        <f t="shared" si="33"/>
        <v>31</v>
      </c>
      <c r="D178" s="132">
        <v>8477.66</v>
      </c>
      <c r="E178" s="134"/>
      <c r="F178" s="135"/>
      <c r="G178" s="123"/>
      <c r="H178" s="123">
        <v>17</v>
      </c>
      <c r="I178" s="123">
        <v>14</v>
      </c>
      <c r="J178" s="123"/>
      <c r="K178" s="123"/>
      <c r="L178" s="123"/>
      <c r="M178" s="123"/>
      <c r="N178" s="123"/>
      <c r="O178" s="123"/>
      <c r="P178" s="123"/>
      <c r="Q178" s="123"/>
      <c r="R178" s="133">
        <f t="shared" si="32"/>
        <v>0</v>
      </c>
      <c r="S178" s="133"/>
      <c r="T178" s="116">
        <f t="shared" si="34"/>
        <v>0</v>
      </c>
      <c r="U178" s="116">
        <f t="shared" si="35"/>
        <v>0</v>
      </c>
      <c r="V178" s="116">
        <f t="shared" si="36"/>
        <v>51530.03</v>
      </c>
      <c r="W178" s="116">
        <f t="shared" si="37"/>
        <v>31602.32</v>
      </c>
      <c r="X178" s="116">
        <f t="shared" si="38"/>
        <v>0</v>
      </c>
      <c r="Y178" s="116">
        <f t="shared" si="39"/>
        <v>0</v>
      </c>
      <c r="Z178" s="116">
        <f t="shared" si="40"/>
        <v>0</v>
      </c>
      <c r="AA178" s="116">
        <f t="shared" si="41"/>
        <v>0</v>
      </c>
      <c r="AB178" s="116">
        <f t="shared" si="42"/>
        <v>0</v>
      </c>
      <c r="AC178" s="116">
        <f t="shared" si="43"/>
        <v>0</v>
      </c>
      <c r="AD178" s="116">
        <f t="shared" si="44"/>
        <v>0</v>
      </c>
      <c r="AE178" s="116">
        <f t="shared" si="45"/>
        <v>0</v>
      </c>
    </row>
    <row r="179" spans="1:31">
      <c r="A179" s="131">
        <v>42444</v>
      </c>
      <c r="B179" s="131">
        <v>42475</v>
      </c>
      <c r="C179" s="123">
        <f t="shared" si="33"/>
        <v>31</v>
      </c>
      <c r="D179" s="132">
        <v>2912.37</v>
      </c>
      <c r="E179" s="134"/>
      <c r="F179" s="135"/>
      <c r="G179" s="123"/>
      <c r="H179" s="123">
        <v>17</v>
      </c>
      <c r="I179" s="123">
        <v>14</v>
      </c>
      <c r="J179" s="123"/>
      <c r="K179" s="123"/>
      <c r="L179" s="123"/>
      <c r="M179" s="123"/>
      <c r="N179" s="123"/>
      <c r="O179" s="123"/>
      <c r="P179" s="123"/>
      <c r="Q179" s="123"/>
      <c r="R179" s="133">
        <f t="shared" si="32"/>
        <v>0</v>
      </c>
      <c r="S179" s="133"/>
      <c r="T179" s="116">
        <f t="shared" si="34"/>
        <v>0</v>
      </c>
      <c r="U179" s="116">
        <f t="shared" si="35"/>
        <v>0</v>
      </c>
      <c r="V179" s="116">
        <f t="shared" si="36"/>
        <v>17702.349999999999</v>
      </c>
      <c r="W179" s="116">
        <f t="shared" si="37"/>
        <v>10856.49</v>
      </c>
      <c r="X179" s="116">
        <f t="shared" si="38"/>
        <v>0</v>
      </c>
      <c r="Y179" s="116">
        <f t="shared" si="39"/>
        <v>0</v>
      </c>
      <c r="Z179" s="116">
        <f t="shared" si="40"/>
        <v>0</v>
      </c>
      <c r="AA179" s="116">
        <f t="shared" si="41"/>
        <v>0</v>
      </c>
      <c r="AB179" s="116">
        <f t="shared" si="42"/>
        <v>0</v>
      </c>
      <c r="AC179" s="116">
        <f t="shared" si="43"/>
        <v>0</v>
      </c>
      <c r="AD179" s="116">
        <f t="shared" si="44"/>
        <v>0</v>
      </c>
      <c r="AE179" s="116">
        <f t="shared" si="45"/>
        <v>0</v>
      </c>
    </row>
    <row r="180" spans="1:31">
      <c r="A180" s="131">
        <v>42448</v>
      </c>
      <c r="B180" s="131">
        <v>42479</v>
      </c>
      <c r="C180" s="123">
        <f t="shared" si="33"/>
        <v>31</v>
      </c>
      <c r="D180" s="132">
        <v>656.02</v>
      </c>
      <c r="E180" s="134"/>
      <c r="F180" s="135"/>
      <c r="G180" s="123"/>
      <c r="H180" s="123">
        <v>13</v>
      </c>
      <c r="I180" s="123">
        <v>18</v>
      </c>
      <c r="J180" s="123"/>
      <c r="K180" s="123"/>
      <c r="L180" s="123"/>
      <c r="M180" s="123"/>
      <c r="N180" s="123"/>
      <c r="O180" s="123"/>
      <c r="P180" s="123"/>
      <c r="Q180" s="123"/>
      <c r="R180" s="133">
        <f t="shared" si="32"/>
        <v>0</v>
      </c>
      <c r="S180" s="133"/>
      <c r="T180" s="116">
        <f t="shared" si="34"/>
        <v>0</v>
      </c>
      <c r="U180" s="116">
        <f t="shared" si="35"/>
        <v>0</v>
      </c>
      <c r="V180" s="116">
        <f t="shared" si="36"/>
        <v>3049.27</v>
      </c>
      <c r="W180" s="116">
        <f t="shared" si="37"/>
        <v>3144.16</v>
      </c>
      <c r="X180" s="116">
        <f t="shared" si="38"/>
        <v>0</v>
      </c>
      <c r="Y180" s="116">
        <f t="shared" si="39"/>
        <v>0</v>
      </c>
      <c r="Z180" s="116">
        <f t="shared" si="40"/>
        <v>0</v>
      </c>
      <c r="AA180" s="116">
        <f t="shared" si="41"/>
        <v>0</v>
      </c>
      <c r="AB180" s="116">
        <f t="shared" si="42"/>
        <v>0</v>
      </c>
      <c r="AC180" s="116">
        <f t="shared" si="43"/>
        <v>0</v>
      </c>
      <c r="AD180" s="116">
        <f t="shared" si="44"/>
        <v>0</v>
      </c>
      <c r="AE180" s="116">
        <f t="shared" si="45"/>
        <v>0</v>
      </c>
    </row>
    <row r="181" spans="1:31">
      <c r="A181" s="131">
        <v>42448</v>
      </c>
      <c r="B181" s="131">
        <v>42479</v>
      </c>
      <c r="C181" s="123">
        <f t="shared" si="33"/>
        <v>31</v>
      </c>
      <c r="D181" s="132">
        <v>2158.12</v>
      </c>
      <c r="E181" s="134"/>
      <c r="F181" s="135"/>
      <c r="G181" s="123"/>
      <c r="H181" s="123">
        <v>13</v>
      </c>
      <c r="I181" s="123">
        <v>18</v>
      </c>
      <c r="J181" s="123"/>
      <c r="K181" s="123"/>
      <c r="L181" s="123"/>
      <c r="M181" s="123"/>
      <c r="N181" s="123"/>
      <c r="O181" s="123"/>
      <c r="P181" s="123"/>
      <c r="Q181" s="123"/>
      <c r="R181" s="133">
        <f t="shared" si="32"/>
        <v>0</v>
      </c>
      <c r="S181" s="133"/>
      <c r="T181" s="116">
        <f t="shared" si="34"/>
        <v>0</v>
      </c>
      <c r="U181" s="116">
        <f t="shared" si="35"/>
        <v>0</v>
      </c>
      <c r="V181" s="116">
        <f t="shared" si="36"/>
        <v>10031.24</v>
      </c>
      <c r="W181" s="116">
        <f t="shared" si="37"/>
        <v>10343.39</v>
      </c>
      <c r="X181" s="116">
        <f t="shared" si="38"/>
        <v>0</v>
      </c>
      <c r="Y181" s="116">
        <f t="shared" si="39"/>
        <v>0</v>
      </c>
      <c r="Z181" s="116">
        <f t="shared" si="40"/>
        <v>0</v>
      </c>
      <c r="AA181" s="116">
        <f t="shared" si="41"/>
        <v>0</v>
      </c>
      <c r="AB181" s="116">
        <f t="shared" si="42"/>
        <v>0</v>
      </c>
      <c r="AC181" s="116">
        <f t="shared" si="43"/>
        <v>0</v>
      </c>
      <c r="AD181" s="116">
        <f t="shared" si="44"/>
        <v>0</v>
      </c>
      <c r="AE181" s="116">
        <f t="shared" si="45"/>
        <v>0</v>
      </c>
    </row>
    <row r="182" spans="1:31">
      <c r="A182" s="131">
        <v>42448</v>
      </c>
      <c r="B182" s="131">
        <v>42479</v>
      </c>
      <c r="C182" s="123">
        <f t="shared" si="33"/>
        <v>31</v>
      </c>
      <c r="D182" s="132">
        <v>751.39</v>
      </c>
      <c r="E182" s="134"/>
      <c r="F182" s="135"/>
      <c r="G182" s="123"/>
      <c r="H182" s="123">
        <v>13</v>
      </c>
      <c r="I182" s="123">
        <v>18</v>
      </c>
      <c r="J182" s="123"/>
      <c r="K182" s="123"/>
      <c r="L182" s="123"/>
      <c r="M182" s="123"/>
      <c r="N182" s="123"/>
      <c r="O182" s="123"/>
      <c r="P182" s="123"/>
      <c r="Q182" s="123"/>
      <c r="R182" s="133">
        <f t="shared" si="32"/>
        <v>0</v>
      </c>
      <c r="S182" s="133"/>
      <c r="T182" s="116">
        <f t="shared" si="34"/>
        <v>0</v>
      </c>
      <c r="U182" s="116">
        <f t="shared" si="35"/>
        <v>0</v>
      </c>
      <c r="V182" s="116">
        <f t="shared" si="36"/>
        <v>3492.56</v>
      </c>
      <c r="W182" s="116">
        <f t="shared" si="37"/>
        <v>3601.25</v>
      </c>
      <c r="X182" s="116">
        <f t="shared" si="38"/>
        <v>0</v>
      </c>
      <c r="Y182" s="116">
        <f t="shared" si="39"/>
        <v>0</v>
      </c>
      <c r="Z182" s="116">
        <f t="shared" si="40"/>
        <v>0</v>
      </c>
      <c r="AA182" s="116">
        <f t="shared" si="41"/>
        <v>0</v>
      </c>
      <c r="AB182" s="116">
        <f t="shared" si="42"/>
        <v>0</v>
      </c>
      <c r="AC182" s="116">
        <f t="shared" si="43"/>
        <v>0</v>
      </c>
      <c r="AD182" s="116">
        <f t="shared" si="44"/>
        <v>0</v>
      </c>
      <c r="AE182" s="116">
        <f t="shared" si="45"/>
        <v>0</v>
      </c>
    </row>
    <row r="183" spans="1:31">
      <c r="A183" s="131">
        <v>42455</v>
      </c>
      <c r="B183" s="131">
        <v>42486</v>
      </c>
      <c r="C183" s="123">
        <f t="shared" si="33"/>
        <v>31</v>
      </c>
      <c r="D183" s="132">
        <v>1286.3900000000001</v>
      </c>
      <c r="E183" s="134"/>
      <c r="F183" s="135"/>
      <c r="G183" s="123"/>
      <c r="H183" s="123">
        <v>6</v>
      </c>
      <c r="I183" s="123">
        <v>25</v>
      </c>
      <c r="J183" s="123"/>
      <c r="K183" s="123"/>
      <c r="L183" s="123"/>
      <c r="M183" s="123"/>
      <c r="N183" s="123"/>
      <c r="O183" s="123"/>
      <c r="P183" s="123"/>
      <c r="Q183" s="123"/>
      <c r="R183" s="133">
        <f t="shared" si="32"/>
        <v>0</v>
      </c>
      <c r="S183" s="133"/>
      <c r="T183" s="116">
        <f t="shared" si="34"/>
        <v>0</v>
      </c>
      <c r="U183" s="116">
        <f t="shared" si="35"/>
        <v>0</v>
      </c>
      <c r="V183" s="116">
        <f t="shared" si="36"/>
        <v>2759.68</v>
      </c>
      <c r="W183" s="116">
        <f t="shared" si="37"/>
        <v>8563.0300000000007</v>
      </c>
      <c r="X183" s="116">
        <f t="shared" si="38"/>
        <v>0</v>
      </c>
      <c r="Y183" s="116">
        <f t="shared" si="39"/>
        <v>0</v>
      </c>
      <c r="Z183" s="116">
        <f t="shared" si="40"/>
        <v>0</v>
      </c>
      <c r="AA183" s="116">
        <f t="shared" si="41"/>
        <v>0</v>
      </c>
      <c r="AB183" s="116">
        <f t="shared" si="42"/>
        <v>0</v>
      </c>
      <c r="AC183" s="116">
        <f t="shared" si="43"/>
        <v>0</v>
      </c>
      <c r="AD183" s="116">
        <f t="shared" si="44"/>
        <v>0</v>
      </c>
      <c r="AE183" s="116">
        <f t="shared" si="45"/>
        <v>0</v>
      </c>
    </row>
    <row r="184" spans="1:31">
      <c r="A184" s="131">
        <v>42455</v>
      </c>
      <c r="B184" s="131">
        <v>42486</v>
      </c>
      <c r="C184" s="123">
        <f t="shared" si="33"/>
        <v>31</v>
      </c>
      <c r="D184" s="132">
        <v>1428.02</v>
      </c>
      <c r="E184" s="134"/>
      <c r="F184" s="135"/>
      <c r="G184" s="123"/>
      <c r="H184" s="123">
        <v>6</v>
      </c>
      <c r="I184" s="123">
        <v>25</v>
      </c>
      <c r="J184" s="123"/>
      <c r="K184" s="123"/>
      <c r="L184" s="123"/>
      <c r="M184" s="123"/>
      <c r="N184" s="123"/>
      <c r="O184" s="123"/>
      <c r="P184" s="123"/>
      <c r="Q184" s="123"/>
      <c r="R184" s="133">
        <f t="shared" si="32"/>
        <v>0</v>
      </c>
      <c r="S184" s="133"/>
      <c r="T184" s="116">
        <f t="shared" si="34"/>
        <v>0</v>
      </c>
      <c r="U184" s="116">
        <f t="shared" si="35"/>
        <v>0</v>
      </c>
      <c r="V184" s="116">
        <f t="shared" si="36"/>
        <v>3063.52</v>
      </c>
      <c r="W184" s="116">
        <f t="shared" si="37"/>
        <v>9505.81</v>
      </c>
      <c r="X184" s="116">
        <f t="shared" si="38"/>
        <v>0</v>
      </c>
      <c r="Y184" s="116">
        <f t="shared" si="39"/>
        <v>0</v>
      </c>
      <c r="Z184" s="116">
        <f t="shared" si="40"/>
        <v>0</v>
      </c>
      <c r="AA184" s="116">
        <f t="shared" si="41"/>
        <v>0</v>
      </c>
      <c r="AB184" s="116">
        <f t="shared" si="42"/>
        <v>0</v>
      </c>
      <c r="AC184" s="116">
        <f t="shared" si="43"/>
        <v>0</v>
      </c>
      <c r="AD184" s="116">
        <f t="shared" si="44"/>
        <v>0</v>
      </c>
      <c r="AE184" s="116">
        <f t="shared" si="45"/>
        <v>0</v>
      </c>
    </row>
    <row r="185" spans="1:31">
      <c r="A185" s="131">
        <v>42457</v>
      </c>
      <c r="B185" s="131">
        <v>42488</v>
      </c>
      <c r="C185" s="123">
        <f t="shared" si="33"/>
        <v>31</v>
      </c>
      <c r="D185" s="132">
        <v>1068.0899999999999</v>
      </c>
      <c r="E185" s="134"/>
      <c r="F185" s="135"/>
      <c r="G185" s="123"/>
      <c r="H185" s="123">
        <v>4</v>
      </c>
      <c r="I185" s="123">
        <v>27</v>
      </c>
      <c r="J185" s="123"/>
      <c r="K185" s="123"/>
      <c r="L185" s="123"/>
      <c r="M185" s="123"/>
      <c r="N185" s="123"/>
      <c r="O185" s="123"/>
      <c r="P185" s="123"/>
      <c r="Q185" s="123"/>
      <c r="R185" s="133">
        <f t="shared" si="32"/>
        <v>0</v>
      </c>
      <c r="S185" s="133"/>
      <c r="T185" s="116">
        <f t="shared" si="34"/>
        <v>0</v>
      </c>
      <c r="U185" s="116">
        <f t="shared" si="35"/>
        <v>0</v>
      </c>
      <c r="V185" s="116">
        <f t="shared" si="36"/>
        <v>1527.58</v>
      </c>
      <c r="W185" s="116">
        <f t="shared" si="37"/>
        <v>7678.68</v>
      </c>
      <c r="X185" s="116">
        <f t="shared" si="38"/>
        <v>0</v>
      </c>
      <c r="Y185" s="116">
        <f t="shared" si="39"/>
        <v>0</v>
      </c>
      <c r="Z185" s="116">
        <f t="shared" si="40"/>
        <v>0</v>
      </c>
      <c r="AA185" s="116">
        <f t="shared" si="41"/>
        <v>0</v>
      </c>
      <c r="AB185" s="116">
        <f t="shared" si="42"/>
        <v>0</v>
      </c>
      <c r="AC185" s="116">
        <f t="shared" si="43"/>
        <v>0</v>
      </c>
      <c r="AD185" s="116">
        <f t="shared" si="44"/>
        <v>0</v>
      </c>
      <c r="AE185" s="116">
        <f t="shared" si="45"/>
        <v>0</v>
      </c>
    </row>
    <row r="186" spans="1:31">
      <c r="A186" s="131">
        <v>42457</v>
      </c>
      <c r="B186" s="131">
        <v>42488</v>
      </c>
      <c r="C186" s="123">
        <f t="shared" si="33"/>
        <v>31</v>
      </c>
      <c r="D186" s="132">
        <v>1673.51</v>
      </c>
      <c r="E186" s="134"/>
      <c r="F186" s="135"/>
      <c r="G186" s="123"/>
      <c r="H186" s="123">
        <v>4</v>
      </c>
      <c r="I186" s="123">
        <v>27</v>
      </c>
      <c r="J186" s="123"/>
      <c r="K186" s="123"/>
      <c r="L186" s="123"/>
      <c r="M186" s="123"/>
      <c r="N186" s="123"/>
      <c r="O186" s="123"/>
      <c r="P186" s="123"/>
      <c r="Q186" s="123"/>
      <c r="R186" s="133">
        <f t="shared" si="32"/>
        <v>0</v>
      </c>
      <c r="S186" s="133"/>
      <c r="T186" s="116">
        <f t="shared" si="34"/>
        <v>0</v>
      </c>
      <c r="U186" s="116">
        <f t="shared" si="35"/>
        <v>0</v>
      </c>
      <c r="V186" s="116">
        <f t="shared" si="36"/>
        <v>2393.4499999999998</v>
      </c>
      <c r="W186" s="116">
        <f t="shared" si="37"/>
        <v>12031.15</v>
      </c>
      <c r="X186" s="116">
        <f t="shared" si="38"/>
        <v>0</v>
      </c>
      <c r="Y186" s="116">
        <f t="shared" si="39"/>
        <v>0</v>
      </c>
      <c r="Z186" s="116">
        <f t="shared" si="40"/>
        <v>0</v>
      </c>
      <c r="AA186" s="116">
        <f t="shared" si="41"/>
        <v>0</v>
      </c>
      <c r="AB186" s="116">
        <f t="shared" si="42"/>
        <v>0</v>
      </c>
      <c r="AC186" s="116">
        <f t="shared" si="43"/>
        <v>0</v>
      </c>
      <c r="AD186" s="116">
        <f t="shared" si="44"/>
        <v>0</v>
      </c>
      <c r="AE186" s="116">
        <f t="shared" si="45"/>
        <v>0</v>
      </c>
    </row>
    <row r="187" spans="1:31">
      <c r="A187" s="131">
        <v>42461</v>
      </c>
      <c r="B187" s="131">
        <v>42491</v>
      </c>
      <c r="C187" s="123">
        <f t="shared" si="33"/>
        <v>30</v>
      </c>
      <c r="D187" s="132">
        <v>1937.22</v>
      </c>
      <c r="E187" s="134"/>
      <c r="F187" s="135"/>
      <c r="G187" s="123"/>
      <c r="H187" s="123"/>
      <c r="I187" s="123">
        <v>30</v>
      </c>
      <c r="J187" s="123"/>
      <c r="K187" s="123"/>
      <c r="L187" s="123"/>
      <c r="M187" s="123"/>
      <c r="N187" s="123"/>
      <c r="O187" s="123"/>
      <c r="P187" s="123"/>
      <c r="Q187" s="123"/>
      <c r="R187" s="133">
        <f t="shared" si="32"/>
        <v>0</v>
      </c>
      <c r="S187" s="133"/>
      <c r="T187" s="116">
        <f t="shared" si="34"/>
        <v>0</v>
      </c>
      <c r="U187" s="116">
        <f t="shared" si="35"/>
        <v>0</v>
      </c>
      <c r="V187" s="116">
        <f t="shared" si="36"/>
        <v>0</v>
      </c>
      <c r="W187" s="116">
        <f t="shared" si="37"/>
        <v>15990.26</v>
      </c>
      <c r="X187" s="116">
        <f t="shared" si="38"/>
        <v>0</v>
      </c>
      <c r="Y187" s="116">
        <f t="shared" si="39"/>
        <v>0</v>
      </c>
      <c r="Z187" s="116">
        <f t="shared" si="40"/>
        <v>0</v>
      </c>
      <c r="AA187" s="116">
        <f t="shared" si="41"/>
        <v>0</v>
      </c>
      <c r="AB187" s="116">
        <f t="shared" si="42"/>
        <v>0</v>
      </c>
      <c r="AC187" s="116">
        <f t="shared" si="43"/>
        <v>0</v>
      </c>
      <c r="AD187" s="116">
        <f t="shared" si="44"/>
        <v>0</v>
      </c>
      <c r="AE187" s="116">
        <f t="shared" si="45"/>
        <v>0</v>
      </c>
    </row>
    <row r="188" spans="1:31">
      <c r="A188" s="131">
        <v>42441</v>
      </c>
      <c r="B188" s="131">
        <v>42460</v>
      </c>
      <c r="C188" s="123">
        <f t="shared" si="33"/>
        <v>19</v>
      </c>
      <c r="D188" s="132">
        <v>63.27</v>
      </c>
      <c r="E188" s="134"/>
      <c r="F188" s="135"/>
      <c r="G188" s="123"/>
      <c r="H188" s="123">
        <v>19</v>
      </c>
      <c r="I188" s="123"/>
      <c r="J188" s="123"/>
      <c r="K188" s="123"/>
      <c r="L188" s="123"/>
      <c r="M188" s="123"/>
      <c r="N188" s="123"/>
      <c r="O188" s="123"/>
      <c r="P188" s="123"/>
      <c r="Q188" s="123"/>
      <c r="R188" s="133">
        <f t="shared" si="32"/>
        <v>0</v>
      </c>
      <c r="S188" s="133"/>
      <c r="T188" s="116">
        <f t="shared" si="34"/>
        <v>0</v>
      </c>
      <c r="U188" s="116">
        <f t="shared" si="35"/>
        <v>0</v>
      </c>
      <c r="V188" s="116">
        <f t="shared" si="36"/>
        <v>701.29</v>
      </c>
      <c r="W188" s="116">
        <f t="shared" si="37"/>
        <v>0</v>
      </c>
      <c r="X188" s="116">
        <f t="shared" si="38"/>
        <v>0</v>
      </c>
      <c r="Y188" s="116">
        <f t="shared" si="39"/>
        <v>0</v>
      </c>
      <c r="Z188" s="116">
        <f t="shared" si="40"/>
        <v>0</v>
      </c>
      <c r="AA188" s="116">
        <f t="shared" si="41"/>
        <v>0</v>
      </c>
      <c r="AB188" s="116">
        <f t="shared" si="42"/>
        <v>0</v>
      </c>
      <c r="AC188" s="116">
        <f t="shared" si="43"/>
        <v>0</v>
      </c>
      <c r="AD188" s="116">
        <f t="shared" si="44"/>
        <v>0</v>
      </c>
      <c r="AE188" s="116">
        <f t="shared" si="45"/>
        <v>0</v>
      </c>
    </row>
    <row r="189" spans="1:31">
      <c r="A189" s="131">
        <v>42461</v>
      </c>
      <c r="B189" s="131">
        <v>42491</v>
      </c>
      <c r="C189" s="123">
        <f t="shared" si="33"/>
        <v>30</v>
      </c>
      <c r="D189" s="132">
        <v>964.58</v>
      </c>
      <c r="E189" s="134"/>
      <c r="F189" s="135"/>
      <c r="G189" s="123"/>
      <c r="H189" s="123"/>
      <c r="I189" s="123">
        <v>30</v>
      </c>
      <c r="J189" s="123"/>
      <c r="K189" s="123"/>
      <c r="L189" s="123"/>
      <c r="M189" s="123"/>
      <c r="N189" s="123"/>
      <c r="O189" s="123"/>
      <c r="P189" s="123"/>
      <c r="Q189" s="123"/>
      <c r="R189" s="133">
        <f t="shared" si="32"/>
        <v>0</v>
      </c>
      <c r="S189" s="133"/>
      <c r="T189" s="116">
        <f t="shared" si="34"/>
        <v>0</v>
      </c>
      <c r="U189" s="116">
        <f t="shared" si="35"/>
        <v>0</v>
      </c>
      <c r="V189" s="116">
        <f t="shared" si="36"/>
        <v>0</v>
      </c>
      <c r="W189" s="116">
        <f t="shared" si="37"/>
        <v>7961.87</v>
      </c>
      <c r="X189" s="116">
        <f t="shared" si="38"/>
        <v>0</v>
      </c>
      <c r="Y189" s="116">
        <f t="shared" si="39"/>
        <v>0</v>
      </c>
      <c r="Z189" s="116">
        <f t="shared" si="40"/>
        <v>0</v>
      </c>
      <c r="AA189" s="116">
        <f t="shared" si="41"/>
        <v>0</v>
      </c>
      <c r="AB189" s="116">
        <f t="shared" si="42"/>
        <v>0</v>
      </c>
      <c r="AC189" s="116">
        <f t="shared" si="43"/>
        <v>0</v>
      </c>
      <c r="AD189" s="116">
        <f t="shared" si="44"/>
        <v>0</v>
      </c>
      <c r="AE189" s="116">
        <f t="shared" si="45"/>
        <v>0</v>
      </c>
    </row>
    <row r="190" spans="1:31">
      <c r="A190" s="131">
        <v>42461</v>
      </c>
      <c r="B190" s="131">
        <v>42491</v>
      </c>
      <c r="C190" s="123">
        <f t="shared" si="33"/>
        <v>30</v>
      </c>
      <c r="D190" s="132">
        <v>390.08</v>
      </c>
      <c r="E190" s="134"/>
      <c r="F190" s="135"/>
      <c r="G190" s="123"/>
      <c r="H190" s="123"/>
      <c r="I190" s="123">
        <v>30</v>
      </c>
      <c r="J190" s="123"/>
      <c r="K190" s="123"/>
      <c r="L190" s="123"/>
      <c r="M190" s="123"/>
      <c r="N190" s="123"/>
      <c r="O190" s="123"/>
      <c r="P190" s="123"/>
      <c r="Q190" s="123"/>
      <c r="R190" s="133">
        <f t="shared" si="32"/>
        <v>0</v>
      </c>
      <c r="S190" s="133"/>
      <c r="T190" s="116">
        <f t="shared" si="34"/>
        <v>0</v>
      </c>
      <c r="U190" s="116">
        <f t="shared" si="35"/>
        <v>0</v>
      </c>
      <c r="V190" s="116">
        <f t="shared" si="36"/>
        <v>0</v>
      </c>
      <c r="W190" s="116">
        <f t="shared" si="37"/>
        <v>3219.81</v>
      </c>
      <c r="X190" s="116">
        <f t="shared" si="38"/>
        <v>0</v>
      </c>
      <c r="Y190" s="116">
        <f t="shared" si="39"/>
        <v>0</v>
      </c>
      <c r="Z190" s="116">
        <f t="shared" si="40"/>
        <v>0</v>
      </c>
      <c r="AA190" s="116">
        <f t="shared" si="41"/>
        <v>0</v>
      </c>
      <c r="AB190" s="116">
        <f t="shared" si="42"/>
        <v>0</v>
      </c>
      <c r="AC190" s="116">
        <f t="shared" si="43"/>
        <v>0</v>
      </c>
      <c r="AD190" s="116">
        <f t="shared" si="44"/>
        <v>0</v>
      </c>
      <c r="AE190" s="116">
        <f t="shared" si="45"/>
        <v>0</v>
      </c>
    </row>
    <row r="191" spans="1:31">
      <c r="A191" s="131">
        <v>42451</v>
      </c>
      <c r="B191" s="131">
        <v>42482</v>
      </c>
      <c r="C191" s="123">
        <f t="shared" si="33"/>
        <v>31</v>
      </c>
      <c r="D191" s="132">
        <v>999.15</v>
      </c>
      <c r="E191" s="134"/>
      <c r="F191" s="135"/>
      <c r="G191" s="123"/>
      <c r="H191" s="123">
        <v>10</v>
      </c>
      <c r="I191" s="123">
        <v>21</v>
      </c>
      <c r="J191" s="123"/>
      <c r="K191" s="123"/>
      <c r="L191" s="123"/>
      <c r="M191" s="123"/>
      <c r="N191" s="123"/>
      <c r="O191" s="123"/>
      <c r="P191" s="123"/>
      <c r="Q191" s="123"/>
      <c r="R191" s="133">
        <f t="shared" si="32"/>
        <v>0</v>
      </c>
      <c r="S191" s="133"/>
      <c r="T191" s="116">
        <f t="shared" si="34"/>
        <v>0</v>
      </c>
      <c r="U191" s="116">
        <f t="shared" si="35"/>
        <v>0</v>
      </c>
      <c r="V191" s="116">
        <f>9016.36-6311.45</f>
        <v>2704.9100000000008</v>
      </c>
      <c r="W191" s="116">
        <v>6311.45</v>
      </c>
      <c r="X191" s="116">
        <f t="shared" si="38"/>
        <v>0</v>
      </c>
      <c r="Y191" s="116">
        <f t="shared" si="39"/>
        <v>0</v>
      </c>
      <c r="Z191" s="116">
        <f t="shared" si="40"/>
        <v>0</v>
      </c>
      <c r="AA191" s="116">
        <f t="shared" si="41"/>
        <v>0</v>
      </c>
      <c r="AB191" s="116">
        <f t="shared" si="42"/>
        <v>0</v>
      </c>
      <c r="AC191" s="116">
        <f t="shared" si="43"/>
        <v>0</v>
      </c>
      <c r="AD191" s="116">
        <f t="shared" si="44"/>
        <v>0</v>
      </c>
      <c r="AE191" s="116">
        <f t="shared" si="45"/>
        <v>0</v>
      </c>
    </row>
    <row r="192" spans="1:31">
      <c r="A192" s="131">
        <v>42461</v>
      </c>
      <c r="B192" s="131">
        <v>42491</v>
      </c>
      <c r="C192" s="123">
        <f t="shared" si="33"/>
        <v>30</v>
      </c>
      <c r="D192" s="132">
        <v>1609.7</v>
      </c>
      <c r="E192" s="134"/>
      <c r="F192" s="135"/>
      <c r="G192" s="123"/>
      <c r="H192" s="123"/>
      <c r="I192" s="123">
        <v>30</v>
      </c>
      <c r="J192" s="123"/>
      <c r="K192" s="123"/>
      <c r="L192" s="123"/>
      <c r="M192" s="123"/>
      <c r="N192" s="123"/>
      <c r="O192" s="123"/>
      <c r="P192" s="123"/>
      <c r="Q192" s="123"/>
      <c r="R192" s="133">
        <f t="shared" si="32"/>
        <v>0</v>
      </c>
      <c r="S192" s="133"/>
      <c r="T192" s="116">
        <f t="shared" si="34"/>
        <v>0</v>
      </c>
      <c r="U192" s="116">
        <f t="shared" si="35"/>
        <v>0</v>
      </c>
      <c r="V192" s="116">
        <f t="shared" si="36"/>
        <v>0</v>
      </c>
      <c r="W192" s="116">
        <f t="shared" si="37"/>
        <v>13286.83</v>
      </c>
      <c r="X192" s="116">
        <f t="shared" si="38"/>
        <v>0</v>
      </c>
      <c r="Y192" s="116">
        <f t="shared" si="39"/>
        <v>0</v>
      </c>
      <c r="Z192" s="116">
        <f t="shared" si="40"/>
        <v>0</v>
      </c>
      <c r="AA192" s="116">
        <f t="shared" si="41"/>
        <v>0</v>
      </c>
      <c r="AB192" s="116">
        <f t="shared" si="42"/>
        <v>0</v>
      </c>
      <c r="AC192" s="116">
        <f t="shared" si="43"/>
        <v>0</v>
      </c>
      <c r="AD192" s="116">
        <f t="shared" si="44"/>
        <v>0</v>
      </c>
      <c r="AE192" s="116">
        <f t="shared" si="45"/>
        <v>0</v>
      </c>
    </row>
    <row r="193" spans="1:31">
      <c r="A193" s="131">
        <v>42457</v>
      </c>
      <c r="B193" s="131">
        <v>42488</v>
      </c>
      <c r="C193" s="123">
        <f t="shared" si="33"/>
        <v>31</v>
      </c>
      <c r="D193" s="132">
        <v>612.22</v>
      </c>
      <c r="E193" s="134"/>
      <c r="F193" s="135"/>
      <c r="G193" s="123"/>
      <c r="H193" s="123">
        <v>4</v>
      </c>
      <c r="I193" s="123">
        <v>27</v>
      </c>
      <c r="J193" s="123"/>
      <c r="K193" s="123"/>
      <c r="L193" s="123"/>
      <c r="M193" s="123"/>
      <c r="N193" s="123"/>
      <c r="O193" s="123"/>
      <c r="P193" s="123"/>
      <c r="Q193" s="123"/>
      <c r="R193" s="133">
        <f t="shared" si="32"/>
        <v>0</v>
      </c>
      <c r="S193" s="133"/>
      <c r="T193" s="116">
        <f t="shared" si="34"/>
        <v>0</v>
      </c>
      <c r="U193" s="116">
        <f t="shared" si="35"/>
        <v>0</v>
      </c>
      <c r="V193" s="116">
        <f t="shared" si="36"/>
        <v>875.59</v>
      </c>
      <c r="W193" s="116">
        <f t="shared" si="37"/>
        <v>4401.3500000000004</v>
      </c>
      <c r="X193" s="116">
        <f t="shared" si="38"/>
        <v>0</v>
      </c>
      <c r="Y193" s="116">
        <f t="shared" si="39"/>
        <v>0</v>
      </c>
      <c r="Z193" s="116">
        <f t="shared" si="40"/>
        <v>0</v>
      </c>
      <c r="AA193" s="116">
        <f t="shared" si="41"/>
        <v>0</v>
      </c>
      <c r="AB193" s="116">
        <f t="shared" si="42"/>
        <v>0</v>
      </c>
      <c r="AC193" s="116">
        <f t="shared" si="43"/>
        <v>0</v>
      </c>
      <c r="AD193" s="116">
        <f t="shared" si="44"/>
        <v>0</v>
      </c>
      <c r="AE193" s="116">
        <f t="shared" si="45"/>
        <v>0</v>
      </c>
    </row>
    <row r="194" spans="1:31">
      <c r="A194" s="131">
        <v>42451</v>
      </c>
      <c r="B194" s="131">
        <v>42482</v>
      </c>
      <c r="C194" s="123">
        <f t="shared" si="33"/>
        <v>31</v>
      </c>
      <c r="D194" s="132">
        <v>274802.97000000003</v>
      </c>
      <c r="E194" s="134"/>
      <c r="F194" s="135"/>
      <c r="G194" s="123"/>
      <c r="H194" s="123">
        <v>10</v>
      </c>
      <c r="I194" s="123">
        <v>21</v>
      </c>
      <c r="J194" s="123"/>
      <c r="K194" s="123"/>
      <c r="L194" s="123"/>
      <c r="M194" s="123"/>
      <c r="N194" s="123"/>
      <c r="O194" s="123"/>
      <c r="P194" s="123"/>
      <c r="Q194" s="123"/>
      <c r="R194" s="133">
        <f t="shared" si="32"/>
        <v>0</v>
      </c>
      <c r="S194" s="133"/>
      <c r="T194" s="116">
        <f t="shared" si="34"/>
        <v>0</v>
      </c>
      <c r="U194" s="116">
        <f t="shared" si="35"/>
        <v>0</v>
      </c>
      <c r="V194" s="116">
        <f>2485146.9-W194</f>
        <v>849420.2899999998</v>
      </c>
      <c r="W194" s="116">
        <v>1635726.61</v>
      </c>
      <c r="X194" s="116">
        <f t="shared" si="38"/>
        <v>0</v>
      </c>
      <c r="Y194" s="116">
        <f t="shared" si="39"/>
        <v>0</v>
      </c>
      <c r="Z194" s="116">
        <f t="shared" si="40"/>
        <v>0</v>
      </c>
      <c r="AA194" s="116">
        <f t="shared" si="41"/>
        <v>0</v>
      </c>
      <c r="AB194" s="116">
        <f t="shared" si="42"/>
        <v>0</v>
      </c>
      <c r="AC194" s="116">
        <f t="shared" si="43"/>
        <v>0</v>
      </c>
      <c r="AD194" s="116">
        <f t="shared" si="44"/>
        <v>0</v>
      </c>
      <c r="AE194" s="116">
        <f t="shared" si="45"/>
        <v>0</v>
      </c>
    </row>
    <row r="195" spans="1:31">
      <c r="A195" s="131">
        <v>42461</v>
      </c>
      <c r="B195" s="131">
        <v>42491</v>
      </c>
      <c r="C195" s="123">
        <f t="shared" si="33"/>
        <v>30</v>
      </c>
      <c r="D195" s="132">
        <v>680.26</v>
      </c>
      <c r="E195" s="134"/>
      <c r="F195" s="135"/>
      <c r="G195" s="123"/>
      <c r="H195" s="123"/>
      <c r="I195" s="123">
        <v>30</v>
      </c>
      <c r="J195" s="123"/>
      <c r="K195" s="123"/>
      <c r="L195" s="123"/>
      <c r="M195" s="123"/>
      <c r="N195" s="123"/>
      <c r="O195" s="123"/>
      <c r="P195" s="123"/>
      <c r="Q195" s="123"/>
      <c r="R195" s="133">
        <f t="shared" si="32"/>
        <v>0</v>
      </c>
      <c r="S195" s="133"/>
      <c r="T195" s="116">
        <f t="shared" si="34"/>
        <v>0</v>
      </c>
      <c r="U195" s="116">
        <f t="shared" si="35"/>
        <v>0</v>
      </c>
      <c r="V195" s="116">
        <f t="shared" si="36"/>
        <v>0</v>
      </c>
      <c r="W195" s="116">
        <f t="shared" si="37"/>
        <v>5615.02</v>
      </c>
      <c r="X195" s="116">
        <f t="shared" si="38"/>
        <v>0</v>
      </c>
      <c r="Y195" s="116">
        <f t="shared" si="39"/>
        <v>0</v>
      </c>
      <c r="Z195" s="116">
        <f t="shared" si="40"/>
        <v>0</v>
      </c>
      <c r="AA195" s="116">
        <f t="shared" si="41"/>
        <v>0</v>
      </c>
      <c r="AB195" s="116">
        <f t="shared" si="42"/>
        <v>0</v>
      </c>
      <c r="AC195" s="116">
        <f t="shared" si="43"/>
        <v>0</v>
      </c>
      <c r="AD195" s="116">
        <f t="shared" si="44"/>
        <v>0</v>
      </c>
      <c r="AE195" s="116">
        <f t="shared" si="45"/>
        <v>0</v>
      </c>
    </row>
    <row r="196" spans="1:31">
      <c r="A196" s="131">
        <v>42461</v>
      </c>
      <c r="B196" s="131">
        <v>42491</v>
      </c>
      <c r="C196" s="123">
        <f t="shared" si="33"/>
        <v>30</v>
      </c>
      <c r="D196" s="132">
        <v>16901.13</v>
      </c>
      <c r="E196" s="134"/>
      <c r="F196" s="135"/>
      <c r="G196" s="123"/>
      <c r="H196" s="123"/>
      <c r="I196" s="123">
        <v>30</v>
      </c>
      <c r="J196" s="123"/>
      <c r="K196" s="123"/>
      <c r="L196" s="123"/>
      <c r="M196" s="123"/>
      <c r="N196" s="123"/>
      <c r="O196" s="123"/>
      <c r="P196" s="123"/>
      <c r="Q196" s="123"/>
      <c r="R196" s="133">
        <f t="shared" si="32"/>
        <v>0</v>
      </c>
      <c r="S196" s="133"/>
      <c r="T196" s="116">
        <f t="shared" si="34"/>
        <v>0</v>
      </c>
      <c r="U196" s="116">
        <f t="shared" si="35"/>
        <v>0</v>
      </c>
      <c r="V196" s="116">
        <f t="shared" si="36"/>
        <v>0</v>
      </c>
      <c r="W196" s="116">
        <f t="shared" si="37"/>
        <v>139505.82</v>
      </c>
      <c r="X196" s="116">
        <f t="shared" si="38"/>
        <v>0</v>
      </c>
      <c r="Y196" s="116">
        <f t="shared" si="39"/>
        <v>0</v>
      </c>
      <c r="Z196" s="116">
        <f t="shared" si="40"/>
        <v>0</v>
      </c>
      <c r="AA196" s="116">
        <f t="shared" si="41"/>
        <v>0</v>
      </c>
      <c r="AB196" s="116">
        <f t="shared" si="42"/>
        <v>0</v>
      </c>
      <c r="AC196" s="116">
        <f t="shared" si="43"/>
        <v>0</v>
      </c>
      <c r="AD196" s="116">
        <f t="shared" si="44"/>
        <v>0</v>
      </c>
      <c r="AE196" s="116">
        <f t="shared" si="45"/>
        <v>0</v>
      </c>
    </row>
    <row r="197" spans="1:31">
      <c r="A197" s="131">
        <v>42460</v>
      </c>
      <c r="B197" s="131">
        <v>42490</v>
      </c>
      <c r="C197" s="123">
        <f t="shared" si="33"/>
        <v>30</v>
      </c>
      <c r="D197" s="132">
        <v>6688.75</v>
      </c>
      <c r="E197" s="134"/>
      <c r="F197" s="135"/>
      <c r="G197" s="123"/>
      <c r="H197" s="123">
        <v>1</v>
      </c>
      <c r="I197" s="123">
        <v>29</v>
      </c>
      <c r="J197" s="123"/>
      <c r="K197" s="123"/>
      <c r="L197" s="123"/>
      <c r="M197" s="123"/>
      <c r="N197" s="123"/>
      <c r="O197" s="123"/>
      <c r="P197" s="123"/>
      <c r="Q197" s="123"/>
      <c r="R197" s="133">
        <f t="shared" si="32"/>
        <v>0</v>
      </c>
      <c r="S197" s="133"/>
      <c r="T197" s="116">
        <f t="shared" si="34"/>
        <v>0</v>
      </c>
      <c r="U197" s="116">
        <f t="shared" si="35"/>
        <v>0</v>
      </c>
      <c r="V197" s="116">
        <f t="shared" si="36"/>
        <v>2471.27</v>
      </c>
      <c r="W197" s="116">
        <f t="shared" si="37"/>
        <v>53370.13</v>
      </c>
      <c r="X197" s="116">
        <f t="shared" si="38"/>
        <v>0</v>
      </c>
      <c r="Y197" s="116">
        <f t="shared" si="39"/>
        <v>0</v>
      </c>
      <c r="Z197" s="116">
        <f t="shared" si="40"/>
        <v>0</v>
      </c>
      <c r="AA197" s="116">
        <f t="shared" si="41"/>
        <v>0</v>
      </c>
      <c r="AB197" s="116">
        <f t="shared" si="42"/>
        <v>0</v>
      </c>
      <c r="AC197" s="116">
        <f t="shared" si="43"/>
        <v>0</v>
      </c>
      <c r="AD197" s="116">
        <f t="shared" si="44"/>
        <v>0</v>
      </c>
      <c r="AE197" s="116">
        <f t="shared" si="45"/>
        <v>0</v>
      </c>
    </row>
    <row r="198" spans="1:31">
      <c r="A198" s="131">
        <v>42461</v>
      </c>
      <c r="B198" s="131">
        <v>42491</v>
      </c>
      <c r="C198" s="123">
        <f t="shared" si="33"/>
        <v>30</v>
      </c>
      <c r="D198" s="132">
        <v>182068.55</v>
      </c>
      <c r="E198" s="134"/>
      <c r="F198" s="135"/>
      <c r="G198" s="123"/>
      <c r="H198" s="123"/>
      <c r="I198" s="123">
        <v>30</v>
      </c>
      <c r="J198" s="123"/>
      <c r="K198" s="123"/>
      <c r="L198" s="123"/>
      <c r="M198" s="123"/>
      <c r="N198" s="123"/>
      <c r="O198" s="123"/>
      <c r="P198" s="123"/>
      <c r="Q198" s="123"/>
      <c r="R198" s="133">
        <f t="shared" si="32"/>
        <v>0</v>
      </c>
      <c r="S198" s="133"/>
      <c r="T198" s="116">
        <f t="shared" si="34"/>
        <v>0</v>
      </c>
      <c r="U198" s="116">
        <f t="shared" si="35"/>
        <v>0</v>
      </c>
      <c r="V198" s="116">
        <f t="shared" si="36"/>
        <v>0</v>
      </c>
      <c r="W198" s="116">
        <f t="shared" si="37"/>
        <v>1502835.74</v>
      </c>
      <c r="X198" s="116">
        <f t="shared" si="38"/>
        <v>0</v>
      </c>
      <c r="Y198" s="116">
        <f t="shared" si="39"/>
        <v>0</v>
      </c>
      <c r="Z198" s="116">
        <f t="shared" si="40"/>
        <v>0</v>
      </c>
      <c r="AA198" s="116">
        <f t="shared" si="41"/>
        <v>0</v>
      </c>
      <c r="AB198" s="116">
        <f t="shared" si="42"/>
        <v>0</v>
      </c>
      <c r="AC198" s="116">
        <f t="shared" si="43"/>
        <v>0</v>
      </c>
      <c r="AD198" s="116">
        <f t="shared" si="44"/>
        <v>0</v>
      </c>
      <c r="AE198" s="116">
        <f t="shared" si="45"/>
        <v>0</v>
      </c>
    </row>
    <row r="199" spans="1:31">
      <c r="A199" s="131">
        <v>42461</v>
      </c>
      <c r="B199" s="131">
        <v>42491</v>
      </c>
      <c r="C199" s="123">
        <f t="shared" si="33"/>
        <v>30</v>
      </c>
      <c r="D199" s="132">
        <v>64190.810000000012</v>
      </c>
      <c r="E199" s="134"/>
      <c r="F199" s="135"/>
      <c r="G199" s="123"/>
      <c r="H199" s="123"/>
      <c r="I199" s="123">
        <v>30</v>
      </c>
      <c r="J199" s="123"/>
      <c r="K199" s="123"/>
      <c r="L199" s="123"/>
      <c r="M199" s="123"/>
      <c r="N199" s="123"/>
      <c r="O199" s="123"/>
      <c r="P199" s="123"/>
      <c r="Q199" s="123"/>
      <c r="R199" s="133">
        <f t="shared" si="32"/>
        <v>0</v>
      </c>
      <c r="S199" s="133"/>
      <c r="T199" s="116">
        <f t="shared" si="34"/>
        <v>0</v>
      </c>
      <c r="U199" s="116">
        <f t="shared" si="35"/>
        <v>0</v>
      </c>
      <c r="V199" s="116">
        <f t="shared" si="36"/>
        <v>0</v>
      </c>
      <c r="W199" s="116">
        <f t="shared" si="37"/>
        <v>529845.73</v>
      </c>
      <c r="X199" s="116">
        <f t="shared" si="38"/>
        <v>0</v>
      </c>
      <c r="Y199" s="116">
        <f t="shared" si="39"/>
        <v>0</v>
      </c>
      <c r="Z199" s="116">
        <f t="shared" si="40"/>
        <v>0</v>
      </c>
      <c r="AA199" s="116">
        <f t="shared" si="41"/>
        <v>0</v>
      </c>
      <c r="AB199" s="116">
        <f t="shared" si="42"/>
        <v>0</v>
      </c>
      <c r="AC199" s="116">
        <f t="shared" si="43"/>
        <v>0</v>
      </c>
      <c r="AD199" s="116">
        <f t="shared" si="44"/>
        <v>0</v>
      </c>
      <c r="AE199" s="116">
        <f t="shared" si="45"/>
        <v>0</v>
      </c>
    </row>
    <row r="200" spans="1:31">
      <c r="A200" s="131">
        <v>42461</v>
      </c>
      <c r="B200" s="131">
        <v>42491</v>
      </c>
      <c r="C200" s="123">
        <f t="shared" si="33"/>
        <v>30</v>
      </c>
      <c r="D200" s="132">
        <v>4285.28</v>
      </c>
      <c r="E200" s="134"/>
      <c r="F200" s="135"/>
      <c r="G200" s="123"/>
      <c r="H200" s="123"/>
      <c r="I200" s="123">
        <v>30</v>
      </c>
      <c r="J200" s="123"/>
      <c r="K200" s="123"/>
      <c r="L200" s="123"/>
      <c r="M200" s="123"/>
      <c r="N200" s="123"/>
      <c r="O200" s="123"/>
      <c r="P200" s="123"/>
      <c r="Q200" s="123"/>
      <c r="R200" s="133">
        <f t="shared" si="32"/>
        <v>0</v>
      </c>
      <c r="S200" s="133"/>
      <c r="T200" s="116">
        <f t="shared" si="34"/>
        <v>0</v>
      </c>
      <c r="U200" s="116">
        <f t="shared" si="35"/>
        <v>0</v>
      </c>
      <c r="V200" s="116">
        <f t="shared" si="36"/>
        <v>0</v>
      </c>
      <c r="W200" s="116">
        <f t="shared" si="37"/>
        <v>35371.69</v>
      </c>
      <c r="X200" s="116">
        <f t="shared" si="38"/>
        <v>0</v>
      </c>
      <c r="Y200" s="116">
        <f t="shared" si="39"/>
        <v>0</v>
      </c>
      <c r="Z200" s="116">
        <f t="shared" si="40"/>
        <v>0</v>
      </c>
      <c r="AA200" s="116">
        <f t="shared" si="41"/>
        <v>0</v>
      </c>
      <c r="AB200" s="116">
        <f t="shared" si="42"/>
        <v>0</v>
      </c>
      <c r="AC200" s="116">
        <f t="shared" si="43"/>
        <v>0</v>
      </c>
      <c r="AD200" s="116">
        <f t="shared" si="44"/>
        <v>0</v>
      </c>
      <c r="AE200" s="116">
        <f t="shared" si="45"/>
        <v>0</v>
      </c>
    </row>
    <row r="201" spans="1:31">
      <c r="A201" s="131">
        <v>42465</v>
      </c>
      <c r="B201" s="131">
        <v>42495</v>
      </c>
      <c r="C201" s="123">
        <f t="shared" si="33"/>
        <v>30</v>
      </c>
      <c r="D201" s="132">
        <v>952.6</v>
      </c>
      <c r="E201" s="134"/>
      <c r="F201" s="135"/>
      <c r="G201" s="123"/>
      <c r="H201" s="123"/>
      <c r="I201" s="123">
        <v>26</v>
      </c>
      <c r="J201" s="123">
        <v>4</v>
      </c>
      <c r="K201" s="123"/>
      <c r="L201" s="123"/>
      <c r="M201" s="123"/>
      <c r="N201" s="123"/>
      <c r="O201" s="123"/>
      <c r="P201" s="123"/>
      <c r="Q201" s="123"/>
      <c r="R201" s="133">
        <f t="shared" si="32"/>
        <v>0</v>
      </c>
      <c r="S201" s="133"/>
      <c r="T201" s="116">
        <f t="shared" si="34"/>
        <v>0</v>
      </c>
      <c r="U201" s="116">
        <f t="shared" si="35"/>
        <v>0</v>
      </c>
      <c r="V201" s="116">
        <f t="shared" si="36"/>
        <v>0</v>
      </c>
      <c r="W201" s="116">
        <f t="shared" si="37"/>
        <v>6814.58</v>
      </c>
      <c r="X201" s="116">
        <f t="shared" si="38"/>
        <v>1220.7</v>
      </c>
      <c r="Y201" s="116">
        <f t="shared" si="39"/>
        <v>0</v>
      </c>
      <c r="Z201" s="116">
        <f t="shared" si="40"/>
        <v>0</v>
      </c>
      <c r="AA201" s="116">
        <f t="shared" si="41"/>
        <v>0</v>
      </c>
      <c r="AB201" s="116">
        <f t="shared" si="42"/>
        <v>0</v>
      </c>
      <c r="AC201" s="116">
        <f t="shared" si="43"/>
        <v>0</v>
      </c>
      <c r="AD201" s="116">
        <f t="shared" si="44"/>
        <v>0</v>
      </c>
      <c r="AE201" s="116">
        <f t="shared" si="45"/>
        <v>0</v>
      </c>
    </row>
    <row r="202" spans="1:31">
      <c r="A202" s="131">
        <v>42465</v>
      </c>
      <c r="B202" s="131">
        <v>42495</v>
      </c>
      <c r="C202" s="123">
        <f t="shared" si="33"/>
        <v>30</v>
      </c>
      <c r="D202" s="132">
        <v>159.75</v>
      </c>
      <c r="E202" s="134"/>
      <c r="F202" s="135"/>
      <c r="G202" s="123"/>
      <c r="H202" s="123"/>
      <c r="I202" s="123">
        <v>26</v>
      </c>
      <c r="J202" s="123">
        <v>4</v>
      </c>
      <c r="K202" s="123"/>
      <c r="L202" s="123"/>
      <c r="M202" s="123"/>
      <c r="N202" s="123"/>
      <c r="O202" s="123"/>
      <c r="P202" s="123"/>
      <c r="Q202" s="123"/>
      <c r="R202" s="133">
        <f t="shared" si="32"/>
        <v>0</v>
      </c>
      <c r="S202" s="133"/>
      <c r="T202" s="116">
        <f t="shared" si="34"/>
        <v>0</v>
      </c>
      <c r="U202" s="116">
        <f t="shared" si="35"/>
        <v>0</v>
      </c>
      <c r="V202" s="116">
        <f t="shared" si="36"/>
        <v>0</v>
      </c>
      <c r="W202" s="116">
        <f t="shared" si="37"/>
        <v>1142.8</v>
      </c>
      <c r="X202" s="116">
        <f t="shared" si="38"/>
        <v>204.71</v>
      </c>
      <c r="Y202" s="116">
        <f t="shared" si="39"/>
        <v>0</v>
      </c>
      <c r="Z202" s="116">
        <f t="shared" si="40"/>
        <v>0</v>
      </c>
      <c r="AA202" s="116">
        <f t="shared" si="41"/>
        <v>0</v>
      </c>
      <c r="AB202" s="116">
        <f t="shared" si="42"/>
        <v>0</v>
      </c>
      <c r="AC202" s="116">
        <f t="shared" si="43"/>
        <v>0</v>
      </c>
      <c r="AD202" s="116">
        <f t="shared" si="44"/>
        <v>0</v>
      </c>
      <c r="AE202" s="116">
        <f t="shared" si="45"/>
        <v>0</v>
      </c>
    </row>
    <row r="203" spans="1:31">
      <c r="A203" s="131">
        <v>42465</v>
      </c>
      <c r="B203" s="131">
        <v>42495</v>
      </c>
      <c r="C203" s="123">
        <f t="shared" si="33"/>
        <v>30</v>
      </c>
      <c r="D203" s="132">
        <v>1252.45</v>
      </c>
      <c r="E203" s="134"/>
      <c r="F203" s="135"/>
      <c r="G203" s="123"/>
      <c r="H203" s="123"/>
      <c r="I203" s="123">
        <v>26</v>
      </c>
      <c r="J203" s="123">
        <v>4</v>
      </c>
      <c r="K203" s="123"/>
      <c r="L203" s="123"/>
      <c r="M203" s="123"/>
      <c r="N203" s="123"/>
      <c r="O203" s="123"/>
      <c r="P203" s="123"/>
      <c r="Q203" s="123"/>
      <c r="R203" s="133">
        <f t="shared" si="32"/>
        <v>0</v>
      </c>
      <c r="S203" s="133"/>
      <c r="T203" s="116">
        <f t="shared" si="34"/>
        <v>0</v>
      </c>
      <c r="U203" s="116">
        <f t="shared" si="35"/>
        <v>0</v>
      </c>
      <c r="V203" s="116">
        <f t="shared" si="36"/>
        <v>0</v>
      </c>
      <c r="W203" s="116">
        <f t="shared" si="37"/>
        <v>8959.61</v>
      </c>
      <c r="X203" s="116">
        <f t="shared" si="38"/>
        <v>1604.93</v>
      </c>
      <c r="Y203" s="116">
        <f t="shared" si="39"/>
        <v>0</v>
      </c>
      <c r="Z203" s="116">
        <f t="shared" si="40"/>
        <v>0</v>
      </c>
      <c r="AA203" s="116">
        <f t="shared" si="41"/>
        <v>0</v>
      </c>
      <c r="AB203" s="116">
        <f t="shared" si="42"/>
        <v>0</v>
      </c>
      <c r="AC203" s="116">
        <f t="shared" si="43"/>
        <v>0</v>
      </c>
      <c r="AD203" s="116">
        <f t="shared" si="44"/>
        <v>0</v>
      </c>
      <c r="AE203" s="116">
        <f t="shared" si="45"/>
        <v>0</v>
      </c>
    </row>
    <row r="204" spans="1:31">
      <c r="A204" s="131">
        <v>42468</v>
      </c>
      <c r="B204" s="131">
        <v>42498</v>
      </c>
      <c r="C204" s="123">
        <f t="shared" si="33"/>
        <v>30</v>
      </c>
      <c r="D204" s="132">
        <v>768.28</v>
      </c>
      <c r="E204" s="134"/>
      <c r="F204" s="135"/>
      <c r="G204" s="123"/>
      <c r="H204" s="123"/>
      <c r="I204" s="123">
        <v>23</v>
      </c>
      <c r="J204" s="123">
        <v>7</v>
      </c>
      <c r="K204" s="123"/>
      <c r="L204" s="123"/>
      <c r="M204" s="123"/>
      <c r="N204" s="123"/>
      <c r="O204" s="123"/>
      <c r="P204" s="123"/>
      <c r="Q204" s="123"/>
      <c r="R204" s="133">
        <f t="shared" si="32"/>
        <v>0</v>
      </c>
      <c r="S204" s="133"/>
      <c r="T204" s="116">
        <f t="shared" si="34"/>
        <v>0</v>
      </c>
      <c r="U204" s="116">
        <f t="shared" si="35"/>
        <v>0</v>
      </c>
      <c r="V204" s="116">
        <f t="shared" si="36"/>
        <v>0</v>
      </c>
      <c r="W204" s="116">
        <f t="shared" si="37"/>
        <v>4861.8599999999997</v>
      </c>
      <c r="X204" s="116">
        <f t="shared" si="38"/>
        <v>1722.88</v>
      </c>
      <c r="Y204" s="116">
        <f t="shared" si="39"/>
        <v>0</v>
      </c>
      <c r="Z204" s="116">
        <f t="shared" si="40"/>
        <v>0</v>
      </c>
      <c r="AA204" s="116">
        <f t="shared" si="41"/>
        <v>0</v>
      </c>
      <c r="AB204" s="116">
        <f t="shared" si="42"/>
        <v>0</v>
      </c>
      <c r="AC204" s="116">
        <f t="shared" si="43"/>
        <v>0</v>
      </c>
      <c r="AD204" s="116">
        <f t="shared" si="44"/>
        <v>0</v>
      </c>
      <c r="AE204" s="116">
        <f t="shared" si="45"/>
        <v>0</v>
      </c>
    </row>
    <row r="205" spans="1:31">
      <c r="A205" s="131">
        <v>42468</v>
      </c>
      <c r="B205" s="131">
        <v>42498</v>
      </c>
      <c r="C205" s="123">
        <f t="shared" si="33"/>
        <v>30</v>
      </c>
      <c r="D205" s="132">
        <v>259.84000000000003</v>
      </c>
      <c r="E205" s="134"/>
      <c r="F205" s="135"/>
      <c r="G205" s="123"/>
      <c r="H205" s="123"/>
      <c r="I205" s="123">
        <v>23</v>
      </c>
      <c r="J205" s="123">
        <v>7</v>
      </c>
      <c r="K205" s="123"/>
      <c r="L205" s="123"/>
      <c r="M205" s="123"/>
      <c r="N205" s="123"/>
      <c r="O205" s="123"/>
      <c r="P205" s="123"/>
      <c r="Q205" s="123"/>
      <c r="R205" s="133">
        <f t="shared" si="32"/>
        <v>0</v>
      </c>
      <c r="S205" s="133"/>
      <c r="T205" s="116">
        <f t="shared" si="34"/>
        <v>0</v>
      </c>
      <c r="U205" s="116">
        <f t="shared" si="35"/>
        <v>0</v>
      </c>
      <c r="V205" s="116">
        <f t="shared" si="36"/>
        <v>0</v>
      </c>
      <c r="W205" s="116">
        <f t="shared" si="37"/>
        <v>1644.33</v>
      </c>
      <c r="X205" s="116">
        <f t="shared" si="38"/>
        <v>582.69000000000005</v>
      </c>
      <c r="Y205" s="116">
        <f t="shared" si="39"/>
        <v>0</v>
      </c>
      <c r="Z205" s="116">
        <f t="shared" si="40"/>
        <v>0</v>
      </c>
      <c r="AA205" s="116">
        <f t="shared" si="41"/>
        <v>0</v>
      </c>
      <c r="AB205" s="116">
        <f t="shared" si="42"/>
        <v>0</v>
      </c>
      <c r="AC205" s="116">
        <f t="shared" si="43"/>
        <v>0</v>
      </c>
      <c r="AD205" s="116">
        <f t="shared" si="44"/>
        <v>0</v>
      </c>
      <c r="AE205" s="116">
        <f t="shared" si="45"/>
        <v>0</v>
      </c>
    </row>
    <row r="206" spans="1:31">
      <c r="A206" s="131">
        <v>42468</v>
      </c>
      <c r="B206" s="131">
        <v>42498</v>
      </c>
      <c r="C206" s="123">
        <f t="shared" si="33"/>
        <v>30</v>
      </c>
      <c r="D206" s="132">
        <v>326.98</v>
      </c>
      <c r="E206" s="134"/>
      <c r="F206" s="135"/>
      <c r="G206" s="123"/>
      <c r="H206" s="123"/>
      <c r="I206" s="123">
        <v>23</v>
      </c>
      <c r="J206" s="123">
        <v>7</v>
      </c>
      <c r="K206" s="123"/>
      <c r="L206" s="123"/>
      <c r="M206" s="123"/>
      <c r="N206" s="123"/>
      <c r="O206" s="123"/>
      <c r="P206" s="123"/>
      <c r="Q206" s="123"/>
      <c r="R206" s="133">
        <f t="shared" si="32"/>
        <v>0</v>
      </c>
      <c r="S206" s="133"/>
      <c r="T206" s="116">
        <f t="shared" si="34"/>
        <v>0</v>
      </c>
      <c r="U206" s="116">
        <f t="shared" si="35"/>
        <v>0</v>
      </c>
      <c r="V206" s="116">
        <f t="shared" si="36"/>
        <v>0</v>
      </c>
      <c r="W206" s="116">
        <f t="shared" si="37"/>
        <v>2069.21</v>
      </c>
      <c r="X206" s="116">
        <f t="shared" si="38"/>
        <v>733.26</v>
      </c>
      <c r="Y206" s="116">
        <f t="shared" si="39"/>
        <v>0</v>
      </c>
      <c r="Z206" s="116">
        <f t="shared" si="40"/>
        <v>0</v>
      </c>
      <c r="AA206" s="116">
        <f t="shared" si="41"/>
        <v>0</v>
      </c>
      <c r="AB206" s="116">
        <f t="shared" si="42"/>
        <v>0</v>
      </c>
      <c r="AC206" s="116">
        <f t="shared" si="43"/>
        <v>0</v>
      </c>
      <c r="AD206" s="116">
        <f t="shared" si="44"/>
        <v>0</v>
      </c>
      <c r="AE206" s="116">
        <f t="shared" si="45"/>
        <v>0</v>
      </c>
    </row>
    <row r="207" spans="1:31">
      <c r="A207" s="131">
        <v>42468</v>
      </c>
      <c r="B207" s="131">
        <v>42498</v>
      </c>
      <c r="C207" s="123">
        <f t="shared" si="33"/>
        <v>30</v>
      </c>
      <c r="D207" s="132">
        <v>260.45</v>
      </c>
      <c r="E207" s="134"/>
      <c r="F207" s="135"/>
      <c r="G207" s="123"/>
      <c r="H207" s="123"/>
      <c r="I207" s="123">
        <v>23</v>
      </c>
      <c r="J207" s="123">
        <v>7</v>
      </c>
      <c r="K207" s="123"/>
      <c r="L207" s="123"/>
      <c r="M207" s="123"/>
      <c r="N207" s="123"/>
      <c r="O207" s="123"/>
      <c r="P207" s="123"/>
      <c r="Q207" s="123"/>
      <c r="R207" s="133">
        <f t="shared" si="32"/>
        <v>0</v>
      </c>
      <c r="S207" s="133"/>
      <c r="T207" s="116">
        <f t="shared" si="34"/>
        <v>0</v>
      </c>
      <c r="U207" s="116">
        <f t="shared" si="35"/>
        <v>0</v>
      </c>
      <c r="V207" s="116">
        <f t="shared" si="36"/>
        <v>0</v>
      </c>
      <c r="W207" s="116">
        <f t="shared" si="37"/>
        <v>1648.19</v>
      </c>
      <c r="X207" s="116">
        <f t="shared" si="38"/>
        <v>584.05999999999995</v>
      </c>
      <c r="Y207" s="116">
        <f t="shared" si="39"/>
        <v>0</v>
      </c>
      <c r="Z207" s="116">
        <f t="shared" si="40"/>
        <v>0</v>
      </c>
      <c r="AA207" s="116">
        <f t="shared" si="41"/>
        <v>0</v>
      </c>
      <c r="AB207" s="116">
        <f t="shared" si="42"/>
        <v>0</v>
      </c>
      <c r="AC207" s="116">
        <f t="shared" si="43"/>
        <v>0</v>
      </c>
      <c r="AD207" s="116">
        <f t="shared" si="44"/>
        <v>0</v>
      </c>
      <c r="AE207" s="116">
        <f t="shared" si="45"/>
        <v>0</v>
      </c>
    </row>
    <row r="208" spans="1:31">
      <c r="A208" s="131">
        <v>42461</v>
      </c>
      <c r="B208" s="131">
        <v>42491</v>
      </c>
      <c r="C208" s="123">
        <f t="shared" si="33"/>
        <v>30</v>
      </c>
      <c r="D208" s="132">
        <v>3731.94</v>
      </c>
      <c r="E208" s="134"/>
      <c r="F208" s="135"/>
      <c r="G208" s="123"/>
      <c r="H208" s="123"/>
      <c r="I208" s="123">
        <v>30</v>
      </c>
      <c r="J208" s="123"/>
      <c r="K208" s="123"/>
      <c r="L208" s="123"/>
      <c r="M208" s="123"/>
      <c r="N208" s="123"/>
      <c r="O208" s="123"/>
      <c r="P208" s="123"/>
      <c r="Q208" s="123"/>
      <c r="R208" s="133">
        <f t="shared" si="32"/>
        <v>0</v>
      </c>
      <c r="S208" s="133"/>
      <c r="T208" s="116">
        <f t="shared" si="34"/>
        <v>0</v>
      </c>
      <c r="U208" s="116">
        <f t="shared" si="35"/>
        <v>0</v>
      </c>
      <c r="V208" s="116">
        <f t="shared" si="36"/>
        <v>0</v>
      </c>
      <c r="W208" s="116">
        <f t="shared" si="37"/>
        <v>30804.29</v>
      </c>
      <c r="X208" s="116">
        <f t="shared" si="38"/>
        <v>0</v>
      </c>
      <c r="Y208" s="116">
        <f t="shared" si="39"/>
        <v>0</v>
      </c>
      <c r="Z208" s="116">
        <f t="shared" si="40"/>
        <v>0</v>
      </c>
      <c r="AA208" s="116">
        <f t="shared" si="41"/>
        <v>0</v>
      </c>
      <c r="AB208" s="116">
        <f t="shared" si="42"/>
        <v>0</v>
      </c>
      <c r="AC208" s="116">
        <f t="shared" si="43"/>
        <v>0</v>
      </c>
      <c r="AD208" s="116">
        <f t="shared" si="44"/>
        <v>0</v>
      </c>
      <c r="AE208" s="116">
        <f t="shared" si="45"/>
        <v>0</v>
      </c>
    </row>
    <row r="209" spans="1:31">
      <c r="A209" s="131">
        <v>42461</v>
      </c>
      <c r="B209" s="131">
        <v>42491</v>
      </c>
      <c r="C209" s="123">
        <f t="shared" si="33"/>
        <v>30</v>
      </c>
      <c r="D209" s="132">
        <v>316.69</v>
      </c>
      <c r="E209" s="134"/>
      <c r="F209" s="135"/>
      <c r="G209" s="123"/>
      <c r="H209" s="123"/>
      <c r="I209" s="123">
        <v>30</v>
      </c>
      <c r="J209" s="123"/>
      <c r="K209" s="123"/>
      <c r="L209" s="123"/>
      <c r="M209" s="123"/>
      <c r="N209" s="123"/>
      <c r="O209" s="123"/>
      <c r="P209" s="123"/>
      <c r="Q209" s="123"/>
      <c r="R209" s="133">
        <f t="shared" si="32"/>
        <v>0</v>
      </c>
      <c r="S209" s="133"/>
      <c r="T209" s="116">
        <f t="shared" si="34"/>
        <v>0</v>
      </c>
      <c r="U209" s="116">
        <f t="shared" si="35"/>
        <v>0</v>
      </c>
      <c r="V209" s="116">
        <f t="shared" si="36"/>
        <v>0</v>
      </c>
      <c r="W209" s="116">
        <f t="shared" si="37"/>
        <v>2614.0300000000002</v>
      </c>
      <c r="X209" s="116">
        <f t="shared" si="38"/>
        <v>0</v>
      </c>
      <c r="Y209" s="116">
        <f t="shared" si="39"/>
        <v>0</v>
      </c>
      <c r="Z209" s="116">
        <f t="shared" si="40"/>
        <v>0</v>
      </c>
      <c r="AA209" s="116">
        <f t="shared" si="41"/>
        <v>0</v>
      </c>
      <c r="AB209" s="116">
        <f t="shared" si="42"/>
        <v>0</v>
      </c>
      <c r="AC209" s="116">
        <f t="shared" si="43"/>
        <v>0</v>
      </c>
      <c r="AD209" s="116">
        <f t="shared" si="44"/>
        <v>0</v>
      </c>
      <c r="AE209" s="116">
        <f t="shared" si="45"/>
        <v>0</v>
      </c>
    </row>
    <row r="210" spans="1:31">
      <c r="A210" s="131">
        <v>42472</v>
      </c>
      <c r="B210" s="131">
        <v>42502</v>
      </c>
      <c r="C210" s="123">
        <f t="shared" si="33"/>
        <v>30</v>
      </c>
      <c r="D210" s="132">
        <v>1222.5899999999999</v>
      </c>
      <c r="E210" s="134"/>
      <c r="F210" s="135"/>
      <c r="G210" s="123"/>
      <c r="H210" s="123"/>
      <c r="I210" s="123">
        <v>19</v>
      </c>
      <c r="J210" s="123">
        <v>11</v>
      </c>
      <c r="K210" s="123"/>
      <c r="L210" s="123"/>
      <c r="M210" s="123"/>
      <c r="N210" s="123"/>
      <c r="O210" s="123"/>
      <c r="P210" s="123"/>
      <c r="Q210" s="123"/>
      <c r="R210" s="133">
        <f t="shared" si="32"/>
        <v>0</v>
      </c>
      <c r="S210" s="133"/>
      <c r="T210" s="116">
        <f t="shared" si="34"/>
        <v>0</v>
      </c>
      <c r="U210" s="116">
        <f t="shared" si="35"/>
        <v>0</v>
      </c>
      <c r="V210" s="116">
        <f t="shared" si="36"/>
        <v>0</v>
      </c>
      <c r="W210" s="116">
        <f t="shared" si="37"/>
        <v>6391.31</v>
      </c>
      <c r="X210" s="116">
        <f t="shared" si="38"/>
        <v>4308.34</v>
      </c>
      <c r="Y210" s="116">
        <f t="shared" si="39"/>
        <v>0</v>
      </c>
      <c r="Z210" s="116">
        <f t="shared" si="40"/>
        <v>0</v>
      </c>
      <c r="AA210" s="116">
        <f t="shared" si="41"/>
        <v>0</v>
      </c>
      <c r="AB210" s="116">
        <f t="shared" si="42"/>
        <v>0</v>
      </c>
      <c r="AC210" s="116">
        <f t="shared" si="43"/>
        <v>0</v>
      </c>
      <c r="AD210" s="116">
        <f t="shared" si="44"/>
        <v>0</v>
      </c>
      <c r="AE210" s="116">
        <f t="shared" si="45"/>
        <v>0</v>
      </c>
    </row>
    <row r="211" spans="1:31">
      <c r="A211" s="131">
        <v>42472</v>
      </c>
      <c r="B211" s="131">
        <v>42502</v>
      </c>
      <c r="C211" s="123">
        <f t="shared" si="33"/>
        <v>30</v>
      </c>
      <c r="D211" s="132">
        <v>1047.2</v>
      </c>
      <c r="E211" s="134"/>
      <c r="F211" s="135"/>
      <c r="G211" s="123"/>
      <c r="H211" s="123"/>
      <c r="I211" s="123">
        <v>19</v>
      </c>
      <c r="J211" s="123">
        <v>11</v>
      </c>
      <c r="K211" s="123"/>
      <c r="L211" s="123"/>
      <c r="M211" s="123"/>
      <c r="N211" s="123"/>
      <c r="O211" s="123"/>
      <c r="P211" s="123"/>
      <c r="Q211" s="123"/>
      <c r="R211" s="133">
        <f t="shared" si="32"/>
        <v>0</v>
      </c>
      <c r="S211" s="133"/>
      <c r="T211" s="116">
        <f t="shared" si="34"/>
        <v>0</v>
      </c>
      <c r="U211" s="116">
        <f t="shared" si="35"/>
        <v>0</v>
      </c>
      <c r="V211" s="116">
        <f t="shared" si="36"/>
        <v>0</v>
      </c>
      <c r="W211" s="116">
        <f t="shared" si="37"/>
        <v>5474.43</v>
      </c>
      <c r="X211" s="116">
        <f t="shared" si="38"/>
        <v>3690.28</v>
      </c>
      <c r="Y211" s="116">
        <f t="shared" si="39"/>
        <v>0</v>
      </c>
      <c r="Z211" s="116">
        <f t="shared" si="40"/>
        <v>0</v>
      </c>
      <c r="AA211" s="116">
        <f t="shared" si="41"/>
        <v>0</v>
      </c>
      <c r="AB211" s="116">
        <f t="shared" si="42"/>
        <v>0</v>
      </c>
      <c r="AC211" s="116">
        <f t="shared" si="43"/>
        <v>0</v>
      </c>
      <c r="AD211" s="116">
        <f t="shared" si="44"/>
        <v>0</v>
      </c>
      <c r="AE211" s="116">
        <f t="shared" si="45"/>
        <v>0</v>
      </c>
    </row>
    <row r="212" spans="1:31" ht="15.75" thickBot="1">
      <c r="A212" s="131">
        <v>42472</v>
      </c>
      <c r="B212" s="131">
        <v>42502</v>
      </c>
      <c r="C212" s="123">
        <f t="shared" si="33"/>
        <v>30</v>
      </c>
      <c r="D212" s="132">
        <v>173.12</v>
      </c>
      <c r="E212" s="134"/>
      <c r="F212" s="135"/>
      <c r="G212" s="123"/>
      <c r="H212" s="123"/>
      <c r="I212" s="123">
        <v>19</v>
      </c>
      <c r="J212" s="123">
        <v>11</v>
      </c>
      <c r="K212" s="123"/>
      <c r="L212" s="123"/>
      <c r="M212" s="123"/>
      <c r="N212" s="123"/>
      <c r="O212" s="123"/>
      <c r="P212" s="123"/>
      <c r="Q212" s="123"/>
      <c r="R212" s="133">
        <f t="shared" si="32"/>
        <v>0</v>
      </c>
      <c r="S212" s="133"/>
      <c r="T212" s="116">
        <f t="shared" si="34"/>
        <v>0</v>
      </c>
      <c r="U212" s="116">
        <f t="shared" si="35"/>
        <v>0</v>
      </c>
      <c r="V212" s="116">
        <f t="shared" si="36"/>
        <v>0</v>
      </c>
      <c r="W212" s="116">
        <f t="shared" si="37"/>
        <v>905.02</v>
      </c>
      <c r="X212" s="116">
        <f t="shared" si="38"/>
        <v>610.07000000000005</v>
      </c>
      <c r="Y212" s="116">
        <f t="shared" si="39"/>
        <v>0</v>
      </c>
      <c r="Z212" s="116">
        <f t="shared" si="40"/>
        <v>0</v>
      </c>
      <c r="AA212" s="116">
        <f t="shared" si="41"/>
        <v>0</v>
      </c>
      <c r="AB212" s="116">
        <f t="shared" si="42"/>
        <v>0</v>
      </c>
      <c r="AC212" s="116">
        <f t="shared" si="43"/>
        <v>0</v>
      </c>
      <c r="AD212" s="116">
        <f t="shared" si="44"/>
        <v>0</v>
      </c>
      <c r="AE212" s="116">
        <f t="shared" si="45"/>
        <v>0</v>
      </c>
    </row>
    <row r="213" spans="1:31" ht="15.75" thickBot="1">
      <c r="A213" s="194" t="s">
        <v>40</v>
      </c>
      <c r="B213" s="195"/>
      <c r="C213" s="195"/>
      <c r="D213" s="195"/>
      <c r="E213" s="195"/>
      <c r="F213" s="195"/>
      <c r="G213" s="195"/>
      <c r="H213" s="195"/>
      <c r="I213" s="195"/>
      <c r="J213" s="195"/>
      <c r="K213" s="195"/>
      <c r="L213" s="195"/>
      <c r="M213" s="195"/>
      <c r="N213" s="195"/>
      <c r="O213" s="195"/>
      <c r="P213" s="195"/>
      <c r="Q213" s="195"/>
      <c r="R213" s="195"/>
      <c r="S213" s="195"/>
      <c r="T213" s="195"/>
      <c r="U213" s="195"/>
      <c r="V213" s="195"/>
      <c r="W213" s="195"/>
      <c r="X213" s="195"/>
      <c r="Y213" s="195"/>
      <c r="Z213" s="195"/>
      <c r="AA213" s="195"/>
      <c r="AB213" s="195"/>
      <c r="AC213" s="195"/>
      <c r="AD213" s="195"/>
      <c r="AE213" s="196"/>
    </row>
    <row r="214" spans="1:31">
      <c r="A214" s="131">
        <v>42475</v>
      </c>
      <c r="B214" s="131">
        <v>42505</v>
      </c>
      <c r="C214" s="123">
        <f t="shared" si="33"/>
        <v>30</v>
      </c>
      <c r="D214" s="132">
        <v>25797.16</v>
      </c>
      <c r="E214" s="134"/>
      <c r="F214" s="135"/>
      <c r="G214" s="123"/>
      <c r="H214" s="123"/>
      <c r="I214" s="123">
        <v>16</v>
      </c>
      <c r="J214" s="123">
        <v>14</v>
      </c>
      <c r="K214" s="123"/>
      <c r="L214" s="123"/>
      <c r="M214" s="123"/>
      <c r="N214" s="123"/>
      <c r="O214" s="123"/>
      <c r="P214" s="123"/>
      <c r="Q214" s="123"/>
      <c r="R214" s="133">
        <f t="shared" si="32"/>
        <v>0</v>
      </c>
      <c r="S214" s="133"/>
      <c r="T214" s="116">
        <f t="shared" si="34"/>
        <v>0</v>
      </c>
      <c r="U214" s="116">
        <f t="shared" si="35"/>
        <v>0</v>
      </c>
      <c r="V214" s="116">
        <f t="shared" si="36"/>
        <v>0</v>
      </c>
      <c r="W214" s="116">
        <f t="shared" si="37"/>
        <v>113565.71</v>
      </c>
      <c r="X214" s="116">
        <f t="shared" si="38"/>
        <v>115700.86</v>
      </c>
      <c r="Y214" s="116">
        <f t="shared" si="39"/>
        <v>0</v>
      </c>
      <c r="Z214" s="116">
        <f t="shared" si="40"/>
        <v>0</v>
      </c>
      <c r="AA214" s="116">
        <f t="shared" si="41"/>
        <v>0</v>
      </c>
      <c r="AB214" s="116">
        <f t="shared" si="42"/>
        <v>0</v>
      </c>
      <c r="AC214" s="116">
        <f t="shared" si="43"/>
        <v>0</v>
      </c>
      <c r="AD214" s="116">
        <f t="shared" si="44"/>
        <v>0</v>
      </c>
      <c r="AE214" s="116">
        <f t="shared" si="45"/>
        <v>0</v>
      </c>
    </row>
    <row r="215" spans="1:31">
      <c r="A215" s="131">
        <v>42475</v>
      </c>
      <c r="B215" s="131">
        <v>42505</v>
      </c>
      <c r="C215" s="123">
        <f t="shared" si="33"/>
        <v>30</v>
      </c>
      <c r="D215" s="132">
        <v>8070.67</v>
      </c>
      <c r="E215" s="134"/>
      <c r="F215" s="135"/>
      <c r="G215" s="123"/>
      <c r="H215" s="123"/>
      <c r="I215" s="123">
        <v>16</v>
      </c>
      <c r="J215" s="123">
        <v>14</v>
      </c>
      <c r="K215" s="123"/>
      <c r="L215" s="123"/>
      <c r="M215" s="123"/>
      <c r="N215" s="123"/>
      <c r="O215" s="123"/>
      <c r="P215" s="123"/>
      <c r="Q215" s="123"/>
      <c r="R215" s="133">
        <f t="shared" si="32"/>
        <v>0</v>
      </c>
      <c r="S215" s="133"/>
      <c r="T215" s="116">
        <f t="shared" si="34"/>
        <v>0</v>
      </c>
      <c r="U215" s="116">
        <f t="shared" si="35"/>
        <v>0</v>
      </c>
      <c r="V215" s="116">
        <f t="shared" si="36"/>
        <v>0</v>
      </c>
      <c r="W215" s="116">
        <f t="shared" si="37"/>
        <v>35529.160000000003</v>
      </c>
      <c r="X215" s="116">
        <f t="shared" si="38"/>
        <v>36197.14</v>
      </c>
      <c r="Y215" s="116">
        <f t="shared" si="39"/>
        <v>0</v>
      </c>
      <c r="Z215" s="116">
        <f t="shared" si="40"/>
        <v>0</v>
      </c>
      <c r="AA215" s="116">
        <f t="shared" si="41"/>
        <v>0</v>
      </c>
      <c r="AB215" s="116">
        <f t="shared" si="42"/>
        <v>0</v>
      </c>
      <c r="AC215" s="116">
        <f t="shared" si="43"/>
        <v>0</v>
      </c>
      <c r="AD215" s="116">
        <f t="shared" si="44"/>
        <v>0</v>
      </c>
      <c r="AE215" s="116">
        <f t="shared" si="45"/>
        <v>0</v>
      </c>
    </row>
    <row r="216" spans="1:31">
      <c r="A216" s="131">
        <v>42475</v>
      </c>
      <c r="B216" s="131">
        <v>42505</v>
      </c>
      <c r="C216" s="123">
        <f t="shared" si="33"/>
        <v>30</v>
      </c>
      <c r="D216" s="132">
        <v>2488.5100000000002</v>
      </c>
      <c r="E216" s="134"/>
      <c r="F216" s="135"/>
      <c r="G216" s="123"/>
      <c r="H216" s="123"/>
      <c r="I216" s="123">
        <v>16</v>
      </c>
      <c r="J216" s="123">
        <v>14</v>
      </c>
      <c r="K216" s="123"/>
      <c r="L216" s="123"/>
      <c r="M216" s="123"/>
      <c r="N216" s="123"/>
      <c r="O216" s="123"/>
      <c r="P216" s="123"/>
      <c r="Q216" s="123"/>
      <c r="R216" s="133">
        <f t="shared" si="32"/>
        <v>0</v>
      </c>
      <c r="S216" s="133"/>
      <c r="T216" s="116">
        <f t="shared" si="34"/>
        <v>0</v>
      </c>
      <c r="U216" s="116">
        <f t="shared" si="35"/>
        <v>0</v>
      </c>
      <c r="V216" s="116">
        <f t="shared" si="36"/>
        <v>0</v>
      </c>
      <c r="W216" s="116">
        <f t="shared" si="37"/>
        <v>10955.06</v>
      </c>
      <c r="X216" s="116">
        <f t="shared" si="38"/>
        <v>11161.03</v>
      </c>
      <c r="Y216" s="116">
        <f t="shared" si="39"/>
        <v>0</v>
      </c>
      <c r="Z216" s="116">
        <f t="shared" si="40"/>
        <v>0</v>
      </c>
      <c r="AA216" s="116">
        <f t="shared" si="41"/>
        <v>0</v>
      </c>
      <c r="AB216" s="116">
        <f t="shared" si="42"/>
        <v>0</v>
      </c>
      <c r="AC216" s="116">
        <f t="shared" si="43"/>
        <v>0</v>
      </c>
      <c r="AD216" s="116">
        <f t="shared" si="44"/>
        <v>0</v>
      </c>
      <c r="AE216" s="116">
        <f t="shared" si="45"/>
        <v>0</v>
      </c>
    </row>
    <row r="217" spans="1:31">
      <c r="A217" s="131">
        <v>42479</v>
      </c>
      <c r="B217" s="131">
        <v>42509</v>
      </c>
      <c r="C217" s="123">
        <f t="shared" si="33"/>
        <v>30</v>
      </c>
      <c r="D217" s="132">
        <v>620.63</v>
      </c>
      <c r="E217" s="134"/>
      <c r="F217" s="135"/>
      <c r="G217" s="123"/>
      <c r="H217" s="123"/>
      <c r="I217" s="123">
        <v>12</v>
      </c>
      <c r="J217" s="123">
        <v>18</v>
      </c>
      <c r="K217" s="123"/>
      <c r="L217" s="123"/>
      <c r="M217" s="123"/>
      <c r="N217" s="123"/>
      <c r="O217" s="123"/>
      <c r="P217" s="123"/>
      <c r="Q217" s="123"/>
      <c r="R217" s="133">
        <f t="shared" si="32"/>
        <v>0</v>
      </c>
      <c r="S217" s="133"/>
      <c r="T217" s="116">
        <f t="shared" si="34"/>
        <v>0</v>
      </c>
      <c r="U217" s="116">
        <f t="shared" si="35"/>
        <v>0</v>
      </c>
      <c r="V217" s="116">
        <f t="shared" si="36"/>
        <v>0</v>
      </c>
      <c r="W217" s="116">
        <f t="shared" si="37"/>
        <v>2049.13</v>
      </c>
      <c r="X217" s="116">
        <f t="shared" si="38"/>
        <v>3578.84</v>
      </c>
      <c r="Y217" s="116">
        <f t="shared" si="39"/>
        <v>0</v>
      </c>
      <c r="Z217" s="116">
        <f t="shared" si="40"/>
        <v>0</v>
      </c>
      <c r="AA217" s="116">
        <f t="shared" si="41"/>
        <v>0</v>
      </c>
      <c r="AB217" s="116">
        <f t="shared" si="42"/>
        <v>0</v>
      </c>
      <c r="AC217" s="116">
        <f t="shared" si="43"/>
        <v>0</v>
      </c>
      <c r="AD217" s="116">
        <f t="shared" si="44"/>
        <v>0</v>
      </c>
      <c r="AE217" s="116">
        <f t="shared" si="45"/>
        <v>0</v>
      </c>
    </row>
    <row r="218" spans="1:31">
      <c r="A218" s="131">
        <v>42479</v>
      </c>
      <c r="B218" s="131">
        <v>42509</v>
      </c>
      <c r="C218" s="123">
        <f t="shared" si="33"/>
        <v>30</v>
      </c>
      <c r="D218" s="132">
        <v>2013.93</v>
      </c>
      <c r="E218" s="134"/>
      <c r="F218" s="135"/>
      <c r="G218" s="123"/>
      <c r="H218" s="123"/>
      <c r="I218" s="123">
        <v>12</v>
      </c>
      <c r="J218" s="123">
        <v>18</v>
      </c>
      <c r="K218" s="123"/>
      <c r="L218" s="123"/>
      <c r="M218" s="123"/>
      <c r="N218" s="123"/>
      <c r="O218" s="123"/>
      <c r="P218" s="123"/>
      <c r="Q218" s="123"/>
      <c r="R218" s="133">
        <f t="shared" si="32"/>
        <v>0</v>
      </c>
      <c r="S218" s="133"/>
      <c r="T218" s="116">
        <f t="shared" si="34"/>
        <v>0</v>
      </c>
      <c r="U218" s="116">
        <f t="shared" si="35"/>
        <v>0</v>
      </c>
      <c r="V218" s="116">
        <f t="shared" si="36"/>
        <v>0</v>
      </c>
      <c r="W218" s="116">
        <f t="shared" si="37"/>
        <v>6649.38</v>
      </c>
      <c r="X218" s="116">
        <f t="shared" si="38"/>
        <v>11613.24</v>
      </c>
      <c r="Y218" s="116">
        <f t="shared" si="39"/>
        <v>0</v>
      </c>
      <c r="Z218" s="116">
        <f t="shared" si="40"/>
        <v>0</v>
      </c>
      <c r="AA218" s="116">
        <f t="shared" si="41"/>
        <v>0</v>
      </c>
      <c r="AB218" s="116">
        <f t="shared" si="42"/>
        <v>0</v>
      </c>
      <c r="AC218" s="116">
        <f t="shared" si="43"/>
        <v>0</v>
      </c>
      <c r="AD218" s="116">
        <f t="shared" si="44"/>
        <v>0</v>
      </c>
      <c r="AE218" s="116">
        <f t="shared" si="45"/>
        <v>0</v>
      </c>
    </row>
    <row r="219" spans="1:31">
      <c r="A219" s="131">
        <v>42479</v>
      </c>
      <c r="B219" s="131">
        <v>42509</v>
      </c>
      <c r="C219" s="123">
        <f t="shared" si="33"/>
        <v>30</v>
      </c>
      <c r="D219" s="132">
        <v>545.29999999999995</v>
      </c>
      <c r="E219" s="134"/>
      <c r="F219" s="135"/>
      <c r="G219" s="123"/>
      <c r="H219" s="123"/>
      <c r="I219" s="123">
        <v>12</v>
      </c>
      <c r="J219" s="123">
        <v>18</v>
      </c>
      <c r="K219" s="123"/>
      <c r="L219" s="123"/>
      <c r="M219" s="123"/>
      <c r="N219" s="123"/>
      <c r="O219" s="123"/>
      <c r="P219" s="123"/>
      <c r="Q219" s="123"/>
      <c r="R219" s="133">
        <f t="shared" si="32"/>
        <v>0</v>
      </c>
      <c r="S219" s="133"/>
      <c r="T219" s="116">
        <f t="shared" si="34"/>
        <v>0</v>
      </c>
      <c r="U219" s="116">
        <f t="shared" si="35"/>
        <v>0</v>
      </c>
      <c r="V219" s="116">
        <f t="shared" si="36"/>
        <v>0</v>
      </c>
      <c r="W219" s="116">
        <f t="shared" si="37"/>
        <v>1800.41</v>
      </c>
      <c r="X219" s="116">
        <f t="shared" si="38"/>
        <v>3144.45</v>
      </c>
      <c r="Y219" s="116">
        <f t="shared" si="39"/>
        <v>0</v>
      </c>
      <c r="Z219" s="116">
        <f t="shared" si="40"/>
        <v>0</v>
      </c>
      <c r="AA219" s="116">
        <f t="shared" si="41"/>
        <v>0</v>
      </c>
      <c r="AB219" s="116">
        <f t="shared" si="42"/>
        <v>0</v>
      </c>
      <c r="AC219" s="116">
        <f t="shared" si="43"/>
        <v>0</v>
      </c>
      <c r="AD219" s="116">
        <f t="shared" si="44"/>
        <v>0</v>
      </c>
      <c r="AE219" s="116">
        <f t="shared" si="45"/>
        <v>0</v>
      </c>
    </row>
    <row r="220" spans="1:31">
      <c r="A220" s="131">
        <v>42482</v>
      </c>
      <c r="B220" s="131">
        <v>42512</v>
      </c>
      <c r="C220" s="123">
        <f t="shared" si="33"/>
        <v>30</v>
      </c>
      <c r="D220" s="132">
        <v>1064.45</v>
      </c>
      <c r="E220" s="134"/>
      <c r="F220" s="135"/>
      <c r="G220" s="123"/>
      <c r="H220" s="123"/>
      <c r="I220" s="123">
        <v>9</v>
      </c>
      <c r="J220" s="123">
        <v>21</v>
      </c>
      <c r="K220" s="123"/>
      <c r="L220" s="123"/>
      <c r="M220" s="123"/>
      <c r="N220" s="123"/>
      <c r="O220" s="123"/>
      <c r="P220" s="123"/>
      <c r="Q220" s="123"/>
      <c r="R220" s="133">
        <f t="shared" ref="R220:R284" si="46">C220-SUM(F220:Q220)</f>
        <v>0</v>
      </c>
      <c r="S220" s="133"/>
      <c r="T220" s="116">
        <f t="shared" si="34"/>
        <v>0</v>
      </c>
      <c r="U220" s="116">
        <f t="shared" si="35"/>
        <v>0</v>
      </c>
      <c r="V220" s="116">
        <f t="shared" si="36"/>
        <v>0</v>
      </c>
      <c r="W220" s="116">
        <f>9725.02-X220</f>
        <v>3137.1000000000004</v>
      </c>
      <c r="X220" s="116">
        <v>6587.92</v>
      </c>
      <c r="Y220" s="116">
        <f t="shared" si="39"/>
        <v>0</v>
      </c>
      <c r="Z220" s="116">
        <f t="shared" si="40"/>
        <v>0</v>
      </c>
      <c r="AA220" s="116">
        <f t="shared" si="41"/>
        <v>0</v>
      </c>
      <c r="AB220" s="116">
        <f t="shared" si="42"/>
        <v>0</v>
      </c>
      <c r="AC220" s="116">
        <f t="shared" si="43"/>
        <v>0</v>
      </c>
      <c r="AD220" s="116">
        <f t="shared" si="44"/>
        <v>0</v>
      </c>
      <c r="AE220" s="116">
        <f t="shared" si="45"/>
        <v>0</v>
      </c>
    </row>
    <row r="221" spans="1:31">
      <c r="A221" s="131">
        <v>42482</v>
      </c>
      <c r="B221" s="131">
        <v>42512</v>
      </c>
      <c r="C221" s="123">
        <f t="shared" si="33"/>
        <v>30</v>
      </c>
      <c r="D221" s="132">
        <v>240045.89</v>
      </c>
      <c r="E221" s="134"/>
      <c r="F221" s="135"/>
      <c r="G221" s="123"/>
      <c r="H221" s="123"/>
      <c r="I221" s="123">
        <v>9</v>
      </c>
      <c r="J221" s="123">
        <v>21</v>
      </c>
      <c r="K221" s="123"/>
      <c r="L221" s="123"/>
      <c r="M221" s="123"/>
      <c r="N221" s="123"/>
      <c r="O221" s="123"/>
      <c r="P221" s="123"/>
      <c r="Q221" s="123"/>
      <c r="R221" s="133">
        <f t="shared" si="46"/>
        <v>0</v>
      </c>
      <c r="S221" s="133"/>
      <c r="T221" s="116">
        <f t="shared" si="34"/>
        <v>0</v>
      </c>
      <c r="U221" s="116">
        <f t="shared" si="35"/>
        <v>0</v>
      </c>
      <c r="V221" s="116">
        <f t="shared" si="36"/>
        <v>0</v>
      </c>
      <c r="W221" s="116">
        <f>2182481.07-X221</f>
        <v>757821.14999999991</v>
      </c>
      <c r="X221" s="116">
        <v>1424659.92</v>
      </c>
      <c r="Y221" s="116">
        <f t="shared" si="39"/>
        <v>0</v>
      </c>
      <c r="Z221" s="116">
        <f t="shared" si="40"/>
        <v>0</v>
      </c>
      <c r="AA221" s="116">
        <f t="shared" si="41"/>
        <v>0</v>
      </c>
      <c r="AB221" s="116">
        <f t="shared" si="42"/>
        <v>0</v>
      </c>
      <c r="AC221" s="116">
        <f t="shared" si="43"/>
        <v>0</v>
      </c>
      <c r="AD221" s="116">
        <f t="shared" si="44"/>
        <v>0</v>
      </c>
      <c r="AE221" s="116">
        <f t="shared" si="45"/>
        <v>0</v>
      </c>
    </row>
    <row r="222" spans="1:31">
      <c r="A222" s="131">
        <v>42486</v>
      </c>
      <c r="B222" s="131">
        <v>42516</v>
      </c>
      <c r="C222" s="123">
        <f t="shared" si="33"/>
        <v>30</v>
      </c>
      <c r="D222" s="132">
        <v>1108.8900000000001</v>
      </c>
      <c r="E222" s="134"/>
      <c r="F222" s="135"/>
      <c r="G222" s="123"/>
      <c r="H222" s="123"/>
      <c r="I222" s="123">
        <v>5</v>
      </c>
      <c r="J222" s="123">
        <v>25</v>
      </c>
      <c r="K222" s="123"/>
      <c r="L222" s="123"/>
      <c r="M222" s="123"/>
      <c r="N222" s="123"/>
      <c r="O222" s="123"/>
      <c r="P222" s="123"/>
      <c r="Q222" s="123"/>
      <c r="R222" s="133">
        <f t="shared" si="46"/>
        <v>0</v>
      </c>
      <c r="S222" s="133"/>
      <c r="T222" s="116">
        <f t="shared" si="34"/>
        <v>0</v>
      </c>
      <c r="U222" s="116">
        <f t="shared" si="35"/>
        <v>0</v>
      </c>
      <c r="V222" s="116">
        <f t="shared" si="36"/>
        <v>0</v>
      </c>
      <c r="W222" s="116">
        <f t="shared" si="37"/>
        <v>1525.51</v>
      </c>
      <c r="X222" s="116">
        <f t="shared" si="38"/>
        <v>8881.07</v>
      </c>
      <c r="Y222" s="116">
        <f t="shared" si="39"/>
        <v>0</v>
      </c>
      <c r="Z222" s="116">
        <f t="shared" si="40"/>
        <v>0</v>
      </c>
      <c r="AA222" s="116">
        <f t="shared" si="41"/>
        <v>0</v>
      </c>
      <c r="AB222" s="116">
        <f t="shared" si="42"/>
        <v>0</v>
      </c>
      <c r="AC222" s="116">
        <f t="shared" si="43"/>
        <v>0</v>
      </c>
      <c r="AD222" s="116">
        <f t="shared" si="44"/>
        <v>0</v>
      </c>
      <c r="AE222" s="116">
        <f t="shared" si="45"/>
        <v>0</v>
      </c>
    </row>
    <row r="223" spans="1:31">
      <c r="A223" s="131">
        <v>42486</v>
      </c>
      <c r="B223" s="131">
        <v>42516</v>
      </c>
      <c r="C223" s="123">
        <f t="shared" si="33"/>
        <v>30</v>
      </c>
      <c r="D223" s="132">
        <v>1075.49</v>
      </c>
      <c r="E223" s="134"/>
      <c r="F223" s="135"/>
      <c r="G223" s="123"/>
      <c r="H223" s="123"/>
      <c r="I223" s="123">
        <v>5</v>
      </c>
      <c r="J223" s="123">
        <v>25</v>
      </c>
      <c r="K223" s="123"/>
      <c r="L223" s="123"/>
      <c r="M223" s="123"/>
      <c r="N223" s="123"/>
      <c r="O223" s="123"/>
      <c r="P223" s="123"/>
      <c r="Q223" s="123"/>
      <c r="R223" s="133">
        <f t="shared" si="46"/>
        <v>0</v>
      </c>
      <c r="S223" s="133"/>
      <c r="T223" s="116">
        <f t="shared" si="34"/>
        <v>0</v>
      </c>
      <c r="U223" s="116">
        <f t="shared" si="35"/>
        <v>0</v>
      </c>
      <c r="V223" s="116">
        <f t="shared" si="36"/>
        <v>0</v>
      </c>
      <c r="W223" s="116">
        <f t="shared" si="37"/>
        <v>1479.56</v>
      </c>
      <c r="X223" s="116">
        <f t="shared" si="38"/>
        <v>8613.57</v>
      </c>
      <c r="Y223" s="116">
        <f t="shared" si="39"/>
        <v>0</v>
      </c>
      <c r="Z223" s="116">
        <f t="shared" si="40"/>
        <v>0</v>
      </c>
      <c r="AA223" s="116">
        <f t="shared" si="41"/>
        <v>0</v>
      </c>
      <c r="AB223" s="116">
        <f t="shared" si="42"/>
        <v>0</v>
      </c>
      <c r="AC223" s="116">
        <f t="shared" si="43"/>
        <v>0</v>
      </c>
      <c r="AD223" s="116">
        <f t="shared" si="44"/>
        <v>0</v>
      </c>
      <c r="AE223" s="116">
        <f t="shared" si="45"/>
        <v>0</v>
      </c>
    </row>
    <row r="224" spans="1:31">
      <c r="A224" s="131">
        <v>42488</v>
      </c>
      <c r="B224" s="131">
        <v>42518</v>
      </c>
      <c r="C224" s="123">
        <f t="shared" si="33"/>
        <v>30</v>
      </c>
      <c r="D224" s="132">
        <v>1375.72</v>
      </c>
      <c r="E224" s="134"/>
      <c r="F224" s="135"/>
      <c r="G224" s="123"/>
      <c r="H224" s="123"/>
      <c r="I224" s="123">
        <v>3</v>
      </c>
      <c r="J224" s="123">
        <v>27</v>
      </c>
      <c r="K224" s="123"/>
      <c r="L224" s="123"/>
      <c r="M224" s="123"/>
      <c r="N224" s="123"/>
      <c r="O224" s="123"/>
      <c r="P224" s="123"/>
      <c r="Q224" s="123"/>
      <c r="R224" s="133">
        <f t="shared" si="46"/>
        <v>0</v>
      </c>
      <c r="S224" s="133"/>
      <c r="T224" s="116">
        <f t="shared" si="34"/>
        <v>0</v>
      </c>
      <c r="U224" s="116">
        <f t="shared" si="35"/>
        <v>0</v>
      </c>
      <c r="V224" s="116">
        <f t="shared" si="36"/>
        <v>0</v>
      </c>
      <c r="W224" s="116">
        <f t="shared" si="37"/>
        <v>1135.55</v>
      </c>
      <c r="X224" s="116">
        <f t="shared" si="38"/>
        <v>11899.55</v>
      </c>
      <c r="Y224" s="116">
        <f t="shared" si="39"/>
        <v>0</v>
      </c>
      <c r="Z224" s="116">
        <f t="shared" si="40"/>
        <v>0</v>
      </c>
      <c r="AA224" s="116">
        <f t="shared" si="41"/>
        <v>0</v>
      </c>
      <c r="AB224" s="116">
        <f t="shared" si="42"/>
        <v>0</v>
      </c>
      <c r="AC224" s="116">
        <f t="shared" si="43"/>
        <v>0</v>
      </c>
      <c r="AD224" s="116">
        <f t="shared" si="44"/>
        <v>0</v>
      </c>
      <c r="AE224" s="116">
        <f t="shared" si="45"/>
        <v>0</v>
      </c>
    </row>
    <row r="225" spans="1:31">
      <c r="A225" s="131">
        <v>42488</v>
      </c>
      <c r="B225" s="131">
        <v>42518</v>
      </c>
      <c r="C225" s="123">
        <f t="shared" si="33"/>
        <v>30</v>
      </c>
      <c r="D225" s="132">
        <v>1473.98</v>
      </c>
      <c r="E225" s="134"/>
      <c r="F225" s="135"/>
      <c r="G225" s="123"/>
      <c r="H225" s="123"/>
      <c r="I225" s="123">
        <v>3</v>
      </c>
      <c r="J225" s="123">
        <v>27</v>
      </c>
      <c r="K225" s="123"/>
      <c r="L225" s="123"/>
      <c r="M225" s="123"/>
      <c r="N225" s="123"/>
      <c r="O225" s="123"/>
      <c r="P225" s="123"/>
      <c r="Q225" s="123"/>
      <c r="R225" s="133">
        <f t="shared" si="46"/>
        <v>0</v>
      </c>
      <c r="S225" s="133"/>
      <c r="T225" s="116">
        <f t="shared" si="34"/>
        <v>0</v>
      </c>
      <c r="U225" s="116">
        <f t="shared" si="35"/>
        <v>0</v>
      </c>
      <c r="V225" s="116">
        <f t="shared" si="36"/>
        <v>0</v>
      </c>
      <c r="W225" s="116">
        <f t="shared" si="37"/>
        <v>1216.6600000000001</v>
      </c>
      <c r="X225" s="116">
        <f t="shared" si="38"/>
        <v>12749.47</v>
      </c>
      <c r="Y225" s="116">
        <f t="shared" si="39"/>
        <v>0</v>
      </c>
      <c r="Z225" s="116">
        <f t="shared" si="40"/>
        <v>0</v>
      </c>
      <c r="AA225" s="116">
        <f t="shared" si="41"/>
        <v>0</v>
      </c>
      <c r="AB225" s="116">
        <f t="shared" si="42"/>
        <v>0</v>
      </c>
      <c r="AC225" s="116">
        <f t="shared" si="43"/>
        <v>0</v>
      </c>
      <c r="AD225" s="116">
        <f t="shared" si="44"/>
        <v>0</v>
      </c>
      <c r="AE225" s="116">
        <f t="shared" si="45"/>
        <v>0</v>
      </c>
    </row>
    <row r="226" spans="1:31">
      <c r="A226" s="131">
        <v>42491</v>
      </c>
      <c r="B226" s="131">
        <v>42522</v>
      </c>
      <c r="C226" s="123">
        <f t="shared" si="33"/>
        <v>31</v>
      </c>
      <c r="D226" s="132">
        <v>272</v>
      </c>
      <c r="E226" s="134"/>
      <c r="F226" s="135"/>
      <c r="G226" s="123"/>
      <c r="H226" s="123"/>
      <c r="I226" s="123"/>
      <c r="J226" s="123">
        <v>31</v>
      </c>
      <c r="K226" s="123"/>
      <c r="L226" s="123"/>
      <c r="M226" s="123"/>
      <c r="N226" s="123"/>
      <c r="O226" s="123"/>
      <c r="P226" s="123"/>
      <c r="Q226" s="123"/>
      <c r="R226" s="133">
        <f t="shared" si="46"/>
        <v>0</v>
      </c>
      <c r="S226" s="133"/>
      <c r="T226" s="116">
        <f t="shared" si="34"/>
        <v>0</v>
      </c>
      <c r="U226" s="116">
        <f t="shared" si="35"/>
        <v>0</v>
      </c>
      <c r="V226" s="116">
        <f t="shared" si="36"/>
        <v>0</v>
      </c>
      <c r="W226" s="116">
        <f t="shared" si="37"/>
        <v>0</v>
      </c>
      <c r="X226" s="116">
        <f t="shared" si="38"/>
        <v>2614.13</v>
      </c>
      <c r="Y226" s="116">
        <f t="shared" si="39"/>
        <v>0</v>
      </c>
      <c r="Z226" s="116">
        <f t="shared" si="40"/>
        <v>0</v>
      </c>
      <c r="AA226" s="116">
        <f t="shared" si="41"/>
        <v>0</v>
      </c>
      <c r="AB226" s="116">
        <f t="shared" si="42"/>
        <v>0</v>
      </c>
      <c r="AC226" s="116">
        <f t="shared" si="43"/>
        <v>0</v>
      </c>
      <c r="AD226" s="116">
        <f t="shared" si="44"/>
        <v>0</v>
      </c>
      <c r="AE226" s="116">
        <f t="shared" si="45"/>
        <v>0</v>
      </c>
    </row>
    <row r="227" spans="1:31">
      <c r="A227" s="131">
        <v>42490</v>
      </c>
      <c r="B227" s="131">
        <v>42521</v>
      </c>
      <c r="C227" s="123">
        <f t="shared" si="33"/>
        <v>31</v>
      </c>
      <c r="D227" s="132">
        <v>5533.34</v>
      </c>
      <c r="E227" s="134"/>
      <c r="F227" s="135"/>
      <c r="G227" s="123"/>
      <c r="H227" s="123"/>
      <c r="I227" s="123">
        <v>1</v>
      </c>
      <c r="J227" s="123">
        <v>30</v>
      </c>
      <c r="K227" s="123"/>
      <c r="L227" s="123"/>
      <c r="M227" s="123"/>
      <c r="N227" s="123"/>
      <c r="O227" s="123"/>
      <c r="P227" s="123"/>
      <c r="Q227" s="123"/>
      <c r="R227" s="133">
        <f t="shared" si="46"/>
        <v>0</v>
      </c>
      <c r="S227" s="133"/>
      <c r="T227" s="116">
        <f t="shared" si="34"/>
        <v>0</v>
      </c>
      <c r="U227" s="116">
        <f t="shared" si="35"/>
        <v>0</v>
      </c>
      <c r="V227" s="116">
        <f t="shared" si="36"/>
        <v>0</v>
      </c>
      <c r="W227" s="116">
        <v>2048.3200000000002</v>
      </c>
      <c r="X227" s="116">
        <f>63497.91-2048.32</f>
        <v>61449.590000000004</v>
      </c>
      <c r="Y227" s="116">
        <f t="shared" si="39"/>
        <v>0</v>
      </c>
      <c r="Z227" s="116">
        <f t="shared" si="40"/>
        <v>0</v>
      </c>
      <c r="AA227" s="116">
        <f t="shared" si="41"/>
        <v>0</v>
      </c>
      <c r="AB227" s="116">
        <f t="shared" si="42"/>
        <v>0</v>
      </c>
      <c r="AC227" s="116">
        <f t="shared" si="43"/>
        <v>0</v>
      </c>
      <c r="AD227" s="116">
        <f t="shared" si="44"/>
        <v>0</v>
      </c>
      <c r="AE227" s="116">
        <f t="shared" si="45"/>
        <v>0</v>
      </c>
    </row>
    <row r="228" spans="1:31">
      <c r="A228" s="131">
        <v>42491</v>
      </c>
      <c r="B228" s="131">
        <v>42522</v>
      </c>
      <c r="C228" s="123">
        <f t="shared" si="33"/>
        <v>31</v>
      </c>
      <c r="D228" s="132">
        <v>13189.73</v>
      </c>
      <c r="E228" s="134"/>
      <c r="F228" s="135"/>
      <c r="G228" s="123"/>
      <c r="H228" s="123"/>
      <c r="I228" s="123"/>
      <c r="J228" s="123">
        <v>31</v>
      </c>
      <c r="K228" s="123"/>
      <c r="L228" s="123"/>
      <c r="M228" s="123"/>
      <c r="N228" s="123"/>
      <c r="O228" s="123"/>
      <c r="P228" s="123"/>
      <c r="Q228" s="123"/>
      <c r="R228" s="133">
        <f t="shared" si="46"/>
        <v>0</v>
      </c>
      <c r="S228" s="133"/>
      <c r="T228" s="116">
        <f t="shared" si="34"/>
        <v>0</v>
      </c>
      <c r="U228" s="116">
        <f t="shared" si="35"/>
        <v>0</v>
      </c>
      <c r="V228" s="116">
        <f t="shared" si="36"/>
        <v>0</v>
      </c>
      <c r="W228" s="116">
        <f t="shared" si="37"/>
        <v>0</v>
      </c>
      <c r="X228" s="116">
        <f t="shared" si="38"/>
        <v>126763.38</v>
      </c>
      <c r="Y228" s="116">
        <f t="shared" si="39"/>
        <v>0</v>
      </c>
      <c r="Z228" s="116">
        <f t="shared" si="40"/>
        <v>0</v>
      </c>
      <c r="AA228" s="116">
        <f t="shared" si="41"/>
        <v>0</v>
      </c>
      <c r="AB228" s="116">
        <f t="shared" si="42"/>
        <v>0</v>
      </c>
      <c r="AC228" s="116">
        <f t="shared" si="43"/>
        <v>0</v>
      </c>
      <c r="AD228" s="116">
        <f t="shared" si="44"/>
        <v>0</v>
      </c>
      <c r="AE228" s="116">
        <f t="shared" si="45"/>
        <v>0</v>
      </c>
    </row>
    <row r="229" spans="1:31">
      <c r="A229" s="131">
        <v>42491</v>
      </c>
      <c r="B229" s="131">
        <v>42522</v>
      </c>
      <c r="C229" s="123">
        <f t="shared" si="33"/>
        <v>31</v>
      </c>
      <c r="D229" s="132">
        <v>179992.18</v>
      </c>
      <c r="E229" s="134"/>
      <c r="F229" s="135"/>
      <c r="G229" s="123"/>
      <c r="H229" s="123"/>
      <c r="I229" s="123"/>
      <c r="J229" s="123">
        <v>31</v>
      </c>
      <c r="K229" s="123"/>
      <c r="L229" s="123"/>
      <c r="M229" s="123"/>
      <c r="N229" s="123"/>
      <c r="O229" s="123"/>
      <c r="P229" s="123"/>
      <c r="Q229" s="123"/>
      <c r="R229" s="133">
        <f t="shared" si="46"/>
        <v>0</v>
      </c>
      <c r="S229" s="133"/>
      <c r="T229" s="116">
        <f t="shared" si="34"/>
        <v>0</v>
      </c>
      <c r="U229" s="116">
        <f t="shared" si="35"/>
        <v>0</v>
      </c>
      <c r="V229" s="116">
        <f t="shared" si="36"/>
        <v>0</v>
      </c>
      <c r="W229" s="116">
        <f t="shared" si="37"/>
        <v>0</v>
      </c>
      <c r="X229" s="116">
        <f t="shared" si="38"/>
        <v>1729862.37</v>
      </c>
      <c r="Y229" s="116">
        <f t="shared" si="39"/>
        <v>0</v>
      </c>
      <c r="Z229" s="116">
        <f t="shared" si="40"/>
        <v>0</v>
      </c>
      <c r="AA229" s="116">
        <f t="shared" si="41"/>
        <v>0</v>
      </c>
      <c r="AB229" s="116">
        <f t="shared" si="42"/>
        <v>0</v>
      </c>
      <c r="AC229" s="116">
        <f t="shared" si="43"/>
        <v>0</v>
      </c>
      <c r="AD229" s="116">
        <f t="shared" si="44"/>
        <v>0</v>
      </c>
      <c r="AE229" s="116">
        <f t="shared" si="45"/>
        <v>0</v>
      </c>
    </row>
    <row r="230" spans="1:31">
      <c r="A230" s="131">
        <v>42491</v>
      </c>
      <c r="B230" s="131">
        <v>42522</v>
      </c>
      <c r="C230" s="123">
        <f t="shared" si="33"/>
        <v>31</v>
      </c>
      <c r="D230" s="132">
        <v>62150.77</v>
      </c>
      <c r="E230" s="134"/>
      <c r="F230" s="135"/>
      <c r="G230" s="123"/>
      <c r="H230" s="123"/>
      <c r="I230" s="123"/>
      <c r="J230" s="123">
        <v>31</v>
      </c>
      <c r="K230" s="123"/>
      <c r="L230" s="123"/>
      <c r="M230" s="123"/>
      <c r="N230" s="123"/>
      <c r="O230" s="123"/>
      <c r="P230" s="123"/>
      <c r="Q230" s="123"/>
      <c r="R230" s="133">
        <f t="shared" si="46"/>
        <v>0</v>
      </c>
      <c r="S230" s="133"/>
      <c r="T230" s="116">
        <f t="shared" si="34"/>
        <v>0</v>
      </c>
      <c r="U230" s="116">
        <f t="shared" si="35"/>
        <v>0</v>
      </c>
      <c r="V230" s="116">
        <f t="shared" si="36"/>
        <v>0</v>
      </c>
      <c r="W230" s="116">
        <f t="shared" si="37"/>
        <v>0</v>
      </c>
      <c r="X230" s="116">
        <f t="shared" si="38"/>
        <v>597316.39</v>
      </c>
      <c r="Y230" s="116">
        <f t="shared" si="39"/>
        <v>0</v>
      </c>
      <c r="Z230" s="116">
        <f t="shared" si="40"/>
        <v>0</v>
      </c>
      <c r="AA230" s="116">
        <f t="shared" si="41"/>
        <v>0</v>
      </c>
      <c r="AB230" s="116">
        <f t="shared" si="42"/>
        <v>0</v>
      </c>
      <c r="AC230" s="116">
        <f t="shared" si="43"/>
        <v>0</v>
      </c>
      <c r="AD230" s="116">
        <f t="shared" si="44"/>
        <v>0</v>
      </c>
      <c r="AE230" s="116">
        <f t="shared" si="45"/>
        <v>0</v>
      </c>
    </row>
    <row r="231" spans="1:31">
      <c r="A231" s="131">
        <v>42491</v>
      </c>
      <c r="B231" s="131">
        <v>42522</v>
      </c>
      <c r="C231" s="123">
        <f t="shared" si="33"/>
        <v>31</v>
      </c>
      <c r="D231" s="132">
        <v>2912.43</v>
      </c>
      <c r="E231" s="134"/>
      <c r="F231" s="135"/>
      <c r="G231" s="123"/>
      <c r="H231" s="123"/>
      <c r="I231" s="123"/>
      <c r="J231" s="123">
        <v>31</v>
      </c>
      <c r="K231" s="123"/>
      <c r="L231" s="123"/>
      <c r="M231" s="123"/>
      <c r="N231" s="123"/>
      <c r="O231" s="123"/>
      <c r="P231" s="123"/>
      <c r="Q231" s="123"/>
      <c r="R231" s="133">
        <f t="shared" si="46"/>
        <v>0</v>
      </c>
      <c r="S231" s="133"/>
      <c r="T231" s="116">
        <f t="shared" si="34"/>
        <v>0</v>
      </c>
      <c r="U231" s="116">
        <f t="shared" si="35"/>
        <v>0</v>
      </c>
      <c r="V231" s="116">
        <f t="shared" si="36"/>
        <v>0</v>
      </c>
      <c r="W231" s="116">
        <f t="shared" si="37"/>
        <v>0</v>
      </c>
      <c r="X231" s="116">
        <f t="shared" si="38"/>
        <v>27990.68</v>
      </c>
      <c r="Y231" s="116">
        <f t="shared" si="39"/>
        <v>0</v>
      </c>
      <c r="Z231" s="116">
        <f t="shared" si="40"/>
        <v>0</v>
      </c>
      <c r="AA231" s="116">
        <f t="shared" si="41"/>
        <v>0</v>
      </c>
      <c r="AB231" s="116">
        <f t="shared" si="42"/>
        <v>0</v>
      </c>
      <c r="AC231" s="116">
        <f t="shared" si="43"/>
        <v>0</v>
      </c>
      <c r="AD231" s="116">
        <f t="shared" si="44"/>
        <v>0</v>
      </c>
      <c r="AE231" s="116">
        <f t="shared" si="45"/>
        <v>0</v>
      </c>
    </row>
    <row r="232" spans="1:31">
      <c r="A232" s="131">
        <v>42495</v>
      </c>
      <c r="B232" s="131">
        <v>42526</v>
      </c>
      <c r="C232" s="123">
        <f t="shared" si="33"/>
        <v>31</v>
      </c>
      <c r="D232" s="132">
        <v>1247.3900000000001</v>
      </c>
      <c r="E232" s="134"/>
      <c r="F232" s="135"/>
      <c r="G232" s="123"/>
      <c r="H232" s="123"/>
      <c r="I232" s="123"/>
      <c r="J232" s="123">
        <v>27</v>
      </c>
      <c r="K232" s="123">
        <v>4</v>
      </c>
      <c r="L232" s="123"/>
      <c r="M232" s="123"/>
      <c r="N232" s="123"/>
      <c r="O232" s="123"/>
      <c r="P232" s="123"/>
      <c r="Q232" s="123"/>
      <c r="R232" s="133">
        <f t="shared" si="46"/>
        <v>0</v>
      </c>
      <c r="S232" s="133"/>
      <c r="T232" s="116">
        <f t="shared" si="34"/>
        <v>0</v>
      </c>
      <c r="U232" s="116">
        <f t="shared" si="35"/>
        <v>0</v>
      </c>
      <c r="V232" s="116">
        <f t="shared" si="36"/>
        <v>0</v>
      </c>
      <c r="W232" s="116">
        <f t="shared" si="37"/>
        <v>0</v>
      </c>
      <c r="X232" s="116">
        <f t="shared" si="38"/>
        <v>10441.48</v>
      </c>
      <c r="Y232" s="116">
        <f t="shared" si="39"/>
        <v>1381.58</v>
      </c>
      <c r="Z232" s="116">
        <f t="shared" si="40"/>
        <v>0</v>
      </c>
      <c r="AA232" s="116">
        <f t="shared" si="41"/>
        <v>0</v>
      </c>
      <c r="AB232" s="116">
        <f t="shared" si="42"/>
        <v>0</v>
      </c>
      <c r="AC232" s="116">
        <f t="shared" si="43"/>
        <v>0</v>
      </c>
      <c r="AD232" s="116">
        <f t="shared" si="44"/>
        <v>0</v>
      </c>
      <c r="AE232" s="116">
        <f t="shared" si="45"/>
        <v>0</v>
      </c>
    </row>
    <row r="233" spans="1:31">
      <c r="A233" s="131">
        <v>42475</v>
      </c>
      <c r="B233" s="131">
        <v>42505</v>
      </c>
      <c r="C233" s="123">
        <f t="shared" si="33"/>
        <v>30</v>
      </c>
      <c r="D233" s="132">
        <v>60.83</v>
      </c>
      <c r="E233" s="134"/>
      <c r="F233" s="135"/>
      <c r="G233" s="123"/>
      <c r="H233" s="123"/>
      <c r="I233" s="123">
        <v>16</v>
      </c>
      <c r="J233" s="123">
        <v>14</v>
      </c>
      <c r="K233" s="123"/>
      <c r="L233" s="123"/>
      <c r="M233" s="123"/>
      <c r="N233" s="123"/>
      <c r="O233" s="123"/>
      <c r="P233" s="123"/>
      <c r="Q233" s="123"/>
      <c r="R233" s="133">
        <f t="shared" si="46"/>
        <v>0</v>
      </c>
      <c r="S233" s="133"/>
      <c r="T233" s="116">
        <f t="shared" si="34"/>
        <v>0</v>
      </c>
      <c r="U233" s="116">
        <f t="shared" si="35"/>
        <v>0</v>
      </c>
      <c r="V233" s="116">
        <f t="shared" si="36"/>
        <v>0</v>
      </c>
      <c r="W233" s="116">
        <f t="shared" si="37"/>
        <v>267.79000000000002</v>
      </c>
      <c r="X233" s="116">
        <f t="shared" si="38"/>
        <v>272.82</v>
      </c>
      <c r="Y233" s="116">
        <f t="shared" si="39"/>
        <v>0</v>
      </c>
      <c r="Z233" s="116">
        <f t="shared" si="40"/>
        <v>0</v>
      </c>
      <c r="AA233" s="116">
        <f t="shared" si="41"/>
        <v>0</v>
      </c>
      <c r="AB233" s="116">
        <f t="shared" si="42"/>
        <v>0</v>
      </c>
      <c r="AC233" s="116">
        <f t="shared" si="43"/>
        <v>0</v>
      </c>
      <c r="AD233" s="116">
        <f t="shared" si="44"/>
        <v>0</v>
      </c>
      <c r="AE233" s="116">
        <f t="shared" si="45"/>
        <v>0</v>
      </c>
    </row>
    <row r="234" spans="1:31">
      <c r="A234" s="131">
        <v>42491</v>
      </c>
      <c r="B234" s="131">
        <v>42524</v>
      </c>
      <c r="C234" s="123">
        <f t="shared" si="33"/>
        <v>33</v>
      </c>
      <c r="D234" s="132">
        <v>400.31</v>
      </c>
      <c r="E234" s="134"/>
      <c r="F234" s="135"/>
      <c r="G234" s="123"/>
      <c r="H234" s="123"/>
      <c r="I234" s="123"/>
      <c r="J234" s="123">
        <v>31</v>
      </c>
      <c r="K234" s="123">
        <v>2</v>
      </c>
      <c r="L234" s="123"/>
      <c r="M234" s="123"/>
      <c r="N234" s="123"/>
      <c r="O234" s="123"/>
      <c r="P234" s="123"/>
      <c r="Q234" s="123"/>
      <c r="R234" s="133">
        <f t="shared" si="46"/>
        <v>0</v>
      </c>
      <c r="S234" s="133"/>
      <c r="T234" s="116">
        <f t="shared" si="34"/>
        <v>0</v>
      </c>
      <c r="U234" s="116">
        <f t="shared" si="35"/>
        <v>0</v>
      </c>
      <c r="V234" s="116">
        <f t="shared" si="36"/>
        <v>0</v>
      </c>
      <c r="W234" s="116">
        <f t="shared" si="37"/>
        <v>0</v>
      </c>
      <c r="X234" s="116">
        <f t="shared" si="38"/>
        <v>3614.12</v>
      </c>
      <c r="Y234" s="116">
        <f t="shared" si="39"/>
        <v>208.25</v>
      </c>
      <c r="Z234" s="116">
        <f t="shared" si="40"/>
        <v>0</v>
      </c>
      <c r="AA234" s="116">
        <f t="shared" si="41"/>
        <v>0</v>
      </c>
      <c r="AB234" s="116">
        <f t="shared" si="42"/>
        <v>0</v>
      </c>
      <c r="AC234" s="116">
        <f t="shared" si="43"/>
        <v>0</v>
      </c>
      <c r="AD234" s="116">
        <f t="shared" si="44"/>
        <v>0</v>
      </c>
      <c r="AE234" s="116">
        <f t="shared" si="45"/>
        <v>0</v>
      </c>
    </row>
    <row r="235" spans="1:31">
      <c r="A235" s="131">
        <v>42491</v>
      </c>
      <c r="B235" s="131">
        <v>42524</v>
      </c>
      <c r="C235" s="123">
        <f t="shared" si="33"/>
        <v>33</v>
      </c>
      <c r="D235" s="132">
        <v>1272.1200000000001</v>
      </c>
      <c r="E235" s="134"/>
      <c r="F235" s="135"/>
      <c r="G235" s="123"/>
      <c r="H235" s="123"/>
      <c r="I235" s="123"/>
      <c r="J235" s="123">
        <v>31</v>
      </c>
      <c r="K235" s="123">
        <v>2</v>
      </c>
      <c r="L235" s="123"/>
      <c r="M235" s="123"/>
      <c r="N235" s="123"/>
      <c r="O235" s="123"/>
      <c r="P235" s="123"/>
      <c r="Q235" s="123"/>
      <c r="R235" s="133">
        <f t="shared" si="46"/>
        <v>0</v>
      </c>
      <c r="S235" s="133"/>
      <c r="T235" s="116">
        <f t="shared" si="34"/>
        <v>0</v>
      </c>
      <c r="U235" s="116">
        <f t="shared" si="35"/>
        <v>0</v>
      </c>
      <c r="V235" s="116">
        <f t="shared" si="36"/>
        <v>0</v>
      </c>
      <c r="W235" s="116">
        <f t="shared" si="37"/>
        <v>0</v>
      </c>
      <c r="X235" s="116">
        <f t="shared" si="38"/>
        <v>11485.07</v>
      </c>
      <c r="Y235" s="116">
        <f t="shared" si="39"/>
        <v>661.79</v>
      </c>
      <c r="Z235" s="116">
        <f t="shared" si="40"/>
        <v>0</v>
      </c>
      <c r="AA235" s="116">
        <f t="shared" si="41"/>
        <v>0</v>
      </c>
      <c r="AB235" s="116">
        <f t="shared" si="42"/>
        <v>0</v>
      </c>
      <c r="AC235" s="116">
        <f t="shared" si="43"/>
        <v>0</v>
      </c>
      <c r="AD235" s="116">
        <f t="shared" si="44"/>
        <v>0</v>
      </c>
      <c r="AE235" s="116">
        <f t="shared" si="45"/>
        <v>0</v>
      </c>
    </row>
    <row r="236" spans="1:31">
      <c r="A236" s="131">
        <v>42491</v>
      </c>
      <c r="B236" s="131">
        <v>42524</v>
      </c>
      <c r="C236" s="123">
        <f t="shared" si="33"/>
        <v>33</v>
      </c>
      <c r="D236" s="132">
        <v>1626.49</v>
      </c>
      <c r="E236" s="134"/>
      <c r="F236" s="135"/>
      <c r="G236" s="123"/>
      <c r="H236" s="123"/>
      <c r="I236" s="123"/>
      <c r="J236" s="123">
        <v>31</v>
      </c>
      <c r="K236" s="123">
        <v>2</v>
      </c>
      <c r="L236" s="123"/>
      <c r="M236" s="123"/>
      <c r="N236" s="123"/>
      <c r="O236" s="123"/>
      <c r="P236" s="123"/>
      <c r="Q236" s="123"/>
      <c r="R236" s="133">
        <f t="shared" si="46"/>
        <v>0</v>
      </c>
      <c r="S236" s="133"/>
      <c r="T236" s="116">
        <f t="shared" si="34"/>
        <v>0</v>
      </c>
      <c r="U236" s="116">
        <f t="shared" si="35"/>
        <v>0</v>
      </c>
      <c r="V236" s="116">
        <f t="shared" si="36"/>
        <v>0</v>
      </c>
      <c r="W236" s="116">
        <f t="shared" si="37"/>
        <v>0</v>
      </c>
      <c r="X236" s="116">
        <f t="shared" si="38"/>
        <v>14684.43</v>
      </c>
      <c r="Y236" s="116">
        <f t="shared" si="39"/>
        <v>846.14</v>
      </c>
      <c r="Z236" s="116">
        <f t="shared" si="40"/>
        <v>0</v>
      </c>
      <c r="AA236" s="116">
        <f t="shared" si="41"/>
        <v>0</v>
      </c>
      <c r="AB236" s="116">
        <f t="shared" si="42"/>
        <v>0</v>
      </c>
      <c r="AC236" s="116">
        <f t="shared" si="43"/>
        <v>0</v>
      </c>
      <c r="AD236" s="116">
        <f t="shared" si="44"/>
        <v>0</v>
      </c>
      <c r="AE236" s="116">
        <f t="shared" si="45"/>
        <v>0</v>
      </c>
    </row>
    <row r="237" spans="1:31">
      <c r="A237" s="131">
        <v>42491</v>
      </c>
      <c r="B237" s="131">
        <v>42524</v>
      </c>
      <c r="C237" s="123">
        <f t="shared" si="33"/>
        <v>33</v>
      </c>
      <c r="D237" s="132">
        <v>127.01</v>
      </c>
      <c r="E237" s="134"/>
      <c r="F237" s="135"/>
      <c r="G237" s="123"/>
      <c r="H237" s="123"/>
      <c r="I237" s="123"/>
      <c r="J237" s="123">
        <v>31</v>
      </c>
      <c r="K237" s="123">
        <v>2</v>
      </c>
      <c r="L237" s="123"/>
      <c r="M237" s="123"/>
      <c r="N237" s="123"/>
      <c r="O237" s="123"/>
      <c r="P237" s="123"/>
      <c r="Q237" s="123"/>
      <c r="R237" s="133">
        <f t="shared" si="46"/>
        <v>0</v>
      </c>
      <c r="S237" s="133"/>
      <c r="T237" s="116">
        <f t="shared" si="34"/>
        <v>0</v>
      </c>
      <c r="U237" s="116">
        <f t="shared" si="35"/>
        <v>0</v>
      </c>
      <c r="V237" s="116">
        <f t="shared" si="36"/>
        <v>0</v>
      </c>
      <c r="W237" s="116">
        <f t="shared" si="37"/>
        <v>0</v>
      </c>
      <c r="X237" s="116">
        <f t="shared" si="38"/>
        <v>1146.68</v>
      </c>
      <c r="Y237" s="116">
        <f t="shared" si="39"/>
        <v>66.069999999999993</v>
      </c>
      <c r="Z237" s="116">
        <f t="shared" si="40"/>
        <v>0</v>
      </c>
      <c r="AA237" s="116">
        <f t="shared" si="41"/>
        <v>0</v>
      </c>
      <c r="AB237" s="116">
        <f t="shared" si="42"/>
        <v>0</v>
      </c>
      <c r="AC237" s="116">
        <f t="shared" si="43"/>
        <v>0</v>
      </c>
      <c r="AD237" s="116">
        <f t="shared" si="44"/>
        <v>0</v>
      </c>
      <c r="AE237" s="116">
        <f t="shared" si="45"/>
        <v>0</v>
      </c>
    </row>
    <row r="238" spans="1:31">
      <c r="A238" s="131">
        <v>42491</v>
      </c>
      <c r="B238" s="131">
        <v>42524</v>
      </c>
      <c r="C238" s="123">
        <f t="shared" si="33"/>
        <v>33</v>
      </c>
      <c r="D238" s="132">
        <v>662.25</v>
      </c>
      <c r="E238" s="134"/>
      <c r="F238" s="135"/>
      <c r="G238" s="123"/>
      <c r="H238" s="123"/>
      <c r="I238" s="123"/>
      <c r="J238" s="123">
        <v>31</v>
      </c>
      <c r="K238" s="123">
        <v>2</v>
      </c>
      <c r="L238" s="123"/>
      <c r="M238" s="123"/>
      <c r="N238" s="123"/>
      <c r="O238" s="123"/>
      <c r="P238" s="123"/>
      <c r="Q238" s="123"/>
      <c r="R238" s="133">
        <f t="shared" si="46"/>
        <v>0</v>
      </c>
      <c r="S238" s="133"/>
      <c r="T238" s="116">
        <f t="shared" si="34"/>
        <v>0</v>
      </c>
      <c r="U238" s="116">
        <f t="shared" si="35"/>
        <v>0</v>
      </c>
      <c r="V238" s="116">
        <f t="shared" si="36"/>
        <v>0</v>
      </c>
      <c r="W238" s="116">
        <f t="shared" si="37"/>
        <v>0</v>
      </c>
      <c r="X238" s="116">
        <f t="shared" si="38"/>
        <v>5978.99</v>
      </c>
      <c r="Y238" s="116">
        <f t="shared" si="39"/>
        <v>344.52</v>
      </c>
      <c r="Z238" s="116">
        <f t="shared" si="40"/>
        <v>0</v>
      </c>
      <c r="AA238" s="116">
        <f t="shared" si="41"/>
        <v>0</v>
      </c>
      <c r="AB238" s="116">
        <f t="shared" si="42"/>
        <v>0</v>
      </c>
      <c r="AC238" s="116">
        <f t="shared" si="43"/>
        <v>0</v>
      </c>
      <c r="AD238" s="116">
        <f t="shared" si="44"/>
        <v>0</v>
      </c>
      <c r="AE238" s="116">
        <f t="shared" si="45"/>
        <v>0</v>
      </c>
    </row>
    <row r="239" spans="1:31">
      <c r="A239" s="131">
        <v>42495</v>
      </c>
      <c r="B239" s="131">
        <v>42526</v>
      </c>
      <c r="C239" s="123">
        <f t="shared" si="33"/>
        <v>31</v>
      </c>
      <c r="D239" s="132">
        <v>761.66</v>
      </c>
      <c r="E239" s="134"/>
      <c r="F239" s="135"/>
      <c r="G239" s="123"/>
      <c r="H239" s="123"/>
      <c r="I239" s="123"/>
      <c r="J239" s="123">
        <v>27</v>
      </c>
      <c r="K239" s="123">
        <v>4</v>
      </c>
      <c r="L239" s="123"/>
      <c r="M239" s="123"/>
      <c r="N239" s="123"/>
      <c r="O239" s="123"/>
      <c r="P239" s="123"/>
      <c r="Q239" s="123"/>
      <c r="R239" s="133">
        <f t="shared" si="46"/>
        <v>0</v>
      </c>
      <c r="S239" s="133"/>
      <c r="T239" s="116">
        <f t="shared" si="34"/>
        <v>0</v>
      </c>
      <c r="U239" s="116">
        <f t="shared" si="35"/>
        <v>0</v>
      </c>
      <c r="V239" s="116">
        <f t="shared" si="36"/>
        <v>0</v>
      </c>
      <c r="W239" s="116">
        <f t="shared" si="37"/>
        <v>0</v>
      </c>
      <c r="X239" s="116">
        <f t="shared" si="38"/>
        <v>6375.6</v>
      </c>
      <c r="Y239" s="116">
        <f t="shared" si="39"/>
        <v>843.59</v>
      </c>
      <c r="Z239" s="116">
        <f t="shared" si="40"/>
        <v>0</v>
      </c>
      <c r="AA239" s="116">
        <f t="shared" si="41"/>
        <v>0</v>
      </c>
      <c r="AB239" s="116">
        <f t="shared" si="42"/>
        <v>0</v>
      </c>
      <c r="AC239" s="116">
        <f t="shared" si="43"/>
        <v>0</v>
      </c>
      <c r="AD239" s="116">
        <f t="shared" si="44"/>
        <v>0</v>
      </c>
      <c r="AE239" s="116">
        <f t="shared" si="45"/>
        <v>0</v>
      </c>
    </row>
    <row r="240" spans="1:31">
      <c r="A240" s="131">
        <v>42495</v>
      </c>
      <c r="B240" s="131">
        <v>42526</v>
      </c>
      <c r="C240" s="123">
        <f t="shared" si="33"/>
        <v>31</v>
      </c>
      <c r="D240" s="132">
        <v>158.28</v>
      </c>
      <c r="E240" s="134"/>
      <c r="F240" s="135"/>
      <c r="G240" s="123"/>
      <c r="H240" s="123"/>
      <c r="I240" s="123"/>
      <c r="J240" s="123">
        <v>27</v>
      </c>
      <c r="K240" s="123">
        <v>4</v>
      </c>
      <c r="L240" s="123"/>
      <c r="M240" s="123"/>
      <c r="N240" s="123"/>
      <c r="O240" s="123"/>
      <c r="P240" s="123"/>
      <c r="Q240" s="123"/>
      <c r="R240" s="133">
        <f t="shared" si="46"/>
        <v>0</v>
      </c>
      <c r="S240" s="133"/>
      <c r="T240" s="116">
        <f t="shared" si="34"/>
        <v>0</v>
      </c>
      <c r="U240" s="116">
        <f t="shared" si="35"/>
        <v>0</v>
      </c>
      <c r="V240" s="116">
        <f t="shared" si="36"/>
        <v>0</v>
      </c>
      <c r="W240" s="116">
        <f t="shared" si="37"/>
        <v>0</v>
      </c>
      <c r="X240" s="116">
        <f t="shared" si="38"/>
        <v>1324.91</v>
      </c>
      <c r="Y240" s="116">
        <f t="shared" si="39"/>
        <v>175.31</v>
      </c>
      <c r="Z240" s="116">
        <f t="shared" si="40"/>
        <v>0</v>
      </c>
      <c r="AA240" s="116">
        <f t="shared" si="41"/>
        <v>0</v>
      </c>
      <c r="AB240" s="116">
        <f t="shared" si="42"/>
        <v>0</v>
      </c>
      <c r="AC240" s="116">
        <f t="shared" si="43"/>
        <v>0</v>
      </c>
      <c r="AD240" s="116">
        <f t="shared" si="44"/>
        <v>0</v>
      </c>
      <c r="AE240" s="116">
        <f t="shared" si="45"/>
        <v>0</v>
      </c>
    </row>
    <row r="241" spans="1:31">
      <c r="A241" s="131">
        <v>42491</v>
      </c>
      <c r="B241" s="131">
        <v>42522</v>
      </c>
      <c r="C241" s="123">
        <f t="shared" si="33"/>
        <v>31</v>
      </c>
      <c r="D241" s="132">
        <v>2142.06</v>
      </c>
      <c r="E241" s="134"/>
      <c r="F241" s="135"/>
      <c r="G241" s="123"/>
      <c r="H241" s="123"/>
      <c r="I241" s="123"/>
      <c r="J241" s="123">
        <v>31</v>
      </c>
      <c r="K241" s="123"/>
      <c r="L241" s="123"/>
      <c r="M241" s="123"/>
      <c r="N241" s="123"/>
      <c r="O241" s="123"/>
      <c r="P241" s="123"/>
      <c r="Q241" s="123"/>
      <c r="R241" s="133">
        <f t="shared" si="46"/>
        <v>0</v>
      </c>
      <c r="S241" s="133"/>
      <c r="T241" s="116">
        <f t="shared" si="34"/>
        <v>0</v>
      </c>
      <c r="U241" s="116">
        <f t="shared" si="35"/>
        <v>0</v>
      </c>
      <c r="V241" s="116">
        <f t="shared" si="36"/>
        <v>0</v>
      </c>
      <c r="W241" s="116">
        <f t="shared" si="37"/>
        <v>0</v>
      </c>
      <c r="X241" s="116">
        <f t="shared" si="38"/>
        <v>20586.830000000002</v>
      </c>
      <c r="Y241" s="116">
        <f t="shared" si="39"/>
        <v>0</v>
      </c>
      <c r="Z241" s="116">
        <f t="shared" si="40"/>
        <v>0</v>
      </c>
      <c r="AA241" s="116">
        <f t="shared" si="41"/>
        <v>0</v>
      </c>
      <c r="AB241" s="116">
        <f t="shared" si="42"/>
        <v>0</v>
      </c>
      <c r="AC241" s="116">
        <f t="shared" si="43"/>
        <v>0</v>
      </c>
      <c r="AD241" s="116">
        <f t="shared" si="44"/>
        <v>0</v>
      </c>
      <c r="AE241" s="116">
        <f t="shared" si="45"/>
        <v>0</v>
      </c>
    </row>
    <row r="242" spans="1:31">
      <c r="A242" s="131">
        <v>42491</v>
      </c>
      <c r="B242" s="131">
        <v>42522</v>
      </c>
      <c r="C242" s="123">
        <f t="shared" si="33"/>
        <v>31</v>
      </c>
      <c r="D242" s="132">
        <v>1366.79</v>
      </c>
      <c r="E242" s="134"/>
      <c r="F242" s="135"/>
      <c r="G242" s="123"/>
      <c r="H242" s="123"/>
      <c r="I242" s="123"/>
      <c r="J242" s="123">
        <v>31</v>
      </c>
      <c r="K242" s="123"/>
      <c r="L242" s="123"/>
      <c r="M242" s="123"/>
      <c r="N242" s="123"/>
      <c r="O242" s="123"/>
      <c r="P242" s="123"/>
      <c r="Q242" s="123"/>
      <c r="R242" s="133">
        <f t="shared" si="46"/>
        <v>0</v>
      </c>
      <c r="S242" s="133"/>
      <c r="T242" s="116">
        <f t="shared" si="34"/>
        <v>0</v>
      </c>
      <c r="U242" s="116">
        <f t="shared" si="35"/>
        <v>0</v>
      </c>
      <c r="V242" s="116">
        <f t="shared" si="36"/>
        <v>0</v>
      </c>
      <c r="W242" s="116">
        <f t="shared" si="37"/>
        <v>0</v>
      </c>
      <c r="X242" s="116">
        <f t="shared" si="38"/>
        <v>13135.9</v>
      </c>
      <c r="Y242" s="116">
        <f t="shared" si="39"/>
        <v>0</v>
      </c>
      <c r="Z242" s="116">
        <f t="shared" si="40"/>
        <v>0</v>
      </c>
      <c r="AA242" s="116">
        <f t="shared" si="41"/>
        <v>0</v>
      </c>
      <c r="AB242" s="116">
        <f t="shared" si="42"/>
        <v>0</v>
      </c>
      <c r="AC242" s="116">
        <f t="shared" si="43"/>
        <v>0</v>
      </c>
      <c r="AD242" s="116">
        <f t="shared" si="44"/>
        <v>0</v>
      </c>
      <c r="AE242" s="116">
        <f t="shared" si="45"/>
        <v>0</v>
      </c>
    </row>
    <row r="243" spans="1:31">
      <c r="A243" s="131">
        <v>42498</v>
      </c>
      <c r="B243" s="131">
        <v>42529</v>
      </c>
      <c r="C243" s="123">
        <f t="shared" si="33"/>
        <v>31</v>
      </c>
      <c r="D243" s="132">
        <v>221.27</v>
      </c>
      <c r="E243" s="134"/>
      <c r="F243" s="135"/>
      <c r="G243" s="123"/>
      <c r="H243" s="123"/>
      <c r="I243" s="123"/>
      <c r="J243" s="123">
        <v>24</v>
      </c>
      <c r="K243" s="123">
        <v>7</v>
      </c>
      <c r="L243" s="123"/>
      <c r="M243" s="123"/>
      <c r="N243" s="123"/>
      <c r="O243" s="123"/>
      <c r="P243" s="123"/>
      <c r="Q243" s="123"/>
      <c r="R243" s="133">
        <f t="shared" si="46"/>
        <v>0</v>
      </c>
      <c r="S243" s="133"/>
      <c r="T243" s="116">
        <f t="shared" si="34"/>
        <v>0</v>
      </c>
      <c r="U243" s="116">
        <f t="shared" si="35"/>
        <v>0</v>
      </c>
      <c r="V243" s="116">
        <f t="shared" si="36"/>
        <v>0</v>
      </c>
      <c r="W243" s="116">
        <f t="shared" si="37"/>
        <v>0</v>
      </c>
      <c r="X243" s="116">
        <f t="shared" si="38"/>
        <v>1646.38</v>
      </c>
      <c r="Y243" s="116">
        <f t="shared" si="39"/>
        <v>428.88</v>
      </c>
      <c r="Z243" s="116">
        <f t="shared" si="40"/>
        <v>0</v>
      </c>
      <c r="AA243" s="116">
        <f t="shared" si="41"/>
        <v>0</v>
      </c>
      <c r="AB243" s="116">
        <f t="shared" si="42"/>
        <v>0</v>
      </c>
      <c r="AC243" s="116">
        <f t="shared" si="43"/>
        <v>0</v>
      </c>
      <c r="AD243" s="116">
        <f t="shared" si="44"/>
        <v>0</v>
      </c>
      <c r="AE243" s="116">
        <f t="shared" si="45"/>
        <v>0</v>
      </c>
    </row>
    <row r="244" spans="1:31">
      <c r="A244" s="131">
        <v>42498</v>
      </c>
      <c r="B244" s="131">
        <v>42529</v>
      </c>
      <c r="C244" s="123">
        <f t="shared" si="33"/>
        <v>31</v>
      </c>
      <c r="D244" s="132">
        <v>611.71</v>
      </c>
      <c r="E244" s="134"/>
      <c r="F244" s="135"/>
      <c r="G244" s="123"/>
      <c r="H244" s="123"/>
      <c r="I244" s="123"/>
      <c r="J244" s="123">
        <v>24</v>
      </c>
      <c r="K244" s="123">
        <v>7</v>
      </c>
      <c r="L244" s="123"/>
      <c r="M244" s="123"/>
      <c r="N244" s="123"/>
      <c r="O244" s="123"/>
      <c r="P244" s="123"/>
      <c r="Q244" s="123"/>
      <c r="R244" s="133">
        <f t="shared" si="46"/>
        <v>0</v>
      </c>
      <c r="S244" s="133"/>
      <c r="T244" s="116">
        <f t="shared" si="34"/>
        <v>0</v>
      </c>
      <c r="U244" s="116">
        <f t="shared" si="35"/>
        <v>0</v>
      </c>
      <c r="V244" s="116">
        <f t="shared" si="36"/>
        <v>0</v>
      </c>
      <c r="W244" s="116">
        <f t="shared" si="37"/>
        <v>0</v>
      </c>
      <c r="X244" s="116">
        <f t="shared" si="38"/>
        <v>4551.4799999999996</v>
      </c>
      <c r="Y244" s="116">
        <f t="shared" si="39"/>
        <v>1185.6500000000001</v>
      </c>
      <c r="Z244" s="116">
        <f t="shared" si="40"/>
        <v>0</v>
      </c>
      <c r="AA244" s="116">
        <f t="shared" si="41"/>
        <v>0</v>
      </c>
      <c r="AB244" s="116">
        <f t="shared" si="42"/>
        <v>0</v>
      </c>
      <c r="AC244" s="116">
        <f t="shared" si="43"/>
        <v>0</v>
      </c>
      <c r="AD244" s="116">
        <f t="shared" si="44"/>
        <v>0</v>
      </c>
      <c r="AE244" s="116">
        <f t="shared" si="45"/>
        <v>0</v>
      </c>
    </row>
    <row r="245" spans="1:31">
      <c r="A245" s="131">
        <v>42498</v>
      </c>
      <c r="B245" s="131">
        <v>42529</v>
      </c>
      <c r="C245" s="123">
        <f t="shared" ref="C245:C304" si="47">B245-A245</f>
        <v>31</v>
      </c>
      <c r="D245" s="132">
        <v>325.11</v>
      </c>
      <c r="E245" s="134"/>
      <c r="F245" s="135"/>
      <c r="G245" s="123"/>
      <c r="H245" s="123"/>
      <c r="I245" s="123"/>
      <c r="J245" s="123">
        <v>24</v>
      </c>
      <c r="K245" s="123">
        <v>7</v>
      </c>
      <c r="L245" s="123"/>
      <c r="M245" s="123"/>
      <c r="N245" s="123"/>
      <c r="O245" s="123"/>
      <c r="P245" s="123"/>
      <c r="Q245" s="123"/>
      <c r="R245" s="133">
        <f t="shared" si="46"/>
        <v>0</v>
      </c>
      <c r="S245" s="133"/>
      <c r="T245" s="116">
        <f t="shared" ref="T245:T304" si="48">ROUND((D245*F245/C245)/$C$6,2)</f>
        <v>0</v>
      </c>
      <c r="U245" s="116">
        <f t="shared" ref="U245:U304" si="49">ROUND(($D245*$G245/$C245)/$C$7,2)</f>
        <v>0</v>
      </c>
      <c r="V245" s="116">
        <f t="shared" ref="V245:V304" si="50">ROUND(($D245*$H245/$C245)/$C$8,2)</f>
        <v>0</v>
      </c>
      <c r="W245" s="116">
        <f t="shared" ref="W245:W304" si="51">ROUND(($D245*$I245/$C245)/$C$9,2)</f>
        <v>0</v>
      </c>
      <c r="X245" s="116">
        <f t="shared" ref="X245:X282" si="52">ROUND(($D245*$J245/$C245)/$C$10,2)</f>
        <v>2419.0100000000002</v>
      </c>
      <c r="Y245" s="116">
        <f t="shared" ref="Y245:Y282" si="53">ROUND(($D245*$K245/$C245)/$C$11,2)</f>
        <v>630.15</v>
      </c>
      <c r="Z245" s="116">
        <f t="shared" ref="Z245:Z304" si="54">ROUND(($D245*$L245/$C245)/$C$12,2)</f>
        <v>0</v>
      </c>
      <c r="AA245" s="116">
        <f t="shared" ref="AA245:AA304" si="55">ROUND(($D245*$M245/$C245)/$C$13,2)</f>
        <v>0</v>
      </c>
      <c r="AB245" s="116">
        <f t="shared" ref="AB245:AB304" si="56">ROUND(($D245*$N245/$C245)/$C$14,2)</f>
        <v>0</v>
      </c>
      <c r="AC245" s="116">
        <f t="shared" ref="AC245:AC304" si="57">ROUND(($D245*$O245/$C245)/$C$15,2)</f>
        <v>0</v>
      </c>
      <c r="AD245" s="116">
        <f t="shared" ref="AD245:AD304" si="58">ROUND(($D245*$P245/$C245)/$C$16,2)</f>
        <v>0</v>
      </c>
      <c r="AE245" s="116">
        <f t="shared" ref="AE245:AE304" si="59">ROUND(($D245*$Q245/$C245)/$C$17,2)</f>
        <v>0</v>
      </c>
    </row>
    <row r="246" spans="1:31">
      <c r="A246" s="131">
        <v>42498</v>
      </c>
      <c r="B246" s="131">
        <v>42529</v>
      </c>
      <c r="C246" s="123">
        <f t="shared" si="47"/>
        <v>31</v>
      </c>
      <c r="D246" s="132">
        <v>270.69</v>
      </c>
      <c r="E246" s="134"/>
      <c r="F246" s="135"/>
      <c r="G246" s="123"/>
      <c r="H246" s="123"/>
      <c r="I246" s="123"/>
      <c r="J246" s="123">
        <v>24</v>
      </c>
      <c r="K246" s="123">
        <v>7</v>
      </c>
      <c r="L246" s="123"/>
      <c r="M246" s="123"/>
      <c r="N246" s="123"/>
      <c r="O246" s="123"/>
      <c r="P246" s="123"/>
      <c r="Q246" s="123"/>
      <c r="R246" s="133">
        <f t="shared" si="46"/>
        <v>0</v>
      </c>
      <c r="S246" s="133"/>
      <c r="T246" s="116">
        <f t="shared" si="48"/>
        <v>0</v>
      </c>
      <c r="U246" s="116">
        <f t="shared" si="49"/>
        <v>0</v>
      </c>
      <c r="V246" s="116">
        <f t="shared" si="50"/>
        <v>0</v>
      </c>
      <c r="W246" s="116">
        <f t="shared" si="51"/>
        <v>0</v>
      </c>
      <c r="X246" s="116">
        <f t="shared" si="52"/>
        <v>2014.09</v>
      </c>
      <c r="Y246" s="116">
        <f t="shared" si="53"/>
        <v>524.66999999999996</v>
      </c>
      <c r="Z246" s="116">
        <f t="shared" si="54"/>
        <v>0</v>
      </c>
      <c r="AA246" s="116">
        <f t="shared" si="55"/>
        <v>0</v>
      </c>
      <c r="AB246" s="116">
        <f t="shared" si="56"/>
        <v>0</v>
      </c>
      <c r="AC246" s="116">
        <f t="shared" si="57"/>
        <v>0</v>
      </c>
      <c r="AD246" s="116">
        <f t="shared" si="58"/>
        <v>0</v>
      </c>
      <c r="AE246" s="116">
        <f t="shared" si="59"/>
        <v>0</v>
      </c>
    </row>
    <row r="247" spans="1:31">
      <c r="A247" s="131">
        <v>42502</v>
      </c>
      <c r="B247" s="131">
        <v>42533</v>
      </c>
      <c r="C247" s="123">
        <f t="shared" si="47"/>
        <v>31</v>
      </c>
      <c r="D247" s="132">
        <v>1014.26</v>
      </c>
      <c r="E247" s="134"/>
      <c r="F247" s="135"/>
      <c r="G247" s="123"/>
      <c r="H247" s="123"/>
      <c r="I247" s="123"/>
      <c r="J247" s="123">
        <v>20</v>
      </c>
      <c r="K247" s="123">
        <v>11</v>
      </c>
      <c r="L247" s="123"/>
      <c r="M247" s="123"/>
      <c r="N247" s="123"/>
      <c r="O247" s="123"/>
      <c r="P247" s="123"/>
      <c r="Q247" s="123"/>
      <c r="R247" s="133">
        <f t="shared" si="46"/>
        <v>0</v>
      </c>
      <c r="S247" s="133"/>
      <c r="T247" s="116">
        <f t="shared" si="48"/>
        <v>0</v>
      </c>
      <c r="U247" s="116">
        <f t="shared" si="49"/>
        <v>0</v>
      </c>
      <c r="V247" s="116">
        <f t="shared" si="50"/>
        <v>0</v>
      </c>
      <c r="W247" s="116">
        <f t="shared" si="51"/>
        <v>0</v>
      </c>
      <c r="X247" s="116">
        <f t="shared" si="52"/>
        <v>6288.91</v>
      </c>
      <c r="Y247" s="116">
        <f t="shared" si="53"/>
        <v>3089.26</v>
      </c>
      <c r="Z247" s="116">
        <f t="shared" si="54"/>
        <v>0</v>
      </c>
      <c r="AA247" s="116">
        <f t="shared" si="55"/>
        <v>0</v>
      </c>
      <c r="AB247" s="116">
        <f t="shared" si="56"/>
        <v>0</v>
      </c>
      <c r="AC247" s="116">
        <f t="shared" si="57"/>
        <v>0</v>
      </c>
      <c r="AD247" s="116">
        <f t="shared" si="58"/>
        <v>0</v>
      </c>
      <c r="AE247" s="116">
        <f t="shared" si="59"/>
        <v>0</v>
      </c>
    </row>
    <row r="248" spans="1:31">
      <c r="A248" s="131">
        <v>42502</v>
      </c>
      <c r="B248" s="131">
        <v>42533</v>
      </c>
      <c r="C248" s="123">
        <f t="shared" si="47"/>
        <v>31</v>
      </c>
      <c r="D248" s="132">
        <v>914.7</v>
      </c>
      <c r="E248" s="134"/>
      <c r="F248" s="135"/>
      <c r="G248" s="123"/>
      <c r="H248" s="123"/>
      <c r="I248" s="123"/>
      <c r="J248" s="123">
        <v>20</v>
      </c>
      <c r="K248" s="123">
        <v>11</v>
      </c>
      <c r="L248" s="123"/>
      <c r="M248" s="123"/>
      <c r="N248" s="123"/>
      <c r="O248" s="123"/>
      <c r="P248" s="123"/>
      <c r="Q248" s="123"/>
      <c r="R248" s="133">
        <f t="shared" si="46"/>
        <v>0</v>
      </c>
      <c r="S248" s="133"/>
      <c r="T248" s="116">
        <f t="shared" si="48"/>
        <v>0</v>
      </c>
      <c r="U248" s="116">
        <f t="shared" si="49"/>
        <v>0</v>
      </c>
      <c r="V248" s="116">
        <f t="shared" si="50"/>
        <v>0</v>
      </c>
      <c r="W248" s="116">
        <f t="shared" si="51"/>
        <v>0</v>
      </c>
      <c r="X248" s="116">
        <f t="shared" si="52"/>
        <v>5671.59</v>
      </c>
      <c r="Y248" s="116">
        <f t="shared" si="53"/>
        <v>2786.02</v>
      </c>
      <c r="Z248" s="116">
        <f t="shared" si="54"/>
        <v>0</v>
      </c>
      <c r="AA248" s="116">
        <f t="shared" si="55"/>
        <v>0</v>
      </c>
      <c r="AB248" s="116">
        <f t="shared" si="56"/>
        <v>0</v>
      </c>
      <c r="AC248" s="116">
        <f t="shared" si="57"/>
        <v>0</v>
      </c>
      <c r="AD248" s="116">
        <f t="shared" si="58"/>
        <v>0</v>
      </c>
      <c r="AE248" s="116">
        <f t="shared" si="59"/>
        <v>0</v>
      </c>
    </row>
    <row r="249" spans="1:31" ht="15.75" thickBot="1">
      <c r="A249" s="131">
        <v>42502</v>
      </c>
      <c r="B249" s="131">
        <v>42533</v>
      </c>
      <c r="C249" s="123">
        <f t="shared" si="47"/>
        <v>31</v>
      </c>
      <c r="D249" s="132">
        <v>160.88</v>
      </c>
      <c r="E249" s="134"/>
      <c r="F249" s="135"/>
      <c r="G249" s="123"/>
      <c r="H249" s="123"/>
      <c r="I249" s="123"/>
      <c r="J249" s="123">
        <v>20</v>
      </c>
      <c r="K249" s="123">
        <v>11</v>
      </c>
      <c r="L249" s="123"/>
      <c r="M249" s="123"/>
      <c r="N249" s="123"/>
      <c r="O249" s="123"/>
      <c r="P249" s="123"/>
      <c r="Q249" s="123"/>
      <c r="R249" s="133">
        <f t="shared" si="46"/>
        <v>0</v>
      </c>
      <c r="S249" s="133"/>
      <c r="T249" s="116">
        <f t="shared" si="48"/>
        <v>0</v>
      </c>
      <c r="U249" s="116">
        <f t="shared" si="49"/>
        <v>0</v>
      </c>
      <c r="V249" s="116">
        <f t="shared" si="50"/>
        <v>0</v>
      </c>
      <c r="W249" s="116">
        <f t="shared" si="51"/>
        <v>0</v>
      </c>
      <c r="X249" s="116">
        <f t="shared" si="52"/>
        <v>997.54</v>
      </c>
      <c r="Y249" s="116">
        <f t="shared" si="53"/>
        <v>490.01</v>
      </c>
      <c r="Z249" s="116">
        <f t="shared" si="54"/>
        <v>0</v>
      </c>
      <c r="AA249" s="116">
        <f t="shared" si="55"/>
        <v>0</v>
      </c>
      <c r="AB249" s="116">
        <f t="shared" si="56"/>
        <v>0</v>
      </c>
      <c r="AC249" s="116">
        <f t="shared" si="57"/>
        <v>0</v>
      </c>
      <c r="AD249" s="116">
        <f t="shared" si="58"/>
        <v>0</v>
      </c>
      <c r="AE249" s="116">
        <f t="shared" si="59"/>
        <v>0</v>
      </c>
    </row>
    <row r="250" spans="1:31" ht="15.75" thickBot="1">
      <c r="A250" s="194" t="s">
        <v>41</v>
      </c>
      <c r="B250" s="195"/>
      <c r="C250" s="195"/>
      <c r="D250" s="195"/>
      <c r="E250" s="195"/>
      <c r="F250" s="195"/>
      <c r="G250" s="195"/>
      <c r="H250" s="195"/>
      <c r="I250" s="195"/>
      <c r="J250" s="195"/>
      <c r="K250" s="195"/>
      <c r="L250" s="195"/>
      <c r="M250" s="195"/>
      <c r="N250" s="195"/>
      <c r="O250" s="195"/>
      <c r="P250" s="195"/>
      <c r="Q250" s="195"/>
      <c r="R250" s="195"/>
      <c r="S250" s="195"/>
      <c r="T250" s="195"/>
      <c r="U250" s="195"/>
      <c r="V250" s="195"/>
      <c r="W250" s="195"/>
      <c r="X250" s="195"/>
      <c r="Y250" s="195"/>
      <c r="Z250" s="195"/>
      <c r="AA250" s="195"/>
      <c r="AB250" s="195"/>
      <c r="AC250" s="195"/>
      <c r="AD250" s="195"/>
      <c r="AE250" s="196"/>
    </row>
    <row r="251" spans="1:31">
      <c r="A251" s="131">
        <v>42509</v>
      </c>
      <c r="B251" s="131">
        <v>42540</v>
      </c>
      <c r="C251" s="123">
        <f t="shared" si="47"/>
        <v>31</v>
      </c>
      <c r="D251" s="132">
        <v>1674.44</v>
      </c>
      <c r="E251" s="134"/>
      <c r="F251" s="135"/>
      <c r="G251" s="123"/>
      <c r="H251" s="123"/>
      <c r="I251" s="123"/>
      <c r="J251" s="123">
        <v>13</v>
      </c>
      <c r="K251" s="123">
        <v>18</v>
      </c>
      <c r="L251" s="123"/>
      <c r="M251" s="123"/>
      <c r="N251" s="123"/>
      <c r="O251" s="123"/>
      <c r="P251" s="123"/>
      <c r="Q251" s="123"/>
      <c r="R251" s="133">
        <f t="shared" si="46"/>
        <v>0</v>
      </c>
      <c r="S251" s="133"/>
      <c r="T251" s="116">
        <f t="shared" si="48"/>
        <v>0</v>
      </c>
      <c r="U251" s="116">
        <f t="shared" si="49"/>
        <v>0</v>
      </c>
      <c r="V251" s="116">
        <f t="shared" si="50"/>
        <v>0</v>
      </c>
      <c r="W251" s="116">
        <f t="shared" si="51"/>
        <v>0</v>
      </c>
      <c r="X251" s="116">
        <f t="shared" si="52"/>
        <v>6748.53</v>
      </c>
      <c r="Y251" s="116">
        <f t="shared" si="53"/>
        <v>8345.5400000000009</v>
      </c>
      <c r="Z251" s="116">
        <f t="shared" si="54"/>
        <v>0</v>
      </c>
      <c r="AA251" s="116">
        <f t="shared" si="55"/>
        <v>0</v>
      </c>
      <c r="AB251" s="116">
        <f t="shared" si="56"/>
        <v>0</v>
      </c>
      <c r="AC251" s="116">
        <f t="shared" si="57"/>
        <v>0</v>
      </c>
      <c r="AD251" s="116">
        <f t="shared" si="58"/>
        <v>0</v>
      </c>
      <c r="AE251" s="116">
        <f t="shared" si="59"/>
        <v>0</v>
      </c>
    </row>
    <row r="252" spans="1:31">
      <c r="A252" s="131">
        <v>42509</v>
      </c>
      <c r="B252" s="131">
        <v>42540</v>
      </c>
      <c r="C252" s="123">
        <f t="shared" si="47"/>
        <v>31</v>
      </c>
      <c r="D252" s="132">
        <v>665.28</v>
      </c>
      <c r="E252" s="134"/>
      <c r="F252" s="135"/>
      <c r="G252" s="123"/>
      <c r="H252" s="123"/>
      <c r="I252" s="123"/>
      <c r="J252" s="123">
        <v>13</v>
      </c>
      <c r="K252" s="123">
        <v>18</v>
      </c>
      <c r="L252" s="123"/>
      <c r="M252" s="123"/>
      <c r="N252" s="123"/>
      <c r="O252" s="123"/>
      <c r="P252" s="123"/>
      <c r="Q252" s="123"/>
      <c r="R252" s="133">
        <f t="shared" si="46"/>
        <v>0</v>
      </c>
      <c r="S252" s="133"/>
      <c r="T252" s="116">
        <f t="shared" si="48"/>
        <v>0</v>
      </c>
      <c r="U252" s="116">
        <f t="shared" si="49"/>
        <v>0</v>
      </c>
      <c r="V252" s="116">
        <f t="shared" si="50"/>
        <v>0</v>
      </c>
      <c r="W252" s="116">
        <f t="shared" si="51"/>
        <v>0</v>
      </c>
      <c r="X252" s="116">
        <f t="shared" si="52"/>
        <v>2681.29</v>
      </c>
      <c r="Y252" s="116">
        <f t="shared" si="53"/>
        <v>3315.81</v>
      </c>
      <c r="Z252" s="116">
        <f t="shared" si="54"/>
        <v>0</v>
      </c>
      <c r="AA252" s="116">
        <f t="shared" si="55"/>
        <v>0</v>
      </c>
      <c r="AB252" s="116">
        <f t="shared" si="56"/>
        <v>0</v>
      </c>
      <c r="AC252" s="116">
        <f t="shared" si="57"/>
        <v>0</v>
      </c>
      <c r="AD252" s="116">
        <f t="shared" si="58"/>
        <v>0</v>
      </c>
      <c r="AE252" s="116">
        <f t="shared" si="59"/>
        <v>0</v>
      </c>
    </row>
    <row r="253" spans="1:31">
      <c r="A253" s="131">
        <v>42509</v>
      </c>
      <c r="B253" s="131">
        <v>42540</v>
      </c>
      <c r="C253" s="123">
        <f t="shared" si="47"/>
        <v>31</v>
      </c>
      <c r="D253" s="132">
        <v>683.54</v>
      </c>
      <c r="E253" s="134"/>
      <c r="F253" s="135"/>
      <c r="G253" s="123"/>
      <c r="H253" s="123"/>
      <c r="I253" s="123"/>
      <c r="J253" s="123">
        <v>13</v>
      </c>
      <c r="K253" s="123">
        <v>18</v>
      </c>
      <c r="L253" s="123"/>
      <c r="M253" s="123"/>
      <c r="N253" s="123"/>
      <c r="O253" s="123"/>
      <c r="P253" s="123"/>
      <c r="Q253" s="123"/>
      <c r="R253" s="133">
        <f t="shared" si="46"/>
        <v>0</v>
      </c>
      <c r="S253" s="133"/>
      <c r="T253" s="116">
        <f t="shared" si="48"/>
        <v>0</v>
      </c>
      <c r="U253" s="116">
        <f t="shared" si="49"/>
        <v>0</v>
      </c>
      <c r="V253" s="116">
        <f t="shared" si="50"/>
        <v>0</v>
      </c>
      <c r="W253" s="116">
        <f t="shared" si="51"/>
        <v>0</v>
      </c>
      <c r="X253" s="116">
        <f t="shared" si="52"/>
        <v>2754.89</v>
      </c>
      <c r="Y253" s="116">
        <f t="shared" si="53"/>
        <v>3406.82</v>
      </c>
      <c r="Z253" s="116">
        <f t="shared" si="54"/>
        <v>0</v>
      </c>
      <c r="AA253" s="116">
        <f t="shared" si="55"/>
        <v>0</v>
      </c>
      <c r="AB253" s="116">
        <f t="shared" si="56"/>
        <v>0</v>
      </c>
      <c r="AC253" s="116">
        <f t="shared" si="57"/>
        <v>0</v>
      </c>
      <c r="AD253" s="116">
        <f t="shared" si="58"/>
        <v>0</v>
      </c>
      <c r="AE253" s="116">
        <f t="shared" si="59"/>
        <v>0</v>
      </c>
    </row>
    <row r="254" spans="1:31">
      <c r="A254" s="131">
        <v>42505</v>
      </c>
      <c r="B254" s="131">
        <v>42536</v>
      </c>
      <c r="C254" s="123">
        <f t="shared" si="47"/>
        <v>31</v>
      </c>
      <c r="D254" s="132">
        <v>24277.37</v>
      </c>
      <c r="E254" s="134"/>
      <c r="F254" s="135"/>
      <c r="G254" s="123"/>
      <c r="H254" s="123"/>
      <c r="I254" s="123"/>
      <c r="J254" s="123">
        <v>17</v>
      </c>
      <c r="K254" s="123">
        <v>14</v>
      </c>
      <c r="L254" s="123"/>
      <c r="M254" s="123"/>
      <c r="N254" s="123"/>
      <c r="O254" s="123"/>
      <c r="P254" s="123"/>
      <c r="Q254" s="123"/>
      <c r="R254" s="133">
        <f t="shared" si="46"/>
        <v>0</v>
      </c>
      <c r="S254" s="133"/>
      <c r="T254" s="116">
        <f t="shared" si="48"/>
        <v>0</v>
      </c>
      <c r="U254" s="116">
        <f t="shared" si="49"/>
        <v>0</v>
      </c>
      <c r="V254" s="116">
        <f t="shared" si="50"/>
        <v>0</v>
      </c>
      <c r="W254" s="116">
        <f t="shared" si="51"/>
        <v>0</v>
      </c>
      <c r="X254" s="116">
        <f t="shared" si="52"/>
        <v>127951.91</v>
      </c>
      <c r="Y254" s="116">
        <f t="shared" si="53"/>
        <v>94111.360000000001</v>
      </c>
      <c r="Z254" s="116">
        <f t="shared" si="54"/>
        <v>0</v>
      </c>
      <c r="AA254" s="116">
        <f t="shared" si="55"/>
        <v>0</v>
      </c>
      <c r="AB254" s="116">
        <f t="shared" si="56"/>
        <v>0</v>
      </c>
      <c r="AC254" s="116">
        <f t="shared" si="57"/>
        <v>0</v>
      </c>
      <c r="AD254" s="116">
        <f t="shared" si="58"/>
        <v>0</v>
      </c>
      <c r="AE254" s="116">
        <f t="shared" si="59"/>
        <v>0</v>
      </c>
    </row>
    <row r="255" spans="1:31">
      <c r="A255" s="131">
        <v>42505</v>
      </c>
      <c r="B255" s="131">
        <v>42536</v>
      </c>
      <c r="C255" s="123">
        <f t="shared" si="47"/>
        <v>31</v>
      </c>
      <c r="D255" s="132">
        <v>8348.3700000000008</v>
      </c>
      <c r="E255" s="134"/>
      <c r="F255" s="135"/>
      <c r="G255" s="123"/>
      <c r="H255" s="123"/>
      <c r="I255" s="123"/>
      <c r="J255" s="123">
        <v>17</v>
      </c>
      <c r="K255" s="123">
        <v>14</v>
      </c>
      <c r="L255" s="123"/>
      <c r="M255" s="123"/>
      <c r="N255" s="123"/>
      <c r="O255" s="123"/>
      <c r="P255" s="123"/>
      <c r="Q255" s="123"/>
      <c r="R255" s="133">
        <f t="shared" si="46"/>
        <v>0</v>
      </c>
      <c r="S255" s="133"/>
      <c r="T255" s="116">
        <f t="shared" si="48"/>
        <v>0</v>
      </c>
      <c r="U255" s="116">
        <f t="shared" si="49"/>
        <v>0</v>
      </c>
      <c r="V255" s="116">
        <f t="shared" si="50"/>
        <v>0</v>
      </c>
      <c r="W255" s="116">
        <f t="shared" si="51"/>
        <v>0</v>
      </c>
      <c r="X255" s="116">
        <f t="shared" si="52"/>
        <v>43999.41</v>
      </c>
      <c r="Y255" s="116">
        <f t="shared" si="53"/>
        <v>32362.5</v>
      </c>
      <c r="Z255" s="116">
        <f t="shared" si="54"/>
        <v>0</v>
      </c>
      <c r="AA255" s="116">
        <f t="shared" si="55"/>
        <v>0</v>
      </c>
      <c r="AB255" s="116">
        <f t="shared" si="56"/>
        <v>0</v>
      </c>
      <c r="AC255" s="116">
        <f t="shared" si="57"/>
        <v>0</v>
      </c>
      <c r="AD255" s="116">
        <f t="shared" si="58"/>
        <v>0</v>
      </c>
      <c r="AE255" s="116">
        <f t="shared" si="59"/>
        <v>0</v>
      </c>
    </row>
    <row r="256" spans="1:31">
      <c r="A256" s="131">
        <v>42505</v>
      </c>
      <c r="B256" s="131">
        <v>42536</v>
      </c>
      <c r="C256" s="123">
        <f t="shared" si="47"/>
        <v>31</v>
      </c>
      <c r="D256" s="132">
        <v>2673.37</v>
      </c>
      <c r="E256" s="134"/>
      <c r="F256" s="135"/>
      <c r="G256" s="123"/>
      <c r="H256" s="123"/>
      <c r="I256" s="123"/>
      <c r="J256" s="123">
        <v>17</v>
      </c>
      <c r="K256" s="123">
        <v>14</v>
      </c>
      <c r="L256" s="123"/>
      <c r="M256" s="123"/>
      <c r="N256" s="123"/>
      <c r="O256" s="123"/>
      <c r="P256" s="123"/>
      <c r="Q256" s="123"/>
      <c r="R256" s="133">
        <f t="shared" si="46"/>
        <v>0</v>
      </c>
      <c r="S256" s="133"/>
      <c r="T256" s="116">
        <f t="shared" si="48"/>
        <v>0</v>
      </c>
      <c r="U256" s="116">
        <f t="shared" si="49"/>
        <v>0</v>
      </c>
      <c r="V256" s="116">
        <f t="shared" si="50"/>
        <v>0</v>
      </c>
      <c r="W256" s="116">
        <f t="shared" si="51"/>
        <v>0</v>
      </c>
      <c r="X256" s="116">
        <f t="shared" si="52"/>
        <v>14089.78</v>
      </c>
      <c r="Y256" s="116">
        <f t="shared" si="53"/>
        <v>10363.33</v>
      </c>
      <c r="Z256" s="116">
        <f t="shared" si="54"/>
        <v>0</v>
      </c>
      <c r="AA256" s="116">
        <f t="shared" si="55"/>
        <v>0</v>
      </c>
      <c r="AB256" s="116">
        <f t="shared" si="56"/>
        <v>0</v>
      </c>
      <c r="AC256" s="116">
        <f t="shared" si="57"/>
        <v>0</v>
      </c>
      <c r="AD256" s="116">
        <f t="shared" si="58"/>
        <v>0</v>
      </c>
      <c r="AE256" s="116">
        <f t="shared" si="59"/>
        <v>0</v>
      </c>
    </row>
    <row r="257" spans="1:31">
      <c r="A257" s="131">
        <v>42505</v>
      </c>
      <c r="B257" s="131">
        <v>42536</v>
      </c>
      <c r="C257" s="123">
        <f t="shared" si="47"/>
        <v>31</v>
      </c>
      <c r="D257" s="132">
        <v>71.5</v>
      </c>
      <c r="E257" s="134"/>
      <c r="F257" s="135"/>
      <c r="G257" s="123"/>
      <c r="H257" s="123"/>
      <c r="I257" s="123"/>
      <c r="J257" s="123">
        <v>17</v>
      </c>
      <c r="K257" s="123">
        <v>14</v>
      </c>
      <c r="L257" s="123"/>
      <c r="M257" s="123"/>
      <c r="N257" s="123"/>
      <c r="O257" s="123"/>
      <c r="P257" s="123"/>
      <c r="Q257" s="123"/>
      <c r="R257" s="133">
        <f t="shared" si="46"/>
        <v>0</v>
      </c>
      <c r="S257" s="133"/>
      <c r="T257" s="116">
        <f t="shared" si="48"/>
        <v>0</v>
      </c>
      <c r="U257" s="116">
        <f t="shared" si="49"/>
        <v>0</v>
      </c>
      <c r="V257" s="116">
        <f t="shared" si="50"/>
        <v>0</v>
      </c>
      <c r="W257" s="116">
        <f t="shared" si="51"/>
        <v>0</v>
      </c>
      <c r="X257" s="116">
        <f t="shared" si="52"/>
        <v>376.83</v>
      </c>
      <c r="Y257" s="116">
        <f t="shared" si="53"/>
        <v>277.17</v>
      </c>
      <c r="Z257" s="116">
        <f t="shared" si="54"/>
        <v>0</v>
      </c>
      <c r="AA257" s="116">
        <f t="shared" si="55"/>
        <v>0</v>
      </c>
      <c r="AB257" s="116">
        <f t="shared" si="56"/>
        <v>0</v>
      </c>
      <c r="AC257" s="116">
        <f t="shared" si="57"/>
        <v>0</v>
      </c>
      <c r="AD257" s="116">
        <f t="shared" si="58"/>
        <v>0</v>
      </c>
      <c r="AE257" s="116">
        <f t="shared" si="59"/>
        <v>0</v>
      </c>
    </row>
    <row r="258" spans="1:31">
      <c r="A258" s="131">
        <v>42512</v>
      </c>
      <c r="B258" s="131">
        <v>42543</v>
      </c>
      <c r="C258" s="123">
        <f t="shared" si="47"/>
        <v>31</v>
      </c>
      <c r="D258" s="132">
        <v>271315.88</v>
      </c>
      <c r="E258" s="134"/>
      <c r="F258" s="135"/>
      <c r="G258" s="123"/>
      <c r="H258" s="123"/>
      <c r="I258" s="123"/>
      <c r="J258" s="123">
        <v>10</v>
      </c>
      <c r="K258" s="123">
        <v>21</v>
      </c>
      <c r="L258" s="123"/>
      <c r="M258" s="123"/>
      <c r="N258" s="123"/>
      <c r="O258" s="123"/>
      <c r="P258" s="123"/>
      <c r="Q258" s="123"/>
      <c r="R258" s="133">
        <f t="shared" si="46"/>
        <v>0</v>
      </c>
      <c r="S258" s="133"/>
      <c r="T258" s="116">
        <f t="shared" si="48"/>
        <v>0</v>
      </c>
      <c r="U258" s="116">
        <f t="shared" si="49"/>
        <v>0</v>
      </c>
      <c r="V258" s="116">
        <f t="shared" si="50"/>
        <v>0</v>
      </c>
      <c r="W258" s="116">
        <f t="shared" si="51"/>
        <v>0</v>
      </c>
      <c r="X258" s="116">
        <f>2405678.61-Y258</f>
        <v>718525.35999999987</v>
      </c>
      <c r="Y258" s="116">
        <v>1687153.25</v>
      </c>
      <c r="Z258" s="116">
        <f t="shared" si="54"/>
        <v>0</v>
      </c>
      <c r="AA258" s="116">
        <f t="shared" si="55"/>
        <v>0</v>
      </c>
      <c r="AB258" s="116">
        <f t="shared" si="56"/>
        <v>0</v>
      </c>
      <c r="AC258" s="116">
        <f t="shared" si="57"/>
        <v>0</v>
      </c>
      <c r="AD258" s="116">
        <f t="shared" si="58"/>
        <v>0</v>
      </c>
      <c r="AE258" s="116">
        <f t="shared" si="59"/>
        <v>0</v>
      </c>
    </row>
    <row r="259" spans="1:31">
      <c r="A259" s="131">
        <v>42516</v>
      </c>
      <c r="B259" s="131">
        <v>42547</v>
      </c>
      <c r="C259" s="123">
        <f t="shared" si="47"/>
        <v>31</v>
      </c>
      <c r="D259" s="132">
        <v>1420.71</v>
      </c>
      <c r="E259" s="134"/>
      <c r="F259" s="135"/>
      <c r="G259" s="123"/>
      <c r="H259" s="123"/>
      <c r="I259" s="123"/>
      <c r="J259" s="123">
        <v>6</v>
      </c>
      <c r="K259" s="123">
        <v>25</v>
      </c>
      <c r="L259" s="123"/>
      <c r="M259" s="123"/>
      <c r="N259" s="123"/>
      <c r="O259" s="123"/>
      <c r="P259" s="123"/>
      <c r="Q259" s="123"/>
      <c r="R259" s="133">
        <f t="shared" si="46"/>
        <v>0</v>
      </c>
      <c r="S259" s="133"/>
      <c r="T259" s="116">
        <f t="shared" si="48"/>
        <v>0</v>
      </c>
      <c r="U259" s="116">
        <f t="shared" si="49"/>
        <v>0</v>
      </c>
      <c r="V259" s="116">
        <f t="shared" si="50"/>
        <v>0</v>
      </c>
      <c r="W259" s="116">
        <f t="shared" si="51"/>
        <v>0</v>
      </c>
      <c r="X259" s="116">
        <f t="shared" si="52"/>
        <v>2642.73</v>
      </c>
      <c r="Y259" s="116">
        <f t="shared" si="53"/>
        <v>9834.6299999999992</v>
      </c>
      <c r="Z259" s="116">
        <f t="shared" si="54"/>
        <v>0</v>
      </c>
      <c r="AA259" s="116">
        <f t="shared" si="55"/>
        <v>0</v>
      </c>
      <c r="AB259" s="116">
        <f t="shared" si="56"/>
        <v>0</v>
      </c>
      <c r="AC259" s="116">
        <f t="shared" si="57"/>
        <v>0</v>
      </c>
      <c r="AD259" s="116">
        <f t="shared" si="58"/>
        <v>0</v>
      </c>
      <c r="AE259" s="116">
        <f t="shared" si="59"/>
        <v>0</v>
      </c>
    </row>
    <row r="260" spans="1:31">
      <c r="A260" s="131">
        <v>42516</v>
      </c>
      <c r="B260" s="131">
        <v>42547</v>
      </c>
      <c r="C260" s="123">
        <f t="shared" si="47"/>
        <v>31</v>
      </c>
      <c r="D260" s="132">
        <v>1284.19</v>
      </c>
      <c r="E260" s="134"/>
      <c r="F260" s="135"/>
      <c r="G260" s="123"/>
      <c r="H260" s="123"/>
      <c r="I260" s="123"/>
      <c r="J260" s="123">
        <v>6</v>
      </c>
      <c r="K260" s="123">
        <v>25</v>
      </c>
      <c r="L260" s="123"/>
      <c r="M260" s="123"/>
      <c r="N260" s="123"/>
      <c r="O260" s="123"/>
      <c r="P260" s="123"/>
      <c r="Q260" s="123"/>
      <c r="R260" s="133">
        <f t="shared" si="46"/>
        <v>0</v>
      </c>
      <c r="S260" s="133"/>
      <c r="T260" s="116">
        <f t="shared" si="48"/>
        <v>0</v>
      </c>
      <c r="U260" s="116">
        <f t="shared" si="49"/>
        <v>0</v>
      </c>
      <c r="V260" s="116">
        <f t="shared" si="50"/>
        <v>0</v>
      </c>
      <c r="W260" s="116">
        <f t="shared" si="51"/>
        <v>0</v>
      </c>
      <c r="X260" s="116">
        <f t="shared" si="52"/>
        <v>2388.7800000000002</v>
      </c>
      <c r="Y260" s="116">
        <f t="shared" si="53"/>
        <v>8889.59</v>
      </c>
      <c r="Z260" s="116">
        <f t="shared" si="54"/>
        <v>0</v>
      </c>
      <c r="AA260" s="116">
        <f t="shared" si="55"/>
        <v>0</v>
      </c>
      <c r="AB260" s="116">
        <f t="shared" si="56"/>
        <v>0</v>
      </c>
      <c r="AC260" s="116">
        <f t="shared" si="57"/>
        <v>0</v>
      </c>
      <c r="AD260" s="116">
        <f t="shared" si="58"/>
        <v>0</v>
      </c>
      <c r="AE260" s="116">
        <f t="shared" si="59"/>
        <v>0</v>
      </c>
    </row>
    <row r="261" spans="1:31">
      <c r="A261" s="131">
        <v>42518</v>
      </c>
      <c r="B261" s="131">
        <v>42549</v>
      </c>
      <c r="C261" s="123">
        <f t="shared" si="47"/>
        <v>31</v>
      </c>
      <c r="D261" s="132">
        <v>1699.14</v>
      </c>
      <c r="E261" s="134"/>
      <c r="F261" s="135"/>
      <c r="G261" s="123"/>
      <c r="H261" s="123"/>
      <c r="I261" s="123"/>
      <c r="J261" s="123">
        <v>4</v>
      </c>
      <c r="K261" s="123">
        <v>27</v>
      </c>
      <c r="L261" s="123"/>
      <c r="M261" s="123"/>
      <c r="N261" s="123"/>
      <c r="O261" s="123"/>
      <c r="P261" s="123"/>
      <c r="Q261" s="123"/>
      <c r="R261" s="133">
        <f t="shared" si="46"/>
        <v>0</v>
      </c>
      <c r="S261" s="133"/>
      <c r="T261" s="116">
        <f t="shared" si="48"/>
        <v>0</v>
      </c>
      <c r="U261" s="116">
        <f t="shared" si="49"/>
        <v>0</v>
      </c>
      <c r="V261" s="116">
        <f t="shared" si="50"/>
        <v>0</v>
      </c>
      <c r="W261" s="116">
        <f t="shared" si="51"/>
        <v>0</v>
      </c>
      <c r="X261" s="116">
        <f t="shared" si="52"/>
        <v>2107.1</v>
      </c>
      <c r="Y261" s="116">
        <f t="shared" si="53"/>
        <v>12702.97</v>
      </c>
      <c r="Z261" s="116">
        <f t="shared" si="54"/>
        <v>0</v>
      </c>
      <c r="AA261" s="116">
        <f t="shared" si="55"/>
        <v>0</v>
      </c>
      <c r="AB261" s="116">
        <f t="shared" si="56"/>
        <v>0</v>
      </c>
      <c r="AC261" s="116">
        <f t="shared" si="57"/>
        <v>0</v>
      </c>
      <c r="AD261" s="116">
        <f t="shared" si="58"/>
        <v>0</v>
      </c>
      <c r="AE261" s="116">
        <f t="shared" si="59"/>
        <v>0</v>
      </c>
    </row>
    <row r="262" spans="1:31">
      <c r="A262" s="131">
        <v>42518</v>
      </c>
      <c r="B262" s="131">
        <v>42549</v>
      </c>
      <c r="C262" s="123">
        <f t="shared" si="47"/>
        <v>31</v>
      </c>
      <c r="D262" s="132">
        <v>1731.64</v>
      </c>
      <c r="E262" s="134"/>
      <c r="F262" s="135"/>
      <c r="G262" s="123"/>
      <c r="H262" s="123"/>
      <c r="I262" s="123"/>
      <c r="J262" s="123">
        <v>4</v>
      </c>
      <c r="K262" s="123">
        <v>27</v>
      </c>
      <c r="L262" s="123"/>
      <c r="M262" s="123"/>
      <c r="N262" s="123"/>
      <c r="O262" s="123"/>
      <c r="P262" s="123"/>
      <c r="Q262" s="123"/>
      <c r="R262" s="133">
        <f t="shared" si="46"/>
        <v>0</v>
      </c>
      <c r="S262" s="133"/>
      <c r="T262" s="116">
        <f t="shared" si="48"/>
        <v>0</v>
      </c>
      <c r="U262" s="116">
        <f t="shared" si="49"/>
        <v>0</v>
      </c>
      <c r="V262" s="116">
        <f t="shared" si="50"/>
        <v>0</v>
      </c>
      <c r="W262" s="116">
        <f t="shared" si="51"/>
        <v>0</v>
      </c>
      <c r="X262" s="116">
        <f t="shared" si="52"/>
        <v>2147.4</v>
      </c>
      <c r="Y262" s="116">
        <f t="shared" si="53"/>
        <v>12945.94</v>
      </c>
      <c r="Z262" s="116">
        <f t="shared" si="54"/>
        <v>0</v>
      </c>
      <c r="AA262" s="116">
        <f t="shared" si="55"/>
        <v>0</v>
      </c>
      <c r="AB262" s="116">
        <f t="shared" si="56"/>
        <v>0</v>
      </c>
      <c r="AC262" s="116">
        <f t="shared" si="57"/>
        <v>0</v>
      </c>
      <c r="AD262" s="116">
        <f t="shared" si="58"/>
        <v>0</v>
      </c>
      <c r="AE262" s="116">
        <f t="shared" si="59"/>
        <v>0</v>
      </c>
    </row>
    <row r="263" spans="1:31">
      <c r="A263" s="131">
        <v>42522</v>
      </c>
      <c r="B263" s="131">
        <v>42552</v>
      </c>
      <c r="C263" s="123">
        <f t="shared" si="47"/>
        <v>30</v>
      </c>
      <c r="D263" s="132">
        <v>4068.72</v>
      </c>
      <c r="E263" s="134"/>
      <c r="F263" s="135"/>
      <c r="G263" s="123"/>
      <c r="H263" s="123"/>
      <c r="I263" s="123"/>
      <c r="J263" s="123"/>
      <c r="K263" s="123">
        <v>30</v>
      </c>
      <c r="L263" s="123"/>
      <c r="M263" s="123"/>
      <c r="N263" s="123"/>
      <c r="O263" s="123"/>
      <c r="P263" s="123"/>
      <c r="Q263" s="123"/>
      <c r="R263" s="133">
        <f t="shared" si="46"/>
        <v>0</v>
      </c>
      <c r="S263" s="133"/>
      <c r="T263" s="116">
        <f t="shared" si="48"/>
        <v>0</v>
      </c>
      <c r="U263" s="116">
        <f t="shared" si="49"/>
        <v>0</v>
      </c>
      <c r="V263" s="116">
        <f t="shared" si="50"/>
        <v>0</v>
      </c>
      <c r="W263" s="116">
        <f t="shared" si="51"/>
        <v>0</v>
      </c>
      <c r="X263" s="116">
        <f t="shared" si="52"/>
        <v>0</v>
      </c>
      <c r="Y263" s="116">
        <f t="shared" si="53"/>
        <v>34924.639999999999</v>
      </c>
      <c r="Z263" s="116">
        <f t="shared" si="54"/>
        <v>0</v>
      </c>
      <c r="AA263" s="116">
        <f t="shared" si="55"/>
        <v>0</v>
      </c>
      <c r="AB263" s="116">
        <f t="shared" si="56"/>
        <v>0</v>
      </c>
      <c r="AC263" s="116">
        <f t="shared" si="57"/>
        <v>0</v>
      </c>
      <c r="AD263" s="116">
        <f t="shared" si="58"/>
        <v>0</v>
      </c>
      <c r="AE263" s="116">
        <f t="shared" si="59"/>
        <v>0</v>
      </c>
    </row>
    <row r="264" spans="1:31">
      <c r="A264" s="131">
        <v>42521</v>
      </c>
      <c r="B264" s="131">
        <v>42549</v>
      </c>
      <c r="C264" s="123">
        <f t="shared" si="47"/>
        <v>28</v>
      </c>
      <c r="D264" s="132">
        <v>6125.13</v>
      </c>
      <c r="E264" s="134"/>
      <c r="F264" s="135"/>
      <c r="G264" s="123"/>
      <c r="H264" s="123"/>
      <c r="I264" s="123"/>
      <c r="J264" s="123">
        <v>1</v>
      </c>
      <c r="K264" s="123">
        <v>27</v>
      </c>
      <c r="L264" s="123"/>
      <c r="M264" s="123"/>
      <c r="N264" s="123"/>
      <c r="O264" s="123"/>
      <c r="P264" s="123"/>
      <c r="Q264" s="123"/>
      <c r="R264" s="133">
        <f t="shared" si="46"/>
        <v>0</v>
      </c>
      <c r="S264" s="133"/>
      <c r="T264" s="116">
        <f t="shared" si="48"/>
        <v>0</v>
      </c>
      <c r="U264" s="116">
        <f t="shared" si="49"/>
        <v>0</v>
      </c>
      <c r="V264" s="116">
        <f t="shared" si="50"/>
        <v>0</v>
      </c>
      <c r="W264" s="116">
        <f t="shared" si="51"/>
        <v>0</v>
      </c>
      <c r="X264" s="116">
        <f>59732.58-Y264</f>
        <v>2133.3100000000049</v>
      </c>
      <c r="Y264" s="116">
        <v>57599.27</v>
      </c>
      <c r="Z264" s="116">
        <f t="shared" si="54"/>
        <v>0</v>
      </c>
      <c r="AA264" s="116">
        <f t="shared" si="55"/>
        <v>0</v>
      </c>
      <c r="AB264" s="116">
        <f t="shared" si="56"/>
        <v>0</v>
      </c>
      <c r="AC264" s="116">
        <f t="shared" si="57"/>
        <v>0</v>
      </c>
      <c r="AD264" s="116">
        <f t="shared" si="58"/>
        <v>0</v>
      </c>
      <c r="AE264" s="116">
        <f t="shared" si="59"/>
        <v>0</v>
      </c>
    </row>
    <row r="265" spans="1:31">
      <c r="A265" s="131">
        <v>42524</v>
      </c>
      <c r="B265" s="131">
        <v>42554</v>
      </c>
      <c r="C265" s="123">
        <f t="shared" si="47"/>
        <v>30</v>
      </c>
      <c r="D265" s="132">
        <v>1330.03</v>
      </c>
      <c r="E265" s="134"/>
      <c r="F265" s="135"/>
      <c r="G265" s="123"/>
      <c r="H265" s="123"/>
      <c r="I265" s="123"/>
      <c r="J265" s="123"/>
      <c r="K265" s="123">
        <v>28</v>
      </c>
      <c r="L265" s="123">
        <v>2</v>
      </c>
      <c r="M265" s="123"/>
      <c r="N265" s="123"/>
      <c r="O265" s="123"/>
      <c r="P265" s="123"/>
      <c r="Q265" s="123"/>
      <c r="R265" s="133">
        <f t="shared" si="46"/>
        <v>0</v>
      </c>
      <c r="S265" s="133"/>
      <c r="T265" s="116">
        <f t="shared" si="48"/>
        <v>0</v>
      </c>
      <c r="U265" s="116">
        <f t="shared" si="49"/>
        <v>0</v>
      </c>
      <c r="V265" s="116">
        <f t="shared" si="50"/>
        <v>0</v>
      </c>
      <c r="W265" s="116">
        <f t="shared" si="51"/>
        <v>0</v>
      </c>
      <c r="X265" s="116">
        <f t="shared" si="52"/>
        <v>0</v>
      </c>
      <c r="Y265" s="116">
        <f t="shared" si="53"/>
        <v>10655.46</v>
      </c>
      <c r="Z265" s="116">
        <f t="shared" si="54"/>
        <v>1156.5</v>
      </c>
      <c r="AA265" s="116">
        <f t="shared" si="55"/>
        <v>0</v>
      </c>
      <c r="AB265" s="116">
        <f t="shared" si="56"/>
        <v>0</v>
      </c>
      <c r="AC265" s="116">
        <f t="shared" si="57"/>
        <v>0</v>
      </c>
      <c r="AD265" s="116">
        <f t="shared" si="58"/>
        <v>0</v>
      </c>
      <c r="AE265" s="116">
        <f t="shared" si="59"/>
        <v>0</v>
      </c>
    </row>
    <row r="266" spans="1:31">
      <c r="A266" s="131">
        <v>42524</v>
      </c>
      <c r="B266" s="131">
        <v>42554</v>
      </c>
      <c r="C266" s="123">
        <f t="shared" si="47"/>
        <v>30</v>
      </c>
      <c r="D266" s="132">
        <v>1223.7</v>
      </c>
      <c r="E266" s="134"/>
      <c r="F266" s="135"/>
      <c r="G266" s="123"/>
      <c r="H266" s="123"/>
      <c r="I266" s="123"/>
      <c r="J266" s="123"/>
      <c r="K266" s="123">
        <v>28</v>
      </c>
      <c r="L266" s="123">
        <v>2</v>
      </c>
      <c r="M266" s="123"/>
      <c r="N266" s="123"/>
      <c r="O266" s="123"/>
      <c r="P266" s="123"/>
      <c r="Q266" s="123"/>
      <c r="R266" s="133">
        <f t="shared" si="46"/>
        <v>0</v>
      </c>
      <c r="S266" s="133"/>
      <c r="T266" s="116">
        <f t="shared" si="48"/>
        <v>0</v>
      </c>
      <c r="U266" s="116">
        <f t="shared" si="49"/>
        <v>0</v>
      </c>
      <c r="V266" s="116">
        <f t="shared" si="50"/>
        <v>0</v>
      </c>
      <c r="W266" s="116">
        <f t="shared" si="51"/>
        <v>0</v>
      </c>
      <c r="X266" s="116">
        <f t="shared" si="52"/>
        <v>0</v>
      </c>
      <c r="Y266" s="116">
        <f t="shared" si="53"/>
        <v>9803.61</v>
      </c>
      <c r="Z266" s="116">
        <f t="shared" si="54"/>
        <v>1064.04</v>
      </c>
      <c r="AA266" s="116">
        <f t="shared" si="55"/>
        <v>0</v>
      </c>
      <c r="AB266" s="116">
        <f t="shared" si="56"/>
        <v>0</v>
      </c>
      <c r="AC266" s="116">
        <f t="shared" si="57"/>
        <v>0</v>
      </c>
      <c r="AD266" s="116">
        <f t="shared" si="58"/>
        <v>0</v>
      </c>
      <c r="AE266" s="116">
        <f t="shared" si="59"/>
        <v>0</v>
      </c>
    </row>
    <row r="267" spans="1:31">
      <c r="A267" s="131">
        <v>42524</v>
      </c>
      <c r="B267" s="131">
        <v>42554</v>
      </c>
      <c r="C267" s="123">
        <f t="shared" si="47"/>
        <v>30</v>
      </c>
      <c r="D267" s="132">
        <v>552.57000000000005</v>
      </c>
      <c r="E267" s="134"/>
      <c r="F267" s="135"/>
      <c r="G267" s="123"/>
      <c r="H267" s="123"/>
      <c r="I267" s="123"/>
      <c r="J267" s="123"/>
      <c r="K267" s="123">
        <v>28</v>
      </c>
      <c r="L267" s="123">
        <v>2</v>
      </c>
      <c r="M267" s="123"/>
      <c r="N267" s="123"/>
      <c r="O267" s="123"/>
      <c r="P267" s="123"/>
      <c r="Q267" s="123"/>
      <c r="R267" s="133">
        <f t="shared" si="46"/>
        <v>0</v>
      </c>
      <c r="S267" s="133"/>
      <c r="T267" s="116">
        <f t="shared" si="48"/>
        <v>0</v>
      </c>
      <c r="U267" s="116">
        <f t="shared" si="49"/>
        <v>0</v>
      </c>
      <c r="V267" s="116">
        <f t="shared" si="50"/>
        <v>0</v>
      </c>
      <c r="W267" s="116">
        <f t="shared" si="51"/>
        <v>0</v>
      </c>
      <c r="X267" s="116">
        <f t="shared" si="52"/>
        <v>0</v>
      </c>
      <c r="Y267" s="116">
        <f t="shared" si="53"/>
        <v>4426.88</v>
      </c>
      <c r="Z267" s="116">
        <f t="shared" si="54"/>
        <v>480.47</v>
      </c>
      <c r="AA267" s="116">
        <f t="shared" si="55"/>
        <v>0</v>
      </c>
      <c r="AB267" s="116">
        <f t="shared" si="56"/>
        <v>0</v>
      </c>
      <c r="AC267" s="116">
        <f t="shared" si="57"/>
        <v>0</v>
      </c>
      <c r="AD267" s="116">
        <f t="shared" si="58"/>
        <v>0</v>
      </c>
      <c r="AE267" s="116">
        <f t="shared" si="59"/>
        <v>0</v>
      </c>
    </row>
    <row r="268" spans="1:31">
      <c r="A268" s="131">
        <v>42524</v>
      </c>
      <c r="B268" s="131">
        <v>42554</v>
      </c>
      <c r="C268" s="123">
        <f t="shared" si="47"/>
        <v>30</v>
      </c>
      <c r="D268" s="132">
        <v>868.77</v>
      </c>
      <c r="E268" s="134"/>
      <c r="F268" s="135"/>
      <c r="G268" s="123"/>
      <c r="H268" s="123"/>
      <c r="I268" s="123"/>
      <c r="J268" s="123"/>
      <c r="K268" s="123">
        <v>28</v>
      </c>
      <c r="L268" s="123">
        <v>2</v>
      </c>
      <c r="M268" s="123"/>
      <c r="N268" s="123"/>
      <c r="O268" s="123"/>
      <c r="P268" s="123"/>
      <c r="Q268" s="123"/>
      <c r="R268" s="133">
        <f t="shared" si="46"/>
        <v>0</v>
      </c>
      <c r="S268" s="133"/>
      <c r="T268" s="116">
        <f t="shared" si="48"/>
        <v>0</v>
      </c>
      <c r="U268" s="116">
        <f t="shared" si="49"/>
        <v>0</v>
      </c>
      <c r="V268" s="116">
        <f t="shared" si="50"/>
        <v>0</v>
      </c>
      <c r="W268" s="116">
        <f t="shared" si="51"/>
        <v>0</v>
      </c>
      <c r="X268" s="116">
        <f t="shared" si="52"/>
        <v>0</v>
      </c>
      <c r="Y268" s="116">
        <f t="shared" si="53"/>
        <v>6960.1</v>
      </c>
      <c r="Z268" s="116">
        <f t="shared" si="54"/>
        <v>755.42</v>
      </c>
      <c r="AA268" s="116">
        <f t="shared" si="55"/>
        <v>0</v>
      </c>
      <c r="AB268" s="116">
        <f t="shared" si="56"/>
        <v>0</v>
      </c>
      <c r="AC268" s="116">
        <f t="shared" si="57"/>
        <v>0</v>
      </c>
      <c r="AD268" s="116">
        <f t="shared" si="58"/>
        <v>0</v>
      </c>
      <c r="AE268" s="116">
        <f t="shared" si="59"/>
        <v>0</v>
      </c>
    </row>
    <row r="269" spans="1:31">
      <c r="A269" s="131">
        <v>42522</v>
      </c>
      <c r="B269" s="131">
        <v>42552</v>
      </c>
      <c r="C269" s="123">
        <f t="shared" si="47"/>
        <v>30</v>
      </c>
      <c r="D269" s="132">
        <v>169079.17</v>
      </c>
      <c r="E269" s="134"/>
      <c r="F269" s="135"/>
      <c r="G269" s="123"/>
      <c r="H269" s="123"/>
      <c r="I269" s="123"/>
      <c r="J269" s="123"/>
      <c r="K269" s="123">
        <v>30</v>
      </c>
      <c r="L269" s="123"/>
      <c r="M269" s="123"/>
      <c r="N269" s="123"/>
      <c r="O269" s="123"/>
      <c r="P269" s="123"/>
      <c r="Q269" s="123"/>
      <c r="R269" s="133">
        <f t="shared" si="46"/>
        <v>0</v>
      </c>
      <c r="S269" s="133"/>
      <c r="T269" s="116">
        <f t="shared" si="48"/>
        <v>0</v>
      </c>
      <c r="U269" s="116">
        <f t="shared" si="49"/>
        <v>0</v>
      </c>
      <c r="V269" s="116">
        <f t="shared" si="50"/>
        <v>0</v>
      </c>
      <c r="W269" s="116">
        <f t="shared" si="51"/>
        <v>0</v>
      </c>
      <c r="X269" s="116">
        <f t="shared" si="52"/>
        <v>0</v>
      </c>
      <c r="Y269" s="116">
        <f t="shared" si="53"/>
        <v>1451323.35</v>
      </c>
      <c r="Z269" s="116">
        <f t="shared" si="54"/>
        <v>0</v>
      </c>
      <c r="AA269" s="116">
        <f t="shared" si="55"/>
        <v>0</v>
      </c>
      <c r="AB269" s="116">
        <f t="shared" si="56"/>
        <v>0</v>
      </c>
      <c r="AC269" s="116">
        <f t="shared" si="57"/>
        <v>0</v>
      </c>
      <c r="AD269" s="116">
        <f t="shared" si="58"/>
        <v>0</v>
      </c>
      <c r="AE269" s="116">
        <f t="shared" si="59"/>
        <v>0</v>
      </c>
    </row>
    <row r="270" spans="1:31">
      <c r="A270" s="131">
        <v>42522</v>
      </c>
      <c r="B270" s="131">
        <v>42552</v>
      </c>
      <c r="C270" s="123">
        <f t="shared" si="47"/>
        <v>30</v>
      </c>
      <c r="D270" s="132">
        <v>38423.910000000003</v>
      </c>
      <c r="E270" s="134"/>
      <c r="F270" s="135"/>
      <c r="G270" s="123"/>
      <c r="H270" s="123"/>
      <c r="I270" s="123"/>
      <c r="J270" s="123"/>
      <c r="K270" s="123">
        <v>30</v>
      </c>
      <c r="L270" s="123"/>
      <c r="M270" s="123"/>
      <c r="N270" s="123"/>
      <c r="O270" s="123"/>
      <c r="P270" s="123"/>
      <c r="Q270" s="123"/>
      <c r="R270" s="133">
        <f t="shared" si="46"/>
        <v>0</v>
      </c>
      <c r="S270" s="133"/>
      <c r="T270" s="116">
        <f t="shared" si="48"/>
        <v>0</v>
      </c>
      <c r="U270" s="116">
        <f t="shared" si="49"/>
        <v>0</v>
      </c>
      <c r="V270" s="116">
        <f t="shared" si="50"/>
        <v>0</v>
      </c>
      <c r="W270" s="116">
        <f t="shared" si="51"/>
        <v>0</v>
      </c>
      <c r="X270" s="116">
        <f t="shared" si="52"/>
        <v>0</v>
      </c>
      <c r="Y270" s="116">
        <f t="shared" si="53"/>
        <v>329818.96999999997</v>
      </c>
      <c r="Z270" s="116">
        <f t="shared" si="54"/>
        <v>0</v>
      </c>
      <c r="AA270" s="116">
        <f t="shared" si="55"/>
        <v>0</v>
      </c>
      <c r="AB270" s="116">
        <f t="shared" si="56"/>
        <v>0</v>
      </c>
      <c r="AC270" s="116">
        <f t="shared" si="57"/>
        <v>0</v>
      </c>
      <c r="AD270" s="116">
        <f t="shared" si="58"/>
        <v>0</v>
      </c>
      <c r="AE270" s="116">
        <f t="shared" si="59"/>
        <v>0</v>
      </c>
    </row>
    <row r="271" spans="1:31">
      <c r="A271" s="131">
        <v>42522</v>
      </c>
      <c r="B271" s="131">
        <v>42552</v>
      </c>
      <c r="C271" s="123">
        <f t="shared" si="47"/>
        <v>30</v>
      </c>
      <c r="D271" s="132">
        <v>304.55</v>
      </c>
      <c r="E271" s="134"/>
      <c r="F271" s="135"/>
      <c r="G271" s="123"/>
      <c r="H271" s="123"/>
      <c r="I271" s="123"/>
      <c r="J271" s="123"/>
      <c r="K271" s="123">
        <v>30</v>
      </c>
      <c r="L271" s="123"/>
      <c r="M271" s="123"/>
      <c r="N271" s="123"/>
      <c r="O271" s="123"/>
      <c r="P271" s="123"/>
      <c r="Q271" s="123"/>
      <c r="R271" s="133">
        <f t="shared" si="46"/>
        <v>0</v>
      </c>
      <c r="S271" s="133"/>
      <c r="T271" s="116">
        <f t="shared" si="48"/>
        <v>0</v>
      </c>
      <c r="U271" s="116">
        <f t="shared" si="49"/>
        <v>0</v>
      </c>
      <c r="V271" s="116">
        <f t="shared" si="50"/>
        <v>0</v>
      </c>
      <c r="W271" s="116">
        <f t="shared" si="51"/>
        <v>0</v>
      </c>
      <c r="X271" s="116">
        <f t="shared" si="52"/>
        <v>0</v>
      </c>
      <c r="Y271" s="116">
        <f t="shared" si="53"/>
        <v>2614.16</v>
      </c>
      <c r="Z271" s="116">
        <f t="shared" si="54"/>
        <v>0</v>
      </c>
      <c r="AA271" s="116">
        <f t="shared" si="55"/>
        <v>0</v>
      </c>
      <c r="AB271" s="116">
        <f t="shared" si="56"/>
        <v>0</v>
      </c>
      <c r="AC271" s="116">
        <f t="shared" si="57"/>
        <v>0</v>
      </c>
      <c r="AD271" s="116">
        <f t="shared" si="58"/>
        <v>0</v>
      </c>
      <c r="AE271" s="116">
        <f t="shared" si="59"/>
        <v>0</v>
      </c>
    </row>
    <row r="272" spans="1:31">
      <c r="A272" s="131">
        <v>42522</v>
      </c>
      <c r="B272" s="131">
        <v>42552</v>
      </c>
      <c r="C272" s="123">
        <f t="shared" si="47"/>
        <v>30</v>
      </c>
      <c r="D272" s="132">
        <v>71142.070000000007</v>
      </c>
      <c r="E272" s="134"/>
      <c r="F272" s="135"/>
      <c r="G272" s="123"/>
      <c r="H272" s="123"/>
      <c r="I272" s="123"/>
      <c r="J272" s="123"/>
      <c r="K272" s="123">
        <v>30</v>
      </c>
      <c r="L272" s="123"/>
      <c r="M272" s="123"/>
      <c r="N272" s="123"/>
      <c r="O272" s="123"/>
      <c r="P272" s="123"/>
      <c r="Q272" s="123"/>
      <c r="R272" s="133">
        <f t="shared" si="46"/>
        <v>0</v>
      </c>
      <c r="S272" s="133"/>
      <c r="T272" s="116">
        <f t="shared" si="48"/>
        <v>0</v>
      </c>
      <c r="U272" s="116">
        <f t="shared" si="49"/>
        <v>0</v>
      </c>
      <c r="V272" s="116">
        <f t="shared" si="50"/>
        <v>0</v>
      </c>
      <c r="W272" s="116">
        <f t="shared" si="51"/>
        <v>0</v>
      </c>
      <c r="X272" s="116">
        <f t="shared" si="52"/>
        <v>0</v>
      </c>
      <c r="Y272" s="116">
        <f t="shared" si="53"/>
        <v>610661.55000000005</v>
      </c>
      <c r="Z272" s="116">
        <f t="shared" si="54"/>
        <v>0</v>
      </c>
      <c r="AA272" s="116">
        <f t="shared" si="55"/>
        <v>0</v>
      </c>
      <c r="AB272" s="116">
        <f t="shared" si="56"/>
        <v>0</v>
      </c>
      <c r="AC272" s="116">
        <f t="shared" si="57"/>
        <v>0</v>
      </c>
      <c r="AD272" s="116">
        <f t="shared" si="58"/>
        <v>0</v>
      </c>
      <c r="AE272" s="116">
        <f t="shared" si="59"/>
        <v>0</v>
      </c>
    </row>
    <row r="273" spans="1:31">
      <c r="A273" s="131">
        <v>42522</v>
      </c>
      <c r="B273" s="131">
        <v>42552</v>
      </c>
      <c r="C273" s="123">
        <f t="shared" si="47"/>
        <v>30</v>
      </c>
      <c r="D273" s="132">
        <v>2938.79</v>
      </c>
      <c r="E273" s="134"/>
      <c r="F273" s="135"/>
      <c r="G273" s="123"/>
      <c r="H273" s="123"/>
      <c r="I273" s="123"/>
      <c r="J273" s="123"/>
      <c r="K273" s="123">
        <v>30</v>
      </c>
      <c r="L273" s="123"/>
      <c r="M273" s="123"/>
      <c r="N273" s="123"/>
      <c r="O273" s="123"/>
      <c r="P273" s="123"/>
      <c r="Q273" s="123"/>
      <c r="R273" s="133">
        <f t="shared" si="46"/>
        <v>0</v>
      </c>
      <c r="S273" s="133"/>
      <c r="T273" s="116">
        <f t="shared" si="48"/>
        <v>0</v>
      </c>
      <c r="U273" s="116">
        <f t="shared" si="49"/>
        <v>0</v>
      </c>
      <c r="V273" s="116">
        <f t="shared" si="50"/>
        <v>0</v>
      </c>
      <c r="W273" s="116">
        <f t="shared" si="51"/>
        <v>0</v>
      </c>
      <c r="X273" s="116">
        <f t="shared" si="52"/>
        <v>0</v>
      </c>
      <c r="Y273" s="116">
        <f t="shared" si="53"/>
        <v>25225.67</v>
      </c>
      <c r="Z273" s="116">
        <f t="shared" si="54"/>
        <v>0</v>
      </c>
      <c r="AA273" s="116">
        <f t="shared" si="55"/>
        <v>0</v>
      </c>
      <c r="AB273" s="116">
        <f t="shared" si="56"/>
        <v>0</v>
      </c>
      <c r="AC273" s="116">
        <f t="shared" si="57"/>
        <v>0</v>
      </c>
      <c r="AD273" s="116">
        <f t="shared" si="58"/>
        <v>0</v>
      </c>
      <c r="AE273" s="116">
        <f t="shared" si="59"/>
        <v>0</v>
      </c>
    </row>
    <row r="274" spans="1:31">
      <c r="A274" s="131">
        <v>42526</v>
      </c>
      <c r="B274" s="131">
        <v>42556</v>
      </c>
      <c r="C274" s="123">
        <f t="shared" si="47"/>
        <v>30</v>
      </c>
      <c r="D274" s="132">
        <v>156.24</v>
      </c>
      <c r="E274" s="134"/>
      <c r="F274" s="135"/>
      <c r="G274" s="123"/>
      <c r="H274" s="123"/>
      <c r="I274" s="123"/>
      <c r="J274" s="123"/>
      <c r="K274" s="123">
        <v>26</v>
      </c>
      <c r="L274" s="123">
        <v>4</v>
      </c>
      <c r="M274" s="123"/>
      <c r="N274" s="123"/>
      <c r="O274" s="123"/>
      <c r="P274" s="123"/>
      <c r="Q274" s="123"/>
      <c r="R274" s="133">
        <f t="shared" si="46"/>
        <v>0</v>
      </c>
      <c r="S274" s="133"/>
      <c r="T274" s="116">
        <f t="shared" si="48"/>
        <v>0</v>
      </c>
      <c r="U274" s="116">
        <f t="shared" si="49"/>
        <v>0</v>
      </c>
      <c r="V274" s="116">
        <f t="shared" si="50"/>
        <v>0</v>
      </c>
      <c r="W274" s="116">
        <f t="shared" si="51"/>
        <v>0</v>
      </c>
      <c r="X274" s="116">
        <f t="shared" si="52"/>
        <v>0</v>
      </c>
      <c r="Y274" s="116">
        <f t="shared" si="53"/>
        <v>1162.3</v>
      </c>
      <c r="Z274" s="116">
        <f t="shared" si="54"/>
        <v>271.70999999999998</v>
      </c>
      <c r="AA274" s="116">
        <f t="shared" si="55"/>
        <v>0</v>
      </c>
      <c r="AB274" s="116">
        <f t="shared" si="56"/>
        <v>0</v>
      </c>
      <c r="AC274" s="116">
        <f t="shared" si="57"/>
        <v>0</v>
      </c>
      <c r="AD274" s="116">
        <f t="shared" si="58"/>
        <v>0</v>
      </c>
      <c r="AE274" s="116">
        <f t="shared" si="59"/>
        <v>0</v>
      </c>
    </row>
    <row r="275" spans="1:31">
      <c r="A275" s="131">
        <v>42526</v>
      </c>
      <c r="B275" s="131">
        <v>42556</v>
      </c>
      <c r="C275" s="123">
        <f t="shared" si="47"/>
        <v>30</v>
      </c>
      <c r="D275" s="132">
        <v>1443.79</v>
      </c>
      <c r="E275" s="134"/>
      <c r="F275" s="135"/>
      <c r="G275" s="123"/>
      <c r="H275" s="123"/>
      <c r="I275" s="123"/>
      <c r="J275" s="123"/>
      <c r="K275" s="123">
        <v>26</v>
      </c>
      <c r="L275" s="123">
        <v>4</v>
      </c>
      <c r="M275" s="123"/>
      <c r="N275" s="123"/>
      <c r="O275" s="123"/>
      <c r="P275" s="123"/>
      <c r="Q275" s="123"/>
      <c r="R275" s="133">
        <f t="shared" si="46"/>
        <v>0</v>
      </c>
      <c r="S275" s="133"/>
      <c r="T275" s="116">
        <f t="shared" si="48"/>
        <v>0</v>
      </c>
      <c r="U275" s="116">
        <f t="shared" si="49"/>
        <v>0</v>
      </c>
      <c r="V275" s="116">
        <f t="shared" si="50"/>
        <v>0</v>
      </c>
      <c r="W275" s="116">
        <f t="shared" si="51"/>
        <v>0</v>
      </c>
      <c r="X275" s="116">
        <f t="shared" si="52"/>
        <v>0</v>
      </c>
      <c r="Y275" s="116">
        <f t="shared" si="53"/>
        <v>10740.64</v>
      </c>
      <c r="Z275" s="116">
        <f t="shared" si="54"/>
        <v>2510.83</v>
      </c>
      <c r="AA275" s="116">
        <f t="shared" si="55"/>
        <v>0</v>
      </c>
      <c r="AB275" s="116">
        <f t="shared" si="56"/>
        <v>0</v>
      </c>
      <c r="AC275" s="116">
        <f t="shared" si="57"/>
        <v>0</v>
      </c>
      <c r="AD275" s="116">
        <f t="shared" si="58"/>
        <v>0</v>
      </c>
      <c r="AE275" s="116">
        <f t="shared" si="59"/>
        <v>0</v>
      </c>
    </row>
    <row r="276" spans="1:31">
      <c r="A276" s="131">
        <v>42526</v>
      </c>
      <c r="B276" s="131">
        <v>42556</v>
      </c>
      <c r="C276" s="123">
        <f t="shared" si="47"/>
        <v>30</v>
      </c>
      <c r="D276" s="132">
        <v>7.65</v>
      </c>
      <c r="E276" s="134"/>
      <c r="F276" s="135"/>
      <c r="G276" s="123"/>
      <c r="H276" s="123"/>
      <c r="I276" s="123"/>
      <c r="J276" s="123"/>
      <c r="K276" s="123">
        <v>26</v>
      </c>
      <c r="L276" s="123">
        <v>4</v>
      </c>
      <c r="M276" s="123"/>
      <c r="N276" s="123"/>
      <c r="O276" s="123"/>
      <c r="P276" s="123"/>
      <c r="Q276" s="123"/>
      <c r="R276" s="133">
        <f t="shared" si="46"/>
        <v>0</v>
      </c>
      <c r="S276" s="133"/>
      <c r="T276" s="116">
        <f t="shared" si="48"/>
        <v>0</v>
      </c>
      <c r="U276" s="116">
        <f t="shared" si="49"/>
        <v>0</v>
      </c>
      <c r="V276" s="116">
        <f t="shared" si="50"/>
        <v>0</v>
      </c>
      <c r="W276" s="116">
        <f t="shared" si="51"/>
        <v>0</v>
      </c>
      <c r="X276" s="116">
        <f t="shared" si="52"/>
        <v>0</v>
      </c>
      <c r="Y276" s="116">
        <f t="shared" si="53"/>
        <v>56.91</v>
      </c>
      <c r="Z276" s="116">
        <f t="shared" si="54"/>
        <v>13.3</v>
      </c>
      <c r="AA276" s="116">
        <f t="shared" si="55"/>
        <v>0</v>
      </c>
      <c r="AB276" s="116">
        <f t="shared" si="56"/>
        <v>0</v>
      </c>
      <c r="AC276" s="116">
        <f t="shared" si="57"/>
        <v>0</v>
      </c>
      <c r="AD276" s="116">
        <f t="shared" si="58"/>
        <v>0</v>
      </c>
      <c r="AE276" s="116">
        <f t="shared" si="59"/>
        <v>0</v>
      </c>
    </row>
    <row r="277" spans="1:31">
      <c r="A277" s="131">
        <v>42526</v>
      </c>
      <c r="B277" s="131">
        <v>42556</v>
      </c>
      <c r="C277" s="123">
        <f t="shared" si="47"/>
        <v>30</v>
      </c>
      <c r="D277" s="132">
        <v>807.43</v>
      </c>
      <c r="E277" s="134"/>
      <c r="F277" s="135"/>
      <c r="G277" s="123"/>
      <c r="H277" s="123"/>
      <c r="I277" s="123"/>
      <c r="J277" s="123"/>
      <c r="K277" s="123">
        <v>26</v>
      </c>
      <c r="L277" s="123">
        <v>4</v>
      </c>
      <c r="M277" s="123"/>
      <c r="N277" s="123"/>
      <c r="O277" s="123"/>
      <c r="P277" s="123"/>
      <c r="Q277" s="123"/>
      <c r="R277" s="133">
        <f t="shared" si="46"/>
        <v>0</v>
      </c>
      <c r="S277" s="133"/>
      <c r="T277" s="116">
        <f t="shared" si="48"/>
        <v>0</v>
      </c>
      <c r="U277" s="116">
        <f t="shared" si="49"/>
        <v>0</v>
      </c>
      <c r="V277" s="116">
        <f t="shared" si="50"/>
        <v>0</v>
      </c>
      <c r="W277" s="116">
        <f t="shared" si="51"/>
        <v>0</v>
      </c>
      <c r="X277" s="116">
        <f t="shared" si="52"/>
        <v>0</v>
      </c>
      <c r="Y277" s="116">
        <f t="shared" si="53"/>
        <v>6006.63</v>
      </c>
      <c r="Z277" s="116">
        <f t="shared" si="54"/>
        <v>1404.17</v>
      </c>
      <c r="AA277" s="116">
        <f t="shared" si="55"/>
        <v>0</v>
      </c>
      <c r="AB277" s="116">
        <f t="shared" si="56"/>
        <v>0</v>
      </c>
      <c r="AC277" s="116">
        <f t="shared" si="57"/>
        <v>0</v>
      </c>
      <c r="AD277" s="116">
        <f t="shared" si="58"/>
        <v>0</v>
      </c>
      <c r="AE277" s="116">
        <f t="shared" si="59"/>
        <v>0</v>
      </c>
    </row>
    <row r="278" spans="1:31">
      <c r="A278" s="131">
        <v>42524</v>
      </c>
      <c r="B278" s="131">
        <v>42554</v>
      </c>
      <c r="C278" s="123">
        <f t="shared" si="47"/>
        <v>30</v>
      </c>
      <c r="D278" s="132">
        <v>527.54</v>
      </c>
      <c r="E278" s="134"/>
      <c r="F278" s="135"/>
      <c r="G278" s="123"/>
      <c r="H278" s="123"/>
      <c r="I278" s="123"/>
      <c r="J278" s="123"/>
      <c r="K278" s="123">
        <v>28</v>
      </c>
      <c r="L278" s="123">
        <v>2</v>
      </c>
      <c r="M278" s="123"/>
      <c r="N278" s="123"/>
      <c r="O278" s="123"/>
      <c r="P278" s="123"/>
      <c r="Q278" s="123"/>
      <c r="R278" s="133">
        <f t="shared" si="46"/>
        <v>0</v>
      </c>
      <c r="S278" s="133"/>
      <c r="T278" s="116">
        <f t="shared" si="48"/>
        <v>0</v>
      </c>
      <c r="U278" s="116">
        <f t="shared" si="49"/>
        <v>0</v>
      </c>
      <c r="V278" s="116">
        <f t="shared" si="50"/>
        <v>0</v>
      </c>
      <c r="W278" s="116">
        <f t="shared" si="51"/>
        <v>0</v>
      </c>
      <c r="X278" s="116">
        <f t="shared" si="52"/>
        <v>0</v>
      </c>
      <c r="Y278" s="116">
        <f t="shared" si="53"/>
        <v>4226.3599999999997</v>
      </c>
      <c r="Z278" s="116">
        <f t="shared" si="54"/>
        <v>458.71</v>
      </c>
      <c r="AA278" s="116">
        <f t="shared" si="55"/>
        <v>0</v>
      </c>
      <c r="AB278" s="116">
        <f t="shared" si="56"/>
        <v>0</v>
      </c>
      <c r="AC278" s="116">
        <f t="shared" si="57"/>
        <v>0</v>
      </c>
      <c r="AD278" s="116">
        <f t="shared" si="58"/>
        <v>0</v>
      </c>
      <c r="AE278" s="116">
        <f t="shared" si="59"/>
        <v>0</v>
      </c>
    </row>
    <row r="279" spans="1:31">
      <c r="A279" s="131">
        <v>42529</v>
      </c>
      <c r="B279" s="131">
        <v>42559</v>
      </c>
      <c r="C279" s="123">
        <f t="shared" si="47"/>
        <v>30</v>
      </c>
      <c r="D279" s="132">
        <v>628.41</v>
      </c>
      <c r="E279" s="134"/>
      <c r="F279" s="135"/>
      <c r="G279" s="123"/>
      <c r="H279" s="123"/>
      <c r="I279" s="123"/>
      <c r="J279" s="123"/>
      <c r="K279" s="123">
        <v>23</v>
      </c>
      <c r="L279" s="123">
        <v>7</v>
      </c>
      <c r="M279" s="123"/>
      <c r="N279" s="123"/>
      <c r="O279" s="123"/>
      <c r="P279" s="123"/>
      <c r="Q279" s="123"/>
      <c r="R279" s="133">
        <f t="shared" si="46"/>
        <v>0</v>
      </c>
      <c r="S279" s="133"/>
      <c r="T279" s="116">
        <f t="shared" si="48"/>
        <v>0</v>
      </c>
      <c r="U279" s="116">
        <f t="shared" si="49"/>
        <v>0</v>
      </c>
      <c r="V279" s="116">
        <f t="shared" si="50"/>
        <v>0</v>
      </c>
      <c r="W279" s="116">
        <f t="shared" si="51"/>
        <v>0</v>
      </c>
      <c r="X279" s="116">
        <f t="shared" si="52"/>
        <v>0</v>
      </c>
      <c r="Y279" s="116">
        <f t="shared" si="53"/>
        <v>4135.46</v>
      </c>
      <c r="Z279" s="116">
        <f t="shared" si="54"/>
        <v>1912.47</v>
      </c>
      <c r="AA279" s="116">
        <f t="shared" si="55"/>
        <v>0</v>
      </c>
      <c r="AB279" s="116">
        <f t="shared" si="56"/>
        <v>0</v>
      </c>
      <c r="AC279" s="116">
        <f t="shared" si="57"/>
        <v>0</v>
      </c>
      <c r="AD279" s="116">
        <f t="shared" si="58"/>
        <v>0</v>
      </c>
      <c r="AE279" s="116">
        <f t="shared" si="59"/>
        <v>0</v>
      </c>
    </row>
    <row r="280" spans="1:31">
      <c r="A280" s="131">
        <v>42529</v>
      </c>
      <c r="B280" s="131">
        <v>42559</v>
      </c>
      <c r="C280" s="123">
        <f t="shared" si="47"/>
        <v>30</v>
      </c>
      <c r="D280" s="132">
        <v>312.20999999999998</v>
      </c>
      <c r="E280" s="134"/>
      <c r="F280" s="135"/>
      <c r="G280" s="123"/>
      <c r="H280" s="123"/>
      <c r="I280" s="123"/>
      <c r="J280" s="123"/>
      <c r="K280" s="123">
        <v>23</v>
      </c>
      <c r="L280" s="123">
        <v>7</v>
      </c>
      <c r="M280" s="123"/>
      <c r="N280" s="123"/>
      <c r="O280" s="123"/>
      <c r="P280" s="123"/>
      <c r="Q280" s="123"/>
      <c r="R280" s="133">
        <f t="shared" si="46"/>
        <v>0</v>
      </c>
      <c r="S280" s="133"/>
      <c r="T280" s="116">
        <f t="shared" si="48"/>
        <v>0</v>
      </c>
      <c r="U280" s="116">
        <f t="shared" si="49"/>
        <v>0</v>
      </c>
      <c r="V280" s="116">
        <f t="shared" si="50"/>
        <v>0</v>
      </c>
      <c r="W280" s="116">
        <f t="shared" si="51"/>
        <v>0</v>
      </c>
      <c r="X280" s="116">
        <f t="shared" si="52"/>
        <v>0</v>
      </c>
      <c r="Y280" s="116">
        <f t="shared" si="53"/>
        <v>2054.6</v>
      </c>
      <c r="Z280" s="116">
        <f t="shared" si="54"/>
        <v>950.16</v>
      </c>
      <c r="AA280" s="116">
        <f t="shared" si="55"/>
        <v>0</v>
      </c>
      <c r="AB280" s="116">
        <f t="shared" si="56"/>
        <v>0</v>
      </c>
      <c r="AC280" s="116">
        <f t="shared" si="57"/>
        <v>0</v>
      </c>
      <c r="AD280" s="116">
        <f t="shared" si="58"/>
        <v>0</v>
      </c>
      <c r="AE280" s="116">
        <f t="shared" si="59"/>
        <v>0</v>
      </c>
    </row>
    <row r="281" spans="1:31">
      <c r="A281" s="131">
        <v>42529</v>
      </c>
      <c r="B281" s="131">
        <v>42559</v>
      </c>
      <c r="C281" s="123">
        <f t="shared" si="47"/>
        <v>30</v>
      </c>
      <c r="D281" s="132">
        <v>413.49</v>
      </c>
      <c r="E281" s="134"/>
      <c r="F281" s="135"/>
      <c r="G281" s="123"/>
      <c r="H281" s="123"/>
      <c r="I281" s="123"/>
      <c r="J281" s="123"/>
      <c r="K281" s="123">
        <v>23</v>
      </c>
      <c r="L281" s="123">
        <v>7</v>
      </c>
      <c r="M281" s="123"/>
      <c r="N281" s="123"/>
      <c r="O281" s="123"/>
      <c r="P281" s="123"/>
      <c r="Q281" s="123"/>
      <c r="R281" s="133">
        <f t="shared" si="46"/>
        <v>0</v>
      </c>
      <c r="S281" s="133"/>
      <c r="T281" s="116">
        <f t="shared" si="48"/>
        <v>0</v>
      </c>
      <c r="U281" s="116">
        <f t="shared" si="49"/>
        <v>0</v>
      </c>
      <c r="V281" s="116">
        <f t="shared" si="50"/>
        <v>0</v>
      </c>
      <c r="W281" s="116">
        <f t="shared" si="51"/>
        <v>0</v>
      </c>
      <c r="X281" s="116">
        <f t="shared" si="52"/>
        <v>0</v>
      </c>
      <c r="Y281" s="116">
        <f t="shared" si="53"/>
        <v>2721.11</v>
      </c>
      <c r="Z281" s="116">
        <f t="shared" si="54"/>
        <v>1258.3900000000001</v>
      </c>
      <c r="AA281" s="116">
        <f t="shared" si="55"/>
        <v>0</v>
      </c>
      <c r="AB281" s="116">
        <f t="shared" si="56"/>
        <v>0</v>
      </c>
      <c r="AC281" s="116">
        <f t="shared" si="57"/>
        <v>0</v>
      </c>
      <c r="AD281" s="116">
        <f t="shared" si="58"/>
        <v>0</v>
      </c>
      <c r="AE281" s="116">
        <f t="shared" si="59"/>
        <v>0</v>
      </c>
    </row>
    <row r="282" spans="1:31">
      <c r="A282" s="131">
        <v>42529</v>
      </c>
      <c r="B282" s="131">
        <v>42559</v>
      </c>
      <c r="C282" s="123">
        <f t="shared" si="47"/>
        <v>30</v>
      </c>
      <c r="D282" s="132">
        <v>384.54</v>
      </c>
      <c r="E282" s="134"/>
      <c r="F282" s="135"/>
      <c r="G282" s="123"/>
      <c r="H282" s="123"/>
      <c r="I282" s="123"/>
      <c r="J282" s="123"/>
      <c r="K282" s="123">
        <v>23</v>
      </c>
      <c r="L282" s="123">
        <v>7</v>
      </c>
      <c r="M282" s="123"/>
      <c r="N282" s="123"/>
      <c r="O282" s="123"/>
      <c r="P282" s="123"/>
      <c r="Q282" s="123"/>
      <c r="R282" s="133">
        <f t="shared" si="46"/>
        <v>0</v>
      </c>
      <c r="S282" s="133"/>
      <c r="T282" s="116">
        <f t="shared" si="48"/>
        <v>0</v>
      </c>
      <c r="U282" s="116">
        <f t="shared" si="49"/>
        <v>0</v>
      </c>
      <c r="V282" s="116">
        <f t="shared" si="50"/>
        <v>0</v>
      </c>
      <c r="W282" s="116">
        <f t="shared" si="51"/>
        <v>0</v>
      </c>
      <c r="X282" s="116">
        <f t="shared" si="52"/>
        <v>0</v>
      </c>
      <c r="Y282" s="116">
        <f t="shared" si="53"/>
        <v>2530.59</v>
      </c>
      <c r="Z282" s="116">
        <f t="shared" si="54"/>
        <v>1170.29</v>
      </c>
      <c r="AA282" s="116">
        <f t="shared" si="55"/>
        <v>0</v>
      </c>
      <c r="AB282" s="116">
        <f t="shared" si="56"/>
        <v>0</v>
      </c>
      <c r="AC282" s="116">
        <f t="shared" si="57"/>
        <v>0</v>
      </c>
      <c r="AD282" s="116">
        <f t="shared" si="58"/>
        <v>0</v>
      </c>
      <c r="AE282" s="116">
        <f t="shared" si="59"/>
        <v>0</v>
      </c>
    </row>
    <row r="283" spans="1:31">
      <c r="A283" s="131">
        <v>42512</v>
      </c>
      <c r="B283" s="131">
        <v>42547</v>
      </c>
      <c r="C283" s="123">
        <f t="shared" si="47"/>
        <v>35</v>
      </c>
      <c r="D283" s="132">
        <v>32.51</v>
      </c>
      <c r="E283" s="134"/>
      <c r="F283" s="135"/>
      <c r="G283" s="123"/>
      <c r="H283" s="123"/>
      <c r="I283" s="123"/>
      <c r="J283" s="123">
        <v>10</v>
      </c>
      <c r="K283" s="123">
        <v>25</v>
      </c>
      <c r="L283" s="123"/>
      <c r="M283" s="123"/>
      <c r="N283" s="123"/>
      <c r="O283" s="123"/>
      <c r="P283" s="123"/>
      <c r="Q283" s="123"/>
      <c r="R283" s="133">
        <f t="shared" si="46"/>
        <v>0</v>
      </c>
      <c r="S283" s="133"/>
      <c r="T283" s="116">
        <f t="shared" si="48"/>
        <v>0</v>
      </c>
      <c r="U283" s="116">
        <f t="shared" si="49"/>
        <v>0</v>
      </c>
      <c r="V283" s="116">
        <f t="shared" si="50"/>
        <v>0</v>
      </c>
      <c r="W283" s="116">
        <f t="shared" si="51"/>
        <v>0</v>
      </c>
      <c r="X283" s="116">
        <f>287.81-Y283</f>
        <v>82.22999999999999</v>
      </c>
      <c r="Y283" s="116">
        <v>205.58</v>
      </c>
      <c r="Z283" s="116">
        <f t="shared" si="54"/>
        <v>0</v>
      </c>
      <c r="AA283" s="116">
        <f t="shared" si="55"/>
        <v>0</v>
      </c>
      <c r="AB283" s="116">
        <f t="shared" si="56"/>
        <v>0</v>
      </c>
      <c r="AC283" s="116">
        <f t="shared" si="57"/>
        <v>0</v>
      </c>
      <c r="AD283" s="116">
        <f t="shared" si="58"/>
        <v>0</v>
      </c>
      <c r="AE283" s="116">
        <f t="shared" si="59"/>
        <v>0</v>
      </c>
    </row>
    <row r="284" spans="1:31">
      <c r="A284" s="131">
        <v>42533</v>
      </c>
      <c r="B284" s="131">
        <v>42563</v>
      </c>
      <c r="C284" s="123">
        <f t="shared" si="47"/>
        <v>30</v>
      </c>
      <c r="D284" s="132">
        <v>880.06</v>
      </c>
      <c r="E284" s="134"/>
      <c r="F284" s="135"/>
      <c r="G284" s="123"/>
      <c r="H284" s="123"/>
      <c r="I284" s="123"/>
      <c r="J284" s="123"/>
      <c r="K284" s="123">
        <v>19</v>
      </c>
      <c r="L284" s="123">
        <v>11</v>
      </c>
      <c r="M284" s="123"/>
      <c r="N284" s="123"/>
      <c r="O284" s="123"/>
      <c r="P284" s="123"/>
      <c r="Q284" s="123"/>
      <c r="R284" s="133">
        <f t="shared" si="46"/>
        <v>0</v>
      </c>
      <c r="S284" s="133"/>
      <c r="T284" s="116">
        <f t="shared" si="48"/>
        <v>0</v>
      </c>
      <c r="U284" s="116">
        <f t="shared" si="49"/>
        <v>0</v>
      </c>
      <c r="V284" s="116">
        <f t="shared" si="50"/>
        <v>0</v>
      </c>
      <c r="W284" s="116">
        <f t="shared" si="51"/>
        <v>0</v>
      </c>
      <c r="X284" s="116">
        <f t="shared" ref="X284:X349" si="60">ROUND(($D284*$J284/$C284)/$C$10,2)</f>
        <v>0</v>
      </c>
      <c r="Y284" s="116">
        <f t="shared" ref="Y284:Y349" si="61">ROUND(($D284*$K284/$C284)/$C$11,2)</f>
        <v>4784.3</v>
      </c>
      <c r="Z284" s="116">
        <f t="shared" si="54"/>
        <v>4208.8</v>
      </c>
      <c r="AA284" s="116">
        <f t="shared" si="55"/>
        <v>0</v>
      </c>
      <c r="AB284" s="116">
        <f t="shared" si="56"/>
        <v>0</v>
      </c>
      <c r="AC284" s="116">
        <f t="shared" si="57"/>
        <v>0</v>
      </c>
      <c r="AD284" s="116">
        <f t="shared" si="58"/>
        <v>0</v>
      </c>
      <c r="AE284" s="116">
        <f t="shared" si="59"/>
        <v>0</v>
      </c>
    </row>
    <row r="285" spans="1:31">
      <c r="A285" s="131">
        <v>42533</v>
      </c>
      <c r="B285" s="131">
        <v>42563</v>
      </c>
      <c r="C285" s="123">
        <f t="shared" si="47"/>
        <v>30</v>
      </c>
      <c r="D285" s="132">
        <v>1446.63</v>
      </c>
      <c r="E285" s="134"/>
      <c r="F285" s="135"/>
      <c r="G285" s="123"/>
      <c r="H285" s="123"/>
      <c r="I285" s="123"/>
      <c r="J285" s="123"/>
      <c r="K285" s="123">
        <v>19</v>
      </c>
      <c r="L285" s="123">
        <v>11</v>
      </c>
      <c r="M285" s="123"/>
      <c r="N285" s="123"/>
      <c r="O285" s="123"/>
      <c r="P285" s="123"/>
      <c r="Q285" s="123"/>
      <c r="R285" s="133">
        <f t="shared" ref="R285:R350" si="62">C285-SUM(F285:Q285)</f>
        <v>0</v>
      </c>
      <c r="S285" s="133"/>
      <c r="T285" s="116">
        <f t="shared" si="48"/>
        <v>0</v>
      </c>
      <c r="U285" s="116">
        <f t="shared" si="49"/>
        <v>0</v>
      </c>
      <c r="V285" s="116">
        <f t="shared" si="50"/>
        <v>0</v>
      </c>
      <c r="W285" s="116">
        <f t="shared" si="51"/>
        <v>0</v>
      </c>
      <c r="X285" s="116">
        <f t="shared" si="60"/>
        <v>0</v>
      </c>
      <c r="Y285" s="116">
        <f t="shared" si="61"/>
        <v>7864.37</v>
      </c>
      <c r="Z285" s="116">
        <f t="shared" si="54"/>
        <v>6918.36</v>
      </c>
      <c r="AA285" s="116">
        <f t="shared" si="55"/>
        <v>0</v>
      </c>
      <c r="AB285" s="116">
        <f t="shared" si="56"/>
        <v>0</v>
      </c>
      <c r="AC285" s="116">
        <f t="shared" si="57"/>
        <v>0</v>
      </c>
      <c r="AD285" s="116">
        <f t="shared" si="58"/>
        <v>0</v>
      </c>
      <c r="AE285" s="116">
        <f t="shared" si="59"/>
        <v>0</v>
      </c>
    </row>
    <row r="286" spans="1:31" ht="15.75" thickBot="1">
      <c r="A286" s="131">
        <v>42533</v>
      </c>
      <c r="B286" s="131">
        <v>42563</v>
      </c>
      <c r="C286" s="123">
        <f t="shared" si="47"/>
        <v>30</v>
      </c>
      <c r="D286" s="132">
        <v>168.19</v>
      </c>
      <c r="E286" s="134"/>
      <c r="F286" s="135"/>
      <c r="G286" s="123"/>
      <c r="H286" s="123"/>
      <c r="I286" s="123"/>
      <c r="J286" s="123"/>
      <c r="K286" s="123">
        <v>19</v>
      </c>
      <c r="L286" s="123">
        <v>11</v>
      </c>
      <c r="M286" s="123"/>
      <c r="N286" s="123"/>
      <c r="O286" s="123"/>
      <c r="P286" s="123"/>
      <c r="Q286" s="123"/>
      <c r="R286" s="133">
        <f t="shared" si="62"/>
        <v>0</v>
      </c>
      <c r="S286" s="133"/>
      <c r="T286" s="116">
        <f t="shared" si="48"/>
        <v>0</v>
      </c>
      <c r="U286" s="116">
        <f t="shared" si="49"/>
        <v>0</v>
      </c>
      <c r="V286" s="116">
        <f t="shared" si="50"/>
        <v>0</v>
      </c>
      <c r="W286" s="116">
        <f t="shared" si="51"/>
        <v>0</v>
      </c>
      <c r="X286" s="116">
        <f t="shared" si="60"/>
        <v>0</v>
      </c>
      <c r="Y286" s="116">
        <f t="shared" si="61"/>
        <v>914.34</v>
      </c>
      <c r="Z286" s="116">
        <f t="shared" si="54"/>
        <v>804.35</v>
      </c>
      <c r="AA286" s="116">
        <f t="shared" si="55"/>
        <v>0</v>
      </c>
      <c r="AB286" s="116">
        <f t="shared" si="56"/>
        <v>0</v>
      </c>
      <c r="AC286" s="116">
        <f t="shared" si="57"/>
        <v>0</v>
      </c>
      <c r="AD286" s="116">
        <f t="shared" si="58"/>
        <v>0</v>
      </c>
      <c r="AE286" s="116">
        <f t="shared" si="59"/>
        <v>0</v>
      </c>
    </row>
    <row r="287" spans="1:31" ht="15.75" thickBot="1">
      <c r="A287" s="194" t="s">
        <v>42</v>
      </c>
      <c r="B287" s="195"/>
      <c r="C287" s="195"/>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c r="AA287" s="195"/>
      <c r="AB287" s="195"/>
      <c r="AC287" s="195"/>
      <c r="AD287" s="195"/>
      <c r="AE287" s="196"/>
    </row>
    <row r="288" spans="1:31">
      <c r="A288" s="131">
        <v>42540</v>
      </c>
      <c r="B288" s="131">
        <v>42558</v>
      </c>
      <c r="C288" s="123">
        <f t="shared" si="47"/>
        <v>18</v>
      </c>
      <c r="D288" s="132">
        <v>64.2</v>
      </c>
      <c r="E288" s="134"/>
      <c r="F288" s="135"/>
      <c r="G288" s="123"/>
      <c r="H288" s="123"/>
      <c r="I288" s="123"/>
      <c r="J288" s="123"/>
      <c r="K288" s="123">
        <v>12</v>
      </c>
      <c r="L288" s="123">
        <v>6</v>
      </c>
      <c r="M288" s="123"/>
      <c r="N288" s="123"/>
      <c r="O288" s="123"/>
      <c r="P288" s="123"/>
      <c r="Q288" s="123"/>
      <c r="R288" s="133">
        <f t="shared" si="62"/>
        <v>0</v>
      </c>
      <c r="S288" s="133"/>
      <c r="T288" s="116">
        <f t="shared" si="48"/>
        <v>0</v>
      </c>
      <c r="U288" s="116">
        <f t="shared" si="49"/>
        <v>0</v>
      </c>
      <c r="V288" s="116">
        <f t="shared" si="50"/>
        <v>0</v>
      </c>
      <c r="W288" s="116">
        <f t="shared" si="51"/>
        <v>0</v>
      </c>
      <c r="X288" s="116">
        <f t="shared" si="60"/>
        <v>0</v>
      </c>
      <c r="Y288" s="116">
        <f t="shared" si="61"/>
        <v>367.38</v>
      </c>
      <c r="Z288" s="116">
        <f t="shared" si="54"/>
        <v>279.12</v>
      </c>
      <c r="AA288" s="116">
        <f t="shared" si="55"/>
        <v>0</v>
      </c>
      <c r="AB288" s="116">
        <f t="shared" si="56"/>
        <v>0</v>
      </c>
      <c r="AC288" s="116">
        <f t="shared" si="57"/>
        <v>0</v>
      </c>
      <c r="AD288" s="116">
        <f t="shared" si="58"/>
        <v>0</v>
      </c>
      <c r="AE288" s="116">
        <f t="shared" si="59"/>
        <v>0</v>
      </c>
    </row>
    <row r="289" spans="1:31">
      <c r="A289" s="131">
        <v>42536</v>
      </c>
      <c r="B289" s="131">
        <v>42559</v>
      </c>
      <c r="C289" s="123">
        <f t="shared" si="47"/>
        <v>23</v>
      </c>
      <c r="D289" s="132">
        <v>27.98</v>
      </c>
      <c r="E289" s="134"/>
      <c r="F289" s="135"/>
      <c r="G289" s="123"/>
      <c r="H289" s="123"/>
      <c r="I289" s="123"/>
      <c r="J289" s="123"/>
      <c r="K289" s="123">
        <v>16</v>
      </c>
      <c r="L289" s="123">
        <v>7</v>
      </c>
      <c r="M289" s="123"/>
      <c r="N289" s="123"/>
      <c r="O289" s="123"/>
      <c r="P289" s="123"/>
      <c r="Q289" s="123"/>
      <c r="R289" s="133">
        <f t="shared" si="62"/>
        <v>0</v>
      </c>
      <c r="S289" s="133"/>
      <c r="T289" s="116">
        <f t="shared" si="48"/>
        <v>0</v>
      </c>
      <c r="U289" s="116">
        <f t="shared" si="49"/>
        <v>0</v>
      </c>
      <c r="V289" s="116">
        <f t="shared" si="50"/>
        <v>0</v>
      </c>
      <c r="W289" s="116">
        <f t="shared" si="51"/>
        <v>0</v>
      </c>
      <c r="X289" s="116">
        <f t="shared" si="60"/>
        <v>0</v>
      </c>
      <c r="Y289" s="116">
        <f t="shared" si="61"/>
        <v>167.08</v>
      </c>
      <c r="Z289" s="116">
        <f t="shared" si="54"/>
        <v>111.07</v>
      </c>
      <c r="AA289" s="116">
        <f t="shared" si="55"/>
        <v>0</v>
      </c>
      <c r="AB289" s="116">
        <f t="shared" si="56"/>
        <v>0</v>
      </c>
      <c r="AC289" s="116">
        <f t="shared" si="57"/>
        <v>0</v>
      </c>
      <c r="AD289" s="116">
        <f t="shared" si="58"/>
        <v>0</v>
      </c>
      <c r="AE289" s="116">
        <f t="shared" si="59"/>
        <v>0</v>
      </c>
    </row>
    <row r="290" spans="1:31">
      <c r="A290" s="131">
        <v>42540</v>
      </c>
      <c r="B290" s="131">
        <v>42570</v>
      </c>
      <c r="C290" s="123">
        <f t="shared" si="47"/>
        <v>30</v>
      </c>
      <c r="D290" s="132">
        <v>602.94000000000005</v>
      </c>
      <c r="E290" s="134"/>
      <c r="F290" s="135"/>
      <c r="G290" s="123"/>
      <c r="H290" s="123"/>
      <c r="I290" s="123"/>
      <c r="J290" s="123"/>
      <c r="K290" s="123">
        <v>12</v>
      </c>
      <c r="L290" s="123">
        <v>18</v>
      </c>
      <c r="M290" s="123"/>
      <c r="N290" s="123"/>
      <c r="O290" s="123"/>
      <c r="P290" s="123"/>
      <c r="Q290" s="123"/>
      <c r="R290" s="133">
        <f t="shared" si="62"/>
        <v>0</v>
      </c>
      <c r="S290" s="133"/>
      <c r="T290" s="116">
        <f t="shared" si="48"/>
        <v>0</v>
      </c>
      <c r="U290" s="116">
        <f t="shared" si="49"/>
        <v>0</v>
      </c>
      <c r="V290" s="116">
        <f t="shared" si="50"/>
        <v>0</v>
      </c>
      <c r="W290" s="116">
        <f t="shared" si="51"/>
        <v>0</v>
      </c>
      <c r="X290" s="116">
        <f t="shared" si="60"/>
        <v>0</v>
      </c>
      <c r="Y290" s="116">
        <f t="shared" si="61"/>
        <v>2070.1799999999998</v>
      </c>
      <c r="Z290" s="116">
        <f t="shared" si="54"/>
        <v>4718.46</v>
      </c>
      <c r="AA290" s="116">
        <f t="shared" si="55"/>
        <v>0</v>
      </c>
      <c r="AB290" s="116">
        <f t="shared" si="56"/>
        <v>0</v>
      </c>
      <c r="AC290" s="116">
        <f t="shared" si="57"/>
        <v>0</v>
      </c>
      <c r="AD290" s="116">
        <f t="shared" si="58"/>
        <v>0</v>
      </c>
      <c r="AE290" s="116">
        <f t="shared" si="59"/>
        <v>0</v>
      </c>
    </row>
    <row r="291" spans="1:31">
      <c r="A291" s="131">
        <v>42540</v>
      </c>
      <c r="B291" s="131">
        <v>42570</v>
      </c>
      <c r="C291" s="123">
        <f t="shared" si="47"/>
        <v>30</v>
      </c>
      <c r="D291" s="132">
        <v>1517.72</v>
      </c>
      <c r="E291" s="134"/>
      <c r="F291" s="135"/>
      <c r="G291" s="123"/>
      <c r="H291" s="123"/>
      <c r="I291" s="123"/>
      <c r="J291" s="123"/>
      <c r="K291" s="123">
        <v>12</v>
      </c>
      <c r="L291" s="123">
        <v>18</v>
      </c>
      <c r="M291" s="123"/>
      <c r="N291" s="123"/>
      <c r="O291" s="123"/>
      <c r="P291" s="123"/>
      <c r="Q291" s="123"/>
      <c r="R291" s="133">
        <f t="shared" si="62"/>
        <v>0</v>
      </c>
      <c r="S291" s="133"/>
      <c r="T291" s="116">
        <f t="shared" si="48"/>
        <v>0</v>
      </c>
      <c r="U291" s="116">
        <f t="shared" si="49"/>
        <v>0</v>
      </c>
      <c r="V291" s="116">
        <f t="shared" si="50"/>
        <v>0</v>
      </c>
      <c r="W291" s="116">
        <f t="shared" si="51"/>
        <v>0</v>
      </c>
      <c r="X291" s="116">
        <f t="shared" si="60"/>
        <v>0</v>
      </c>
      <c r="Y291" s="116">
        <f t="shared" si="61"/>
        <v>5211.0600000000004</v>
      </c>
      <c r="Z291" s="116">
        <f t="shared" si="54"/>
        <v>11877.29</v>
      </c>
      <c r="AA291" s="116">
        <f t="shared" si="55"/>
        <v>0</v>
      </c>
      <c r="AB291" s="116">
        <f t="shared" si="56"/>
        <v>0</v>
      </c>
      <c r="AC291" s="116">
        <f t="shared" si="57"/>
        <v>0</v>
      </c>
      <c r="AD291" s="116">
        <f t="shared" si="58"/>
        <v>0</v>
      </c>
      <c r="AE291" s="116">
        <f t="shared" si="59"/>
        <v>0</v>
      </c>
    </row>
    <row r="292" spans="1:31">
      <c r="A292" s="131">
        <v>42536</v>
      </c>
      <c r="B292" s="131">
        <v>42566</v>
      </c>
      <c r="C292" s="123">
        <f t="shared" si="47"/>
        <v>30</v>
      </c>
      <c r="D292" s="132">
        <v>7690.22</v>
      </c>
      <c r="E292" s="134"/>
      <c r="F292" s="135"/>
      <c r="G292" s="123"/>
      <c r="H292" s="123"/>
      <c r="I292" s="123"/>
      <c r="J292" s="123"/>
      <c r="K292" s="123">
        <v>16</v>
      </c>
      <c r="L292" s="123">
        <v>14</v>
      </c>
      <c r="M292" s="123"/>
      <c r="N292" s="123"/>
      <c r="O292" s="123"/>
      <c r="P292" s="123"/>
      <c r="Q292" s="123"/>
      <c r="R292" s="133">
        <f t="shared" si="62"/>
        <v>0</v>
      </c>
      <c r="S292" s="133"/>
      <c r="T292" s="116">
        <f t="shared" si="48"/>
        <v>0</v>
      </c>
      <c r="U292" s="116">
        <f t="shared" si="49"/>
        <v>0</v>
      </c>
      <c r="V292" s="116">
        <f t="shared" si="50"/>
        <v>0</v>
      </c>
      <c r="W292" s="116">
        <f t="shared" si="51"/>
        <v>0</v>
      </c>
      <c r="X292" s="116">
        <f t="shared" si="60"/>
        <v>0</v>
      </c>
      <c r="Y292" s="116">
        <v>41855.83</v>
      </c>
      <c r="Z292" s="116">
        <v>36623.85</v>
      </c>
      <c r="AA292" s="116">
        <f t="shared" si="55"/>
        <v>0</v>
      </c>
      <c r="AB292" s="116">
        <f t="shared" si="56"/>
        <v>0</v>
      </c>
      <c r="AC292" s="116">
        <f t="shared" si="57"/>
        <v>0</v>
      </c>
      <c r="AD292" s="116">
        <f t="shared" si="58"/>
        <v>0</v>
      </c>
      <c r="AE292" s="116">
        <f t="shared" si="59"/>
        <v>0</v>
      </c>
    </row>
    <row r="293" spans="1:31">
      <c r="A293" s="131">
        <v>42536</v>
      </c>
      <c r="B293" s="131">
        <v>42566</v>
      </c>
      <c r="C293" s="123">
        <f t="shared" si="47"/>
        <v>30</v>
      </c>
      <c r="D293" s="132">
        <v>2921.45</v>
      </c>
      <c r="E293" s="134"/>
      <c r="F293" s="135"/>
      <c r="G293" s="123"/>
      <c r="H293" s="123"/>
      <c r="I293" s="123"/>
      <c r="J293" s="123"/>
      <c r="K293" s="123">
        <v>16</v>
      </c>
      <c r="L293" s="123">
        <v>14</v>
      </c>
      <c r="M293" s="123"/>
      <c r="N293" s="123"/>
      <c r="O293" s="123"/>
      <c r="P293" s="123"/>
      <c r="Q293" s="123"/>
      <c r="R293" s="133">
        <f t="shared" si="62"/>
        <v>0</v>
      </c>
      <c r="S293" s="133"/>
      <c r="T293" s="116">
        <f t="shared" si="48"/>
        <v>0</v>
      </c>
      <c r="U293" s="116">
        <f t="shared" si="49"/>
        <v>0</v>
      </c>
      <c r="V293" s="116">
        <f t="shared" si="50"/>
        <v>0</v>
      </c>
      <c r="W293" s="116">
        <f t="shared" si="51"/>
        <v>0</v>
      </c>
      <c r="X293" s="116">
        <f t="shared" si="60"/>
        <v>0</v>
      </c>
      <c r="Y293" s="116">
        <v>15900.67</v>
      </c>
      <c r="Z293" s="116">
        <v>13913.09</v>
      </c>
      <c r="AA293" s="116">
        <f t="shared" si="55"/>
        <v>0</v>
      </c>
      <c r="AB293" s="116">
        <f t="shared" si="56"/>
        <v>0</v>
      </c>
      <c r="AC293" s="116">
        <f t="shared" si="57"/>
        <v>0</v>
      </c>
      <c r="AD293" s="116">
        <f t="shared" si="58"/>
        <v>0</v>
      </c>
      <c r="AE293" s="116">
        <f t="shared" si="59"/>
        <v>0</v>
      </c>
    </row>
    <row r="294" spans="1:31">
      <c r="A294" s="131">
        <v>42540</v>
      </c>
      <c r="B294" s="131">
        <v>42570</v>
      </c>
      <c r="C294" s="123">
        <f t="shared" si="47"/>
        <v>30</v>
      </c>
      <c r="D294" s="132">
        <v>58.17</v>
      </c>
      <c r="E294" s="134"/>
      <c r="F294" s="135"/>
      <c r="G294" s="123"/>
      <c r="H294" s="123"/>
      <c r="I294" s="123"/>
      <c r="J294" s="123"/>
      <c r="K294" s="123">
        <v>12</v>
      </c>
      <c r="L294" s="123">
        <v>18</v>
      </c>
      <c r="M294" s="123"/>
      <c r="N294" s="123"/>
      <c r="O294" s="123"/>
      <c r="P294" s="123"/>
      <c r="Q294" s="123"/>
      <c r="R294" s="133">
        <f t="shared" si="62"/>
        <v>0</v>
      </c>
      <c r="S294" s="133"/>
      <c r="T294" s="116">
        <f t="shared" si="48"/>
        <v>0</v>
      </c>
      <c r="U294" s="116">
        <f t="shared" si="49"/>
        <v>0</v>
      </c>
      <c r="V294" s="116">
        <f t="shared" si="50"/>
        <v>0</v>
      </c>
      <c r="W294" s="116">
        <f t="shared" si="51"/>
        <v>0</v>
      </c>
      <c r="X294" s="116">
        <f t="shared" si="60"/>
        <v>0</v>
      </c>
      <c r="Y294" s="116">
        <f t="shared" si="61"/>
        <v>199.73</v>
      </c>
      <c r="Z294" s="116">
        <f t="shared" si="54"/>
        <v>455.22</v>
      </c>
      <c r="AA294" s="116">
        <f t="shared" si="55"/>
        <v>0</v>
      </c>
      <c r="AB294" s="116">
        <f t="shared" si="56"/>
        <v>0</v>
      </c>
      <c r="AC294" s="116">
        <f t="shared" si="57"/>
        <v>0</v>
      </c>
      <c r="AD294" s="116">
        <f t="shared" si="58"/>
        <v>0</v>
      </c>
      <c r="AE294" s="116">
        <f t="shared" si="59"/>
        <v>0</v>
      </c>
    </row>
    <row r="295" spans="1:31">
      <c r="A295" s="131">
        <v>42540</v>
      </c>
      <c r="B295" s="131">
        <v>42570</v>
      </c>
      <c r="C295" s="123">
        <f t="shared" si="47"/>
        <v>30</v>
      </c>
      <c r="D295" s="132">
        <v>631.93000000000006</v>
      </c>
      <c r="E295" s="134"/>
      <c r="F295" s="135"/>
      <c r="G295" s="123"/>
      <c r="H295" s="123"/>
      <c r="I295" s="123"/>
      <c r="J295" s="123"/>
      <c r="K295" s="123">
        <v>12</v>
      </c>
      <c r="L295" s="123">
        <v>18</v>
      </c>
      <c r="M295" s="123"/>
      <c r="N295" s="123"/>
      <c r="O295" s="123"/>
      <c r="P295" s="123"/>
      <c r="Q295" s="123"/>
      <c r="R295" s="133">
        <f t="shared" si="62"/>
        <v>0</v>
      </c>
      <c r="S295" s="133"/>
      <c r="T295" s="116">
        <f t="shared" si="48"/>
        <v>0</v>
      </c>
      <c r="U295" s="116">
        <f t="shared" si="49"/>
        <v>0</v>
      </c>
      <c r="V295" s="116">
        <f t="shared" si="50"/>
        <v>0</v>
      </c>
      <c r="W295" s="116">
        <f t="shared" si="51"/>
        <v>0</v>
      </c>
      <c r="X295" s="116">
        <f t="shared" si="60"/>
        <v>0</v>
      </c>
      <c r="Y295" s="116">
        <f t="shared" si="61"/>
        <v>2169.7199999999998</v>
      </c>
      <c r="Z295" s="116">
        <f t="shared" si="54"/>
        <v>4945.32</v>
      </c>
      <c r="AA295" s="116">
        <f t="shared" si="55"/>
        <v>0</v>
      </c>
      <c r="AB295" s="116">
        <f t="shared" si="56"/>
        <v>0</v>
      </c>
      <c r="AC295" s="116">
        <f t="shared" si="57"/>
        <v>0</v>
      </c>
      <c r="AD295" s="116">
        <f t="shared" si="58"/>
        <v>0</v>
      </c>
      <c r="AE295" s="116">
        <f t="shared" si="59"/>
        <v>0</v>
      </c>
    </row>
    <row r="296" spans="1:31">
      <c r="A296" s="131">
        <v>42536</v>
      </c>
      <c r="B296" s="131">
        <v>42566</v>
      </c>
      <c r="C296" s="123">
        <f t="shared" si="47"/>
        <v>30</v>
      </c>
      <c r="D296" s="132">
        <v>23417.57</v>
      </c>
      <c r="E296" s="134"/>
      <c r="F296" s="135"/>
      <c r="G296" s="123"/>
      <c r="H296" s="123"/>
      <c r="I296" s="123"/>
      <c r="J296" s="123"/>
      <c r="K296" s="123">
        <v>16</v>
      </c>
      <c r="L296" s="123">
        <v>14</v>
      </c>
      <c r="M296" s="123"/>
      <c r="N296" s="123"/>
      <c r="O296" s="123"/>
      <c r="P296" s="123"/>
      <c r="Q296" s="123"/>
      <c r="R296" s="133">
        <f t="shared" si="62"/>
        <v>0</v>
      </c>
      <c r="S296" s="133"/>
      <c r="T296" s="116">
        <f t="shared" si="48"/>
        <v>0</v>
      </c>
      <c r="U296" s="116">
        <f t="shared" si="49"/>
        <v>0</v>
      </c>
      <c r="V296" s="116">
        <f t="shared" si="50"/>
        <v>0</v>
      </c>
      <c r="W296" s="116">
        <f t="shared" si="51"/>
        <v>0</v>
      </c>
      <c r="X296" s="116">
        <f t="shared" si="60"/>
        <v>0</v>
      </c>
      <c r="Y296" s="116">
        <v>127455.63</v>
      </c>
      <c r="Z296" s="116">
        <v>111523.67</v>
      </c>
      <c r="AA296" s="116">
        <f t="shared" si="55"/>
        <v>0</v>
      </c>
      <c r="AB296" s="116">
        <f t="shared" si="56"/>
        <v>0</v>
      </c>
      <c r="AC296" s="116">
        <f t="shared" si="57"/>
        <v>0</v>
      </c>
      <c r="AD296" s="116">
        <f t="shared" si="58"/>
        <v>0</v>
      </c>
      <c r="AE296" s="116">
        <f t="shared" si="59"/>
        <v>0</v>
      </c>
    </row>
    <row r="297" spans="1:31">
      <c r="A297" s="131">
        <v>42522</v>
      </c>
      <c r="B297" s="131">
        <v>42552</v>
      </c>
      <c r="C297" s="123">
        <f t="shared" si="47"/>
        <v>30</v>
      </c>
      <c r="D297" s="132">
        <v>13309.12</v>
      </c>
      <c r="E297" s="134"/>
      <c r="F297" s="135"/>
      <c r="G297" s="123"/>
      <c r="H297" s="123"/>
      <c r="I297" s="123"/>
      <c r="J297" s="123"/>
      <c r="K297" s="123">
        <v>30</v>
      </c>
      <c r="L297" s="123"/>
      <c r="M297" s="123"/>
      <c r="N297" s="123"/>
      <c r="O297" s="123"/>
      <c r="P297" s="123"/>
      <c r="Q297" s="123"/>
      <c r="R297" s="133">
        <f t="shared" si="62"/>
        <v>0</v>
      </c>
      <c r="S297" s="133"/>
      <c r="T297" s="116">
        <f t="shared" si="48"/>
        <v>0</v>
      </c>
      <c r="U297" s="116">
        <f t="shared" si="49"/>
        <v>0</v>
      </c>
      <c r="V297" s="116">
        <f t="shared" si="50"/>
        <v>0</v>
      </c>
      <c r="W297" s="116">
        <f t="shared" si="51"/>
        <v>0</v>
      </c>
      <c r="X297" s="116">
        <f t="shared" si="60"/>
        <v>0</v>
      </c>
      <c r="Y297" s="116">
        <f t="shared" si="61"/>
        <v>114241.37</v>
      </c>
      <c r="Z297" s="116">
        <f t="shared" si="54"/>
        <v>0</v>
      </c>
      <c r="AA297" s="116">
        <f t="shared" si="55"/>
        <v>0</v>
      </c>
      <c r="AB297" s="116">
        <f t="shared" si="56"/>
        <v>0</v>
      </c>
      <c r="AC297" s="116">
        <f t="shared" si="57"/>
        <v>0</v>
      </c>
      <c r="AD297" s="116">
        <f t="shared" si="58"/>
        <v>0</v>
      </c>
      <c r="AE297" s="116">
        <f t="shared" si="59"/>
        <v>0</v>
      </c>
    </row>
    <row r="298" spans="1:31">
      <c r="A298" s="131">
        <v>42549</v>
      </c>
      <c r="B298" s="131">
        <v>42579</v>
      </c>
      <c r="C298" s="123">
        <f t="shared" si="47"/>
        <v>30</v>
      </c>
      <c r="D298" s="132">
        <v>1216.03</v>
      </c>
      <c r="E298" s="134"/>
      <c r="F298" s="135"/>
      <c r="G298" s="123"/>
      <c r="H298" s="123"/>
      <c r="I298" s="123"/>
      <c r="J298" s="123"/>
      <c r="K298" s="123">
        <v>3</v>
      </c>
      <c r="L298" s="123">
        <v>27</v>
      </c>
      <c r="M298" s="123"/>
      <c r="N298" s="123"/>
      <c r="O298" s="123"/>
      <c r="P298" s="123"/>
      <c r="Q298" s="123"/>
      <c r="R298" s="133">
        <f t="shared" si="62"/>
        <v>0</v>
      </c>
      <c r="S298" s="133"/>
      <c r="T298" s="116">
        <f t="shared" si="48"/>
        <v>0</v>
      </c>
      <c r="U298" s="116">
        <f t="shared" si="49"/>
        <v>0</v>
      </c>
      <c r="V298" s="116">
        <f t="shared" si="50"/>
        <v>0</v>
      </c>
      <c r="W298" s="116">
        <f t="shared" si="51"/>
        <v>0</v>
      </c>
      <c r="X298" s="116">
        <f t="shared" si="60"/>
        <v>0</v>
      </c>
      <c r="Y298" s="116">
        <f t="shared" si="61"/>
        <v>1043.8</v>
      </c>
      <c r="Z298" s="116">
        <f t="shared" si="54"/>
        <v>14274.51</v>
      </c>
      <c r="AA298" s="116">
        <f t="shared" si="55"/>
        <v>0</v>
      </c>
      <c r="AB298" s="116">
        <f t="shared" si="56"/>
        <v>0</v>
      </c>
      <c r="AC298" s="116">
        <f t="shared" si="57"/>
        <v>0</v>
      </c>
      <c r="AD298" s="116">
        <f t="shared" si="58"/>
        <v>0</v>
      </c>
      <c r="AE298" s="116">
        <f t="shared" si="59"/>
        <v>0</v>
      </c>
    </row>
    <row r="299" spans="1:31">
      <c r="A299" s="131">
        <v>42552</v>
      </c>
      <c r="B299" s="131">
        <v>42583</v>
      </c>
      <c r="C299" s="123">
        <f t="shared" si="47"/>
        <v>31</v>
      </c>
      <c r="D299" s="132">
        <v>201.72</v>
      </c>
      <c r="E299" s="134"/>
      <c r="F299" s="135"/>
      <c r="G299" s="123"/>
      <c r="H299" s="123"/>
      <c r="I299" s="123"/>
      <c r="J299" s="123"/>
      <c r="K299" s="123"/>
      <c r="L299" s="123">
        <v>31</v>
      </c>
      <c r="M299" s="123"/>
      <c r="N299" s="123"/>
      <c r="O299" s="123"/>
      <c r="P299" s="123"/>
      <c r="Q299" s="123"/>
      <c r="R299" s="133">
        <f t="shared" si="62"/>
        <v>0</v>
      </c>
      <c r="S299" s="133"/>
      <c r="T299" s="116">
        <f t="shared" si="48"/>
        <v>0</v>
      </c>
      <c r="U299" s="116">
        <f t="shared" si="49"/>
        <v>0</v>
      </c>
      <c r="V299" s="116">
        <f t="shared" si="50"/>
        <v>0</v>
      </c>
      <c r="W299" s="116">
        <f t="shared" si="51"/>
        <v>0</v>
      </c>
      <c r="X299" s="116">
        <f t="shared" si="60"/>
        <v>0</v>
      </c>
      <c r="Y299" s="116">
        <f t="shared" si="61"/>
        <v>0</v>
      </c>
      <c r="Z299" s="116">
        <f t="shared" si="54"/>
        <v>2631.02</v>
      </c>
      <c r="AA299" s="116">
        <f t="shared" si="55"/>
        <v>0</v>
      </c>
      <c r="AB299" s="116">
        <f t="shared" si="56"/>
        <v>0</v>
      </c>
      <c r="AC299" s="116">
        <f t="shared" si="57"/>
        <v>0</v>
      </c>
      <c r="AD299" s="116">
        <f t="shared" si="58"/>
        <v>0</v>
      </c>
      <c r="AE299" s="116">
        <f t="shared" si="59"/>
        <v>0</v>
      </c>
    </row>
    <row r="300" spans="1:31">
      <c r="A300" s="131">
        <v>42547</v>
      </c>
      <c r="B300" s="131">
        <v>42577</v>
      </c>
      <c r="C300" s="123">
        <f t="shared" si="47"/>
        <v>30</v>
      </c>
      <c r="D300" s="132">
        <v>1297.94</v>
      </c>
      <c r="E300" s="134"/>
      <c r="F300" s="135"/>
      <c r="G300" s="123"/>
      <c r="H300" s="123"/>
      <c r="I300" s="123"/>
      <c r="J300" s="123"/>
      <c r="K300" s="123">
        <v>5</v>
      </c>
      <c r="L300" s="123">
        <v>25</v>
      </c>
      <c r="M300" s="123"/>
      <c r="N300" s="123"/>
      <c r="O300" s="123"/>
      <c r="P300" s="123"/>
      <c r="Q300" s="123"/>
      <c r="R300" s="133">
        <f t="shared" si="62"/>
        <v>0</v>
      </c>
      <c r="S300" s="133"/>
      <c r="T300" s="116">
        <f t="shared" si="48"/>
        <v>0</v>
      </c>
      <c r="U300" s="116">
        <f t="shared" si="49"/>
        <v>0</v>
      </c>
      <c r="V300" s="116">
        <f t="shared" si="50"/>
        <v>0</v>
      </c>
      <c r="W300" s="116">
        <f t="shared" si="51"/>
        <v>0</v>
      </c>
      <c r="X300" s="116">
        <f t="shared" si="60"/>
        <v>0</v>
      </c>
      <c r="Y300" s="116">
        <f t="shared" si="61"/>
        <v>1856.85</v>
      </c>
      <c r="Z300" s="116">
        <f t="shared" si="54"/>
        <v>14107.43</v>
      </c>
      <c r="AA300" s="116">
        <f t="shared" si="55"/>
        <v>0</v>
      </c>
      <c r="AB300" s="116">
        <f t="shared" si="56"/>
        <v>0</v>
      </c>
      <c r="AC300" s="116">
        <f t="shared" si="57"/>
        <v>0</v>
      </c>
      <c r="AD300" s="116">
        <f t="shared" si="58"/>
        <v>0</v>
      </c>
      <c r="AE300" s="116">
        <f t="shared" si="59"/>
        <v>0</v>
      </c>
    </row>
    <row r="301" spans="1:31">
      <c r="A301" s="131">
        <v>42547</v>
      </c>
      <c r="B301" s="131">
        <v>42577</v>
      </c>
      <c r="C301" s="123">
        <f t="shared" si="47"/>
        <v>30</v>
      </c>
      <c r="D301" s="132">
        <v>1065.72</v>
      </c>
      <c r="E301" s="134"/>
      <c r="F301" s="135"/>
      <c r="G301" s="123"/>
      <c r="H301" s="123"/>
      <c r="I301" s="123"/>
      <c r="J301" s="123"/>
      <c r="K301" s="123">
        <v>5</v>
      </c>
      <c r="L301" s="123">
        <v>25</v>
      </c>
      <c r="M301" s="123"/>
      <c r="N301" s="123"/>
      <c r="O301" s="123"/>
      <c r="P301" s="123"/>
      <c r="Q301" s="123"/>
      <c r="R301" s="133">
        <f t="shared" si="62"/>
        <v>0</v>
      </c>
      <c r="S301" s="133"/>
      <c r="T301" s="116">
        <f t="shared" si="48"/>
        <v>0</v>
      </c>
      <c r="U301" s="116">
        <f t="shared" si="49"/>
        <v>0</v>
      </c>
      <c r="V301" s="116">
        <f t="shared" si="50"/>
        <v>0</v>
      </c>
      <c r="W301" s="116">
        <f t="shared" si="51"/>
        <v>0</v>
      </c>
      <c r="X301" s="116">
        <f t="shared" si="60"/>
        <v>0</v>
      </c>
      <c r="Y301" s="116">
        <f t="shared" si="61"/>
        <v>1524.64</v>
      </c>
      <c r="Z301" s="116">
        <f t="shared" si="54"/>
        <v>11583.41</v>
      </c>
      <c r="AA301" s="116">
        <f t="shared" si="55"/>
        <v>0</v>
      </c>
      <c r="AB301" s="116">
        <f t="shared" si="56"/>
        <v>0</v>
      </c>
      <c r="AC301" s="116">
        <f t="shared" si="57"/>
        <v>0</v>
      </c>
      <c r="AD301" s="116">
        <f t="shared" si="58"/>
        <v>0</v>
      </c>
      <c r="AE301" s="116">
        <f t="shared" si="59"/>
        <v>0</v>
      </c>
    </row>
    <row r="302" spans="1:31">
      <c r="A302" s="131">
        <v>42543</v>
      </c>
      <c r="B302" s="131">
        <v>42573</v>
      </c>
      <c r="C302" s="123">
        <f t="shared" si="47"/>
        <v>30</v>
      </c>
      <c r="D302" s="132">
        <v>217004.28</v>
      </c>
      <c r="E302" s="134"/>
      <c r="F302" s="135"/>
      <c r="G302" s="123"/>
      <c r="H302" s="123"/>
      <c r="I302" s="123"/>
      <c r="J302" s="123"/>
      <c r="K302" s="123">
        <v>9</v>
      </c>
      <c r="L302" s="123">
        <v>21</v>
      </c>
      <c r="M302" s="123"/>
      <c r="N302" s="123"/>
      <c r="O302" s="123"/>
      <c r="P302" s="123"/>
      <c r="Q302" s="123"/>
      <c r="R302" s="133">
        <f t="shared" si="62"/>
        <v>0</v>
      </c>
      <c r="S302" s="133"/>
      <c r="T302" s="116">
        <f t="shared" si="48"/>
        <v>0</v>
      </c>
      <c r="U302" s="116">
        <f t="shared" si="49"/>
        <v>0</v>
      </c>
      <c r="V302" s="116">
        <f t="shared" si="50"/>
        <v>0</v>
      </c>
      <c r="W302" s="116">
        <f t="shared" si="51"/>
        <v>0</v>
      </c>
      <c r="X302" s="116">
        <f t="shared" si="60"/>
        <v>0</v>
      </c>
      <c r="Y302" s="116">
        <v>733049.48</v>
      </c>
      <c r="Z302" s="116">
        <v>1710448.78</v>
      </c>
      <c r="AA302" s="116">
        <f t="shared" si="55"/>
        <v>0</v>
      </c>
      <c r="AB302" s="116">
        <f t="shared" si="56"/>
        <v>0</v>
      </c>
      <c r="AC302" s="116">
        <f t="shared" si="57"/>
        <v>0</v>
      </c>
      <c r="AD302" s="116">
        <f t="shared" si="58"/>
        <v>0</v>
      </c>
      <c r="AE302" s="116">
        <f t="shared" si="59"/>
        <v>0</v>
      </c>
    </row>
    <row r="303" spans="1:31">
      <c r="A303" s="131">
        <v>42549</v>
      </c>
      <c r="B303" s="131">
        <v>42579</v>
      </c>
      <c r="C303" s="123">
        <f t="shared" si="47"/>
        <v>30</v>
      </c>
      <c r="D303" s="132">
        <v>5220.28</v>
      </c>
      <c r="E303" s="134"/>
      <c r="F303" s="135"/>
      <c r="G303" s="123"/>
      <c r="H303" s="123"/>
      <c r="I303" s="123"/>
      <c r="J303" s="123"/>
      <c r="K303" s="123">
        <v>3</v>
      </c>
      <c r="L303" s="123">
        <v>27</v>
      </c>
      <c r="M303" s="123"/>
      <c r="N303" s="123"/>
      <c r="O303" s="123"/>
      <c r="P303" s="123"/>
      <c r="Q303" s="123"/>
      <c r="R303" s="133">
        <f t="shared" si="62"/>
        <v>0</v>
      </c>
      <c r="S303" s="133"/>
      <c r="T303" s="116">
        <f t="shared" si="48"/>
        <v>0</v>
      </c>
      <c r="U303" s="116">
        <f t="shared" si="49"/>
        <v>0</v>
      </c>
      <c r="V303" s="116">
        <f t="shared" si="50"/>
        <v>0</v>
      </c>
      <c r="W303" s="116">
        <f t="shared" si="51"/>
        <v>0</v>
      </c>
      <c r="X303" s="116">
        <f t="shared" si="60"/>
        <v>0</v>
      </c>
      <c r="Y303" s="116">
        <f>72745.01-Z303</f>
        <v>7274.5099999999948</v>
      </c>
      <c r="Z303" s="116">
        <v>65470.5</v>
      </c>
      <c r="AA303" s="116">
        <f t="shared" si="55"/>
        <v>0</v>
      </c>
      <c r="AB303" s="116">
        <f t="shared" si="56"/>
        <v>0</v>
      </c>
      <c r="AC303" s="116">
        <f t="shared" si="57"/>
        <v>0</v>
      </c>
      <c r="AD303" s="116">
        <f t="shared" si="58"/>
        <v>0</v>
      </c>
      <c r="AE303" s="116">
        <f t="shared" si="59"/>
        <v>0</v>
      </c>
    </row>
    <row r="304" spans="1:31">
      <c r="A304" s="131">
        <v>42552</v>
      </c>
      <c r="B304" s="131">
        <v>42583</v>
      </c>
      <c r="C304" s="123">
        <f t="shared" si="47"/>
        <v>31</v>
      </c>
      <c r="D304" s="132">
        <v>3209.24</v>
      </c>
      <c r="E304" s="134"/>
      <c r="F304" s="135"/>
      <c r="G304" s="123"/>
      <c r="H304" s="123"/>
      <c r="I304" s="123"/>
      <c r="J304" s="123"/>
      <c r="K304" s="123"/>
      <c r="L304" s="123">
        <v>31</v>
      </c>
      <c r="M304" s="123"/>
      <c r="N304" s="123"/>
      <c r="O304" s="123"/>
      <c r="P304" s="123"/>
      <c r="Q304" s="123"/>
      <c r="R304" s="133">
        <f t="shared" si="62"/>
        <v>0</v>
      </c>
      <c r="S304" s="133"/>
      <c r="T304" s="116">
        <f t="shared" si="48"/>
        <v>0</v>
      </c>
      <c r="U304" s="116">
        <f t="shared" si="49"/>
        <v>0</v>
      </c>
      <c r="V304" s="116">
        <f t="shared" si="50"/>
        <v>0</v>
      </c>
      <c r="W304" s="116">
        <f t="shared" si="51"/>
        <v>0</v>
      </c>
      <c r="X304" s="116">
        <f t="shared" si="60"/>
        <v>0</v>
      </c>
      <c r="Y304" s="116">
        <f t="shared" si="61"/>
        <v>0</v>
      </c>
      <c r="Z304" s="116">
        <f t="shared" si="54"/>
        <v>41857.83</v>
      </c>
      <c r="AA304" s="116">
        <f t="shared" si="55"/>
        <v>0</v>
      </c>
      <c r="AB304" s="116">
        <f t="shared" si="56"/>
        <v>0</v>
      </c>
      <c r="AC304" s="116">
        <f t="shared" si="57"/>
        <v>0</v>
      </c>
      <c r="AD304" s="116">
        <f t="shared" si="58"/>
        <v>0</v>
      </c>
      <c r="AE304" s="116">
        <f t="shared" si="59"/>
        <v>0</v>
      </c>
    </row>
    <row r="305" spans="1:31">
      <c r="A305" s="131">
        <v>42554</v>
      </c>
      <c r="B305" s="131">
        <v>42580</v>
      </c>
      <c r="C305" s="123">
        <f t="shared" ref="C305:C368" si="63">B305-A305</f>
        <v>26</v>
      </c>
      <c r="D305" s="132">
        <v>75.45</v>
      </c>
      <c r="E305" s="134"/>
      <c r="F305" s="135"/>
      <c r="G305" s="123"/>
      <c r="H305" s="123"/>
      <c r="I305" s="123"/>
      <c r="J305" s="123"/>
      <c r="K305" s="123"/>
      <c r="L305" s="123">
        <v>26</v>
      </c>
      <c r="M305" s="123"/>
      <c r="N305" s="123"/>
      <c r="O305" s="123"/>
      <c r="P305" s="123"/>
      <c r="Q305" s="123"/>
      <c r="R305" s="133">
        <f t="shared" si="62"/>
        <v>0</v>
      </c>
      <c r="S305" s="133"/>
      <c r="T305" s="116">
        <f t="shared" ref="T305:T363" si="64">ROUND((D305*F305/C305)/$C$6,2)</f>
        <v>0</v>
      </c>
      <c r="U305" s="116">
        <f t="shared" ref="U305:U368" si="65">ROUND(($D305*$G305/$C305)/$C$7,2)</f>
        <v>0</v>
      </c>
      <c r="V305" s="116">
        <f t="shared" ref="V305:V368" si="66">ROUND(($D305*$H305/$C305)/$C$8,2)</f>
        <v>0</v>
      </c>
      <c r="W305" s="116">
        <f t="shared" ref="W305:W368" si="67">ROUND(($D305*$I305/$C305)/$C$9,2)</f>
        <v>0</v>
      </c>
      <c r="X305" s="116">
        <f t="shared" si="60"/>
        <v>0</v>
      </c>
      <c r="Y305" s="116">
        <f t="shared" si="61"/>
        <v>0</v>
      </c>
      <c r="Z305" s="116">
        <f t="shared" ref="Z305:Z368" si="68">ROUND(($D305*$L305/$C305)/$C$12,2)</f>
        <v>984.09</v>
      </c>
      <c r="AA305" s="116">
        <f t="shared" ref="AA305:AA368" si="69">ROUND(($D305*$M305/$C305)/$C$13,2)</f>
        <v>0</v>
      </c>
      <c r="AB305" s="116">
        <f t="shared" ref="AB305:AB368" si="70">ROUND(($D305*$N305/$C305)/$C$14,2)</f>
        <v>0</v>
      </c>
      <c r="AC305" s="116">
        <f t="shared" ref="AC305:AC368" si="71">ROUND(($D305*$O305/$C305)/$C$15,2)</f>
        <v>0</v>
      </c>
      <c r="AD305" s="116">
        <f t="shared" ref="AD305:AD368" si="72">ROUND(($D305*$P305/$C305)/$C$16,2)</f>
        <v>0</v>
      </c>
      <c r="AE305" s="116">
        <f t="shared" ref="AE305:AE368" si="73">ROUND(($D305*$Q305/$C305)/$C$17,2)</f>
        <v>0</v>
      </c>
    </row>
    <row r="306" spans="1:31">
      <c r="A306" s="131">
        <v>42552</v>
      </c>
      <c r="B306" s="131">
        <v>42583</v>
      </c>
      <c r="C306" s="123">
        <f t="shared" si="63"/>
        <v>31</v>
      </c>
      <c r="D306" s="132">
        <v>9452.93</v>
      </c>
      <c r="E306" s="134"/>
      <c r="F306" s="135"/>
      <c r="G306" s="123"/>
      <c r="H306" s="123"/>
      <c r="I306" s="123"/>
      <c r="J306" s="123"/>
      <c r="K306" s="123"/>
      <c r="L306" s="123">
        <v>31</v>
      </c>
      <c r="M306" s="123"/>
      <c r="N306" s="123"/>
      <c r="O306" s="123"/>
      <c r="P306" s="123"/>
      <c r="Q306" s="123"/>
      <c r="R306" s="133">
        <f t="shared" si="62"/>
        <v>0</v>
      </c>
      <c r="S306" s="133"/>
      <c r="T306" s="116">
        <f t="shared" si="64"/>
        <v>0</v>
      </c>
      <c r="U306" s="116">
        <f t="shared" si="65"/>
        <v>0</v>
      </c>
      <c r="V306" s="116">
        <f t="shared" si="66"/>
        <v>0</v>
      </c>
      <c r="W306" s="116">
        <f t="shared" si="67"/>
        <v>0</v>
      </c>
      <c r="X306" s="116">
        <f t="shared" si="60"/>
        <v>0</v>
      </c>
      <c r="Y306" s="116">
        <f t="shared" si="61"/>
        <v>0</v>
      </c>
      <c r="Z306" s="116">
        <f t="shared" si="68"/>
        <v>123293.73</v>
      </c>
      <c r="AA306" s="116">
        <f t="shared" si="69"/>
        <v>0</v>
      </c>
      <c r="AB306" s="116">
        <f t="shared" si="70"/>
        <v>0</v>
      </c>
      <c r="AC306" s="116">
        <f t="shared" si="71"/>
        <v>0</v>
      </c>
      <c r="AD306" s="116">
        <f t="shared" si="72"/>
        <v>0</v>
      </c>
      <c r="AE306" s="116">
        <f t="shared" si="73"/>
        <v>0</v>
      </c>
    </row>
    <row r="307" spans="1:31">
      <c r="A307" s="131">
        <v>42547</v>
      </c>
      <c r="B307" s="131">
        <v>42577</v>
      </c>
      <c r="C307" s="123">
        <f t="shared" si="63"/>
        <v>30</v>
      </c>
      <c r="D307" s="132">
        <v>1032.26</v>
      </c>
      <c r="E307" s="134"/>
      <c r="F307" s="135"/>
      <c r="G307" s="123"/>
      <c r="H307" s="123"/>
      <c r="I307" s="123"/>
      <c r="J307" s="123"/>
      <c r="K307" s="123">
        <v>5</v>
      </c>
      <c r="L307" s="123">
        <v>25</v>
      </c>
      <c r="M307" s="123"/>
      <c r="N307" s="123"/>
      <c r="O307" s="123"/>
      <c r="P307" s="123"/>
      <c r="Q307" s="123"/>
      <c r="R307" s="133">
        <f t="shared" si="62"/>
        <v>0</v>
      </c>
      <c r="S307" s="133"/>
      <c r="T307" s="116">
        <f t="shared" si="64"/>
        <v>0</v>
      </c>
      <c r="U307" s="116">
        <f t="shared" si="65"/>
        <v>0</v>
      </c>
      <c r="V307" s="116">
        <f t="shared" si="66"/>
        <v>0</v>
      </c>
      <c r="W307" s="116">
        <f t="shared" si="67"/>
        <v>0</v>
      </c>
      <c r="X307" s="116">
        <f t="shared" si="60"/>
        <v>0</v>
      </c>
      <c r="Y307" s="116">
        <f t="shared" si="61"/>
        <v>1476.77</v>
      </c>
      <c r="Z307" s="116">
        <f t="shared" si="68"/>
        <v>11219.73</v>
      </c>
      <c r="AA307" s="116">
        <f t="shared" si="69"/>
        <v>0</v>
      </c>
      <c r="AB307" s="116">
        <f t="shared" si="70"/>
        <v>0</v>
      </c>
      <c r="AC307" s="116">
        <f t="shared" si="71"/>
        <v>0</v>
      </c>
      <c r="AD307" s="116">
        <f t="shared" si="72"/>
        <v>0</v>
      </c>
      <c r="AE307" s="116">
        <f t="shared" si="73"/>
        <v>0</v>
      </c>
    </row>
    <row r="308" spans="1:31">
      <c r="A308" s="131">
        <v>42563</v>
      </c>
      <c r="B308" s="131">
        <v>42583</v>
      </c>
      <c r="C308" s="123">
        <f t="shared" si="63"/>
        <v>20</v>
      </c>
      <c r="D308" s="132">
        <v>72</v>
      </c>
      <c r="E308" s="134"/>
      <c r="F308" s="135"/>
      <c r="G308" s="123"/>
      <c r="H308" s="123"/>
      <c r="I308" s="123"/>
      <c r="J308" s="123"/>
      <c r="K308" s="123"/>
      <c r="L308" s="123">
        <v>20</v>
      </c>
      <c r="M308" s="123"/>
      <c r="N308" s="123"/>
      <c r="O308" s="123"/>
      <c r="P308" s="123"/>
      <c r="Q308" s="123"/>
      <c r="R308" s="133">
        <f t="shared" si="62"/>
        <v>0</v>
      </c>
      <c r="S308" s="133"/>
      <c r="T308" s="116">
        <f t="shared" si="64"/>
        <v>0</v>
      </c>
      <c r="U308" s="116">
        <f t="shared" si="65"/>
        <v>0</v>
      </c>
      <c r="V308" s="116">
        <f t="shared" si="66"/>
        <v>0</v>
      </c>
      <c r="W308" s="116">
        <f t="shared" si="67"/>
        <v>0</v>
      </c>
      <c r="X308" s="116">
        <f t="shared" si="60"/>
        <v>0</v>
      </c>
      <c r="Y308" s="116">
        <f t="shared" si="61"/>
        <v>0</v>
      </c>
      <c r="Z308" s="116">
        <f t="shared" si="68"/>
        <v>939.09</v>
      </c>
      <c r="AA308" s="116">
        <f t="shared" si="69"/>
        <v>0</v>
      </c>
      <c r="AB308" s="116">
        <f t="shared" si="70"/>
        <v>0</v>
      </c>
      <c r="AC308" s="116">
        <f t="shared" si="71"/>
        <v>0</v>
      </c>
      <c r="AD308" s="116">
        <f t="shared" si="72"/>
        <v>0</v>
      </c>
      <c r="AE308" s="116">
        <f t="shared" si="73"/>
        <v>0</v>
      </c>
    </row>
    <row r="309" spans="1:31">
      <c r="A309" s="131">
        <v>42566</v>
      </c>
      <c r="B309" s="131">
        <v>42582</v>
      </c>
      <c r="C309" s="123">
        <f t="shared" si="63"/>
        <v>16</v>
      </c>
      <c r="D309" s="132">
        <v>181.91</v>
      </c>
      <c r="E309" s="134"/>
      <c r="F309" s="135"/>
      <c r="G309" s="123"/>
      <c r="H309" s="123"/>
      <c r="I309" s="123"/>
      <c r="J309" s="123"/>
      <c r="K309" s="123"/>
      <c r="L309" s="123">
        <v>16</v>
      </c>
      <c r="M309" s="123"/>
      <c r="N309" s="123"/>
      <c r="O309" s="123"/>
      <c r="P309" s="123"/>
      <c r="Q309" s="123"/>
      <c r="R309" s="133">
        <f t="shared" si="62"/>
        <v>0</v>
      </c>
      <c r="S309" s="133"/>
      <c r="T309" s="116">
        <f t="shared" si="64"/>
        <v>0</v>
      </c>
      <c r="U309" s="116">
        <f t="shared" si="65"/>
        <v>0</v>
      </c>
      <c r="V309" s="116">
        <f t="shared" si="66"/>
        <v>0</v>
      </c>
      <c r="W309" s="116">
        <f t="shared" si="67"/>
        <v>0</v>
      </c>
      <c r="X309" s="116">
        <f t="shared" si="60"/>
        <v>0</v>
      </c>
      <c r="Y309" s="116">
        <f t="shared" si="61"/>
        <v>0</v>
      </c>
      <c r="Z309" s="116">
        <f t="shared" si="68"/>
        <v>2372.64</v>
      </c>
      <c r="AA309" s="116">
        <f t="shared" si="69"/>
        <v>0</v>
      </c>
      <c r="AB309" s="116">
        <f t="shared" si="70"/>
        <v>0</v>
      </c>
      <c r="AC309" s="116">
        <f t="shared" si="71"/>
        <v>0</v>
      </c>
      <c r="AD309" s="116">
        <f t="shared" si="72"/>
        <v>0</v>
      </c>
      <c r="AE309" s="116">
        <f t="shared" si="73"/>
        <v>0</v>
      </c>
    </row>
    <row r="310" spans="1:31">
      <c r="A310" s="131">
        <v>42552</v>
      </c>
      <c r="B310" s="131">
        <v>42583</v>
      </c>
      <c r="C310" s="123">
        <f t="shared" si="63"/>
        <v>31</v>
      </c>
      <c r="D310" s="132">
        <v>3064.65</v>
      </c>
      <c r="E310" s="134"/>
      <c r="F310" s="135"/>
      <c r="G310" s="123"/>
      <c r="H310" s="123"/>
      <c r="I310" s="123"/>
      <c r="J310" s="123"/>
      <c r="K310" s="123"/>
      <c r="L310" s="123">
        <v>31</v>
      </c>
      <c r="M310" s="123"/>
      <c r="N310" s="123"/>
      <c r="O310" s="123"/>
      <c r="P310" s="123"/>
      <c r="Q310" s="123"/>
      <c r="R310" s="133">
        <f t="shared" si="62"/>
        <v>0</v>
      </c>
      <c r="S310" s="133"/>
      <c r="T310" s="116">
        <f t="shared" si="64"/>
        <v>0</v>
      </c>
      <c r="U310" s="116">
        <f t="shared" si="65"/>
        <v>0</v>
      </c>
      <c r="V310" s="116">
        <f t="shared" si="66"/>
        <v>0</v>
      </c>
      <c r="W310" s="116">
        <f t="shared" si="67"/>
        <v>0</v>
      </c>
      <c r="X310" s="116">
        <f t="shared" si="60"/>
        <v>0</v>
      </c>
      <c r="Y310" s="116">
        <f t="shared" si="61"/>
        <v>0</v>
      </c>
      <c r="Z310" s="116">
        <f t="shared" si="68"/>
        <v>39971.96</v>
      </c>
      <c r="AA310" s="116">
        <f t="shared" si="69"/>
        <v>0</v>
      </c>
      <c r="AB310" s="116">
        <f t="shared" si="70"/>
        <v>0</v>
      </c>
      <c r="AC310" s="116">
        <f t="shared" si="71"/>
        <v>0</v>
      </c>
      <c r="AD310" s="116">
        <f t="shared" si="72"/>
        <v>0</v>
      </c>
      <c r="AE310" s="116">
        <f t="shared" si="73"/>
        <v>0</v>
      </c>
    </row>
    <row r="311" spans="1:31">
      <c r="A311" s="131">
        <v>42552</v>
      </c>
      <c r="B311" s="131">
        <v>42583</v>
      </c>
      <c r="C311" s="123">
        <f t="shared" si="63"/>
        <v>31</v>
      </c>
      <c r="D311" s="132">
        <v>96387.18</v>
      </c>
      <c r="E311" s="134"/>
      <c r="F311" s="135"/>
      <c r="G311" s="123"/>
      <c r="H311" s="123"/>
      <c r="I311" s="123"/>
      <c r="J311" s="123"/>
      <c r="K311" s="123"/>
      <c r="L311" s="123">
        <v>31</v>
      </c>
      <c r="M311" s="123"/>
      <c r="N311" s="123"/>
      <c r="O311" s="123"/>
      <c r="P311" s="123"/>
      <c r="Q311" s="123"/>
      <c r="R311" s="133">
        <f t="shared" si="62"/>
        <v>0</v>
      </c>
      <c r="S311" s="133"/>
      <c r="T311" s="116">
        <f t="shared" si="64"/>
        <v>0</v>
      </c>
      <c r="U311" s="116">
        <f t="shared" si="65"/>
        <v>0</v>
      </c>
      <c r="V311" s="116">
        <f t="shared" si="66"/>
        <v>0</v>
      </c>
      <c r="W311" s="116">
        <f t="shared" si="67"/>
        <v>0</v>
      </c>
      <c r="X311" s="116">
        <f t="shared" si="60"/>
        <v>0</v>
      </c>
      <c r="Y311" s="116">
        <f t="shared" si="61"/>
        <v>0</v>
      </c>
      <c r="Z311" s="116">
        <f t="shared" si="68"/>
        <v>1257169.43</v>
      </c>
      <c r="AA311" s="116">
        <f t="shared" si="69"/>
        <v>0</v>
      </c>
      <c r="AB311" s="116">
        <f t="shared" si="70"/>
        <v>0</v>
      </c>
      <c r="AC311" s="116">
        <f t="shared" si="71"/>
        <v>0</v>
      </c>
      <c r="AD311" s="116">
        <f t="shared" si="72"/>
        <v>0</v>
      </c>
      <c r="AE311" s="116">
        <f t="shared" si="73"/>
        <v>0</v>
      </c>
    </row>
    <row r="312" spans="1:31">
      <c r="A312" s="131">
        <v>42554</v>
      </c>
      <c r="B312" s="131">
        <v>42585</v>
      </c>
      <c r="C312" s="123">
        <f t="shared" si="63"/>
        <v>31</v>
      </c>
      <c r="D312" s="132">
        <v>669.31</v>
      </c>
      <c r="E312" s="134"/>
      <c r="F312" s="135"/>
      <c r="G312" s="123"/>
      <c r="H312" s="123"/>
      <c r="I312" s="123"/>
      <c r="J312" s="123"/>
      <c r="K312" s="123"/>
      <c r="L312" s="123">
        <v>29</v>
      </c>
      <c r="M312" s="123">
        <v>2</v>
      </c>
      <c r="N312" s="123"/>
      <c r="O312" s="123"/>
      <c r="P312" s="123"/>
      <c r="Q312" s="123"/>
      <c r="R312" s="133">
        <f t="shared" si="62"/>
        <v>0</v>
      </c>
      <c r="S312" s="133"/>
      <c r="T312" s="116">
        <f t="shared" si="64"/>
        <v>0</v>
      </c>
      <c r="U312" s="116">
        <f t="shared" si="65"/>
        <v>0</v>
      </c>
      <c r="V312" s="116">
        <f t="shared" si="66"/>
        <v>0</v>
      </c>
      <c r="W312" s="116">
        <f t="shared" si="67"/>
        <v>0</v>
      </c>
      <c r="X312" s="116">
        <f t="shared" si="60"/>
        <v>0</v>
      </c>
      <c r="Y312" s="116">
        <f t="shared" si="61"/>
        <v>0</v>
      </c>
      <c r="Z312" s="116">
        <f t="shared" si="68"/>
        <v>8166.54</v>
      </c>
      <c r="AA312" s="116">
        <f t="shared" si="69"/>
        <v>503.92</v>
      </c>
      <c r="AB312" s="116">
        <f t="shared" si="70"/>
        <v>0</v>
      </c>
      <c r="AC312" s="116">
        <f t="shared" si="71"/>
        <v>0</v>
      </c>
      <c r="AD312" s="116">
        <f t="shared" si="72"/>
        <v>0</v>
      </c>
      <c r="AE312" s="116">
        <f t="shared" si="73"/>
        <v>0</v>
      </c>
    </row>
    <row r="313" spans="1:31">
      <c r="A313" s="131">
        <v>42554</v>
      </c>
      <c r="B313" s="131">
        <v>42585</v>
      </c>
      <c r="C313" s="123">
        <f t="shared" si="63"/>
        <v>31</v>
      </c>
      <c r="D313" s="132">
        <v>1287.04</v>
      </c>
      <c r="E313" s="134"/>
      <c r="F313" s="135"/>
      <c r="G313" s="123"/>
      <c r="H313" s="123"/>
      <c r="I313" s="123"/>
      <c r="J313" s="123"/>
      <c r="K313" s="123"/>
      <c r="L313" s="123">
        <v>29</v>
      </c>
      <c r="M313" s="123">
        <v>2</v>
      </c>
      <c r="N313" s="123"/>
      <c r="O313" s="123"/>
      <c r="P313" s="123"/>
      <c r="Q313" s="123"/>
      <c r="R313" s="133">
        <f t="shared" si="62"/>
        <v>0</v>
      </c>
      <c r="S313" s="133"/>
      <c r="T313" s="116">
        <f t="shared" si="64"/>
        <v>0</v>
      </c>
      <c r="U313" s="116">
        <f t="shared" si="65"/>
        <v>0</v>
      </c>
      <c r="V313" s="116">
        <f t="shared" si="66"/>
        <v>0</v>
      </c>
      <c r="W313" s="116">
        <f t="shared" si="67"/>
        <v>0</v>
      </c>
      <c r="X313" s="116">
        <f t="shared" si="60"/>
        <v>0</v>
      </c>
      <c r="Y313" s="116">
        <f t="shared" si="61"/>
        <v>0</v>
      </c>
      <c r="Z313" s="116">
        <f t="shared" si="68"/>
        <v>15703.73</v>
      </c>
      <c r="AA313" s="116">
        <f t="shared" si="69"/>
        <v>969.01</v>
      </c>
      <c r="AB313" s="116">
        <f t="shared" si="70"/>
        <v>0</v>
      </c>
      <c r="AC313" s="116">
        <f t="shared" si="71"/>
        <v>0</v>
      </c>
      <c r="AD313" s="116">
        <f t="shared" si="72"/>
        <v>0</v>
      </c>
      <c r="AE313" s="116">
        <f t="shared" si="73"/>
        <v>0</v>
      </c>
    </row>
    <row r="314" spans="1:31">
      <c r="A314" s="131">
        <v>42554</v>
      </c>
      <c r="B314" s="131">
        <v>42585</v>
      </c>
      <c r="C314" s="123">
        <f t="shared" si="63"/>
        <v>31</v>
      </c>
      <c r="D314" s="132">
        <v>462.57</v>
      </c>
      <c r="E314" s="134"/>
      <c r="F314" s="135"/>
      <c r="G314" s="123"/>
      <c r="H314" s="123"/>
      <c r="I314" s="123"/>
      <c r="J314" s="123"/>
      <c r="K314" s="123"/>
      <c r="L314" s="123">
        <v>29</v>
      </c>
      <c r="M314" s="123">
        <v>2</v>
      </c>
      <c r="N314" s="123"/>
      <c r="O314" s="123"/>
      <c r="P314" s="123"/>
      <c r="Q314" s="123"/>
      <c r="R314" s="133">
        <f t="shared" si="62"/>
        <v>0</v>
      </c>
      <c r="S314" s="133"/>
      <c r="T314" s="116">
        <f t="shared" si="64"/>
        <v>0</v>
      </c>
      <c r="U314" s="116">
        <f t="shared" si="65"/>
        <v>0</v>
      </c>
      <c r="V314" s="116">
        <f t="shared" si="66"/>
        <v>0</v>
      </c>
      <c r="W314" s="116">
        <f t="shared" si="67"/>
        <v>0</v>
      </c>
      <c r="X314" s="116">
        <f t="shared" si="60"/>
        <v>0</v>
      </c>
      <c r="Y314" s="116">
        <f t="shared" si="61"/>
        <v>0</v>
      </c>
      <c r="Z314" s="116">
        <f t="shared" si="68"/>
        <v>5644.02</v>
      </c>
      <c r="AA314" s="116">
        <f t="shared" si="69"/>
        <v>348.27</v>
      </c>
      <c r="AB314" s="116">
        <f t="shared" si="70"/>
        <v>0</v>
      </c>
      <c r="AC314" s="116">
        <f t="shared" si="71"/>
        <v>0</v>
      </c>
      <c r="AD314" s="116">
        <f t="shared" si="72"/>
        <v>0</v>
      </c>
      <c r="AE314" s="116">
        <f t="shared" si="73"/>
        <v>0</v>
      </c>
    </row>
    <row r="315" spans="1:31">
      <c r="A315" s="131">
        <v>42554</v>
      </c>
      <c r="B315" s="131">
        <v>42585</v>
      </c>
      <c r="C315" s="123">
        <f t="shared" si="63"/>
        <v>31</v>
      </c>
      <c r="D315" s="132">
        <v>1179.3600000000001</v>
      </c>
      <c r="E315" s="134"/>
      <c r="F315" s="135"/>
      <c r="G315" s="123"/>
      <c r="H315" s="123"/>
      <c r="I315" s="123"/>
      <c r="J315" s="123"/>
      <c r="K315" s="123"/>
      <c r="L315" s="123">
        <v>29</v>
      </c>
      <c r="M315" s="123">
        <v>2</v>
      </c>
      <c r="N315" s="123"/>
      <c r="O315" s="123"/>
      <c r="P315" s="123"/>
      <c r="Q315" s="123"/>
      <c r="R315" s="133">
        <f t="shared" si="62"/>
        <v>0</v>
      </c>
      <c r="S315" s="133"/>
      <c r="T315" s="116">
        <f t="shared" si="64"/>
        <v>0</v>
      </c>
      <c r="U315" s="116">
        <f t="shared" si="65"/>
        <v>0</v>
      </c>
      <c r="V315" s="116">
        <f t="shared" si="66"/>
        <v>0</v>
      </c>
      <c r="W315" s="116">
        <f t="shared" si="67"/>
        <v>0</v>
      </c>
      <c r="X315" s="116">
        <f t="shared" si="60"/>
        <v>0</v>
      </c>
      <c r="Y315" s="116">
        <f t="shared" si="61"/>
        <v>0</v>
      </c>
      <c r="Z315" s="116">
        <f t="shared" si="68"/>
        <v>14389.88</v>
      </c>
      <c r="AA315" s="116">
        <f t="shared" si="69"/>
        <v>887.94</v>
      </c>
      <c r="AB315" s="116">
        <f t="shared" si="70"/>
        <v>0</v>
      </c>
      <c r="AC315" s="116">
        <f t="shared" si="71"/>
        <v>0</v>
      </c>
      <c r="AD315" s="116">
        <f t="shared" si="72"/>
        <v>0</v>
      </c>
      <c r="AE315" s="116">
        <f t="shared" si="73"/>
        <v>0</v>
      </c>
    </row>
    <row r="316" spans="1:31">
      <c r="A316" s="131">
        <v>42552</v>
      </c>
      <c r="B316" s="131">
        <v>42583</v>
      </c>
      <c r="C316" s="123">
        <f t="shared" si="63"/>
        <v>31</v>
      </c>
      <c r="D316" s="132">
        <v>2087.3000000000002</v>
      </c>
      <c r="E316" s="134"/>
      <c r="F316" s="135"/>
      <c r="G316" s="123"/>
      <c r="H316" s="123"/>
      <c r="I316" s="123"/>
      <c r="J316" s="123"/>
      <c r="K316" s="123"/>
      <c r="L316" s="123">
        <v>31</v>
      </c>
      <c r="M316" s="123"/>
      <c r="N316" s="123"/>
      <c r="O316" s="123"/>
      <c r="P316" s="123"/>
      <c r="Q316" s="123"/>
      <c r="R316" s="133">
        <f t="shared" si="62"/>
        <v>0</v>
      </c>
      <c r="S316" s="133"/>
      <c r="T316" s="116">
        <f t="shared" si="64"/>
        <v>0</v>
      </c>
      <c r="U316" s="116">
        <f t="shared" si="65"/>
        <v>0</v>
      </c>
      <c r="V316" s="116">
        <f t="shared" si="66"/>
        <v>0</v>
      </c>
      <c r="W316" s="116">
        <f t="shared" si="67"/>
        <v>0</v>
      </c>
      <c r="X316" s="116">
        <f t="shared" si="60"/>
        <v>0</v>
      </c>
      <c r="Y316" s="116">
        <f t="shared" si="61"/>
        <v>0</v>
      </c>
      <c r="Z316" s="116">
        <f t="shared" si="68"/>
        <v>27224.47</v>
      </c>
      <c r="AA316" s="116">
        <f t="shared" si="69"/>
        <v>0</v>
      </c>
      <c r="AB316" s="116">
        <f t="shared" si="70"/>
        <v>0</v>
      </c>
      <c r="AC316" s="116">
        <f t="shared" si="71"/>
        <v>0</v>
      </c>
      <c r="AD316" s="116">
        <f t="shared" si="72"/>
        <v>0</v>
      </c>
      <c r="AE316" s="116">
        <f t="shared" si="73"/>
        <v>0</v>
      </c>
    </row>
    <row r="317" spans="1:31">
      <c r="A317" s="131">
        <v>42556</v>
      </c>
      <c r="B317" s="131">
        <v>42587</v>
      </c>
      <c r="C317" s="123">
        <f t="shared" si="63"/>
        <v>31</v>
      </c>
      <c r="D317" s="132">
        <v>600.89</v>
      </c>
      <c r="E317" s="134"/>
      <c r="F317" s="135"/>
      <c r="G317" s="123"/>
      <c r="H317" s="123"/>
      <c r="I317" s="123"/>
      <c r="J317" s="123"/>
      <c r="K317" s="123"/>
      <c r="L317" s="123">
        <v>27</v>
      </c>
      <c r="M317" s="123">
        <v>4</v>
      </c>
      <c r="N317" s="123"/>
      <c r="O317" s="123"/>
      <c r="P317" s="123"/>
      <c r="Q317" s="123"/>
      <c r="R317" s="133">
        <f t="shared" si="62"/>
        <v>0</v>
      </c>
      <c r="S317" s="133"/>
      <c r="T317" s="116">
        <f t="shared" si="64"/>
        <v>0</v>
      </c>
      <c r="U317" s="116">
        <f t="shared" si="65"/>
        <v>0</v>
      </c>
      <c r="V317" s="116">
        <f t="shared" si="66"/>
        <v>0</v>
      </c>
      <c r="W317" s="116">
        <f t="shared" si="67"/>
        <v>0</v>
      </c>
      <c r="X317" s="116">
        <f t="shared" si="60"/>
        <v>0</v>
      </c>
      <c r="Y317" s="116">
        <f t="shared" si="61"/>
        <v>0</v>
      </c>
      <c r="Z317" s="116">
        <f t="shared" si="68"/>
        <v>6826.08</v>
      </c>
      <c r="AA317" s="116">
        <f t="shared" si="69"/>
        <v>904.82</v>
      </c>
      <c r="AB317" s="116">
        <f t="shared" si="70"/>
        <v>0</v>
      </c>
      <c r="AC317" s="116">
        <f t="shared" si="71"/>
        <v>0</v>
      </c>
      <c r="AD317" s="116">
        <f t="shared" si="72"/>
        <v>0</v>
      </c>
      <c r="AE317" s="116">
        <f t="shared" si="73"/>
        <v>0</v>
      </c>
    </row>
    <row r="318" spans="1:31">
      <c r="A318" s="131">
        <v>42556</v>
      </c>
      <c r="B318" s="131">
        <v>42587</v>
      </c>
      <c r="C318" s="123">
        <f t="shared" si="63"/>
        <v>31</v>
      </c>
      <c r="D318" s="132">
        <v>141.97</v>
      </c>
      <c r="E318" s="134"/>
      <c r="F318" s="135"/>
      <c r="G318" s="123"/>
      <c r="H318" s="123"/>
      <c r="I318" s="123"/>
      <c r="J318" s="123"/>
      <c r="K318" s="123"/>
      <c r="L318" s="123">
        <v>27</v>
      </c>
      <c r="M318" s="123">
        <v>4</v>
      </c>
      <c r="N318" s="123"/>
      <c r="O318" s="123"/>
      <c r="P318" s="123"/>
      <c r="Q318" s="123"/>
      <c r="R318" s="133">
        <f t="shared" si="62"/>
        <v>0</v>
      </c>
      <c r="S318" s="133"/>
      <c r="T318" s="116">
        <f t="shared" si="64"/>
        <v>0</v>
      </c>
      <c r="U318" s="116">
        <f t="shared" si="65"/>
        <v>0</v>
      </c>
      <c r="V318" s="116">
        <f t="shared" si="66"/>
        <v>0</v>
      </c>
      <c r="W318" s="116">
        <f t="shared" si="67"/>
        <v>0</v>
      </c>
      <c r="X318" s="116">
        <f t="shared" si="60"/>
        <v>0</v>
      </c>
      <c r="Y318" s="116">
        <f t="shared" si="61"/>
        <v>0</v>
      </c>
      <c r="Z318" s="116">
        <f t="shared" si="68"/>
        <v>1612.77</v>
      </c>
      <c r="AA318" s="116">
        <f t="shared" si="69"/>
        <v>213.78</v>
      </c>
      <c r="AB318" s="116">
        <f t="shared" si="70"/>
        <v>0</v>
      </c>
      <c r="AC318" s="116">
        <f t="shared" si="71"/>
        <v>0</v>
      </c>
      <c r="AD318" s="116">
        <f t="shared" si="72"/>
        <v>0</v>
      </c>
      <c r="AE318" s="116">
        <f t="shared" si="73"/>
        <v>0</v>
      </c>
    </row>
    <row r="319" spans="1:31">
      <c r="A319" s="131">
        <v>42556</v>
      </c>
      <c r="B319" s="131">
        <v>42587</v>
      </c>
      <c r="C319" s="123">
        <f t="shared" si="63"/>
        <v>31</v>
      </c>
      <c r="D319" s="132">
        <v>1216.44</v>
      </c>
      <c r="E319" s="134"/>
      <c r="F319" s="135"/>
      <c r="G319" s="123"/>
      <c r="H319" s="123"/>
      <c r="I319" s="123"/>
      <c r="J319" s="123"/>
      <c r="K319" s="123"/>
      <c r="L319" s="123">
        <v>27</v>
      </c>
      <c r="M319" s="123">
        <v>4</v>
      </c>
      <c r="N319" s="123"/>
      <c r="O319" s="123"/>
      <c r="P319" s="123"/>
      <c r="Q319" s="123"/>
      <c r="R319" s="133">
        <f t="shared" si="62"/>
        <v>0</v>
      </c>
      <c r="S319" s="133"/>
      <c r="T319" s="116">
        <f t="shared" si="64"/>
        <v>0</v>
      </c>
      <c r="U319" s="116">
        <f t="shared" si="65"/>
        <v>0</v>
      </c>
      <c r="V319" s="116">
        <f t="shared" si="66"/>
        <v>0</v>
      </c>
      <c r="W319" s="116">
        <f t="shared" si="67"/>
        <v>0</v>
      </c>
      <c r="X319" s="116">
        <f t="shared" si="60"/>
        <v>0</v>
      </c>
      <c r="Y319" s="116">
        <f t="shared" si="61"/>
        <v>0</v>
      </c>
      <c r="Z319" s="116">
        <f t="shared" si="68"/>
        <v>13818.7</v>
      </c>
      <c r="AA319" s="116">
        <f t="shared" si="69"/>
        <v>1831.72</v>
      </c>
      <c r="AB319" s="116">
        <f t="shared" si="70"/>
        <v>0</v>
      </c>
      <c r="AC319" s="116">
        <f t="shared" si="71"/>
        <v>0</v>
      </c>
      <c r="AD319" s="116">
        <f t="shared" si="72"/>
        <v>0</v>
      </c>
      <c r="AE319" s="116">
        <f t="shared" si="73"/>
        <v>0</v>
      </c>
    </row>
    <row r="320" spans="1:31">
      <c r="A320" s="131">
        <v>42552</v>
      </c>
      <c r="B320" s="131">
        <v>42583</v>
      </c>
      <c r="C320" s="123">
        <f t="shared" si="63"/>
        <v>31</v>
      </c>
      <c r="D320" s="132">
        <v>74237.540000000008</v>
      </c>
      <c r="E320" s="134"/>
      <c r="F320" s="135"/>
      <c r="G320" s="123"/>
      <c r="H320" s="123"/>
      <c r="I320" s="123"/>
      <c r="J320" s="123"/>
      <c r="K320" s="123"/>
      <c r="L320" s="123">
        <v>31</v>
      </c>
      <c r="M320" s="123"/>
      <c r="N320" s="123"/>
      <c r="O320" s="123"/>
      <c r="P320" s="123"/>
      <c r="Q320" s="123"/>
      <c r="R320" s="133">
        <f t="shared" si="62"/>
        <v>0</v>
      </c>
      <c r="S320" s="133"/>
      <c r="T320" s="116">
        <f t="shared" si="64"/>
        <v>0</v>
      </c>
      <c r="U320" s="116">
        <f t="shared" si="65"/>
        <v>0</v>
      </c>
      <c r="V320" s="116">
        <f t="shared" si="66"/>
        <v>0</v>
      </c>
      <c r="W320" s="116">
        <f t="shared" si="67"/>
        <v>0</v>
      </c>
      <c r="X320" s="116">
        <f t="shared" si="60"/>
        <v>0</v>
      </c>
      <c r="Y320" s="116">
        <f t="shared" si="61"/>
        <v>0</v>
      </c>
      <c r="Z320" s="116">
        <f t="shared" si="68"/>
        <v>968273.64</v>
      </c>
      <c r="AA320" s="116">
        <f t="shared" si="69"/>
        <v>0</v>
      </c>
      <c r="AB320" s="116">
        <f t="shared" si="70"/>
        <v>0</v>
      </c>
      <c r="AC320" s="116">
        <f t="shared" si="71"/>
        <v>0</v>
      </c>
      <c r="AD320" s="116">
        <f t="shared" si="72"/>
        <v>0</v>
      </c>
      <c r="AE320" s="116">
        <f t="shared" si="73"/>
        <v>0</v>
      </c>
    </row>
    <row r="321" spans="1:31">
      <c r="A321" s="131">
        <v>42552</v>
      </c>
      <c r="B321" s="131">
        <v>42583</v>
      </c>
      <c r="C321" s="123">
        <f t="shared" si="63"/>
        <v>31</v>
      </c>
      <c r="D321" s="132">
        <v>-1732.71</v>
      </c>
      <c r="E321" s="134"/>
      <c r="F321" s="135"/>
      <c r="G321" s="123"/>
      <c r="H321" s="123"/>
      <c r="I321" s="123"/>
      <c r="J321" s="123"/>
      <c r="K321" s="123"/>
      <c r="L321" s="123">
        <v>31</v>
      </c>
      <c r="M321" s="123"/>
      <c r="N321" s="123"/>
      <c r="O321" s="123"/>
      <c r="P321" s="123"/>
      <c r="Q321" s="123"/>
      <c r="R321" s="133">
        <f t="shared" si="62"/>
        <v>0</v>
      </c>
      <c r="S321" s="133"/>
      <c r="T321" s="116">
        <f t="shared" si="64"/>
        <v>0</v>
      </c>
      <c r="U321" s="116">
        <f t="shared" si="65"/>
        <v>0</v>
      </c>
      <c r="V321" s="116">
        <f t="shared" si="66"/>
        <v>0</v>
      </c>
      <c r="W321" s="116">
        <f t="shared" si="67"/>
        <v>0</v>
      </c>
      <c r="X321" s="116">
        <f t="shared" si="60"/>
        <v>0</v>
      </c>
      <c r="Y321" s="116">
        <f t="shared" si="61"/>
        <v>0</v>
      </c>
      <c r="Z321" s="116">
        <f t="shared" si="68"/>
        <v>-22599.58</v>
      </c>
      <c r="AA321" s="116">
        <f t="shared" si="69"/>
        <v>0</v>
      </c>
      <c r="AB321" s="116">
        <f t="shared" si="70"/>
        <v>0</v>
      </c>
      <c r="AC321" s="116">
        <f t="shared" si="71"/>
        <v>0</v>
      </c>
      <c r="AD321" s="116">
        <f t="shared" si="72"/>
        <v>0</v>
      </c>
      <c r="AE321" s="116">
        <f t="shared" si="73"/>
        <v>0</v>
      </c>
    </row>
    <row r="322" spans="1:31">
      <c r="A322" s="131">
        <v>42559</v>
      </c>
      <c r="B322" s="131">
        <v>42590</v>
      </c>
      <c r="C322" s="123">
        <f t="shared" si="63"/>
        <v>31</v>
      </c>
      <c r="D322" s="132">
        <v>403.19</v>
      </c>
      <c r="E322" s="134"/>
      <c r="F322" s="135"/>
      <c r="G322" s="123"/>
      <c r="H322" s="123"/>
      <c r="I322" s="123"/>
      <c r="J322" s="123"/>
      <c r="K322" s="123"/>
      <c r="L322" s="123">
        <v>24</v>
      </c>
      <c r="M322" s="123">
        <v>7</v>
      </c>
      <c r="N322" s="123"/>
      <c r="O322" s="123"/>
      <c r="P322" s="123"/>
      <c r="Q322" s="123"/>
      <c r="R322" s="133">
        <f t="shared" si="62"/>
        <v>0</v>
      </c>
      <c r="S322" s="133"/>
      <c r="T322" s="116">
        <f t="shared" si="64"/>
        <v>0</v>
      </c>
      <c r="U322" s="116">
        <f t="shared" si="65"/>
        <v>0</v>
      </c>
      <c r="V322" s="116">
        <f t="shared" si="66"/>
        <v>0</v>
      </c>
      <c r="W322" s="116">
        <f t="shared" si="67"/>
        <v>0</v>
      </c>
      <c r="X322" s="116">
        <f t="shared" si="60"/>
        <v>0</v>
      </c>
      <c r="Y322" s="116">
        <f t="shared" si="61"/>
        <v>0</v>
      </c>
      <c r="Z322" s="116">
        <f t="shared" si="68"/>
        <v>4071.31</v>
      </c>
      <c r="AA322" s="116">
        <f t="shared" si="69"/>
        <v>1062.47</v>
      </c>
      <c r="AB322" s="116">
        <f t="shared" si="70"/>
        <v>0</v>
      </c>
      <c r="AC322" s="116">
        <f t="shared" si="71"/>
        <v>0</v>
      </c>
      <c r="AD322" s="116">
        <f t="shared" si="72"/>
        <v>0</v>
      </c>
      <c r="AE322" s="116">
        <f t="shared" si="73"/>
        <v>0</v>
      </c>
    </row>
    <row r="323" spans="1:31">
      <c r="A323" s="131">
        <v>42559</v>
      </c>
      <c r="B323" s="131">
        <v>42590</v>
      </c>
      <c r="C323" s="123">
        <f t="shared" si="63"/>
        <v>31</v>
      </c>
      <c r="D323" s="132">
        <v>429.6</v>
      </c>
      <c r="E323" s="134"/>
      <c r="F323" s="135"/>
      <c r="G323" s="123"/>
      <c r="H323" s="123"/>
      <c r="I323" s="123"/>
      <c r="J323" s="123"/>
      <c r="K323" s="123"/>
      <c r="L323" s="123">
        <v>24</v>
      </c>
      <c r="M323" s="123">
        <v>7</v>
      </c>
      <c r="N323" s="123"/>
      <c r="O323" s="123"/>
      <c r="P323" s="123"/>
      <c r="Q323" s="123"/>
      <c r="R323" s="133">
        <f t="shared" si="62"/>
        <v>0</v>
      </c>
      <c r="S323" s="133"/>
      <c r="T323" s="116">
        <f t="shared" si="64"/>
        <v>0</v>
      </c>
      <c r="U323" s="116">
        <f t="shared" si="65"/>
        <v>0</v>
      </c>
      <c r="V323" s="116">
        <f t="shared" si="66"/>
        <v>0</v>
      </c>
      <c r="W323" s="116">
        <f t="shared" si="67"/>
        <v>0</v>
      </c>
      <c r="X323" s="116">
        <f t="shared" si="60"/>
        <v>0</v>
      </c>
      <c r="Y323" s="116">
        <f t="shared" si="61"/>
        <v>0</v>
      </c>
      <c r="Z323" s="116">
        <f t="shared" si="68"/>
        <v>4337.99</v>
      </c>
      <c r="AA323" s="116">
        <f t="shared" si="69"/>
        <v>1132.06</v>
      </c>
      <c r="AB323" s="116">
        <f t="shared" si="70"/>
        <v>0</v>
      </c>
      <c r="AC323" s="116">
        <f t="shared" si="71"/>
        <v>0</v>
      </c>
      <c r="AD323" s="116">
        <f t="shared" si="72"/>
        <v>0</v>
      </c>
      <c r="AE323" s="116">
        <f t="shared" si="73"/>
        <v>0</v>
      </c>
    </row>
    <row r="324" spans="1:31">
      <c r="A324" s="131">
        <v>42559</v>
      </c>
      <c r="B324" s="131">
        <v>42590</v>
      </c>
      <c r="C324" s="123">
        <f t="shared" si="63"/>
        <v>31</v>
      </c>
      <c r="D324" s="132">
        <v>348.87</v>
      </c>
      <c r="E324" s="134"/>
      <c r="F324" s="135"/>
      <c r="G324" s="123"/>
      <c r="H324" s="123"/>
      <c r="I324" s="123"/>
      <c r="J324" s="123"/>
      <c r="K324" s="123"/>
      <c r="L324" s="123">
        <v>24</v>
      </c>
      <c r="M324" s="123">
        <v>7</v>
      </c>
      <c r="N324" s="123"/>
      <c r="O324" s="123"/>
      <c r="P324" s="123"/>
      <c r="Q324" s="123"/>
      <c r="R324" s="133">
        <f t="shared" si="62"/>
        <v>0</v>
      </c>
      <c r="S324" s="133"/>
      <c r="T324" s="116">
        <f t="shared" si="64"/>
        <v>0</v>
      </c>
      <c r="U324" s="116">
        <f t="shared" si="65"/>
        <v>0</v>
      </c>
      <c r="V324" s="116">
        <f t="shared" si="66"/>
        <v>0</v>
      </c>
      <c r="W324" s="116">
        <f t="shared" si="67"/>
        <v>0</v>
      </c>
      <c r="X324" s="116">
        <f t="shared" si="60"/>
        <v>0</v>
      </c>
      <c r="Y324" s="116">
        <f t="shared" si="61"/>
        <v>0</v>
      </c>
      <c r="Z324" s="116">
        <f t="shared" si="68"/>
        <v>3522.8</v>
      </c>
      <c r="AA324" s="116">
        <f t="shared" si="69"/>
        <v>919.33</v>
      </c>
      <c r="AB324" s="116">
        <f t="shared" si="70"/>
        <v>0</v>
      </c>
      <c r="AC324" s="116">
        <f t="shared" si="71"/>
        <v>0</v>
      </c>
      <c r="AD324" s="116">
        <f t="shared" si="72"/>
        <v>0</v>
      </c>
      <c r="AE324" s="116">
        <f t="shared" si="73"/>
        <v>0</v>
      </c>
    </row>
    <row r="325" spans="1:31">
      <c r="A325" s="131">
        <v>42559</v>
      </c>
      <c r="B325" s="131">
        <v>42590</v>
      </c>
      <c r="C325" s="123">
        <f t="shared" si="63"/>
        <v>31</v>
      </c>
      <c r="D325" s="132">
        <v>135.30000000000001</v>
      </c>
      <c r="E325" s="134"/>
      <c r="F325" s="135"/>
      <c r="G325" s="123"/>
      <c r="H325" s="123"/>
      <c r="I325" s="123"/>
      <c r="J325" s="123"/>
      <c r="K325" s="123"/>
      <c r="L325" s="123">
        <v>24</v>
      </c>
      <c r="M325" s="123">
        <v>7</v>
      </c>
      <c r="N325" s="123"/>
      <c r="O325" s="123"/>
      <c r="P325" s="123"/>
      <c r="Q325" s="123"/>
      <c r="R325" s="133">
        <f t="shared" si="62"/>
        <v>0</v>
      </c>
      <c r="S325" s="133"/>
      <c r="T325" s="116">
        <f t="shared" si="64"/>
        <v>0</v>
      </c>
      <c r="U325" s="116">
        <f t="shared" si="65"/>
        <v>0</v>
      </c>
      <c r="V325" s="116">
        <f t="shared" si="66"/>
        <v>0</v>
      </c>
      <c r="W325" s="116">
        <f t="shared" si="67"/>
        <v>0</v>
      </c>
      <c r="X325" s="116">
        <f t="shared" si="60"/>
        <v>0</v>
      </c>
      <c r="Y325" s="116">
        <f t="shared" si="61"/>
        <v>0</v>
      </c>
      <c r="Z325" s="116">
        <f t="shared" si="68"/>
        <v>1366.22</v>
      </c>
      <c r="AA325" s="116">
        <f t="shared" si="69"/>
        <v>356.54</v>
      </c>
      <c r="AB325" s="116">
        <f t="shared" si="70"/>
        <v>0</v>
      </c>
      <c r="AC325" s="116">
        <f t="shared" si="71"/>
        <v>0</v>
      </c>
      <c r="AD325" s="116">
        <f t="shared" si="72"/>
        <v>0</v>
      </c>
      <c r="AE325" s="116">
        <f t="shared" si="73"/>
        <v>0</v>
      </c>
    </row>
    <row r="326" spans="1:31">
      <c r="A326" s="131">
        <v>42559</v>
      </c>
      <c r="B326" s="131">
        <v>42590</v>
      </c>
      <c r="C326" s="123">
        <f t="shared" si="63"/>
        <v>31</v>
      </c>
      <c r="D326" s="132">
        <v>257.32</v>
      </c>
      <c r="E326" s="134"/>
      <c r="F326" s="135"/>
      <c r="G326" s="123"/>
      <c r="H326" s="123"/>
      <c r="I326" s="123"/>
      <c r="J326" s="123"/>
      <c r="K326" s="123"/>
      <c r="L326" s="123">
        <v>24</v>
      </c>
      <c r="M326" s="123">
        <v>7</v>
      </c>
      <c r="N326" s="123"/>
      <c r="O326" s="123"/>
      <c r="P326" s="123"/>
      <c r="Q326" s="123"/>
      <c r="R326" s="133">
        <f t="shared" si="62"/>
        <v>0</v>
      </c>
      <c r="S326" s="133"/>
      <c r="T326" s="116">
        <f t="shared" si="64"/>
        <v>0</v>
      </c>
      <c r="U326" s="116">
        <f t="shared" si="65"/>
        <v>0</v>
      </c>
      <c r="V326" s="116">
        <f t="shared" si="66"/>
        <v>0</v>
      </c>
      <c r="W326" s="116">
        <f t="shared" si="67"/>
        <v>0</v>
      </c>
      <c r="X326" s="116">
        <f t="shared" si="60"/>
        <v>0</v>
      </c>
      <c r="Y326" s="116">
        <f t="shared" si="61"/>
        <v>0</v>
      </c>
      <c r="Z326" s="116">
        <f t="shared" si="68"/>
        <v>2598.35</v>
      </c>
      <c r="AA326" s="116">
        <f t="shared" si="69"/>
        <v>678.08</v>
      </c>
      <c r="AB326" s="116">
        <f t="shared" si="70"/>
        <v>0</v>
      </c>
      <c r="AC326" s="116">
        <f t="shared" si="71"/>
        <v>0</v>
      </c>
      <c r="AD326" s="116">
        <f t="shared" si="72"/>
        <v>0</v>
      </c>
      <c r="AE326" s="116">
        <f t="shared" si="73"/>
        <v>0</v>
      </c>
    </row>
    <row r="327" spans="1:31">
      <c r="A327" s="131">
        <v>42563</v>
      </c>
      <c r="B327" s="131">
        <v>42594</v>
      </c>
      <c r="C327" s="123">
        <f t="shared" si="63"/>
        <v>31</v>
      </c>
      <c r="D327" s="132">
        <v>871.81</v>
      </c>
      <c r="E327" s="134"/>
      <c r="F327" s="135"/>
      <c r="G327" s="123"/>
      <c r="H327" s="123"/>
      <c r="I327" s="123"/>
      <c r="J327" s="123"/>
      <c r="K327" s="123"/>
      <c r="L327" s="123">
        <v>20</v>
      </c>
      <c r="M327" s="123">
        <v>11</v>
      </c>
      <c r="N327" s="123"/>
      <c r="O327" s="123"/>
      <c r="P327" s="123"/>
      <c r="Q327" s="123"/>
      <c r="R327" s="133">
        <f t="shared" si="62"/>
        <v>0</v>
      </c>
      <c r="S327" s="133"/>
      <c r="T327" s="116">
        <f t="shared" si="64"/>
        <v>0</v>
      </c>
      <c r="U327" s="116">
        <f t="shared" si="65"/>
        <v>0</v>
      </c>
      <c r="V327" s="116">
        <f t="shared" si="66"/>
        <v>0</v>
      </c>
      <c r="W327" s="116">
        <f t="shared" si="67"/>
        <v>0</v>
      </c>
      <c r="X327" s="116">
        <f t="shared" si="60"/>
        <v>0</v>
      </c>
      <c r="Y327" s="116">
        <f t="shared" si="61"/>
        <v>0</v>
      </c>
      <c r="Z327" s="116">
        <f t="shared" si="68"/>
        <v>7336.09</v>
      </c>
      <c r="AA327" s="116">
        <f t="shared" si="69"/>
        <v>3610.13</v>
      </c>
      <c r="AB327" s="116">
        <f t="shared" si="70"/>
        <v>0</v>
      </c>
      <c r="AC327" s="116">
        <f t="shared" si="71"/>
        <v>0</v>
      </c>
      <c r="AD327" s="116">
        <f t="shared" si="72"/>
        <v>0</v>
      </c>
      <c r="AE327" s="116">
        <f t="shared" si="73"/>
        <v>0</v>
      </c>
    </row>
    <row r="328" spans="1:31">
      <c r="A328" s="131">
        <v>42552</v>
      </c>
      <c r="B328" s="131">
        <v>42583</v>
      </c>
      <c r="C328" s="123">
        <f t="shared" si="63"/>
        <v>31</v>
      </c>
      <c r="D328" s="132">
        <v>24932.13</v>
      </c>
      <c r="E328" s="134"/>
      <c r="F328" s="135"/>
      <c r="G328" s="123"/>
      <c r="H328" s="123"/>
      <c r="I328" s="123"/>
      <c r="J328" s="123"/>
      <c r="K328" s="123"/>
      <c r="L328" s="123">
        <v>31</v>
      </c>
      <c r="M328" s="123"/>
      <c r="N328" s="123"/>
      <c r="O328" s="123"/>
      <c r="P328" s="123"/>
      <c r="Q328" s="123"/>
      <c r="R328" s="133">
        <f t="shared" si="62"/>
        <v>0</v>
      </c>
      <c r="S328" s="133"/>
      <c r="T328" s="116">
        <f t="shared" si="64"/>
        <v>0</v>
      </c>
      <c r="U328" s="116">
        <f t="shared" si="65"/>
        <v>0</v>
      </c>
      <c r="V328" s="116">
        <f t="shared" si="66"/>
        <v>0</v>
      </c>
      <c r="W328" s="116">
        <f t="shared" si="67"/>
        <v>0</v>
      </c>
      <c r="X328" s="116">
        <f t="shared" si="60"/>
        <v>0</v>
      </c>
      <c r="Y328" s="116">
        <f t="shared" si="61"/>
        <v>0</v>
      </c>
      <c r="Z328" s="116">
        <f t="shared" si="68"/>
        <v>325187.56</v>
      </c>
      <c r="AA328" s="116">
        <f t="shared" si="69"/>
        <v>0</v>
      </c>
      <c r="AB328" s="116">
        <f t="shared" si="70"/>
        <v>0</v>
      </c>
      <c r="AC328" s="116">
        <f t="shared" si="71"/>
        <v>0</v>
      </c>
      <c r="AD328" s="116">
        <f t="shared" si="72"/>
        <v>0</v>
      </c>
      <c r="AE328" s="116">
        <f t="shared" si="73"/>
        <v>0</v>
      </c>
    </row>
    <row r="329" spans="1:31">
      <c r="A329" s="131">
        <v>42563</v>
      </c>
      <c r="B329" s="131">
        <v>42594</v>
      </c>
      <c r="C329" s="123">
        <f t="shared" si="63"/>
        <v>31</v>
      </c>
      <c r="D329" s="132">
        <v>1305.3900000000001</v>
      </c>
      <c r="E329" s="134"/>
      <c r="F329" s="135"/>
      <c r="G329" s="123"/>
      <c r="H329" s="123"/>
      <c r="I329" s="123"/>
      <c r="J329" s="123"/>
      <c r="K329" s="123"/>
      <c r="L329" s="123">
        <v>20</v>
      </c>
      <c r="M329" s="123">
        <v>11</v>
      </c>
      <c r="N329" s="123"/>
      <c r="O329" s="123"/>
      <c r="P329" s="123"/>
      <c r="Q329" s="123"/>
      <c r="R329" s="133">
        <f t="shared" si="62"/>
        <v>0</v>
      </c>
      <c r="S329" s="133"/>
      <c r="T329" s="116">
        <f t="shared" si="64"/>
        <v>0</v>
      </c>
      <c r="U329" s="116">
        <f t="shared" si="65"/>
        <v>0</v>
      </c>
      <c r="V329" s="116">
        <f t="shared" si="66"/>
        <v>0</v>
      </c>
      <c r="W329" s="116">
        <f t="shared" si="67"/>
        <v>0</v>
      </c>
      <c r="X329" s="116">
        <f t="shared" si="60"/>
        <v>0</v>
      </c>
      <c r="Y329" s="116">
        <f t="shared" si="61"/>
        <v>0</v>
      </c>
      <c r="Z329" s="116">
        <f t="shared" si="68"/>
        <v>10984.57</v>
      </c>
      <c r="AA329" s="116">
        <f t="shared" si="69"/>
        <v>5405.57</v>
      </c>
      <c r="AB329" s="116">
        <f t="shared" si="70"/>
        <v>0</v>
      </c>
      <c r="AC329" s="116">
        <f t="shared" si="71"/>
        <v>0</v>
      </c>
      <c r="AD329" s="116">
        <f t="shared" si="72"/>
        <v>0</v>
      </c>
      <c r="AE329" s="116">
        <f t="shared" si="73"/>
        <v>0</v>
      </c>
    </row>
    <row r="330" spans="1:31">
      <c r="A330" s="131">
        <v>42563</v>
      </c>
      <c r="B330" s="131">
        <v>42594</v>
      </c>
      <c r="C330" s="123">
        <f t="shared" si="63"/>
        <v>31</v>
      </c>
      <c r="D330" s="132">
        <v>155.24</v>
      </c>
      <c r="E330" s="134"/>
      <c r="F330" s="135"/>
      <c r="G330" s="123"/>
      <c r="H330" s="123"/>
      <c r="I330" s="123"/>
      <c r="J330" s="123"/>
      <c r="K330" s="123"/>
      <c r="L330" s="123">
        <v>20</v>
      </c>
      <c r="M330" s="123">
        <v>11</v>
      </c>
      <c r="N330" s="123"/>
      <c r="O330" s="123"/>
      <c r="P330" s="123"/>
      <c r="Q330" s="123"/>
      <c r="R330" s="133">
        <f t="shared" si="62"/>
        <v>0</v>
      </c>
      <c r="S330" s="133"/>
      <c r="T330" s="116">
        <f t="shared" si="64"/>
        <v>0</v>
      </c>
      <c r="U330" s="116">
        <f t="shared" si="65"/>
        <v>0</v>
      </c>
      <c r="V330" s="116">
        <f t="shared" si="66"/>
        <v>0</v>
      </c>
      <c r="W330" s="116">
        <f t="shared" si="67"/>
        <v>0</v>
      </c>
      <c r="X330" s="116">
        <f t="shared" si="60"/>
        <v>0</v>
      </c>
      <c r="Y330" s="116">
        <f t="shared" si="61"/>
        <v>0</v>
      </c>
      <c r="Z330" s="116">
        <f t="shared" si="68"/>
        <v>1306.31</v>
      </c>
      <c r="AA330" s="116">
        <f t="shared" si="69"/>
        <v>642.84</v>
      </c>
      <c r="AB330" s="116">
        <f t="shared" si="70"/>
        <v>0</v>
      </c>
      <c r="AC330" s="116">
        <f t="shared" si="71"/>
        <v>0</v>
      </c>
      <c r="AD330" s="116">
        <f t="shared" si="72"/>
        <v>0</v>
      </c>
      <c r="AE330" s="116">
        <f t="shared" si="73"/>
        <v>0</v>
      </c>
    </row>
    <row r="331" spans="1:31" ht="15.75" thickBot="1">
      <c r="A331" s="131">
        <v>42552</v>
      </c>
      <c r="B331" s="131">
        <v>42583</v>
      </c>
      <c r="C331" s="123">
        <f t="shared" si="63"/>
        <v>31</v>
      </c>
      <c r="D331" s="132">
        <v>1738.49</v>
      </c>
      <c r="E331" s="134"/>
      <c r="F331" s="135"/>
      <c r="G331" s="123"/>
      <c r="H331" s="123"/>
      <c r="I331" s="123"/>
      <c r="J331" s="123"/>
      <c r="K331" s="123"/>
      <c r="L331" s="123">
        <v>31</v>
      </c>
      <c r="M331" s="123"/>
      <c r="N331" s="123"/>
      <c r="O331" s="123"/>
      <c r="P331" s="123"/>
      <c r="Q331" s="123"/>
      <c r="R331" s="133">
        <f t="shared" si="62"/>
        <v>0</v>
      </c>
      <c r="S331" s="133"/>
      <c r="T331" s="116">
        <f t="shared" si="64"/>
        <v>0</v>
      </c>
      <c r="U331" s="116">
        <f t="shared" si="65"/>
        <v>0</v>
      </c>
      <c r="V331" s="116">
        <f t="shared" si="66"/>
        <v>0</v>
      </c>
      <c r="W331" s="116">
        <f t="shared" si="67"/>
        <v>0</v>
      </c>
      <c r="X331" s="116">
        <f t="shared" si="60"/>
        <v>0</v>
      </c>
      <c r="Y331" s="116">
        <f t="shared" si="61"/>
        <v>0</v>
      </c>
      <c r="Z331" s="116">
        <f t="shared" si="68"/>
        <v>22674.97</v>
      </c>
      <c r="AA331" s="116">
        <f t="shared" si="69"/>
        <v>0</v>
      </c>
      <c r="AB331" s="116">
        <f t="shared" si="70"/>
        <v>0</v>
      </c>
      <c r="AC331" s="116">
        <f t="shared" si="71"/>
        <v>0</v>
      </c>
      <c r="AD331" s="116">
        <f t="shared" si="72"/>
        <v>0</v>
      </c>
      <c r="AE331" s="116">
        <f t="shared" si="73"/>
        <v>0</v>
      </c>
    </row>
    <row r="332" spans="1:31" ht="15.75" thickBot="1">
      <c r="A332" s="194" t="s">
        <v>43</v>
      </c>
      <c r="B332" s="195"/>
      <c r="C332" s="195"/>
      <c r="D332" s="195"/>
      <c r="E332" s="195"/>
      <c r="F332" s="195"/>
      <c r="G332" s="195"/>
      <c r="H332" s="195"/>
      <c r="I332" s="195"/>
      <c r="J332" s="195"/>
      <c r="K332" s="195"/>
      <c r="L332" s="195"/>
      <c r="M332" s="195"/>
      <c r="N332" s="195"/>
      <c r="O332" s="195"/>
      <c r="P332" s="195"/>
      <c r="Q332" s="195"/>
      <c r="R332" s="195"/>
      <c r="S332" s="195"/>
      <c r="T332" s="195"/>
      <c r="U332" s="195"/>
      <c r="V332" s="195"/>
      <c r="W332" s="195"/>
      <c r="X332" s="195"/>
      <c r="Y332" s="195"/>
      <c r="Z332" s="195"/>
      <c r="AA332" s="195"/>
      <c r="AB332" s="195"/>
      <c r="AC332" s="195"/>
      <c r="AD332" s="195"/>
      <c r="AE332" s="196"/>
    </row>
    <row r="333" spans="1:31">
      <c r="A333" s="131">
        <v>42566</v>
      </c>
      <c r="B333" s="131">
        <v>42597</v>
      </c>
      <c r="C333" s="123">
        <f t="shared" si="63"/>
        <v>31</v>
      </c>
      <c r="D333" s="132">
        <v>2884.17</v>
      </c>
      <c r="E333" s="134"/>
      <c r="F333" s="135"/>
      <c r="G333" s="123"/>
      <c r="H333" s="123"/>
      <c r="I333" s="123"/>
      <c r="J333" s="123"/>
      <c r="K333" s="123"/>
      <c r="L333" s="123">
        <v>17</v>
      </c>
      <c r="M333" s="123">
        <v>14</v>
      </c>
      <c r="N333" s="123"/>
      <c r="O333" s="123"/>
      <c r="P333" s="123"/>
      <c r="Q333" s="123"/>
      <c r="R333" s="133">
        <f t="shared" si="62"/>
        <v>0</v>
      </c>
      <c r="S333" s="133"/>
      <c r="T333" s="116">
        <f t="shared" si="64"/>
        <v>0</v>
      </c>
      <c r="U333" s="116">
        <f t="shared" si="65"/>
        <v>0</v>
      </c>
      <c r="V333" s="116">
        <f t="shared" si="66"/>
        <v>0</v>
      </c>
      <c r="W333" s="116">
        <f t="shared" si="67"/>
        <v>0</v>
      </c>
      <c r="X333" s="116">
        <f t="shared" si="60"/>
        <v>0</v>
      </c>
      <c r="Y333" s="116">
        <f t="shared" si="61"/>
        <v>0</v>
      </c>
      <c r="Z333" s="116">
        <f t="shared" si="68"/>
        <v>20629.21</v>
      </c>
      <c r="AA333" s="116">
        <f t="shared" si="69"/>
        <v>15200.47</v>
      </c>
      <c r="AB333" s="116">
        <f t="shared" si="70"/>
        <v>0</v>
      </c>
      <c r="AC333" s="116">
        <f t="shared" si="71"/>
        <v>0</v>
      </c>
      <c r="AD333" s="116">
        <f t="shared" si="72"/>
        <v>0</v>
      </c>
      <c r="AE333" s="116">
        <f t="shared" si="73"/>
        <v>0</v>
      </c>
    </row>
    <row r="334" spans="1:31">
      <c r="A334" s="131">
        <v>42566</v>
      </c>
      <c r="B334" s="131">
        <v>42597</v>
      </c>
      <c r="C334" s="123">
        <f t="shared" si="63"/>
        <v>31</v>
      </c>
      <c r="D334" s="132">
        <v>6680.97</v>
      </c>
      <c r="E334" s="134"/>
      <c r="F334" s="135"/>
      <c r="G334" s="123"/>
      <c r="H334" s="123"/>
      <c r="I334" s="123"/>
      <c r="J334" s="123"/>
      <c r="K334" s="123"/>
      <c r="L334" s="123">
        <v>17</v>
      </c>
      <c r="M334" s="123">
        <v>14</v>
      </c>
      <c r="N334" s="123"/>
      <c r="O334" s="123"/>
      <c r="P334" s="123"/>
      <c r="Q334" s="123"/>
      <c r="R334" s="133">
        <f t="shared" si="62"/>
        <v>0</v>
      </c>
      <c r="S334" s="133"/>
      <c r="T334" s="116">
        <f t="shared" si="64"/>
        <v>0</v>
      </c>
      <c r="U334" s="116">
        <f t="shared" si="65"/>
        <v>0</v>
      </c>
      <c r="V334" s="116">
        <f t="shared" si="66"/>
        <v>0</v>
      </c>
      <c r="W334" s="116">
        <f t="shared" si="67"/>
        <v>0</v>
      </c>
      <c r="X334" s="116">
        <f t="shared" si="60"/>
        <v>0</v>
      </c>
      <c r="Y334" s="116">
        <f t="shared" si="61"/>
        <v>0</v>
      </c>
      <c r="Z334" s="116">
        <f t="shared" si="68"/>
        <v>47786.07</v>
      </c>
      <c r="AA334" s="116">
        <f t="shared" si="69"/>
        <v>35210.79</v>
      </c>
      <c r="AB334" s="116">
        <f t="shared" si="70"/>
        <v>0</v>
      </c>
      <c r="AC334" s="116">
        <f t="shared" si="71"/>
        <v>0</v>
      </c>
      <c r="AD334" s="116">
        <f t="shared" si="72"/>
        <v>0</v>
      </c>
      <c r="AE334" s="116">
        <f t="shared" si="73"/>
        <v>0</v>
      </c>
    </row>
    <row r="335" spans="1:31">
      <c r="A335" s="131">
        <v>42566</v>
      </c>
      <c r="B335" s="131">
        <v>42597</v>
      </c>
      <c r="C335" s="123">
        <f t="shared" si="63"/>
        <v>31</v>
      </c>
      <c r="D335" s="132">
        <v>16357.94</v>
      </c>
      <c r="E335" s="134"/>
      <c r="F335" s="135"/>
      <c r="G335" s="123"/>
      <c r="H335" s="123"/>
      <c r="I335" s="123"/>
      <c r="J335" s="123"/>
      <c r="K335" s="123"/>
      <c r="L335" s="123">
        <v>17</v>
      </c>
      <c r="M335" s="123">
        <v>14</v>
      </c>
      <c r="N335" s="123"/>
      <c r="O335" s="123"/>
      <c r="P335" s="123"/>
      <c r="Q335" s="123"/>
      <c r="R335" s="133">
        <f t="shared" si="62"/>
        <v>0</v>
      </c>
      <c r="S335" s="133"/>
      <c r="T335" s="116">
        <f t="shared" si="64"/>
        <v>0</v>
      </c>
      <c r="U335" s="116">
        <f t="shared" si="65"/>
        <v>0</v>
      </c>
      <c r="V335" s="116">
        <f t="shared" si="66"/>
        <v>0</v>
      </c>
      <c r="W335" s="116">
        <f t="shared" si="67"/>
        <v>0</v>
      </c>
      <c r="X335" s="116">
        <f t="shared" si="60"/>
        <v>0</v>
      </c>
      <c r="Y335" s="116">
        <f t="shared" si="61"/>
        <v>0</v>
      </c>
      <c r="Z335" s="116">
        <f t="shared" si="68"/>
        <v>117001.22</v>
      </c>
      <c r="AA335" s="116">
        <f t="shared" si="69"/>
        <v>86211.42</v>
      </c>
      <c r="AB335" s="116">
        <f t="shared" si="70"/>
        <v>0</v>
      </c>
      <c r="AC335" s="116">
        <f t="shared" si="71"/>
        <v>0</v>
      </c>
      <c r="AD335" s="116">
        <f t="shared" si="72"/>
        <v>0</v>
      </c>
      <c r="AE335" s="116">
        <f t="shared" si="73"/>
        <v>0</v>
      </c>
    </row>
    <row r="336" spans="1:31">
      <c r="A336" s="131">
        <v>42570</v>
      </c>
      <c r="B336" s="131">
        <v>42601</v>
      </c>
      <c r="C336" s="123">
        <f t="shared" si="63"/>
        <v>31</v>
      </c>
      <c r="D336" s="132">
        <v>586.20000000000005</v>
      </c>
      <c r="E336" s="134"/>
      <c r="F336" s="135"/>
      <c r="G336" s="123"/>
      <c r="H336" s="123"/>
      <c r="I336" s="123"/>
      <c r="J336" s="123"/>
      <c r="K336" s="123"/>
      <c r="L336" s="123">
        <v>13</v>
      </c>
      <c r="M336" s="123">
        <v>18</v>
      </c>
      <c r="N336" s="123"/>
      <c r="O336" s="123"/>
      <c r="P336" s="123"/>
      <c r="Q336" s="123"/>
      <c r="R336" s="133">
        <f t="shared" si="62"/>
        <v>0</v>
      </c>
      <c r="S336" s="133"/>
      <c r="T336" s="116">
        <f t="shared" si="64"/>
        <v>0</v>
      </c>
      <c r="U336" s="116">
        <f t="shared" si="65"/>
        <v>0</v>
      </c>
      <c r="V336" s="116">
        <f t="shared" si="66"/>
        <v>0</v>
      </c>
      <c r="W336" s="116">
        <f t="shared" si="67"/>
        <v>0</v>
      </c>
      <c r="X336" s="116">
        <f t="shared" si="60"/>
        <v>0</v>
      </c>
      <c r="Y336" s="116">
        <f t="shared" si="61"/>
        <v>0</v>
      </c>
      <c r="Z336" s="116">
        <f t="shared" si="68"/>
        <v>3206.28</v>
      </c>
      <c r="AA336" s="116">
        <f t="shared" si="69"/>
        <v>3972.16</v>
      </c>
      <c r="AB336" s="116">
        <f t="shared" si="70"/>
        <v>0</v>
      </c>
      <c r="AC336" s="116">
        <f t="shared" si="71"/>
        <v>0</v>
      </c>
      <c r="AD336" s="116">
        <f t="shared" si="72"/>
        <v>0</v>
      </c>
      <c r="AE336" s="116">
        <f t="shared" si="73"/>
        <v>0</v>
      </c>
    </row>
    <row r="337" spans="1:32">
      <c r="A337" s="131">
        <v>42570</v>
      </c>
      <c r="B337" s="131">
        <v>42601</v>
      </c>
      <c r="C337" s="123">
        <f t="shared" si="63"/>
        <v>31</v>
      </c>
      <c r="D337" s="132">
        <v>1589.88</v>
      </c>
      <c r="E337" s="134"/>
      <c r="F337" s="135"/>
      <c r="G337" s="123"/>
      <c r="H337" s="123"/>
      <c r="I337" s="123"/>
      <c r="J337" s="123"/>
      <c r="K337" s="123"/>
      <c r="L337" s="123">
        <v>13</v>
      </c>
      <c r="M337" s="123">
        <v>18</v>
      </c>
      <c r="N337" s="123"/>
      <c r="O337" s="123"/>
      <c r="P337" s="123"/>
      <c r="Q337" s="123"/>
      <c r="R337" s="133">
        <f t="shared" si="62"/>
        <v>0</v>
      </c>
      <c r="S337" s="133"/>
      <c r="T337" s="116">
        <f t="shared" si="64"/>
        <v>0</v>
      </c>
      <c r="U337" s="116">
        <f t="shared" si="65"/>
        <v>0</v>
      </c>
      <c r="V337" s="116">
        <f t="shared" si="66"/>
        <v>0</v>
      </c>
      <c r="W337" s="116">
        <f t="shared" si="67"/>
        <v>0</v>
      </c>
      <c r="X337" s="116">
        <f t="shared" si="60"/>
        <v>0</v>
      </c>
      <c r="Y337" s="116">
        <f t="shared" si="61"/>
        <v>0</v>
      </c>
      <c r="Z337" s="116">
        <f t="shared" si="68"/>
        <v>8696.02</v>
      </c>
      <c r="AA337" s="116">
        <f t="shared" si="69"/>
        <v>10773.21</v>
      </c>
      <c r="AB337" s="116">
        <f t="shared" si="70"/>
        <v>0</v>
      </c>
      <c r="AC337" s="116">
        <f t="shared" si="71"/>
        <v>0</v>
      </c>
      <c r="AD337" s="116">
        <f t="shared" si="72"/>
        <v>0</v>
      </c>
      <c r="AE337" s="116">
        <f t="shared" si="73"/>
        <v>0</v>
      </c>
    </row>
    <row r="338" spans="1:32">
      <c r="A338" s="131">
        <v>42570</v>
      </c>
      <c r="B338" s="131">
        <v>42601</v>
      </c>
      <c r="C338" s="123">
        <f t="shared" si="63"/>
        <v>31</v>
      </c>
      <c r="D338" s="132">
        <v>633.28</v>
      </c>
      <c r="E338" s="134"/>
      <c r="F338" s="135"/>
      <c r="G338" s="123"/>
      <c r="H338" s="123"/>
      <c r="I338" s="123"/>
      <c r="J338" s="123"/>
      <c r="K338" s="123"/>
      <c r="L338" s="123">
        <v>13</v>
      </c>
      <c r="M338" s="123">
        <v>18</v>
      </c>
      <c r="N338" s="123"/>
      <c r="O338" s="123"/>
      <c r="P338" s="123"/>
      <c r="Q338" s="123"/>
      <c r="R338" s="133">
        <f t="shared" si="62"/>
        <v>0</v>
      </c>
      <c r="S338" s="133"/>
      <c r="T338" s="116">
        <f t="shared" si="64"/>
        <v>0</v>
      </c>
      <c r="U338" s="116">
        <f t="shared" si="65"/>
        <v>0</v>
      </c>
      <c r="V338" s="116">
        <f t="shared" si="66"/>
        <v>0</v>
      </c>
      <c r="W338" s="116">
        <f t="shared" si="67"/>
        <v>0</v>
      </c>
      <c r="X338" s="116">
        <f t="shared" si="60"/>
        <v>0</v>
      </c>
      <c r="Y338" s="116">
        <f t="shared" si="61"/>
        <v>0</v>
      </c>
      <c r="Z338" s="116">
        <f t="shared" si="68"/>
        <v>3463.79</v>
      </c>
      <c r="AA338" s="116">
        <f t="shared" si="69"/>
        <v>4291.18</v>
      </c>
      <c r="AB338" s="116">
        <f t="shared" si="70"/>
        <v>0</v>
      </c>
      <c r="AC338" s="116">
        <f t="shared" si="71"/>
        <v>0</v>
      </c>
      <c r="AD338" s="116">
        <f t="shared" si="72"/>
        <v>0</v>
      </c>
      <c r="AE338" s="116">
        <f t="shared" si="73"/>
        <v>0</v>
      </c>
    </row>
    <row r="339" spans="1:32">
      <c r="A339" s="131">
        <v>42573</v>
      </c>
      <c r="B339" s="131">
        <v>42604</v>
      </c>
      <c r="C339" s="123">
        <f t="shared" si="63"/>
        <v>31</v>
      </c>
      <c r="D339" s="132">
        <v>217923.73</v>
      </c>
      <c r="E339" s="134"/>
      <c r="F339" s="135"/>
      <c r="G339" s="123"/>
      <c r="H339" s="123"/>
      <c r="I339" s="123"/>
      <c r="J339" s="123"/>
      <c r="K339" s="123"/>
      <c r="L339" s="123">
        <v>10</v>
      </c>
      <c r="M339" s="123">
        <v>21</v>
      </c>
      <c r="N339" s="123"/>
      <c r="O339" s="123"/>
      <c r="P339" s="123"/>
      <c r="Q339" s="123"/>
      <c r="R339" s="133">
        <f t="shared" si="62"/>
        <v>0</v>
      </c>
      <c r="S339" s="133"/>
      <c r="T339" s="116">
        <f t="shared" si="64"/>
        <v>0</v>
      </c>
      <c r="U339" s="116">
        <f t="shared" si="65"/>
        <v>0</v>
      </c>
      <c r="V339" s="116">
        <f t="shared" si="66"/>
        <v>0</v>
      </c>
      <c r="W339" s="116">
        <f t="shared" si="67"/>
        <v>0</v>
      </c>
      <c r="X339" s="116">
        <f t="shared" si="60"/>
        <v>0</v>
      </c>
      <c r="Y339" s="116">
        <f t="shared" si="61"/>
        <v>0</v>
      </c>
      <c r="Z339" s="116">
        <v>876922.26</v>
      </c>
      <c r="AA339" s="116">
        <v>1753844.53</v>
      </c>
      <c r="AB339" s="116">
        <f t="shared" si="70"/>
        <v>0</v>
      </c>
      <c r="AC339" s="116">
        <f t="shared" si="71"/>
        <v>0</v>
      </c>
      <c r="AD339" s="116">
        <f t="shared" si="72"/>
        <v>0</v>
      </c>
      <c r="AE339" s="116">
        <f t="shared" si="73"/>
        <v>0</v>
      </c>
      <c r="AF339" s="116"/>
    </row>
    <row r="340" spans="1:32">
      <c r="A340" s="131">
        <v>42577</v>
      </c>
      <c r="B340" s="131">
        <v>42608</v>
      </c>
      <c r="C340" s="123">
        <f t="shared" si="63"/>
        <v>31</v>
      </c>
      <c r="D340" s="132">
        <v>1091.28</v>
      </c>
      <c r="E340" s="134"/>
      <c r="F340" s="135"/>
      <c r="G340" s="123"/>
      <c r="H340" s="123"/>
      <c r="I340" s="123"/>
      <c r="J340" s="123"/>
      <c r="K340" s="123"/>
      <c r="L340" s="123">
        <v>6</v>
      </c>
      <c r="M340" s="123">
        <v>25</v>
      </c>
      <c r="N340" s="123"/>
      <c r="O340" s="123"/>
      <c r="P340" s="123"/>
      <c r="Q340" s="123"/>
      <c r="R340" s="133">
        <f t="shared" si="62"/>
        <v>0</v>
      </c>
      <c r="S340" s="133"/>
      <c r="T340" s="116">
        <f t="shared" si="64"/>
        <v>0</v>
      </c>
      <c r="U340" s="116">
        <f t="shared" si="65"/>
        <v>0</v>
      </c>
      <c r="V340" s="116">
        <f t="shared" si="66"/>
        <v>0</v>
      </c>
      <c r="W340" s="116">
        <f t="shared" si="67"/>
        <v>0</v>
      </c>
      <c r="X340" s="116">
        <f t="shared" si="60"/>
        <v>0</v>
      </c>
      <c r="Y340" s="116">
        <f t="shared" si="61"/>
        <v>0</v>
      </c>
      <c r="Z340" s="116">
        <f t="shared" si="68"/>
        <v>2754.86</v>
      </c>
      <c r="AA340" s="116">
        <f t="shared" si="69"/>
        <v>10270.33</v>
      </c>
      <c r="AB340" s="116">
        <f t="shared" si="70"/>
        <v>0</v>
      </c>
      <c r="AC340" s="116">
        <f t="shared" si="71"/>
        <v>0</v>
      </c>
      <c r="AD340" s="116">
        <f t="shared" si="72"/>
        <v>0</v>
      </c>
      <c r="AE340" s="116">
        <f t="shared" si="73"/>
        <v>0</v>
      </c>
    </row>
    <row r="341" spans="1:32">
      <c r="A341" s="131">
        <v>42577</v>
      </c>
      <c r="B341" s="131">
        <v>42608</v>
      </c>
      <c r="C341" s="123">
        <f t="shared" si="63"/>
        <v>31</v>
      </c>
      <c r="D341" s="132">
        <v>1543.76</v>
      </c>
      <c r="E341" s="134"/>
      <c r="F341" s="135"/>
      <c r="G341" s="123"/>
      <c r="H341" s="123"/>
      <c r="I341" s="123"/>
      <c r="J341" s="123"/>
      <c r="K341" s="123"/>
      <c r="L341" s="123">
        <v>6</v>
      </c>
      <c r="M341" s="123">
        <v>25</v>
      </c>
      <c r="N341" s="123"/>
      <c r="O341" s="123"/>
      <c r="P341" s="123"/>
      <c r="Q341" s="123"/>
      <c r="R341" s="133">
        <f t="shared" si="62"/>
        <v>0</v>
      </c>
      <c r="S341" s="133"/>
      <c r="T341" s="116">
        <f t="shared" si="64"/>
        <v>0</v>
      </c>
      <c r="U341" s="116">
        <f t="shared" si="65"/>
        <v>0</v>
      </c>
      <c r="V341" s="116">
        <f t="shared" si="66"/>
        <v>0</v>
      </c>
      <c r="W341" s="116">
        <f t="shared" si="67"/>
        <v>0</v>
      </c>
      <c r="X341" s="116">
        <f t="shared" si="60"/>
        <v>0</v>
      </c>
      <c r="Y341" s="116">
        <f t="shared" si="61"/>
        <v>0</v>
      </c>
      <c r="Z341" s="116">
        <f t="shared" si="68"/>
        <v>3897.12</v>
      </c>
      <c r="AA341" s="116">
        <f t="shared" si="69"/>
        <v>14528.74</v>
      </c>
      <c r="AB341" s="116">
        <f t="shared" si="70"/>
        <v>0</v>
      </c>
      <c r="AC341" s="116">
        <f t="shared" si="71"/>
        <v>0</v>
      </c>
      <c r="AD341" s="116">
        <f t="shared" si="72"/>
        <v>0</v>
      </c>
      <c r="AE341" s="116">
        <f t="shared" si="73"/>
        <v>0</v>
      </c>
    </row>
    <row r="342" spans="1:32">
      <c r="A342" s="131">
        <v>42579</v>
      </c>
      <c r="B342" s="131">
        <v>42610</v>
      </c>
      <c r="C342" s="123">
        <f t="shared" si="63"/>
        <v>31</v>
      </c>
      <c r="D342" s="132">
        <v>1320.98</v>
      </c>
      <c r="E342" s="134"/>
      <c r="F342" s="135"/>
      <c r="G342" s="123"/>
      <c r="H342" s="123"/>
      <c r="I342" s="123"/>
      <c r="J342" s="123"/>
      <c r="K342" s="123"/>
      <c r="L342" s="123">
        <v>4</v>
      </c>
      <c r="M342" s="123">
        <v>27</v>
      </c>
      <c r="N342" s="123"/>
      <c r="O342" s="123"/>
      <c r="P342" s="123"/>
      <c r="Q342" s="123"/>
      <c r="R342" s="133">
        <f t="shared" si="62"/>
        <v>0</v>
      </c>
      <c r="S342" s="133"/>
      <c r="T342" s="116">
        <f t="shared" si="64"/>
        <v>0</v>
      </c>
      <c r="U342" s="116">
        <f t="shared" si="65"/>
        <v>0</v>
      </c>
      <c r="V342" s="116">
        <f t="shared" si="66"/>
        <v>0</v>
      </c>
      <c r="W342" s="116">
        <f t="shared" si="67"/>
        <v>0</v>
      </c>
      <c r="X342" s="116">
        <f t="shared" si="60"/>
        <v>0</v>
      </c>
      <c r="Y342" s="116">
        <f t="shared" si="61"/>
        <v>0</v>
      </c>
      <c r="Z342" s="116">
        <f t="shared" si="68"/>
        <v>2223.15</v>
      </c>
      <c r="AA342" s="116">
        <f t="shared" si="69"/>
        <v>13426.67</v>
      </c>
      <c r="AB342" s="116">
        <f t="shared" si="70"/>
        <v>0</v>
      </c>
      <c r="AC342" s="116">
        <f t="shared" si="71"/>
        <v>0</v>
      </c>
      <c r="AD342" s="116">
        <f t="shared" si="72"/>
        <v>0</v>
      </c>
      <c r="AE342" s="116">
        <f t="shared" si="73"/>
        <v>0</v>
      </c>
    </row>
    <row r="343" spans="1:32">
      <c r="A343" s="131">
        <v>42579</v>
      </c>
      <c r="B343" s="131">
        <v>42610</v>
      </c>
      <c r="C343" s="123">
        <f t="shared" si="63"/>
        <v>31</v>
      </c>
      <c r="D343" s="132">
        <v>1118.5899999999999</v>
      </c>
      <c r="E343" s="134"/>
      <c r="F343" s="135"/>
      <c r="G343" s="123"/>
      <c r="H343" s="123"/>
      <c r="I343" s="123"/>
      <c r="J343" s="123"/>
      <c r="K343" s="123"/>
      <c r="L343" s="123">
        <v>4</v>
      </c>
      <c r="M343" s="123">
        <v>27</v>
      </c>
      <c r="N343" s="123"/>
      <c r="O343" s="123"/>
      <c r="P343" s="123"/>
      <c r="Q343" s="123"/>
      <c r="R343" s="133">
        <f t="shared" si="62"/>
        <v>0</v>
      </c>
      <c r="S343" s="133"/>
      <c r="T343" s="116">
        <f t="shared" si="64"/>
        <v>0</v>
      </c>
      <c r="U343" s="116">
        <f t="shared" si="65"/>
        <v>0</v>
      </c>
      <c r="V343" s="116">
        <f t="shared" si="66"/>
        <v>0</v>
      </c>
      <c r="W343" s="116">
        <f t="shared" si="67"/>
        <v>0</v>
      </c>
      <c r="X343" s="116">
        <f t="shared" si="60"/>
        <v>0</v>
      </c>
      <c r="Y343" s="116">
        <f t="shared" si="61"/>
        <v>0</v>
      </c>
      <c r="Z343" s="116">
        <f t="shared" si="68"/>
        <v>1882.54</v>
      </c>
      <c r="AA343" s="116">
        <f t="shared" si="69"/>
        <v>11369.54</v>
      </c>
      <c r="AB343" s="116">
        <f t="shared" si="70"/>
        <v>0</v>
      </c>
      <c r="AC343" s="116">
        <f t="shared" si="71"/>
        <v>0</v>
      </c>
      <c r="AD343" s="116">
        <f t="shared" si="72"/>
        <v>0</v>
      </c>
      <c r="AE343" s="116">
        <f t="shared" si="73"/>
        <v>0</v>
      </c>
    </row>
    <row r="344" spans="1:32">
      <c r="A344" s="131">
        <v>42583</v>
      </c>
      <c r="B344" s="131">
        <v>42614</v>
      </c>
      <c r="C344" s="123">
        <f t="shared" si="63"/>
        <v>31</v>
      </c>
      <c r="D344" s="132">
        <v>225.44</v>
      </c>
      <c r="E344" s="134"/>
      <c r="F344" s="135"/>
      <c r="G344" s="123"/>
      <c r="H344" s="123"/>
      <c r="I344" s="123"/>
      <c r="J344" s="123"/>
      <c r="K344" s="123"/>
      <c r="L344" s="123"/>
      <c r="M344" s="123">
        <v>31</v>
      </c>
      <c r="N344" s="123"/>
      <c r="O344" s="123"/>
      <c r="P344" s="123"/>
      <c r="Q344" s="123"/>
      <c r="R344" s="133">
        <f t="shared" si="62"/>
        <v>0</v>
      </c>
      <c r="S344" s="133"/>
      <c r="T344" s="116">
        <f t="shared" si="64"/>
        <v>0</v>
      </c>
      <c r="U344" s="116">
        <f t="shared" si="65"/>
        <v>0</v>
      </c>
      <c r="V344" s="116">
        <f t="shared" si="66"/>
        <v>0</v>
      </c>
      <c r="W344" s="116">
        <f t="shared" si="67"/>
        <v>0</v>
      </c>
      <c r="X344" s="116">
        <f t="shared" si="60"/>
        <v>0</v>
      </c>
      <c r="Y344" s="116">
        <f t="shared" si="61"/>
        <v>0</v>
      </c>
      <c r="Z344" s="116">
        <f t="shared" si="68"/>
        <v>0</v>
      </c>
      <c r="AA344" s="116">
        <f t="shared" si="69"/>
        <v>2630.88</v>
      </c>
      <c r="AB344" s="116">
        <f t="shared" si="70"/>
        <v>0</v>
      </c>
      <c r="AC344" s="116">
        <f t="shared" si="71"/>
        <v>0</v>
      </c>
      <c r="AD344" s="116">
        <f t="shared" si="72"/>
        <v>0</v>
      </c>
      <c r="AE344" s="116">
        <f t="shared" si="73"/>
        <v>0</v>
      </c>
    </row>
    <row r="345" spans="1:32">
      <c r="A345" s="131">
        <v>42579</v>
      </c>
      <c r="B345" s="131">
        <v>42611</v>
      </c>
      <c r="C345" s="123">
        <f t="shared" si="63"/>
        <v>32</v>
      </c>
      <c r="D345" s="132">
        <v>6008.43</v>
      </c>
      <c r="E345" s="134"/>
      <c r="F345" s="135"/>
      <c r="G345" s="123"/>
      <c r="H345" s="123"/>
      <c r="I345" s="123"/>
      <c r="J345" s="123"/>
      <c r="K345" s="123"/>
      <c r="L345" s="123">
        <v>4</v>
      </c>
      <c r="M345" s="123">
        <v>28</v>
      </c>
      <c r="N345" s="123"/>
      <c r="O345" s="123"/>
      <c r="P345" s="123"/>
      <c r="Q345" s="123"/>
      <c r="R345" s="133">
        <f t="shared" si="62"/>
        <v>0</v>
      </c>
      <c r="S345" s="133"/>
      <c r="T345" s="116">
        <f t="shared" si="64"/>
        <v>0</v>
      </c>
      <c r="U345" s="116">
        <f t="shared" si="65"/>
        <v>0</v>
      </c>
      <c r="V345" s="116">
        <f t="shared" si="66"/>
        <v>0</v>
      </c>
      <c r="W345" s="116">
        <f t="shared" si="67"/>
        <v>0</v>
      </c>
      <c r="X345" s="116">
        <f t="shared" si="60"/>
        <v>0</v>
      </c>
      <c r="Y345" s="116">
        <f t="shared" si="61"/>
        <v>0</v>
      </c>
      <c r="Z345" s="116">
        <f>79189.25-AA345</f>
        <v>9898.6600000000035</v>
      </c>
      <c r="AA345" s="116">
        <v>69290.59</v>
      </c>
      <c r="AB345" s="116">
        <f t="shared" si="70"/>
        <v>0</v>
      </c>
      <c r="AC345" s="116">
        <f t="shared" si="71"/>
        <v>0</v>
      </c>
      <c r="AD345" s="116">
        <f t="shared" si="72"/>
        <v>0</v>
      </c>
      <c r="AE345" s="116">
        <f t="shared" si="73"/>
        <v>0</v>
      </c>
    </row>
    <row r="346" spans="1:32">
      <c r="A346" s="131">
        <v>42583</v>
      </c>
      <c r="B346" s="131">
        <v>42614</v>
      </c>
      <c r="C346" s="123">
        <f t="shared" si="63"/>
        <v>31</v>
      </c>
      <c r="D346" s="132">
        <v>165843.53</v>
      </c>
      <c r="E346" s="134"/>
      <c r="F346" s="135"/>
      <c r="G346" s="123"/>
      <c r="H346" s="123"/>
      <c r="I346" s="123"/>
      <c r="J346" s="123"/>
      <c r="K346" s="123"/>
      <c r="L346" s="123"/>
      <c r="M346" s="123">
        <v>31</v>
      </c>
      <c r="N346" s="123"/>
      <c r="O346" s="123"/>
      <c r="P346" s="123"/>
      <c r="Q346" s="123"/>
      <c r="R346" s="133">
        <f t="shared" si="62"/>
        <v>0</v>
      </c>
      <c r="S346" s="133"/>
      <c r="T346" s="116">
        <f t="shared" si="64"/>
        <v>0</v>
      </c>
      <c r="U346" s="116">
        <f t="shared" si="65"/>
        <v>0</v>
      </c>
      <c r="V346" s="116">
        <f t="shared" si="66"/>
        <v>0</v>
      </c>
      <c r="W346" s="116">
        <f t="shared" si="67"/>
        <v>0</v>
      </c>
      <c r="X346" s="116">
        <f t="shared" si="60"/>
        <v>0</v>
      </c>
      <c r="Y346" s="116">
        <f t="shared" si="61"/>
        <v>0</v>
      </c>
      <c r="Z346" s="116">
        <f t="shared" si="68"/>
        <v>0</v>
      </c>
      <c r="AA346" s="116">
        <f t="shared" si="69"/>
        <v>1935389.54</v>
      </c>
      <c r="AB346" s="116">
        <f t="shared" si="70"/>
        <v>0</v>
      </c>
      <c r="AC346" s="116">
        <f t="shared" si="71"/>
        <v>0</v>
      </c>
      <c r="AD346" s="116">
        <f t="shared" si="72"/>
        <v>0</v>
      </c>
      <c r="AE346" s="116">
        <f t="shared" si="73"/>
        <v>0</v>
      </c>
    </row>
    <row r="347" spans="1:32">
      <c r="A347" s="131">
        <v>42583</v>
      </c>
      <c r="B347" s="131">
        <v>42614</v>
      </c>
      <c r="C347" s="123">
        <f t="shared" si="63"/>
        <v>31</v>
      </c>
      <c r="D347" s="132">
        <v>4921.3500000000004</v>
      </c>
      <c r="E347" s="134"/>
      <c r="F347" s="135"/>
      <c r="G347" s="123"/>
      <c r="H347" s="123"/>
      <c r="I347" s="123"/>
      <c r="J347" s="123"/>
      <c r="K347" s="123"/>
      <c r="L347" s="123"/>
      <c r="M347" s="123">
        <v>31</v>
      </c>
      <c r="N347" s="123"/>
      <c r="O347" s="123"/>
      <c r="P347" s="123"/>
      <c r="Q347" s="123"/>
      <c r="R347" s="133">
        <f t="shared" si="62"/>
        <v>0</v>
      </c>
      <c r="S347" s="133"/>
      <c r="T347" s="116">
        <f t="shared" si="64"/>
        <v>0</v>
      </c>
      <c r="U347" s="116">
        <f t="shared" si="65"/>
        <v>0</v>
      </c>
      <c r="V347" s="116">
        <f t="shared" si="66"/>
        <v>0</v>
      </c>
      <c r="W347" s="116">
        <f t="shared" si="67"/>
        <v>0</v>
      </c>
      <c r="X347" s="116">
        <f t="shared" si="60"/>
        <v>0</v>
      </c>
      <c r="Y347" s="116">
        <f t="shared" si="61"/>
        <v>0</v>
      </c>
      <c r="Z347" s="116">
        <f t="shared" si="68"/>
        <v>0</v>
      </c>
      <c r="AA347" s="116">
        <f t="shared" si="69"/>
        <v>57432.02</v>
      </c>
      <c r="AB347" s="116">
        <f t="shared" si="70"/>
        <v>0</v>
      </c>
      <c r="AC347" s="116">
        <f t="shared" si="71"/>
        <v>0</v>
      </c>
      <c r="AD347" s="116">
        <f t="shared" si="72"/>
        <v>0</v>
      </c>
      <c r="AE347" s="116">
        <f t="shared" si="73"/>
        <v>0</v>
      </c>
    </row>
    <row r="348" spans="1:32">
      <c r="A348" s="131">
        <v>42583</v>
      </c>
      <c r="B348" s="131">
        <v>42614</v>
      </c>
      <c r="C348" s="123">
        <f t="shared" si="63"/>
        <v>31</v>
      </c>
      <c r="D348" s="132">
        <v>32.520000000000003</v>
      </c>
      <c r="E348" s="134"/>
      <c r="F348" s="135"/>
      <c r="G348" s="123"/>
      <c r="H348" s="123"/>
      <c r="I348" s="123"/>
      <c r="J348" s="123"/>
      <c r="K348" s="123"/>
      <c r="L348" s="123"/>
      <c r="M348" s="123">
        <v>31</v>
      </c>
      <c r="N348" s="123"/>
      <c r="O348" s="123"/>
      <c r="P348" s="123"/>
      <c r="Q348" s="123"/>
      <c r="R348" s="133">
        <f t="shared" si="62"/>
        <v>0</v>
      </c>
      <c r="S348" s="133"/>
      <c r="T348" s="116">
        <f t="shared" si="64"/>
        <v>0</v>
      </c>
      <c r="U348" s="116">
        <f t="shared" si="65"/>
        <v>0</v>
      </c>
      <c r="V348" s="116">
        <f t="shared" si="66"/>
        <v>0</v>
      </c>
      <c r="W348" s="116">
        <f t="shared" si="67"/>
        <v>0</v>
      </c>
      <c r="X348" s="116">
        <f t="shared" si="60"/>
        <v>0</v>
      </c>
      <c r="Y348" s="116">
        <f t="shared" si="61"/>
        <v>0</v>
      </c>
      <c r="Z348" s="116">
        <f t="shared" si="68"/>
        <v>0</v>
      </c>
      <c r="AA348" s="116">
        <f t="shared" si="69"/>
        <v>379.51</v>
      </c>
      <c r="AB348" s="116">
        <f t="shared" si="70"/>
        <v>0</v>
      </c>
      <c r="AC348" s="116">
        <f t="shared" si="71"/>
        <v>0</v>
      </c>
      <c r="AD348" s="116">
        <f t="shared" si="72"/>
        <v>0</v>
      </c>
      <c r="AE348" s="116">
        <f t="shared" si="73"/>
        <v>0</v>
      </c>
    </row>
    <row r="349" spans="1:32">
      <c r="A349" s="131">
        <v>42583</v>
      </c>
      <c r="B349" s="131">
        <v>42614</v>
      </c>
      <c r="C349" s="123">
        <f t="shared" si="63"/>
        <v>31</v>
      </c>
      <c r="D349" s="132">
        <v>58623.75</v>
      </c>
      <c r="E349" s="134"/>
      <c r="F349" s="135"/>
      <c r="G349" s="123"/>
      <c r="H349" s="123"/>
      <c r="I349" s="123"/>
      <c r="J349" s="123"/>
      <c r="K349" s="123"/>
      <c r="L349" s="123"/>
      <c r="M349" s="123">
        <v>31</v>
      </c>
      <c r="N349" s="123"/>
      <c r="O349" s="123"/>
      <c r="P349" s="123"/>
      <c r="Q349" s="123"/>
      <c r="R349" s="133">
        <f t="shared" si="62"/>
        <v>0</v>
      </c>
      <c r="S349" s="133"/>
      <c r="T349" s="116">
        <f t="shared" si="64"/>
        <v>0</v>
      </c>
      <c r="U349" s="116">
        <f t="shared" si="65"/>
        <v>0</v>
      </c>
      <c r="V349" s="116">
        <f t="shared" si="66"/>
        <v>0</v>
      </c>
      <c r="W349" s="116">
        <f t="shared" si="67"/>
        <v>0</v>
      </c>
      <c r="X349" s="116">
        <f t="shared" si="60"/>
        <v>0</v>
      </c>
      <c r="Y349" s="116">
        <f t="shared" si="61"/>
        <v>0</v>
      </c>
      <c r="Z349" s="116">
        <f t="shared" si="68"/>
        <v>0</v>
      </c>
      <c r="AA349" s="116">
        <f t="shared" si="69"/>
        <v>684137.59</v>
      </c>
      <c r="AB349" s="116">
        <f t="shared" si="70"/>
        <v>0</v>
      </c>
      <c r="AC349" s="116">
        <f t="shared" si="71"/>
        <v>0</v>
      </c>
      <c r="AD349" s="116">
        <f t="shared" si="72"/>
        <v>0</v>
      </c>
      <c r="AE349" s="116">
        <f t="shared" si="73"/>
        <v>0</v>
      </c>
    </row>
    <row r="350" spans="1:32">
      <c r="A350" s="131">
        <v>42587</v>
      </c>
      <c r="B350" s="131">
        <v>42618</v>
      </c>
      <c r="C350" s="123">
        <f t="shared" si="63"/>
        <v>31</v>
      </c>
      <c r="D350" s="132">
        <v>1242.9000000000001</v>
      </c>
      <c r="E350" s="134"/>
      <c r="F350" s="135"/>
      <c r="G350" s="123"/>
      <c r="H350" s="123"/>
      <c r="I350" s="123"/>
      <c r="J350" s="123"/>
      <c r="K350" s="123"/>
      <c r="L350" s="123"/>
      <c r="M350" s="123">
        <v>27</v>
      </c>
      <c r="N350" s="123">
        <v>4</v>
      </c>
      <c r="O350" s="123"/>
      <c r="P350" s="123"/>
      <c r="Q350" s="123"/>
      <c r="R350" s="133">
        <f t="shared" si="62"/>
        <v>0</v>
      </c>
      <c r="S350" s="133"/>
      <c r="T350" s="116">
        <f t="shared" si="64"/>
        <v>0</v>
      </c>
      <c r="U350" s="116">
        <f t="shared" si="65"/>
        <v>0</v>
      </c>
      <c r="V350" s="116">
        <f t="shared" si="66"/>
        <v>0</v>
      </c>
      <c r="W350" s="116">
        <f t="shared" si="67"/>
        <v>0</v>
      </c>
      <c r="X350" s="116">
        <f t="shared" ref="X350:X416" si="74">ROUND(($D350*$J350/$C350)/$C$10,2)</f>
        <v>0</v>
      </c>
      <c r="Y350" s="116">
        <f t="shared" ref="Y350:Y416" si="75">ROUND(($D350*$K350/$C350)/$C$11,2)</f>
        <v>0</v>
      </c>
      <c r="Z350" s="116">
        <f t="shared" si="68"/>
        <v>0</v>
      </c>
      <c r="AA350" s="116">
        <f t="shared" si="69"/>
        <v>12633.05</v>
      </c>
      <c r="AB350" s="116">
        <f t="shared" si="70"/>
        <v>2271.59</v>
      </c>
      <c r="AC350" s="116">
        <f t="shared" si="71"/>
        <v>0</v>
      </c>
      <c r="AD350" s="116">
        <f t="shared" si="72"/>
        <v>0</v>
      </c>
      <c r="AE350" s="116">
        <f t="shared" si="73"/>
        <v>0</v>
      </c>
    </row>
    <row r="351" spans="1:32">
      <c r="A351" s="131">
        <v>42583</v>
      </c>
      <c r="B351" s="131">
        <v>42614</v>
      </c>
      <c r="C351" s="123">
        <f t="shared" si="63"/>
        <v>31</v>
      </c>
      <c r="D351" s="132">
        <v>3524.09</v>
      </c>
      <c r="E351" s="134"/>
      <c r="F351" s="135"/>
      <c r="G351" s="123"/>
      <c r="H351" s="123"/>
      <c r="I351" s="123"/>
      <c r="J351" s="123"/>
      <c r="K351" s="123"/>
      <c r="L351" s="123"/>
      <c r="M351" s="123">
        <v>31</v>
      </c>
      <c r="N351" s="123"/>
      <c r="O351" s="123"/>
      <c r="P351" s="123"/>
      <c r="Q351" s="123"/>
      <c r="R351" s="133">
        <f t="shared" ref="R351:R417" si="76">C351-SUM(F351:Q351)</f>
        <v>0</v>
      </c>
      <c r="S351" s="133"/>
      <c r="T351" s="116">
        <f t="shared" si="64"/>
        <v>0</v>
      </c>
      <c r="U351" s="116">
        <f t="shared" si="65"/>
        <v>0</v>
      </c>
      <c r="V351" s="116">
        <f t="shared" si="66"/>
        <v>0</v>
      </c>
      <c r="W351" s="116">
        <f t="shared" si="67"/>
        <v>0</v>
      </c>
      <c r="X351" s="116">
        <f t="shared" si="74"/>
        <v>0</v>
      </c>
      <c r="Y351" s="116">
        <f t="shared" si="75"/>
        <v>0</v>
      </c>
      <c r="Z351" s="116">
        <f t="shared" si="68"/>
        <v>0</v>
      </c>
      <c r="AA351" s="116">
        <f t="shared" si="69"/>
        <v>41126.04</v>
      </c>
      <c r="AB351" s="116">
        <f t="shared" si="70"/>
        <v>0</v>
      </c>
      <c r="AC351" s="116">
        <f t="shared" si="71"/>
        <v>0</v>
      </c>
      <c r="AD351" s="116">
        <f t="shared" si="72"/>
        <v>0</v>
      </c>
      <c r="AE351" s="116">
        <f t="shared" si="73"/>
        <v>0</v>
      </c>
    </row>
    <row r="352" spans="1:32">
      <c r="A352" s="131">
        <v>42583</v>
      </c>
      <c r="B352" s="131">
        <v>42614</v>
      </c>
      <c r="C352" s="123">
        <f t="shared" si="63"/>
        <v>31</v>
      </c>
      <c r="D352" s="132">
        <v>2626.58</v>
      </c>
      <c r="E352" s="134"/>
      <c r="F352" s="135"/>
      <c r="G352" s="123"/>
      <c r="H352" s="123"/>
      <c r="I352" s="123"/>
      <c r="J352" s="123"/>
      <c r="K352" s="123"/>
      <c r="L352" s="123"/>
      <c r="M352" s="123">
        <v>31</v>
      </c>
      <c r="N352" s="123"/>
      <c r="O352" s="123"/>
      <c r="P352" s="123"/>
      <c r="Q352" s="123"/>
      <c r="R352" s="133">
        <f t="shared" si="76"/>
        <v>0</v>
      </c>
      <c r="S352" s="133"/>
      <c r="T352" s="116">
        <f t="shared" si="64"/>
        <v>0</v>
      </c>
      <c r="U352" s="116">
        <f t="shared" si="65"/>
        <v>0</v>
      </c>
      <c r="V352" s="116">
        <f t="shared" si="66"/>
        <v>0</v>
      </c>
      <c r="W352" s="116">
        <f t="shared" si="67"/>
        <v>0</v>
      </c>
      <c r="X352" s="116">
        <f t="shared" si="74"/>
        <v>0</v>
      </c>
      <c r="Y352" s="116">
        <f t="shared" si="75"/>
        <v>0</v>
      </c>
      <c r="Z352" s="116">
        <f t="shared" si="68"/>
        <v>0</v>
      </c>
      <c r="AA352" s="116">
        <f t="shared" si="69"/>
        <v>30652.12</v>
      </c>
      <c r="AB352" s="116">
        <f t="shared" si="70"/>
        <v>0</v>
      </c>
      <c r="AC352" s="116">
        <f t="shared" si="71"/>
        <v>0</v>
      </c>
      <c r="AD352" s="116">
        <f t="shared" si="72"/>
        <v>0</v>
      </c>
      <c r="AE352" s="116">
        <f t="shared" si="73"/>
        <v>0</v>
      </c>
    </row>
    <row r="353" spans="1:31">
      <c r="A353" s="131">
        <v>42585</v>
      </c>
      <c r="B353" s="131">
        <v>42616</v>
      </c>
      <c r="C353" s="123">
        <f t="shared" si="63"/>
        <v>31</v>
      </c>
      <c r="D353" s="132">
        <v>1151.47</v>
      </c>
      <c r="E353" s="134"/>
      <c r="F353" s="135"/>
      <c r="G353" s="123"/>
      <c r="H353" s="123"/>
      <c r="I353" s="123"/>
      <c r="J353" s="123"/>
      <c r="K353" s="123"/>
      <c r="L353" s="123"/>
      <c r="M353" s="123">
        <v>29</v>
      </c>
      <c r="N353" s="123">
        <v>2</v>
      </c>
      <c r="O353" s="123"/>
      <c r="P353" s="123"/>
      <c r="Q353" s="123"/>
      <c r="R353" s="133">
        <f t="shared" si="76"/>
        <v>0</v>
      </c>
      <c r="S353" s="133"/>
      <c r="T353" s="116">
        <f t="shared" si="64"/>
        <v>0</v>
      </c>
      <c r="U353" s="116">
        <f t="shared" si="65"/>
        <v>0</v>
      </c>
      <c r="V353" s="116">
        <f t="shared" si="66"/>
        <v>0</v>
      </c>
      <c r="W353" s="116">
        <f t="shared" si="67"/>
        <v>0</v>
      </c>
      <c r="X353" s="116">
        <f t="shared" si="74"/>
        <v>0</v>
      </c>
      <c r="Y353" s="116">
        <f t="shared" si="75"/>
        <v>0</v>
      </c>
      <c r="Z353" s="116">
        <f t="shared" si="68"/>
        <v>0</v>
      </c>
      <c r="AA353" s="116">
        <f t="shared" si="69"/>
        <v>12570.68</v>
      </c>
      <c r="AB353" s="116">
        <f t="shared" si="70"/>
        <v>1052.24</v>
      </c>
      <c r="AC353" s="116">
        <f t="shared" si="71"/>
        <v>0</v>
      </c>
      <c r="AD353" s="116">
        <f t="shared" si="72"/>
        <v>0</v>
      </c>
      <c r="AE353" s="116">
        <f t="shared" si="73"/>
        <v>0</v>
      </c>
    </row>
    <row r="354" spans="1:31">
      <c r="A354" s="131">
        <v>42585</v>
      </c>
      <c r="B354" s="131">
        <v>42616</v>
      </c>
      <c r="C354" s="123">
        <f t="shared" si="63"/>
        <v>31</v>
      </c>
      <c r="D354" s="132">
        <v>678.84</v>
      </c>
      <c r="E354" s="134"/>
      <c r="F354" s="135"/>
      <c r="G354" s="123"/>
      <c r="H354" s="123"/>
      <c r="I354" s="123"/>
      <c r="J354" s="123"/>
      <c r="K354" s="123"/>
      <c r="L354" s="123"/>
      <c r="M354" s="123">
        <v>29</v>
      </c>
      <c r="N354" s="123">
        <v>2</v>
      </c>
      <c r="O354" s="123"/>
      <c r="P354" s="123"/>
      <c r="Q354" s="123"/>
      <c r="R354" s="133">
        <f t="shared" si="76"/>
        <v>0</v>
      </c>
      <c r="S354" s="133"/>
      <c r="T354" s="116">
        <f t="shared" si="64"/>
        <v>0</v>
      </c>
      <c r="U354" s="116">
        <f t="shared" si="65"/>
        <v>0</v>
      </c>
      <c r="V354" s="116">
        <f t="shared" si="66"/>
        <v>0</v>
      </c>
      <c r="W354" s="116">
        <f t="shared" si="67"/>
        <v>0</v>
      </c>
      <c r="X354" s="116">
        <f t="shared" si="74"/>
        <v>0</v>
      </c>
      <c r="Y354" s="116">
        <f t="shared" si="75"/>
        <v>0</v>
      </c>
      <c r="Z354" s="116">
        <f t="shared" si="68"/>
        <v>0</v>
      </c>
      <c r="AA354" s="116">
        <f t="shared" si="69"/>
        <v>7410.94</v>
      </c>
      <c r="AB354" s="116">
        <f t="shared" si="70"/>
        <v>620.34</v>
      </c>
      <c r="AC354" s="116">
        <f t="shared" si="71"/>
        <v>0</v>
      </c>
      <c r="AD354" s="116">
        <f t="shared" si="72"/>
        <v>0</v>
      </c>
      <c r="AE354" s="116">
        <f t="shared" si="73"/>
        <v>0</v>
      </c>
    </row>
    <row r="355" spans="1:31">
      <c r="A355" s="131">
        <v>42585</v>
      </c>
      <c r="B355" s="131">
        <v>42616</v>
      </c>
      <c r="C355" s="123">
        <f t="shared" si="63"/>
        <v>31</v>
      </c>
      <c r="D355" s="132">
        <v>1500.71</v>
      </c>
      <c r="E355" s="134"/>
      <c r="F355" s="135"/>
      <c r="G355" s="123"/>
      <c r="H355" s="123"/>
      <c r="I355" s="123"/>
      <c r="J355" s="123"/>
      <c r="K355" s="123"/>
      <c r="L355" s="123"/>
      <c r="M355" s="123">
        <v>29</v>
      </c>
      <c r="N355" s="123">
        <v>2</v>
      </c>
      <c r="O355" s="123"/>
      <c r="P355" s="123"/>
      <c r="Q355" s="123"/>
      <c r="R355" s="133">
        <f t="shared" si="76"/>
        <v>0</v>
      </c>
      <c r="S355" s="133"/>
      <c r="T355" s="116">
        <f t="shared" si="64"/>
        <v>0</v>
      </c>
      <c r="U355" s="116">
        <f t="shared" si="65"/>
        <v>0</v>
      </c>
      <c r="V355" s="116">
        <f t="shared" si="66"/>
        <v>0</v>
      </c>
      <c r="W355" s="116">
        <f t="shared" si="67"/>
        <v>0</v>
      </c>
      <c r="X355" s="116">
        <f t="shared" si="74"/>
        <v>0</v>
      </c>
      <c r="Y355" s="116">
        <f t="shared" si="75"/>
        <v>0</v>
      </c>
      <c r="Z355" s="116">
        <f t="shared" si="68"/>
        <v>0</v>
      </c>
      <c r="AA355" s="116">
        <f t="shared" si="69"/>
        <v>16383.36</v>
      </c>
      <c r="AB355" s="116">
        <f t="shared" si="70"/>
        <v>1371.39</v>
      </c>
      <c r="AC355" s="116">
        <f t="shared" si="71"/>
        <v>0</v>
      </c>
      <c r="AD355" s="116">
        <f t="shared" si="72"/>
        <v>0</v>
      </c>
      <c r="AE355" s="116">
        <f t="shared" si="73"/>
        <v>0</v>
      </c>
    </row>
    <row r="356" spans="1:31">
      <c r="A356" s="131">
        <v>42585</v>
      </c>
      <c r="B356" s="131">
        <v>42616</v>
      </c>
      <c r="C356" s="123">
        <f t="shared" si="63"/>
        <v>31</v>
      </c>
      <c r="D356" s="132">
        <v>585.54</v>
      </c>
      <c r="E356" s="134"/>
      <c r="F356" s="135"/>
      <c r="G356" s="123"/>
      <c r="H356" s="123"/>
      <c r="I356" s="123"/>
      <c r="J356" s="123"/>
      <c r="K356" s="123"/>
      <c r="L356" s="123"/>
      <c r="M356" s="123">
        <v>29</v>
      </c>
      <c r="N356" s="123">
        <v>2</v>
      </c>
      <c r="O356" s="123"/>
      <c r="P356" s="123"/>
      <c r="Q356" s="123"/>
      <c r="R356" s="133">
        <f t="shared" si="76"/>
        <v>0</v>
      </c>
      <c r="S356" s="133"/>
      <c r="T356" s="116">
        <f t="shared" si="64"/>
        <v>0</v>
      </c>
      <c r="U356" s="116">
        <f t="shared" si="65"/>
        <v>0</v>
      </c>
      <c r="V356" s="116">
        <f t="shared" si="66"/>
        <v>0</v>
      </c>
      <c r="W356" s="116">
        <f t="shared" si="67"/>
        <v>0</v>
      </c>
      <c r="X356" s="116">
        <f t="shared" si="74"/>
        <v>0</v>
      </c>
      <c r="Y356" s="116">
        <f t="shared" si="75"/>
        <v>0</v>
      </c>
      <c r="Z356" s="116">
        <f t="shared" si="68"/>
        <v>0</v>
      </c>
      <c r="AA356" s="116">
        <f t="shared" si="69"/>
        <v>6392.38</v>
      </c>
      <c r="AB356" s="116">
        <f t="shared" si="70"/>
        <v>535.08000000000004</v>
      </c>
      <c r="AC356" s="116">
        <f t="shared" si="71"/>
        <v>0</v>
      </c>
      <c r="AD356" s="116">
        <f t="shared" si="72"/>
        <v>0</v>
      </c>
      <c r="AE356" s="116">
        <f t="shared" si="73"/>
        <v>0</v>
      </c>
    </row>
    <row r="357" spans="1:31">
      <c r="A357" s="131">
        <v>42590</v>
      </c>
      <c r="B357" s="131">
        <v>42614</v>
      </c>
      <c r="C357" s="123">
        <f t="shared" si="63"/>
        <v>24</v>
      </c>
      <c r="D357" s="132">
        <v>1.08</v>
      </c>
      <c r="E357" s="134"/>
      <c r="F357" s="135"/>
      <c r="G357" s="123"/>
      <c r="H357" s="123"/>
      <c r="I357" s="123"/>
      <c r="J357" s="123"/>
      <c r="K357" s="123"/>
      <c r="L357" s="123"/>
      <c r="M357" s="123">
        <v>24</v>
      </c>
      <c r="N357" s="123"/>
      <c r="O357" s="123"/>
      <c r="P357" s="123"/>
      <c r="Q357" s="123"/>
      <c r="R357" s="133">
        <f t="shared" si="76"/>
        <v>0</v>
      </c>
      <c r="S357" s="133"/>
      <c r="T357" s="116">
        <f t="shared" si="64"/>
        <v>0</v>
      </c>
      <c r="U357" s="116">
        <f t="shared" si="65"/>
        <v>0</v>
      </c>
      <c r="V357" s="116">
        <f t="shared" si="66"/>
        <v>0</v>
      </c>
      <c r="W357" s="116">
        <f t="shared" si="67"/>
        <v>0</v>
      </c>
      <c r="X357" s="116">
        <f t="shared" si="74"/>
        <v>0</v>
      </c>
      <c r="Y357" s="116">
        <f t="shared" si="75"/>
        <v>0</v>
      </c>
      <c r="Z357" s="116">
        <f t="shared" si="68"/>
        <v>0</v>
      </c>
      <c r="AA357" s="116">
        <f t="shared" si="69"/>
        <v>12.6</v>
      </c>
      <c r="AB357" s="116">
        <f t="shared" si="70"/>
        <v>0</v>
      </c>
      <c r="AC357" s="116">
        <f t="shared" si="71"/>
        <v>0</v>
      </c>
      <c r="AD357" s="116">
        <f t="shared" si="72"/>
        <v>0</v>
      </c>
      <c r="AE357" s="116">
        <f t="shared" si="73"/>
        <v>0</v>
      </c>
    </row>
    <row r="358" spans="1:31">
      <c r="A358" s="131">
        <v>42587</v>
      </c>
      <c r="B358" s="131">
        <v>42619</v>
      </c>
      <c r="C358" s="123">
        <f t="shared" si="63"/>
        <v>32</v>
      </c>
      <c r="D358" s="132">
        <v>48.06</v>
      </c>
      <c r="E358" s="134"/>
      <c r="F358" s="135"/>
      <c r="G358" s="123"/>
      <c r="H358" s="123"/>
      <c r="I358" s="123"/>
      <c r="J358" s="123"/>
      <c r="K358" s="123"/>
      <c r="L358" s="123"/>
      <c r="M358" s="123">
        <v>27</v>
      </c>
      <c r="N358" s="123">
        <v>5</v>
      </c>
      <c r="O358" s="123"/>
      <c r="P358" s="123"/>
      <c r="Q358" s="123"/>
      <c r="R358" s="133">
        <f t="shared" si="76"/>
        <v>0</v>
      </c>
      <c r="S358" s="133"/>
      <c r="T358" s="116">
        <f t="shared" si="64"/>
        <v>0</v>
      </c>
      <c r="U358" s="116">
        <f t="shared" si="65"/>
        <v>0</v>
      </c>
      <c r="V358" s="116">
        <f t="shared" si="66"/>
        <v>0</v>
      </c>
      <c r="W358" s="116">
        <f t="shared" si="67"/>
        <v>0</v>
      </c>
      <c r="X358" s="116">
        <f t="shared" si="74"/>
        <v>0</v>
      </c>
      <c r="Y358" s="116">
        <f t="shared" si="75"/>
        <v>0</v>
      </c>
      <c r="Z358" s="116">
        <f t="shared" si="68"/>
        <v>0</v>
      </c>
      <c r="AA358" s="116">
        <f t="shared" si="69"/>
        <v>473.22</v>
      </c>
      <c r="AB358" s="116">
        <f t="shared" si="70"/>
        <v>106.37</v>
      </c>
      <c r="AC358" s="116">
        <f t="shared" si="71"/>
        <v>0</v>
      </c>
      <c r="AD358" s="116">
        <f t="shared" si="72"/>
        <v>0</v>
      </c>
      <c r="AE358" s="116">
        <f t="shared" si="73"/>
        <v>0</v>
      </c>
    </row>
    <row r="359" spans="1:31">
      <c r="A359" s="131">
        <v>42587</v>
      </c>
      <c r="B359" s="131">
        <v>42618</v>
      </c>
      <c r="C359" s="123">
        <f t="shared" si="63"/>
        <v>31</v>
      </c>
      <c r="D359" s="132">
        <v>567.99</v>
      </c>
      <c r="E359" s="134"/>
      <c r="F359" s="135"/>
      <c r="G359" s="123"/>
      <c r="H359" s="123"/>
      <c r="I359" s="123"/>
      <c r="J359" s="123"/>
      <c r="K359" s="123"/>
      <c r="L359" s="123"/>
      <c r="M359" s="123">
        <v>27</v>
      </c>
      <c r="N359" s="123">
        <v>4</v>
      </c>
      <c r="O359" s="123"/>
      <c r="P359" s="123"/>
      <c r="Q359" s="123"/>
      <c r="R359" s="133">
        <f t="shared" si="76"/>
        <v>0</v>
      </c>
      <c r="S359" s="133"/>
      <c r="T359" s="116">
        <f t="shared" si="64"/>
        <v>0</v>
      </c>
      <c r="U359" s="116">
        <f t="shared" si="65"/>
        <v>0</v>
      </c>
      <c r="V359" s="116">
        <f t="shared" si="66"/>
        <v>0</v>
      </c>
      <c r="W359" s="116">
        <f t="shared" si="67"/>
        <v>0</v>
      </c>
      <c r="X359" s="116">
        <f t="shared" si="74"/>
        <v>0</v>
      </c>
      <c r="Y359" s="116">
        <f t="shared" si="75"/>
        <v>0</v>
      </c>
      <c r="Z359" s="116">
        <f t="shared" si="68"/>
        <v>0</v>
      </c>
      <c r="AA359" s="116">
        <f t="shared" si="69"/>
        <v>5773.15</v>
      </c>
      <c r="AB359" s="116">
        <f t="shared" si="70"/>
        <v>1038.0899999999999</v>
      </c>
      <c r="AC359" s="116">
        <f t="shared" si="71"/>
        <v>0</v>
      </c>
      <c r="AD359" s="116">
        <f t="shared" si="72"/>
        <v>0</v>
      </c>
      <c r="AE359" s="116">
        <f t="shared" si="73"/>
        <v>0</v>
      </c>
    </row>
    <row r="360" spans="1:31">
      <c r="A360" s="131">
        <v>42587</v>
      </c>
      <c r="B360" s="131">
        <v>42618</v>
      </c>
      <c r="C360" s="123">
        <f t="shared" si="63"/>
        <v>31</v>
      </c>
      <c r="D360" s="132">
        <v>180.23</v>
      </c>
      <c r="E360" s="134"/>
      <c r="F360" s="135"/>
      <c r="G360" s="123"/>
      <c r="H360" s="123"/>
      <c r="I360" s="123"/>
      <c r="J360" s="123"/>
      <c r="K360" s="123"/>
      <c r="L360" s="123"/>
      <c r="M360" s="123">
        <v>27</v>
      </c>
      <c r="N360" s="123">
        <v>4</v>
      </c>
      <c r="O360" s="123"/>
      <c r="P360" s="123"/>
      <c r="Q360" s="123"/>
      <c r="R360" s="133">
        <f t="shared" si="76"/>
        <v>0</v>
      </c>
      <c r="S360" s="133"/>
      <c r="T360" s="116">
        <f t="shared" si="64"/>
        <v>0</v>
      </c>
      <c r="U360" s="116">
        <f t="shared" si="65"/>
        <v>0</v>
      </c>
      <c r="V360" s="116">
        <f t="shared" si="66"/>
        <v>0</v>
      </c>
      <c r="W360" s="116">
        <f t="shared" si="67"/>
        <v>0</v>
      </c>
      <c r="X360" s="116">
        <f t="shared" si="74"/>
        <v>0</v>
      </c>
      <c r="Y360" s="116">
        <f t="shared" si="75"/>
        <v>0</v>
      </c>
      <c r="Z360" s="116">
        <f t="shared" si="68"/>
        <v>0</v>
      </c>
      <c r="AA360" s="116">
        <f t="shared" si="69"/>
        <v>1831.89</v>
      </c>
      <c r="AB360" s="116">
        <f t="shared" si="70"/>
        <v>329.4</v>
      </c>
      <c r="AC360" s="116">
        <f t="shared" si="71"/>
        <v>0</v>
      </c>
      <c r="AD360" s="116">
        <f t="shared" si="72"/>
        <v>0</v>
      </c>
      <c r="AE360" s="116">
        <f t="shared" si="73"/>
        <v>0</v>
      </c>
    </row>
    <row r="361" spans="1:31">
      <c r="A361" s="131">
        <v>42590</v>
      </c>
      <c r="B361" s="131">
        <v>42621</v>
      </c>
      <c r="C361" s="123">
        <f t="shared" si="63"/>
        <v>31</v>
      </c>
      <c r="D361" s="132">
        <v>385.63</v>
      </c>
      <c r="E361" s="134"/>
      <c r="F361" s="135"/>
      <c r="G361" s="123"/>
      <c r="H361" s="123"/>
      <c r="I361" s="123"/>
      <c r="J361" s="123"/>
      <c r="K361" s="123"/>
      <c r="L361" s="123"/>
      <c r="M361" s="123">
        <v>24</v>
      </c>
      <c r="N361" s="123">
        <v>7</v>
      </c>
      <c r="O361" s="123"/>
      <c r="P361" s="123"/>
      <c r="Q361" s="123"/>
      <c r="R361" s="133">
        <f t="shared" si="76"/>
        <v>0</v>
      </c>
      <c r="S361" s="133"/>
      <c r="T361" s="116">
        <f t="shared" si="64"/>
        <v>0</v>
      </c>
      <c r="U361" s="116">
        <f t="shared" si="65"/>
        <v>0</v>
      </c>
      <c r="V361" s="116">
        <f t="shared" si="66"/>
        <v>0</v>
      </c>
      <c r="W361" s="116">
        <f t="shared" si="67"/>
        <v>0</v>
      </c>
      <c r="X361" s="116">
        <f t="shared" si="74"/>
        <v>0</v>
      </c>
      <c r="Y361" s="116">
        <f t="shared" si="75"/>
        <v>0</v>
      </c>
      <c r="Z361" s="116">
        <f t="shared" si="68"/>
        <v>0</v>
      </c>
      <c r="AA361" s="116">
        <f t="shared" si="69"/>
        <v>3484.1</v>
      </c>
      <c r="AB361" s="116">
        <f t="shared" si="70"/>
        <v>1233.4000000000001</v>
      </c>
      <c r="AC361" s="116">
        <f t="shared" si="71"/>
        <v>0</v>
      </c>
      <c r="AD361" s="116">
        <f t="shared" si="72"/>
        <v>0</v>
      </c>
      <c r="AE361" s="116">
        <f t="shared" si="73"/>
        <v>0</v>
      </c>
    </row>
    <row r="362" spans="1:31">
      <c r="A362" s="131">
        <v>42590</v>
      </c>
      <c r="B362" s="131">
        <v>42621</v>
      </c>
      <c r="C362" s="123"/>
      <c r="D362" s="132">
        <v>81599.710000000006</v>
      </c>
      <c r="E362" s="134"/>
      <c r="F362" s="135"/>
      <c r="G362" s="123"/>
      <c r="H362" s="123"/>
      <c r="I362" s="123"/>
      <c r="J362" s="123"/>
      <c r="K362" s="123"/>
      <c r="L362" s="123"/>
      <c r="M362" s="123">
        <v>24</v>
      </c>
      <c r="N362" s="123">
        <v>7</v>
      </c>
      <c r="O362" s="123"/>
      <c r="P362" s="123"/>
      <c r="Q362" s="123"/>
      <c r="R362" s="133"/>
      <c r="S362" s="133"/>
      <c r="T362" s="116"/>
      <c r="U362" s="116"/>
      <c r="V362" s="116"/>
      <c r="W362" s="116"/>
      <c r="X362" s="116"/>
      <c r="Y362" s="116"/>
      <c r="Z362" s="116"/>
      <c r="AA362" s="116">
        <v>790408.26</v>
      </c>
      <c r="AB362" s="116">
        <v>197602.07</v>
      </c>
      <c r="AC362" s="116"/>
      <c r="AD362" s="116"/>
      <c r="AE362" s="116"/>
    </row>
    <row r="363" spans="1:31">
      <c r="A363" s="131">
        <v>42590</v>
      </c>
      <c r="B363" s="131">
        <v>42621</v>
      </c>
      <c r="C363" s="123">
        <f t="shared" si="63"/>
        <v>31</v>
      </c>
      <c r="D363" s="132">
        <v>399.81</v>
      </c>
      <c r="E363" s="134"/>
      <c r="F363" s="135"/>
      <c r="G363" s="123"/>
      <c r="H363" s="123"/>
      <c r="I363" s="123"/>
      <c r="J363" s="123"/>
      <c r="K363" s="123"/>
      <c r="L363" s="123"/>
      <c r="M363" s="123">
        <v>24</v>
      </c>
      <c r="N363" s="123">
        <v>7</v>
      </c>
      <c r="O363" s="123"/>
      <c r="P363" s="123"/>
      <c r="Q363" s="123"/>
      <c r="R363" s="133">
        <f t="shared" si="76"/>
        <v>0</v>
      </c>
      <c r="S363" s="133"/>
      <c r="T363" s="116">
        <f t="shared" si="64"/>
        <v>0</v>
      </c>
      <c r="U363" s="116">
        <f t="shared" si="65"/>
        <v>0</v>
      </c>
      <c r="V363" s="116">
        <f t="shared" si="66"/>
        <v>0</v>
      </c>
      <c r="W363" s="116">
        <f t="shared" si="67"/>
        <v>0</v>
      </c>
      <c r="X363" s="116">
        <f t="shared" si="74"/>
        <v>0</v>
      </c>
      <c r="Y363" s="116">
        <f t="shared" si="75"/>
        <v>0</v>
      </c>
      <c r="Z363" s="116">
        <f t="shared" si="68"/>
        <v>0</v>
      </c>
      <c r="AA363" s="116">
        <f t="shared" si="69"/>
        <v>3612.21</v>
      </c>
      <c r="AB363" s="116">
        <f t="shared" si="70"/>
        <v>1278.75</v>
      </c>
      <c r="AC363" s="116">
        <f t="shared" si="71"/>
        <v>0</v>
      </c>
      <c r="AD363" s="116">
        <f t="shared" si="72"/>
        <v>0</v>
      </c>
      <c r="AE363" s="116">
        <f t="shared" si="73"/>
        <v>0</v>
      </c>
    </row>
    <row r="364" spans="1:31">
      <c r="A364" s="131">
        <v>42590</v>
      </c>
      <c r="B364" s="131">
        <v>42621</v>
      </c>
      <c r="C364" s="123">
        <f t="shared" si="63"/>
        <v>31</v>
      </c>
      <c r="D364" s="132">
        <v>590.04</v>
      </c>
      <c r="E364" s="134"/>
      <c r="F364" s="135"/>
      <c r="G364" s="123"/>
      <c r="H364" s="123"/>
      <c r="I364" s="123"/>
      <c r="J364" s="123"/>
      <c r="K364" s="123"/>
      <c r="L364" s="123"/>
      <c r="M364" s="123">
        <v>24</v>
      </c>
      <c r="N364" s="123">
        <v>7</v>
      </c>
      <c r="O364" s="123"/>
      <c r="P364" s="123"/>
      <c r="Q364" s="123"/>
      <c r="R364" s="133">
        <f t="shared" si="76"/>
        <v>0</v>
      </c>
      <c r="S364" s="133"/>
      <c r="T364" s="116">
        <f t="shared" ref="T364:T368" si="77">ROUND((D364*F364/C364)/$C$6,2)</f>
        <v>0</v>
      </c>
      <c r="U364" s="116">
        <f t="shared" si="65"/>
        <v>0</v>
      </c>
      <c r="V364" s="116">
        <f t="shared" si="66"/>
        <v>0</v>
      </c>
      <c r="W364" s="116">
        <f t="shared" si="67"/>
        <v>0</v>
      </c>
      <c r="X364" s="116">
        <f t="shared" si="74"/>
        <v>0</v>
      </c>
      <c r="Y364" s="116">
        <f t="shared" si="75"/>
        <v>0</v>
      </c>
      <c r="Z364" s="116">
        <f t="shared" si="68"/>
        <v>0</v>
      </c>
      <c r="AA364" s="116">
        <f t="shared" si="69"/>
        <v>5330.9</v>
      </c>
      <c r="AB364" s="116">
        <f t="shared" si="70"/>
        <v>1887.18</v>
      </c>
      <c r="AC364" s="116">
        <f t="shared" si="71"/>
        <v>0</v>
      </c>
      <c r="AD364" s="116">
        <f t="shared" si="72"/>
        <v>0</v>
      </c>
      <c r="AE364" s="116">
        <f t="shared" si="73"/>
        <v>0</v>
      </c>
    </row>
    <row r="365" spans="1:31">
      <c r="A365" s="131">
        <v>42594</v>
      </c>
      <c r="B365" s="131">
        <v>42625</v>
      </c>
      <c r="C365" s="123">
        <f t="shared" si="63"/>
        <v>31</v>
      </c>
      <c r="D365" s="132">
        <v>836.52</v>
      </c>
      <c r="E365" s="134"/>
      <c r="F365" s="135"/>
      <c r="G365" s="123"/>
      <c r="H365" s="123"/>
      <c r="I365" s="123"/>
      <c r="J365" s="123"/>
      <c r="K365" s="123"/>
      <c r="L365" s="123"/>
      <c r="M365" s="123">
        <v>20</v>
      </c>
      <c r="N365" s="123">
        <v>11</v>
      </c>
      <c r="O365" s="123"/>
      <c r="P365" s="123"/>
      <c r="Q365" s="123"/>
      <c r="R365" s="133">
        <f t="shared" si="76"/>
        <v>0</v>
      </c>
      <c r="S365" s="133"/>
      <c r="T365" s="116">
        <f t="shared" si="77"/>
        <v>0</v>
      </c>
      <c r="U365" s="116">
        <f t="shared" si="65"/>
        <v>0</v>
      </c>
      <c r="V365" s="116">
        <f t="shared" si="66"/>
        <v>0</v>
      </c>
      <c r="W365" s="116">
        <f t="shared" si="67"/>
        <v>0</v>
      </c>
      <c r="X365" s="116">
        <f t="shared" si="74"/>
        <v>0</v>
      </c>
      <c r="Y365" s="116">
        <f t="shared" si="75"/>
        <v>0</v>
      </c>
      <c r="Z365" s="116">
        <f t="shared" si="68"/>
        <v>0</v>
      </c>
      <c r="AA365" s="116">
        <f t="shared" si="69"/>
        <v>6298.17</v>
      </c>
      <c r="AB365" s="116">
        <f t="shared" si="70"/>
        <v>4204.3900000000003</v>
      </c>
      <c r="AC365" s="116">
        <f t="shared" si="71"/>
        <v>0</v>
      </c>
      <c r="AD365" s="116">
        <f t="shared" si="72"/>
        <v>0</v>
      </c>
      <c r="AE365" s="116">
        <f t="shared" si="73"/>
        <v>0</v>
      </c>
    </row>
    <row r="366" spans="1:31">
      <c r="A366" s="131">
        <v>42590</v>
      </c>
      <c r="B366" s="131">
        <v>42621</v>
      </c>
      <c r="C366" s="123">
        <f t="shared" si="63"/>
        <v>31</v>
      </c>
      <c r="D366" s="132">
        <f>81599.71-81401.31</f>
        <v>198.40000000000873</v>
      </c>
      <c r="E366" s="134"/>
      <c r="F366" s="135"/>
      <c r="G366" s="123"/>
      <c r="H366" s="123"/>
      <c r="I366" s="123"/>
      <c r="J366" s="123"/>
      <c r="K366" s="123"/>
      <c r="L366" s="123"/>
      <c r="M366" s="123">
        <v>24</v>
      </c>
      <c r="N366" s="123">
        <v>7</v>
      </c>
      <c r="O366" s="123"/>
      <c r="P366" s="123"/>
      <c r="Q366" s="123"/>
      <c r="R366" s="133">
        <f t="shared" si="76"/>
        <v>0</v>
      </c>
      <c r="S366" s="133"/>
      <c r="T366" s="116">
        <f t="shared" si="77"/>
        <v>0</v>
      </c>
      <c r="U366" s="116">
        <f t="shared" si="65"/>
        <v>0</v>
      </c>
      <c r="V366" s="116">
        <f t="shared" si="66"/>
        <v>0</v>
      </c>
      <c r="W366" s="116">
        <f t="shared" si="67"/>
        <v>0</v>
      </c>
      <c r="X366" s="116">
        <f t="shared" si="74"/>
        <v>0</v>
      </c>
      <c r="Y366" s="116">
        <f t="shared" si="75"/>
        <v>0</v>
      </c>
      <c r="Z366" s="116">
        <f t="shared" si="68"/>
        <v>0</v>
      </c>
      <c r="AA366" s="116">
        <f t="shared" si="69"/>
        <v>1792.51</v>
      </c>
      <c r="AB366" s="116">
        <f t="shared" si="70"/>
        <v>634.55999999999995</v>
      </c>
      <c r="AC366" s="116">
        <f t="shared" si="71"/>
        <v>0</v>
      </c>
      <c r="AD366" s="116">
        <f t="shared" si="72"/>
        <v>0</v>
      </c>
      <c r="AE366" s="116">
        <f t="shared" si="73"/>
        <v>0</v>
      </c>
    </row>
    <row r="367" spans="1:31">
      <c r="A367" s="131">
        <v>42594</v>
      </c>
      <c r="B367" s="131">
        <v>42625</v>
      </c>
      <c r="C367" s="123">
        <f t="shared" si="63"/>
        <v>31</v>
      </c>
      <c r="D367" s="132">
        <v>1100.49</v>
      </c>
      <c r="E367" s="134"/>
      <c r="F367" s="135"/>
      <c r="G367" s="123"/>
      <c r="H367" s="123"/>
      <c r="I367" s="123"/>
      <c r="J367" s="123"/>
      <c r="K367" s="123"/>
      <c r="L367" s="123"/>
      <c r="M367" s="123">
        <v>20</v>
      </c>
      <c r="N367" s="123">
        <v>11</v>
      </c>
      <c r="O367" s="123"/>
      <c r="P367" s="123"/>
      <c r="Q367" s="123"/>
      <c r="R367" s="133">
        <f t="shared" si="76"/>
        <v>0</v>
      </c>
      <c r="S367" s="133"/>
      <c r="T367" s="116">
        <f t="shared" si="77"/>
        <v>0</v>
      </c>
      <c r="U367" s="116">
        <f t="shared" si="65"/>
        <v>0</v>
      </c>
      <c r="V367" s="116">
        <f t="shared" si="66"/>
        <v>0</v>
      </c>
      <c r="W367" s="116">
        <f t="shared" si="67"/>
        <v>0</v>
      </c>
      <c r="X367" s="116">
        <f t="shared" si="74"/>
        <v>0</v>
      </c>
      <c r="Y367" s="116">
        <f t="shared" si="75"/>
        <v>0</v>
      </c>
      <c r="Z367" s="116">
        <f t="shared" si="68"/>
        <v>0</v>
      </c>
      <c r="AA367" s="116">
        <f t="shared" si="69"/>
        <v>8285.61</v>
      </c>
      <c r="AB367" s="116">
        <f t="shared" si="70"/>
        <v>5531.11</v>
      </c>
      <c r="AC367" s="116">
        <f t="shared" si="71"/>
        <v>0</v>
      </c>
      <c r="AD367" s="116">
        <f t="shared" si="72"/>
        <v>0</v>
      </c>
      <c r="AE367" s="116">
        <f t="shared" si="73"/>
        <v>0</v>
      </c>
    </row>
    <row r="368" spans="1:31" ht="15.75" thickBot="1">
      <c r="A368" s="131">
        <v>42594</v>
      </c>
      <c r="B368" s="131">
        <v>42625</v>
      </c>
      <c r="C368" s="123">
        <f t="shared" si="63"/>
        <v>31</v>
      </c>
      <c r="D368" s="132">
        <v>127.69</v>
      </c>
      <c r="E368" s="134"/>
      <c r="F368" s="135"/>
      <c r="G368" s="123"/>
      <c r="H368" s="123"/>
      <c r="I368" s="123"/>
      <c r="J368" s="123"/>
      <c r="K368" s="123"/>
      <c r="L368" s="123"/>
      <c r="M368" s="123">
        <v>20</v>
      </c>
      <c r="N368" s="123">
        <v>11</v>
      </c>
      <c r="O368" s="123"/>
      <c r="P368" s="123"/>
      <c r="Q368" s="123"/>
      <c r="R368" s="133">
        <f t="shared" si="76"/>
        <v>0</v>
      </c>
      <c r="S368" s="133"/>
      <c r="T368" s="116">
        <f t="shared" si="77"/>
        <v>0</v>
      </c>
      <c r="U368" s="116">
        <f t="shared" si="65"/>
        <v>0</v>
      </c>
      <c r="V368" s="116">
        <f t="shared" si="66"/>
        <v>0</v>
      </c>
      <c r="W368" s="116">
        <f t="shared" si="67"/>
        <v>0</v>
      </c>
      <c r="X368" s="116">
        <f t="shared" si="74"/>
        <v>0</v>
      </c>
      <c r="Y368" s="116">
        <f t="shared" si="75"/>
        <v>0</v>
      </c>
      <c r="Z368" s="116">
        <f t="shared" si="68"/>
        <v>0</v>
      </c>
      <c r="AA368" s="116">
        <f t="shared" si="69"/>
        <v>961.38</v>
      </c>
      <c r="AB368" s="116">
        <f t="shared" si="70"/>
        <v>641.78</v>
      </c>
      <c r="AC368" s="116">
        <f t="shared" si="71"/>
        <v>0</v>
      </c>
      <c r="AD368" s="116">
        <f t="shared" si="72"/>
        <v>0</v>
      </c>
      <c r="AE368" s="116">
        <f t="shared" si="73"/>
        <v>0</v>
      </c>
    </row>
    <row r="369" spans="1:31" ht="15.75" thickBot="1">
      <c r="A369" s="194" t="s">
        <v>44</v>
      </c>
      <c r="B369" s="195"/>
      <c r="C369" s="195"/>
      <c r="D369" s="195"/>
      <c r="E369" s="195"/>
      <c r="F369" s="195"/>
      <c r="G369" s="195"/>
      <c r="H369" s="195"/>
      <c r="I369" s="195"/>
      <c r="J369" s="195"/>
      <c r="K369" s="195"/>
      <c r="L369" s="195"/>
      <c r="M369" s="195"/>
      <c r="N369" s="195"/>
      <c r="O369" s="195"/>
      <c r="P369" s="195"/>
      <c r="Q369" s="195"/>
      <c r="R369" s="195"/>
      <c r="S369" s="195"/>
      <c r="T369" s="195"/>
      <c r="U369" s="195"/>
      <c r="V369" s="195"/>
      <c r="W369" s="195"/>
      <c r="X369" s="195"/>
      <c r="Y369" s="195"/>
      <c r="Z369" s="195"/>
      <c r="AA369" s="195"/>
      <c r="AB369" s="195"/>
      <c r="AC369" s="195"/>
      <c r="AD369" s="195"/>
      <c r="AE369" s="196"/>
    </row>
    <row r="370" spans="1:31">
      <c r="A370" s="131">
        <v>42601</v>
      </c>
      <c r="B370" s="131">
        <v>42632</v>
      </c>
      <c r="C370" s="123">
        <f t="shared" ref="C370:C442" si="78">B370-A370</f>
        <v>31</v>
      </c>
      <c r="D370" s="132">
        <v>562.04</v>
      </c>
      <c r="E370" s="134"/>
      <c r="F370" s="135"/>
      <c r="G370" s="123"/>
      <c r="H370" s="123"/>
      <c r="I370" s="123"/>
      <c r="J370" s="123"/>
      <c r="K370" s="123"/>
      <c r="L370" s="123"/>
      <c r="M370" s="123">
        <v>13</v>
      </c>
      <c r="N370" s="123">
        <v>18</v>
      </c>
      <c r="O370" s="123"/>
      <c r="P370" s="123"/>
      <c r="Q370" s="123"/>
      <c r="R370" s="133">
        <f t="shared" si="76"/>
        <v>0</v>
      </c>
      <c r="S370" s="133"/>
      <c r="T370" s="116">
        <f t="shared" ref="T370:T409" si="79">ROUND((D370*F370/C370)/$C$6,2)</f>
        <v>0</v>
      </c>
      <c r="U370" s="116">
        <f t="shared" ref="U370:U442" si="80">ROUND(($D370*$G370/$C370)/$C$7,2)</f>
        <v>0</v>
      </c>
      <c r="V370" s="116">
        <f t="shared" ref="V370:V442" si="81">ROUND(($D370*$H370/$C370)/$C$8,2)</f>
        <v>0</v>
      </c>
      <c r="W370" s="116">
        <f t="shared" ref="W370:W442" si="82">ROUND(($D370*$I370/$C370)/$C$9,2)</f>
        <v>0</v>
      </c>
      <c r="X370" s="116">
        <f t="shared" si="74"/>
        <v>0</v>
      </c>
      <c r="Y370" s="116">
        <f t="shared" si="75"/>
        <v>0</v>
      </c>
      <c r="Z370" s="116">
        <f t="shared" ref="Z370:Z442" si="83">ROUND(($D370*$L370/$C370)/$C$12,2)</f>
        <v>0</v>
      </c>
      <c r="AA370" s="116">
        <f t="shared" ref="AA370:AA442" si="84">ROUND(($D370*$M370/$C370)/$C$13,2)</f>
        <v>2750.54</v>
      </c>
      <c r="AB370" s="116">
        <f t="shared" ref="AB370:AB442" si="85">ROUND(($D370*$N370/$C370)/$C$14,2)</f>
        <v>4622.46</v>
      </c>
      <c r="AC370" s="116">
        <f t="shared" ref="AC370:AC442" si="86">ROUND(($D370*$O370/$C370)/$C$15,2)</f>
        <v>0</v>
      </c>
      <c r="AD370" s="116">
        <f t="shared" ref="AD370:AD442" si="87">ROUND(($D370*$P370/$C370)/$C$16,2)</f>
        <v>0</v>
      </c>
      <c r="AE370" s="116">
        <f t="shared" ref="AE370:AE442" si="88">ROUND(($D370*$Q370/$C370)/$C$17,2)</f>
        <v>0</v>
      </c>
    </row>
    <row r="371" spans="1:31">
      <c r="A371" s="131">
        <v>42601</v>
      </c>
      <c r="B371" s="131">
        <v>42632</v>
      </c>
      <c r="C371" s="123">
        <f t="shared" si="78"/>
        <v>31</v>
      </c>
      <c r="D371" s="132">
        <v>1429.28</v>
      </c>
      <c r="E371" s="134"/>
      <c r="F371" s="135"/>
      <c r="G371" s="123"/>
      <c r="H371" s="123"/>
      <c r="I371" s="123"/>
      <c r="J371" s="123"/>
      <c r="K371" s="123"/>
      <c r="L371" s="123"/>
      <c r="M371" s="123">
        <v>13</v>
      </c>
      <c r="N371" s="123">
        <v>18</v>
      </c>
      <c r="O371" s="123"/>
      <c r="P371" s="123"/>
      <c r="Q371" s="123"/>
      <c r="R371" s="133">
        <f t="shared" si="76"/>
        <v>0</v>
      </c>
      <c r="S371" s="133"/>
      <c r="T371" s="116">
        <f t="shared" si="79"/>
        <v>0</v>
      </c>
      <c r="U371" s="116">
        <f t="shared" si="80"/>
        <v>0</v>
      </c>
      <c r="V371" s="116">
        <f t="shared" si="81"/>
        <v>0</v>
      </c>
      <c r="W371" s="116">
        <f t="shared" si="82"/>
        <v>0</v>
      </c>
      <c r="X371" s="116">
        <f t="shared" si="74"/>
        <v>0</v>
      </c>
      <c r="Y371" s="116">
        <f t="shared" si="75"/>
        <v>0</v>
      </c>
      <c r="Z371" s="116">
        <f t="shared" si="83"/>
        <v>0</v>
      </c>
      <c r="AA371" s="116">
        <f t="shared" si="84"/>
        <v>6994.7</v>
      </c>
      <c r="AB371" s="116">
        <f t="shared" si="85"/>
        <v>11755.02</v>
      </c>
      <c r="AC371" s="116">
        <f t="shared" si="86"/>
        <v>0</v>
      </c>
      <c r="AD371" s="116">
        <f t="shared" si="87"/>
        <v>0</v>
      </c>
      <c r="AE371" s="116">
        <f t="shared" si="88"/>
        <v>0</v>
      </c>
    </row>
    <row r="372" spans="1:31">
      <c r="A372" s="131">
        <v>42616</v>
      </c>
      <c r="B372" s="131">
        <v>42632</v>
      </c>
      <c r="C372" s="123">
        <f t="shared" si="78"/>
        <v>16</v>
      </c>
      <c r="D372" s="132">
        <v>5.0200000000000005</v>
      </c>
      <c r="E372" s="134"/>
      <c r="F372" s="135"/>
      <c r="G372" s="123"/>
      <c r="H372" s="123"/>
      <c r="I372" s="123"/>
      <c r="J372" s="123"/>
      <c r="K372" s="123"/>
      <c r="L372" s="123"/>
      <c r="M372" s="123"/>
      <c r="N372" s="123">
        <v>16</v>
      </c>
      <c r="O372" s="123"/>
      <c r="P372" s="123"/>
      <c r="Q372" s="123"/>
      <c r="R372" s="133">
        <f t="shared" si="76"/>
        <v>0</v>
      </c>
      <c r="S372" s="133"/>
      <c r="T372" s="116">
        <f t="shared" si="79"/>
        <v>0</v>
      </c>
      <c r="U372" s="116">
        <f t="shared" si="80"/>
        <v>0</v>
      </c>
      <c r="V372" s="116">
        <f t="shared" si="81"/>
        <v>0</v>
      </c>
      <c r="W372" s="116">
        <f t="shared" si="82"/>
        <v>0</v>
      </c>
      <c r="X372" s="116">
        <f t="shared" si="74"/>
        <v>0</v>
      </c>
      <c r="Y372" s="116">
        <f t="shared" si="75"/>
        <v>0</v>
      </c>
      <c r="Z372" s="116">
        <f t="shared" si="83"/>
        <v>0</v>
      </c>
      <c r="AA372" s="116">
        <f t="shared" si="84"/>
        <v>0</v>
      </c>
      <c r="AB372" s="116">
        <f t="shared" si="85"/>
        <v>71.099999999999994</v>
      </c>
      <c r="AC372" s="116">
        <f t="shared" si="86"/>
        <v>0</v>
      </c>
      <c r="AD372" s="116">
        <f t="shared" si="87"/>
        <v>0</v>
      </c>
      <c r="AE372" s="116">
        <f t="shared" si="88"/>
        <v>0</v>
      </c>
    </row>
    <row r="373" spans="1:31">
      <c r="A373" s="131">
        <v>42601</v>
      </c>
      <c r="B373" s="131">
        <v>42632</v>
      </c>
      <c r="C373" s="123">
        <f t="shared" si="78"/>
        <v>31</v>
      </c>
      <c r="D373" s="132">
        <v>528.18000000000006</v>
      </c>
      <c r="E373" s="134"/>
      <c r="F373" s="135"/>
      <c r="G373" s="123"/>
      <c r="H373" s="123"/>
      <c r="I373" s="123"/>
      <c r="J373" s="123"/>
      <c r="K373" s="123"/>
      <c r="L373" s="123"/>
      <c r="M373" s="123">
        <v>13</v>
      </c>
      <c r="N373" s="123">
        <v>18</v>
      </c>
      <c r="O373" s="123"/>
      <c r="P373" s="123"/>
      <c r="Q373" s="123"/>
      <c r="R373" s="133">
        <f t="shared" si="76"/>
        <v>0</v>
      </c>
      <c r="S373" s="133"/>
      <c r="T373" s="116">
        <f t="shared" si="79"/>
        <v>0</v>
      </c>
      <c r="U373" s="116">
        <f t="shared" si="80"/>
        <v>0</v>
      </c>
      <c r="V373" s="116">
        <f t="shared" si="81"/>
        <v>0</v>
      </c>
      <c r="W373" s="116">
        <f t="shared" si="82"/>
        <v>0</v>
      </c>
      <c r="X373" s="116">
        <f t="shared" si="74"/>
        <v>0</v>
      </c>
      <c r="Y373" s="116">
        <f t="shared" si="75"/>
        <v>0</v>
      </c>
      <c r="Z373" s="116">
        <f t="shared" si="83"/>
        <v>0</v>
      </c>
      <c r="AA373" s="116">
        <f t="shared" si="84"/>
        <v>2584.84</v>
      </c>
      <c r="AB373" s="116">
        <f t="shared" si="85"/>
        <v>4343.9799999999996</v>
      </c>
      <c r="AC373" s="116">
        <f t="shared" si="86"/>
        <v>0</v>
      </c>
      <c r="AD373" s="116">
        <f t="shared" si="87"/>
        <v>0</v>
      </c>
      <c r="AE373" s="116">
        <f t="shared" si="88"/>
        <v>0</v>
      </c>
    </row>
    <row r="374" spans="1:31">
      <c r="A374" s="131">
        <v>42614</v>
      </c>
      <c r="B374" s="131">
        <v>42615</v>
      </c>
      <c r="C374" s="123">
        <f t="shared" si="78"/>
        <v>1</v>
      </c>
      <c r="D374" s="132">
        <v>2.0699999999999998</v>
      </c>
      <c r="E374" s="134"/>
      <c r="F374" s="135"/>
      <c r="G374" s="123"/>
      <c r="H374" s="123"/>
      <c r="I374" s="123"/>
      <c r="J374" s="123"/>
      <c r="K374" s="123"/>
      <c r="L374" s="123"/>
      <c r="M374" s="123"/>
      <c r="N374" s="123">
        <v>1</v>
      </c>
      <c r="O374" s="123"/>
      <c r="P374" s="123"/>
      <c r="Q374" s="123"/>
      <c r="R374" s="133">
        <f t="shared" si="76"/>
        <v>0</v>
      </c>
      <c r="S374" s="133"/>
      <c r="T374" s="116">
        <f t="shared" si="79"/>
        <v>0</v>
      </c>
      <c r="U374" s="116">
        <f t="shared" si="80"/>
        <v>0</v>
      </c>
      <c r="V374" s="116">
        <f t="shared" si="81"/>
        <v>0</v>
      </c>
      <c r="W374" s="116">
        <f t="shared" si="82"/>
        <v>0</v>
      </c>
      <c r="X374" s="116">
        <f t="shared" si="74"/>
        <v>0</v>
      </c>
      <c r="Y374" s="116">
        <f t="shared" si="75"/>
        <v>0</v>
      </c>
      <c r="Z374" s="116">
        <f t="shared" si="83"/>
        <v>0</v>
      </c>
      <c r="AA374" s="116">
        <f t="shared" si="84"/>
        <v>0</v>
      </c>
      <c r="AB374" s="116">
        <f t="shared" si="85"/>
        <v>29.32</v>
      </c>
      <c r="AC374" s="116">
        <f t="shared" si="86"/>
        <v>0</v>
      </c>
      <c r="AD374" s="116">
        <f t="shared" si="87"/>
        <v>0</v>
      </c>
      <c r="AE374" s="116">
        <f t="shared" si="88"/>
        <v>0</v>
      </c>
    </row>
    <row r="375" spans="1:31">
      <c r="A375" s="131">
        <v>42604</v>
      </c>
      <c r="B375" s="131">
        <v>42635</v>
      </c>
      <c r="C375" s="123">
        <f t="shared" si="78"/>
        <v>31</v>
      </c>
      <c r="D375" s="132">
        <v>195776.34</v>
      </c>
      <c r="E375" s="134"/>
      <c r="F375" s="135"/>
      <c r="G375" s="123"/>
      <c r="H375" s="123"/>
      <c r="I375" s="123"/>
      <c r="J375" s="123"/>
      <c r="K375" s="123"/>
      <c r="L375" s="123"/>
      <c r="M375" s="123">
        <v>10</v>
      </c>
      <c r="N375" s="123">
        <v>21</v>
      </c>
      <c r="O375" s="123"/>
      <c r="P375" s="123"/>
      <c r="Q375" s="123"/>
      <c r="R375" s="133">
        <f t="shared" si="76"/>
        <v>0</v>
      </c>
      <c r="S375" s="133"/>
      <c r="T375" s="116">
        <f t="shared" si="79"/>
        <v>0</v>
      </c>
      <c r="U375" s="116">
        <f t="shared" si="80"/>
        <v>0</v>
      </c>
      <c r="V375" s="116">
        <f t="shared" si="81"/>
        <v>0</v>
      </c>
      <c r="W375" s="116">
        <f t="shared" si="82"/>
        <v>0</v>
      </c>
      <c r="X375" s="116">
        <f t="shared" si="74"/>
        <v>0</v>
      </c>
      <c r="Y375" s="116">
        <f t="shared" si="75"/>
        <v>0</v>
      </c>
      <c r="Z375" s="116">
        <f t="shared" si="83"/>
        <v>0</v>
      </c>
      <c r="AA375" s="116">
        <f>2574791.15-AB375</f>
        <v>927506.7899999998</v>
      </c>
      <c r="AB375" s="116">
        <v>1647284.36</v>
      </c>
      <c r="AC375" s="116">
        <f t="shared" si="86"/>
        <v>0</v>
      </c>
      <c r="AD375" s="116">
        <f t="shared" si="87"/>
        <v>0</v>
      </c>
      <c r="AE375" s="116">
        <f t="shared" si="88"/>
        <v>0</v>
      </c>
    </row>
    <row r="376" spans="1:31">
      <c r="A376" s="131">
        <v>42597</v>
      </c>
      <c r="B376" s="131">
        <v>42628</v>
      </c>
      <c r="C376" s="123">
        <f t="shared" si="78"/>
        <v>31</v>
      </c>
      <c r="D376" s="132">
        <v>19946.86</v>
      </c>
      <c r="E376" s="134"/>
      <c r="F376" s="135"/>
      <c r="G376" s="123"/>
      <c r="H376" s="123"/>
      <c r="I376" s="123"/>
      <c r="J376" s="123"/>
      <c r="K376" s="123"/>
      <c r="L376" s="123"/>
      <c r="M376" s="123">
        <v>17</v>
      </c>
      <c r="N376" s="123">
        <v>14</v>
      </c>
      <c r="O376" s="123"/>
      <c r="P376" s="123"/>
      <c r="Q376" s="123"/>
      <c r="R376" s="133">
        <f t="shared" si="76"/>
        <v>0</v>
      </c>
      <c r="S376" s="133"/>
      <c r="T376" s="116">
        <f t="shared" si="79"/>
        <v>0</v>
      </c>
      <c r="U376" s="116">
        <f t="shared" si="80"/>
        <v>0</v>
      </c>
      <c r="V376" s="116">
        <f t="shared" si="81"/>
        <v>0</v>
      </c>
      <c r="W376" s="116">
        <f t="shared" si="82"/>
        <v>0</v>
      </c>
      <c r="X376" s="116">
        <f t="shared" si="74"/>
        <v>0</v>
      </c>
      <c r="Y376" s="116">
        <f t="shared" si="75"/>
        <v>0</v>
      </c>
      <c r="Z376" s="116">
        <f t="shared" si="83"/>
        <v>0</v>
      </c>
      <c r="AA376" s="116">
        <f t="shared" si="84"/>
        <v>127653.18</v>
      </c>
      <c r="AB376" s="116">
        <f t="shared" si="85"/>
        <v>127595.74</v>
      </c>
      <c r="AC376" s="116">
        <f t="shared" si="86"/>
        <v>0</v>
      </c>
      <c r="AD376" s="116">
        <f t="shared" si="87"/>
        <v>0</v>
      </c>
      <c r="AE376" s="116">
        <f t="shared" si="88"/>
        <v>0</v>
      </c>
    </row>
    <row r="377" spans="1:31">
      <c r="A377" s="131">
        <v>42597</v>
      </c>
      <c r="B377" s="131">
        <v>42628</v>
      </c>
      <c r="C377" s="123">
        <f t="shared" si="78"/>
        <v>31</v>
      </c>
      <c r="D377" s="132">
        <v>5783.6</v>
      </c>
      <c r="E377" s="134"/>
      <c r="F377" s="135"/>
      <c r="G377" s="123"/>
      <c r="H377" s="123"/>
      <c r="I377" s="123"/>
      <c r="J377" s="123"/>
      <c r="K377" s="123"/>
      <c r="L377" s="123"/>
      <c r="M377" s="123">
        <v>17</v>
      </c>
      <c r="N377" s="123">
        <v>14</v>
      </c>
      <c r="O377" s="123"/>
      <c r="P377" s="123"/>
      <c r="Q377" s="123"/>
      <c r="R377" s="133">
        <f t="shared" si="76"/>
        <v>0</v>
      </c>
      <c r="S377" s="133"/>
      <c r="T377" s="116">
        <f t="shared" si="79"/>
        <v>0</v>
      </c>
      <c r="U377" s="116">
        <f t="shared" si="80"/>
        <v>0</v>
      </c>
      <c r="V377" s="116">
        <f t="shared" si="81"/>
        <v>0</v>
      </c>
      <c r="W377" s="116">
        <f t="shared" si="82"/>
        <v>0</v>
      </c>
      <c r="X377" s="116">
        <f t="shared" si="74"/>
        <v>0</v>
      </c>
      <c r="Y377" s="116">
        <f t="shared" si="75"/>
        <v>0</v>
      </c>
      <c r="Z377" s="116">
        <f t="shared" si="83"/>
        <v>0</v>
      </c>
      <c r="AA377" s="116">
        <f t="shared" si="84"/>
        <v>37013.089999999997</v>
      </c>
      <c r="AB377" s="116">
        <f t="shared" si="85"/>
        <v>36996.44</v>
      </c>
      <c r="AC377" s="116">
        <f t="shared" si="86"/>
        <v>0</v>
      </c>
      <c r="AD377" s="116">
        <f t="shared" si="87"/>
        <v>0</v>
      </c>
      <c r="AE377" s="116">
        <f t="shared" si="88"/>
        <v>0</v>
      </c>
    </row>
    <row r="378" spans="1:31">
      <c r="A378" s="131">
        <v>42608</v>
      </c>
      <c r="B378" s="131">
        <v>42639</v>
      </c>
      <c r="C378" s="123">
        <f t="shared" si="78"/>
        <v>31</v>
      </c>
      <c r="D378" s="132">
        <v>1122.45</v>
      </c>
      <c r="E378" s="134"/>
      <c r="F378" s="135"/>
      <c r="G378" s="123"/>
      <c r="H378" s="123"/>
      <c r="I378" s="123"/>
      <c r="J378" s="123"/>
      <c r="K378" s="123"/>
      <c r="L378" s="123"/>
      <c r="M378" s="123">
        <v>6</v>
      </c>
      <c r="N378" s="123">
        <v>25</v>
      </c>
      <c r="O378" s="123"/>
      <c r="P378" s="123"/>
      <c r="Q378" s="123"/>
      <c r="R378" s="133">
        <f t="shared" si="76"/>
        <v>0</v>
      </c>
      <c r="S378" s="133"/>
      <c r="T378" s="116">
        <f t="shared" si="79"/>
        <v>0</v>
      </c>
      <c r="U378" s="116">
        <f t="shared" si="80"/>
        <v>0</v>
      </c>
      <c r="V378" s="116">
        <f t="shared" si="81"/>
        <v>0</v>
      </c>
      <c r="W378" s="116">
        <f t="shared" si="82"/>
        <v>0</v>
      </c>
      <c r="X378" s="116">
        <f t="shared" si="74"/>
        <v>0</v>
      </c>
      <c r="Y378" s="116">
        <f t="shared" si="75"/>
        <v>0</v>
      </c>
      <c r="Z378" s="116">
        <f t="shared" si="83"/>
        <v>0</v>
      </c>
      <c r="AA378" s="116">
        <f t="shared" si="84"/>
        <v>2535.2800000000002</v>
      </c>
      <c r="AB378" s="116">
        <f t="shared" si="85"/>
        <v>12821.55</v>
      </c>
      <c r="AC378" s="116">
        <f t="shared" si="86"/>
        <v>0</v>
      </c>
      <c r="AD378" s="116">
        <f t="shared" si="87"/>
        <v>0</v>
      </c>
      <c r="AE378" s="116">
        <f t="shared" si="88"/>
        <v>0</v>
      </c>
    </row>
    <row r="379" spans="1:31">
      <c r="A379" s="131">
        <v>42610</v>
      </c>
      <c r="B379" s="131">
        <v>42641</v>
      </c>
      <c r="C379" s="123">
        <f t="shared" si="78"/>
        <v>31</v>
      </c>
      <c r="D379" s="132">
        <v>1043.8499999999999</v>
      </c>
      <c r="E379" s="134"/>
      <c r="F379" s="135"/>
      <c r="G379" s="123"/>
      <c r="H379" s="123"/>
      <c r="I379" s="123"/>
      <c r="J379" s="123"/>
      <c r="K379" s="123"/>
      <c r="L379" s="123"/>
      <c r="M379" s="123">
        <v>4</v>
      </c>
      <c r="N379" s="123">
        <v>27</v>
      </c>
      <c r="O379" s="123"/>
      <c r="P379" s="123"/>
      <c r="Q379" s="123"/>
      <c r="R379" s="133">
        <f t="shared" si="76"/>
        <v>0</v>
      </c>
      <c r="S379" s="133"/>
      <c r="T379" s="116">
        <f t="shared" si="79"/>
        <v>0</v>
      </c>
      <c r="U379" s="116">
        <f t="shared" si="80"/>
        <v>0</v>
      </c>
      <c r="V379" s="116">
        <f t="shared" si="81"/>
        <v>0</v>
      </c>
      <c r="W379" s="116">
        <f t="shared" si="82"/>
        <v>0</v>
      </c>
      <c r="X379" s="116">
        <f t="shared" si="74"/>
        <v>0</v>
      </c>
      <c r="Y379" s="116">
        <f t="shared" si="75"/>
        <v>0</v>
      </c>
      <c r="Z379" s="116">
        <f t="shared" si="83"/>
        <v>0</v>
      </c>
      <c r="AA379" s="116">
        <f t="shared" si="84"/>
        <v>1571.83</v>
      </c>
      <c r="AB379" s="116">
        <f t="shared" si="85"/>
        <v>12877.62</v>
      </c>
      <c r="AC379" s="116">
        <f t="shared" si="86"/>
        <v>0</v>
      </c>
      <c r="AD379" s="116">
        <f t="shared" si="87"/>
        <v>0</v>
      </c>
      <c r="AE379" s="116">
        <f t="shared" si="88"/>
        <v>0</v>
      </c>
    </row>
    <row r="380" spans="1:31">
      <c r="A380" s="131">
        <v>42610</v>
      </c>
      <c r="B380" s="131">
        <v>42641</v>
      </c>
      <c r="C380" s="123">
        <f t="shared" si="78"/>
        <v>31</v>
      </c>
      <c r="D380" s="132">
        <v>1041.95</v>
      </c>
      <c r="E380" s="134"/>
      <c r="F380" s="135"/>
      <c r="G380" s="123"/>
      <c r="H380" s="123"/>
      <c r="I380" s="123"/>
      <c r="J380" s="123"/>
      <c r="K380" s="123"/>
      <c r="L380" s="123"/>
      <c r="M380" s="123">
        <v>4</v>
      </c>
      <c r="N380" s="123">
        <v>27</v>
      </c>
      <c r="O380" s="123"/>
      <c r="P380" s="123"/>
      <c r="Q380" s="123"/>
      <c r="R380" s="133">
        <f t="shared" si="76"/>
        <v>0</v>
      </c>
      <c r="S380" s="133"/>
      <c r="T380" s="116">
        <f t="shared" si="79"/>
        <v>0</v>
      </c>
      <c r="U380" s="116">
        <f t="shared" si="80"/>
        <v>0</v>
      </c>
      <c r="V380" s="116">
        <f t="shared" si="81"/>
        <v>0</v>
      </c>
      <c r="W380" s="116">
        <f t="shared" si="82"/>
        <v>0</v>
      </c>
      <c r="X380" s="116">
        <f t="shared" si="74"/>
        <v>0</v>
      </c>
      <c r="Y380" s="116">
        <f t="shared" si="75"/>
        <v>0</v>
      </c>
      <c r="Z380" s="116">
        <f t="shared" si="83"/>
        <v>0</v>
      </c>
      <c r="AA380" s="116">
        <f t="shared" si="84"/>
        <v>1568.97</v>
      </c>
      <c r="AB380" s="116">
        <f t="shared" si="85"/>
        <v>12854.18</v>
      </c>
      <c r="AC380" s="116">
        <f t="shared" si="86"/>
        <v>0</v>
      </c>
      <c r="AD380" s="116">
        <f t="shared" si="87"/>
        <v>0</v>
      </c>
      <c r="AE380" s="116">
        <f t="shared" si="88"/>
        <v>0</v>
      </c>
    </row>
    <row r="381" spans="1:31">
      <c r="A381" s="131">
        <v>42608</v>
      </c>
      <c r="B381" s="131">
        <v>42639</v>
      </c>
      <c r="C381" s="123">
        <f t="shared" si="78"/>
        <v>31</v>
      </c>
      <c r="D381" s="132">
        <v>852.38</v>
      </c>
      <c r="E381" s="134"/>
      <c r="F381" s="135"/>
      <c r="G381" s="123"/>
      <c r="H381" s="123"/>
      <c r="I381" s="123"/>
      <c r="J381" s="123"/>
      <c r="K381" s="123"/>
      <c r="L381" s="123"/>
      <c r="M381" s="123">
        <v>6</v>
      </c>
      <c r="N381" s="123">
        <v>25</v>
      </c>
      <c r="O381" s="123"/>
      <c r="P381" s="123"/>
      <c r="Q381" s="123"/>
      <c r="R381" s="133">
        <f t="shared" si="76"/>
        <v>0</v>
      </c>
      <c r="S381" s="133"/>
      <c r="T381" s="116">
        <f t="shared" si="79"/>
        <v>0</v>
      </c>
      <c r="U381" s="116">
        <f t="shared" si="80"/>
        <v>0</v>
      </c>
      <c r="V381" s="116">
        <f t="shared" si="81"/>
        <v>0</v>
      </c>
      <c r="W381" s="116">
        <f t="shared" si="82"/>
        <v>0</v>
      </c>
      <c r="X381" s="116">
        <f t="shared" si="74"/>
        <v>0</v>
      </c>
      <c r="Y381" s="116">
        <f t="shared" si="75"/>
        <v>0</v>
      </c>
      <c r="Z381" s="116">
        <f t="shared" si="83"/>
        <v>0</v>
      </c>
      <c r="AA381" s="116">
        <f t="shared" si="84"/>
        <v>1925.27</v>
      </c>
      <c r="AB381" s="116">
        <f t="shared" si="85"/>
        <v>9736.59</v>
      </c>
      <c r="AC381" s="116">
        <f t="shared" si="86"/>
        <v>0</v>
      </c>
      <c r="AD381" s="116">
        <f t="shared" si="87"/>
        <v>0</v>
      </c>
      <c r="AE381" s="116">
        <f t="shared" si="88"/>
        <v>0</v>
      </c>
    </row>
    <row r="382" spans="1:31">
      <c r="A382" s="131">
        <v>42597</v>
      </c>
      <c r="B382" s="131">
        <v>42628</v>
      </c>
      <c r="C382" s="123">
        <f t="shared" si="78"/>
        <v>31</v>
      </c>
      <c r="D382" s="132">
        <v>2575.11</v>
      </c>
      <c r="E382" s="134"/>
      <c r="F382" s="135"/>
      <c r="G382" s="123"/>
      <c r="H382" s="123"/>
      <c r="I382" s="123"/>
      <c r="J382" s="123"/>
      <c r="K382" s="123"/>
      <c r="L382" s="123"/>
      <c r="M382" s="123">
        <v>17</v>
      </c>
      <c r="N382" s="123">
        <v>14</v>
      </c>
      <c r="O382" s="123"/>
      <c r="P382" s="123"/>
      <c r="Q382" s="123"/>
      <c r="R382" s="133">
        <f t="shared" si="76"/>
        <v>0</v>
      </c>
      <c r="S382" s="133"/>
      <c r="T382" s="116">
        <f t="shared" si="79"/>
        <v>0</v>
      </c>
      <c r="U382" s="116">
        <f t="shared" si="80"/>
        <v>0</v>
      </c>
      <c r="V382" s="116">
        <f t="shared" si="81"/>
        <v>0</v>
      </c>
      <c r="W382" s="116">
        <f t="shared" si="82"/>
        <v>0</v>
      </c>
      <c r="X382" s="116">
        <f t="shared" si="74"/>
        <v>0</v>
      </c>
      <c r="Y382" s="116">
        <f t="shared" si="75"/>
        <v>0</v>
      </c>
      <c r="Z382" s="116">
        <f t="shared" si="83"/>
        <v>0</v>
      </c>
      <c r="AA382" s="116">
        <f t="shared" si="84"/>
        <v>16479.84</v>
      </c>
      <c r="AB382" s="116">
        <f t="shared" si="85"/>
        <v>16472.419999999998</v>
      </c>
      <c r="AC382" s="116">
        <f t="shared" si="86"/>
        <v>0</v>
      </c>
      <c r="AD382" s="116">
        <f t="shared" si="87"/>
        <v>0</v>
      </c>
      <c r="AE382" s="116">
        <f t="shared" si="88"/>
        <v>0</v>
      </c>
    </row>
    <row r="383" spans="1:31">
      <c r="A383" s="131">
        <v>42611</v>
      </c>
      <c r="B383" s="131">
        <v>42641</v>
      </c>
      <c r="C383" s="123">
        <f t="shared" si="78"/>
        <v>30</v>
      </c>
      <c r="D383" s="132">
        <v>3847.91</v>
      </c>
      <c r="E383" s="134"/>
      <c r="F383" s="135"/>
      <c r="G383" s="123"/>
      <c r="H383" s="123"/>
      <c r="I383" s="123"/>
      <c r="J383" s="123"/>
      <c r="K383" s="123"/>
      <c r="L383" s="123"/>
      <c r="M383" s="123">
        <v>3</v>
      </c>
      <c r="N383" s="123">
        <v>27</v>
      </c>
      <c r="O383" s="123"/>
      <c r="P383" s="123"/>
      <c r="Q383" s="123"/>
      <c r="R383" s="133">
        <f t="shared" si="76"/>
        <v>0</v>
      </c>
      <c r="S383" s="133"/>
      <c r="T383" s="116">
        <f t="shared" si="79"/>
        <v>0</v>
      </c>
      <c r="U383" s="116">
        <f t="shared" si="80"/>
        <v>0</v>
      </c>
      <c r="V383" s="116">
        <f t="shared" si="81"/>
        <v>0</v>
      </c>
      <c r="W383" s="116">
        <f t="shared" si="82"/>
        <v>0</v>
      </c>
      <c r="X383" s="116">
        <f t="shared" si="74"/>
        <v>0</v>
      </c>
      <c r="Y383" s="116">
        <f t="shared" si="75"/>
        <v>0</v>
      </c>
      <c r="Z383" s="116">
        <f t="shared" si="83"/>
        <v>0</v>
      </c>
      <c r="AA383" s="116">
        <f>60393.83-AB383</f>
        <v>6039.3800000000047</v>
      </c>
      <c r="AB383" s="116">
        <v>54354.45</v>
      </c>
      <c r="AC383" s="116">
        <f t="shared" si="86"/>
        <v>0</v>
      </c>
      <c r="AD383" s="116">
        <f t="shared" si="87"/>
        <v>0</v>
      </c>
      <c r="AE383" s="116">
        <f t="shared" si="88"/>
        <v>0</v>
      </c>
    </row>
    <row r="384" spans="1:31">
      <c r="A384" s="131">
        <v>42616</v>
      </c>
      <c r="B384" s="131">
        <v>42646</v>
      </c>
      <c r="C384" s="123">
        <f t="shared" si="78"/>
        <v>30</v>
      </c>
      <c r="D384" s="132">
        <v>373.96</v>
      </c>
      <c r="E384" s="134"/>
      <c r="F384" s="135"/>
      <c r="G384" s="123"/>
      <c r="H384" s="123"/>
      <c r="I384" s="123"/>
      <c r="J384" s="123"/>
      <c r="K384" s="123"/>
      <c r="L384" s="123"/>
      <c r="M384" s="123"/>
      <c r="N384" s="123">
        <v>28</v>
      </c>
      <c r="O384" s="123">
        <v>2</v>
      </c>
      <c r="P384" s="123"/>
      <c r="Q384" s="123"/>
      <c r="R384" s="133">
        <f t="shared" si="76"/>
        <v>0</v>
      </c>
      <c r="S384" s="133"/>
      <c r="T384" s="116">
        <f t="shared" si="79"/>
        <v>0</v>
      </c>
      <c r="U384" s="116">
        <f t="shared" si="80"/>
        <v>0</v>
      </c>
      <c r="V384" s="116">
        <f t="shared" si="81"/>
        <v>0</v>
      </c>
      <c r="W384" s="116">
        <f t="shared" si="82"/>
        <v>0</v>
      </c>
      <c r="X384" s="116">
        <f t="shared" si="74"/>
        <v>0</v>
      </c>
      <c r="Y384" s="116">
        <f t="shared" si="75"/>
        <v>0</v>
      </c>
      <c r="Z384" s="116">
        <f t="shared" si="83"/>
        <v>0</v>
      </c>
      <c r="AA384" s="116">
        <f t="shared" si="84"/>
        <v>0</v>
      </c>
      <c r="AB384" s="116">
        <f t="shared" si="85"/>
        <v>4943.76</v>
      </c>
      <c r="AC384" s="116">
        <f t="shared" si="86"/>
        <v>256.49</v>
      </c>
      <c r="AD384" s="116">
        <f t="shared" si="87"/>
        <v>0</v>
      </c>
      <c r="AE384" s="116">
        <f t="shared" si="88"/>
        <v>0</v>
      </c>
    </row>
    <row r="385" spans="1:31">
      <c r="A385" s="131">
        <v>42614</v>
      </c>
      <c r="B385" s="131">
        <v>42644</v>
      </c>
      <c r="C385" s="123">
        <f t="shared" si="78"/>
        <v>30</v>
      </c>
      <c r="D385" s="132">
        <v>185.75</v>
      </c>
      <c r="E385" s="134"/>
      <c r="F385" s="135"/>
      <c r="G385" s="123"/>
      <c r="H385" s="123"/>
      <c r="I385" s="123"/>
      <c r="J385" s="123"/>
      <c r="K385" s="123"/>
      <c r="L385" s="123"/>
      <c r="M385" s="123"/>
      <c r="N385" s="123">
        <v>30</v>
      </c>
      <c r="O385" s="123"/>
      <c r="P385" s="123"/>
      <c r="Q385" s="123"/>
      <c r="R385" s="133">
        <f t="shared" si="76"/>
        <v>0</v>
      </c>
      <c r="S385" s="133"/>
      <c r="T385" s="116">
        <f t="shared" si="79"/>
        <v>0</v>
      </c>
      <c r="U385" s="116">
        <f t="shared" si="80"/>
        <v>0</v>
      </c>
      <c r="V385" s="116">
        <f t="shared" si="81"/>
        <v>0</v>
      </c>
      <c r="W385" s="116">
        <f t="shared" si="82"/>
        <v>0</v>
      </c>
      <c r="X385" s="116">
        <f t="shared" si="74"/>
        <v>0</v>
      </c>
      <c r="Y385" s="116">
        <f t="shared" si="75"/>
        <v>0</v>
      </c>
      <c r="Z385" s="116">
        <f t="shared" si="83"/>
        <v>0</v>
      </c>
      <c r="AA385" s="116">
        <f t="shared" si="84"/>
        <v>0</v>
      </c>
      <c r="AB385" s="116">
        <f t="shared" si="85"/>
        <v>2631.02</v>
      </c>
      <c r="AC385" s="116">
        <f t="shared" si="86"/>
        <v>0</v>
      </c>
      <c r="AD385" s="116">
        <f t="shared" si="87"/>
        <v>0</v>
      </c>
      <c r="AE385" s="116">
        <f t="shared" si="88"/>
        <v>0</v>
      </c>
    </row>
    <row r="386" spans="1:31">
      <c r="A386" s="131">
        <v>42614</v>
      </c>
      <c r="B386" s="131">
        <v>42644</v>
      </c>
      <c r="C386" s="123">
        <f t="shared" si="78"/>
        <v>30</v>
      </c>
      <c r="D386" s="132">
        <v>4476.79</v>
      </c>
      <c r="E386" s="134"/>
      <c r="F386" s="135"/>
      <c r="G386" s="123"/>
      <c r="H386" s="123"/>
      <c r="I386" s="123"/>
      <c r="J386" s="123"/>
      <c r="K386" s="123"/>
      <c r="L386" s="123"/>
      <c r="M386" s="123"/>
      <c r="N386" s="123">
        <v>30</v>
      </c>
      <c r="O386" s="123"/>
      <c r="P386" s="123"/>
      <c r="Q386" s="123"/>
      <c r="R386" s="133">
        <f t="shared" si="76"/>
        <v>0</v>
      </c>
      <c r="S386" s="133"/>
      <c r="T386" s="116">
        <f t="shared" si="79"/>
        <v>0</v>
      </c>
      <c r="U386" s="116">
        <f t="shared" si="80"/>
        <v>0</v>
      </c>
      <c r="V386" s="116">
        <f t="shared" si="81"/>
        <v>0</v>
      </c>
      <c r="W386" s="116">
        <f t="shared" si="82"/>
        <v>0</v>
      </c>
      <c r="X386" s="116">
        <f t="shared" si="74"/>
        <v>0</v>
      </c>
      <c r="Y386" s="116">
        <f t="shared" si="75"/>
        <v>0</v>
      </c>
      <c r="Z386" s="116">
        <f t="shared" si="83"/>
        <v>0</v>
      </c>
      <c r="AA386" s="116">
        <f t="shared" si="84"/>
        <v>0</v>
      </c>
      <c r="AB386" s="116">
        <f t="shared" si="85"/>
        <v>63410.62</v>
      </c>
      <c r="AC386" s="116">
        <f t="shared" si="86"/>
        <v>0</v>
      </c>
      <c r="AD386" s="116">
        <f t="shared" si="87"/>
        <v>0</v>
      </c>
      <c r="AE386" s="116">
        <f t="shared" si="88"/>
        <v>0</v>
      </c>
    </row>
    <row r="387" spans="1:31">
      <c r="A387" s="131">
        <v>42616</v>
      </c>
      <c r="B387" s="131">
        <v>42646</v>
      </c>
      <c r="C387" s="123">
        <f t="shared" si="78"/>
        <v>30</v>
      </c>
      <c r="D387" s="132">
        <v>345.71</v>
      </c>
      <c r="E387" s="134"/>
      <c r="F387" s="135"/>
      <c r="G387" s="123"/>
      <c r="H387" s="123"/>
      <c r="I387" s="123"/>
      <c r="J387" s="123"/>
      <c r="K387" s="123"/>
      <c r="L387" s="123"/>
      <c r="M387" s="123"/>
      <c r="N387" s="123">
        <v>28</v>
      </c>
      <c r="O387" s="123">
        <v>2</v>
      </c>
      <c r="P387" s="123"/>
      <c r="Q387" s="123"/>
      <c r="R387" s="133">
        <f t="shared" si="76"/>
        <v>0</v>
      </c>
      <c r="S387" s="133"/>
      <c r="T387" s="116">
        <f t="shared" si="79"/>
        <v>0</v>
      </c>
      <c r="U387" s="116">
        <f t="shared" si="80"/>
        <v>0</v>
      </c>
      <c r="V387" s="116">
        <f t="shared" si="81"/>
        <v>0</v>
      </c>
      <c r="W387" s="116">
        <f t="shared" si="82"/>
        <v>0</v>
      </c>
      <c r="X387" s="116">
        <f t="shared" si="74"/>
        <v>0</v>
      </c>
      <c r="Y387" s="116">
        <f t="shared" si="75"/>
        <v>0</v>
      </c>
      <c r="Z387" s="116">
        <f t="shared" si="83"/>
        <v>0</v>
      </c>
      <c r="AA387" s="116">
        <f t="shared" si="84"/>
        <v>0</v>
      </c>
      <c r="AB387" s="116">
        <f t="shared" si="85"/>
        <v>4570.29</v>
      </c>
      <c r="AC387" s="116">
        <f t="shared" si="86"/>
        <v>237.11</v>
      </c>
      <c r="AD387" s="116">
        <f t="shared" si="87"/>
        <v>0</v>
      </c>
      <c r="AE387" s="116">
        <f t="shared" si="88"/>
        <v>0</v>
      </c>
    </row>
    <row r="388" spans="1:31">
      <c r="A388" s="131">
        <v>42614</v>
      </c>
      <c r="B388" s="131">
        <v>42644</v>
      </c>
      <c r="C388" s="123">
        <f t="shared" si="78"/>
        <v>30</v>
      </c>
      <c r="D388" s="132">
        <v>2031.15</v>
      </c>
      <c r="E388" s="134"/>
      <c r="F388" s="135"/>
      <c r="G388" s="123"/>
      <c r="H388" s="123"/>
      <c r="I388" s="123"/>
      <c r="J388" s="123"/>
      <c r="K388" s="123"/>
      <c r="L388" s="123"/>
      <c r="M388" s="123"/>
      <c r="N388" s="123">
        <v>30</v>
      </c>
      <c r="O388" s="123"/>
      <c r="P388" s="123"/>
      <c r="Q388" s="123"/>
      <c r="R388" s="133">
        <f t="shared" si="76"/>
        <v>0</v>
      </c>
      <c r="S388" s="133"/>
      <c r="T388" s="116">
        <f t="shared" si="79"/>
        <v>0</v>
      </c>
      <c r="U388" s="116">
        <f t="shared" si="80"/>
        <v>0</v>
      </c>
      <c r="V388" s="116">
        <f t="shared" si="81"/>
        <v>0</v>
      </c>
      <c r="W388" s="116">
        <f t="shared" si="82"/>
        <v>0</v>
      </c>
      <c r="X388" s="116">
        <f t="shared" si="74"/>
        <v>0</v>
      </c>
      <c r="Y388" s="116">
        <f t="shared" si="75"/>
        <v>0</v>
      </c>
      <c r="Z388" s="116">
        <f t="shared" si="83"/>
        <v>0</v>
      </c>
      <c r="AA388" s="116">
        <f t="shared" si="84"/>
        <v>0</v>
      </c>
      <c r="AB388" s="116">
        <f t="shared" si="85"/>
        <v>28769.83</v>
      </c>
      <c r="AC388" s="116">
        <f t="shared" si="86"/>
        <v>0</v>
      </c>
      <c r="AD388" s="116">
        <f t="shared" si="87"/>
        <v>0</v>
      </c>
      <c r="AE388" s="116">
        <f t="shared" si="88"/>
        <v>0</v>
      </c>
    </row>
    <row r="389" spans="1:31">
      <c r="A389" s="131">
        <v>42614</v>
      </c>
      <c r="B389" s="131">
        <v>42644</v>
      </c>
      <c r="C389" s="123">
        <f t="shared" si="78"/>
        <v>30</v>
      </c>
      <c r="D389" s="132">
        <v>116185.66</v>
      </c>
      <c r="E389" s="134"/>
      <c r="F389" s="135"/>
      <c r="G389" s="123"/>
      <c r="H389" s="123"/>
      <c r="I389" s="123"/>
      <c r="J389" s="123"/>
      <c r="K389" s="123"/>
      <c r="L389" s="123"/>
      <c r="M389" s="123"/>
      <c r="N389" s="123">
        <v>30</v>
      </c>
      <c r="O389" s="123"/>
      <c r="P389" s="123"/>
      <c r="Q389" s="123"/>
      <c r="R389" s="133">
        <f t="shared" si="76"/>
        <v>0</v>
      </c>
      <c r="S389" s="133"/>
      <c r="T389" s="116">
        <f t="shared" si="79"/>
        <v>0</v>
      </c>
      <c r="U389" s="116">
        <f t="shared" si="80"/>
        <v>0</v>
      </c>
      <c r="V389" s="116">
        <f t="shared" si="81"/>
        <v>0</v>
      </c>
      <c r="W389" s="116">
        <f t="shared" si="82"/>
        <v>0</v>
      </c>
      <c r="X389" s="116">
        <f t="shared" si="74"/>
        <v>0</v>
      </c>
      <c r="Y389" s="116">
        <f t="shared" si="75"/>
        <v>0</v>
      </c>
      <c r="Z389" s="116">
        <f t="shared" si="83"/>
        <v>0</v>
      </c>
      <c r="AA389" s="116">
        <f t="shared" si="84"/>
        <v>0</v>
      </c>
      <c r="AB389" s="116">
        <f t="shared" si="85"/>
        <v>1645689.24</v>
      </c>
      <c r="AC389" s="116">
        <f t="shared" si="86"/>
        <v>0</v>
      </c>
      <c r="AD389" s="116">
        <f t="shared" si="87"/>
        <v>0</v>
      </c>
      <c r="AE389" s="116">
        <f t="shared" si="88"/>
        <v>0</v>
      </c>
    </row>
    <row r="390" spans="1:31">
      <c r="A390" s="131">
        <v>42616</v>
      </c>
      <c r="B390" s="131">
        <v>42646</v>
      </c>
      <c r="C390" s="123">
        <f t="shared" si="78"/>
        <v>30</v>
      </c>
      <c r="D390" s="132">
        <v>1220.3600000000001</v>
      </c>
      <c r="E390" s="134"/>
      <c r="F390" s="135"/>
      <c r="G390" s="123"/>
      <c r="H390" s="123"/>
      <c r="I390" s="123"/>
      <c r="J390" s="123"/>
      <c r="K390" s="123"/>
      <c r="L390" s="123"/>
      <c r="M390" s="123"/>
      <c r="N390" s="123">
        <v>28</v>
      </c>
      <c r="O390" s="123">
        <v>2</v>
      </c>
      <c r="P390" s="123"/>
      <c r="Q390" s="123"/>
      <c r="R390" s="133">
        <f t="shared" si="76"/>
        <v>0</v>
      </c>
      <c r="S390" s="133"/>
      <c r="T390" s="116">
        <f t="shared" si="79"/>
        <v>0</v>
      </c>
      <c r="U390" s="116">
        <f t="shared" si="80"/>
        <v>0</v>
      </c>
      <c r="V390" s="116">
        <f t="shared" si="81"/>
        <v>0</v>
      </c>
      <c r="W390" s="116">
        <f t="shared" si="82"/>
        <v>0</v>
      </c>
      <c r="X390" s="116">
        <f t="shared" si="74"/>
        <v>0</v>
      </c>
      <c r="Y390" s="116">
        <f t="shared" si="75"/>
        <v>0</v>
      </c>
      <c r="Z390" s="116">
        <f t="shared" si="83"/>
        <v>0</v>
      </c>
      <c r="AA390" s="116">
        <f t="shared" si="84"/>
        <v>0</v>
      </c>
      <c r="AB390" s="116">
        <f t="shared" si="85"/>
        <v>16133.18</v>
      </c>
      <c r="AC390" s="116">
        <f t="shared" si="86"/>
        <v>837.01</v>
      </c>
      <c r="AD390" s="116">
        <f t="shared" si="87"/>
        <v>0</v>
      </c>
      <c r="AE390" s="116">
        <f t="shared" si="88"/>
        <v>0</v>
      </c>
    </row>
    <row r="391" spans="1:31">
      <c r="A391" s="131">
        <v>42616</v>
      </c>
      <c r="B391" s="131">
        <v>42646</v>
      </c>
      <c r="C391" s="123">
        <f t="shared" si="78"/>
        <v>30</v>
      </c>
      <c r="D391" s="132">
        <v>735.14</v>
      </c>
      <c r="E391" s="134"/>
      <c r="F391" s="135"/>
      <c r="G391" s="123"/>
      <c r="H391" s="123"/>
      <c r="I391" s="123"/>
      <c r="J391" s="123"/>
      <c r="K391" s="123"/>
      <c r="L391" s="123"/>
      <c r="M391" s="123"/>
      <c r="N391" s="123">
        <v>28</v>
      </c>
      <c r="O391" s="123">
        <v>2</v>
      </c>
      <c r="P391" s="123"/>
      <c r="Q391" s="123"/>
      <c r="R391" s="133">
        <f t="shared" si="76"/>
        <v>0</v>
      </c>
      <c r="S391" s="133"/>
      <c r="T391" s="116">
        <f t="shared" si="79"/>
        <v>0</v>
      </c>
      <c r="U391" s="116">
        <f t="shared" si="80"/>
        <v>0</v>
      </c>
      <c r="V391" s="116">
        <f t="shared" si="81"/>
        <v>0</v>
      </c>
      <c r="W391" s="116">
        <f t="shared" si="82"/>
        <v>0</v>
      </c>
      <c r="X391" s="116">
        <f t="shared" si="74"/>
        <v>0</v>
      </c>
      <c r="Y391" s="116">
        <f t="shared" si="75"/>
        <v>0</v>
      </c>
      <c r="Z391" s="116">
        <f t="shared" si="83"/>
        <v>0</v>
      </c>
      <c r="AA391" s="116">
        <f t="shared" si="84"/>
        <v>0</v>
      </c>
      <c r="AB391" s="116">
        <f t="shared" si="85"/>
        <v>9718.56</v>
      </c>
      <c r="AC391" s="116">
        <f t="shared" si="86"/>
        <v>504.21</v>
      </c>
      <c r="AD391" s="116">
        <f t="shared" si="87"/>
        <v>0</v>
      </c>
      <c r="AE391" s="116">
        <f t="shared" si="88"/>
        <v>0</v>
      </c>
    </row>
    <row r="392" spans="1:31">
      <c r="A392" s="131">
        <v>42614</v>
      </c>
      <c r="B392" s="131">
        <v>42644</v>
      </c>
      <c r="C392" s="123">
        <f t="shared" si="78"/>
        <v>30</v>
      </c>
      <c r="D392" s="132">
        <v>22.15</v>
      </c>
      <c r="E392" s="134"/>
      <c r="F392" s="135"/>
      <c r="G392" s="123"/>
      <c r="H392" s="123"/>
      <c r="I392" s="123"/>
      <c r="J392" s="123"/>
      <c r="K392" s="123"/>
      <c r="L392" s="123"/>
      <c r="M392" s="123"/>
      <c r="N392" s="123">
        <v>30</v>
      </c>
      <c r="O392" s="123"/>
      <c r="P392" s="123"/>
      <c r="Q392" s="123"/>
      <c r="R392" s="133">
        <f t="shared" si="76"/>
        <v>0</v>
      </c>
      <c r="S392" s="133"/>
      <c r="T392" s="116">
        <f t="shared" si="79"/>
        <v>0</v>
      </c>
      <c r="U392" s="116">
        <f t="shared" si="80"/>
        <v>0</v>
      </c>
      <c r="V392" s="116">
        <f t="shared" si="81"/>
        <v>0</v>
      </c>
      <c r="W392" s="116">
        <f t="shared" si="82"/>
        <v>0</v>
      </c>
      <c r="X392" s="116">
        <f t="shared" si="74"/>
        <v>0</v>
      </c>
      <c r="Y392" s="116">
        <f t="shared" si="75"/>
        <v>0</v>
      </c>
      <c r="Z392" s="116">
        <f t="shared" si="83"/>
        <v>0</v>
      </c>
      <c r="AA392" s="116">
        <f t="shared" si="84"/>
        <v>0</v>
      </c>
      <c r="AB392" s="116">
        <f t="shared" si="85"/>
        <v>313.74</v>
      </c>
      <c r="AC392" s="116">
        <f t="shared" si="86"/>
        <v>0</v>
      </c>
      <c r="AD392" s="116">
        <f t="shared" si="87"/>
        <v>0</v>
      </c>
      <c r="AE392" s="116">
        <f t="shared" si="88"/>
        <v>0</v>
      </c>
    </row>
    <row r="393" spans="1:31">
      <c r="A393" s="131">
        <v>42614</v>
      </c>
      <c r="B393" s="131">
        <v>42644</v>
      </c>
      <c r="C393" s="123">
        <f t="shared" si="78"/>
        <v>30</v>
      </c>
      <c r="D393" s="132">
        <v>41045.64</v>
      </c>
      <c r="E393" s="134"/>
      <c r="F393" s="135"/>
      <c r="G393" s="123"/>
      <c r="H393" s="123"/>
      <c r="I393" s="123"/>
      <c r="J393" s="123"/>
      <c r="K393" s="123"/>
      <c r="L393" s="123"/>
      <c r="M393" s="123"/>
      <c r="N393" s="123">
        <v>30</v>
      </c>
      <c r="O393" s="123"/>
      <c r="P393" s="123"/>
      <c r="Q393" s="123"/>
      <c r="R393" s="133">
        <f t="shared" si="76"/>
        <v>0</v>
      </c>
      <c r="S393" s="133"/>
      <c r="T393" s="116">
        <f t="shared" si="79"/>
        <v>0</v>
      </c>
      <c r="U393" s="116">
        <f t="shared" si="80"/>
        <v>0</v>
      </c>
      <c r="V393" s="116">
        <f t="shared" si="81"/>
        <v>0</v>
      </c>
      <c r="W393" s="116">
        <f t="shared" si="82"/>
        <v>0</v>
      </c>
      <c r="X393" s="116">
        <f t="shared" si="74"/>
        <v>0</v>
      </c>
      <c r="Y393" s="116">
        <f t="shared" si="75"/>
        <v>0</v>
      </c>
      <c r="Z393" s="116">
        <f t="shared" si="83"/>
        <v>0</v>
      </c>
      <c r="AA393" s="116">
        <f t="shared" si="84"/>
        <v>0</v>
      </c>
      <c r="AB393" s="116">
        <f t="shared" si="85"/>
        <v>581383</v>
      </c>
      <c r="AC393" s="116">
        <f t="shared" si="86"/>
        <v>0</v>
      </c>
      <c r="AD393" s="116">
        <f t="shared" si="87"/>
        <v>0</v>
      </c>
      <c r="AE393" s="116">
        <f t="shared" si="88"/>
        <v>0</v>
      </c>
    </row>
    <row r="394" spans="1:31">
      <c r="A394" s="131">
        <v>42618</v>
      </c>
      <c r="B394" s="131">
        <v>42648</v>
      </c>
      <c r="C394" s="123">
        <f t="shared" si="78"/>
        <v>30</v>
      </c>
      <c r="D394" s="132">
        <v>409.63</v>
      </c>
      <c r="E394" s="134"/>
      <c r="F394" s="135"/>
      <c r="G394" s="123"/>
      <c r="H394" s="123"/>
      <c r="I394" s="123"/>
      <c r="J394" s="123"/>
      <c r="K394" s="123"/>
      <c r="L394" s="123"/>
      <c r="M394" s="123"/>
      <c r="N394" s="123">
        <v>26</v>
      </c>
      <c r="O394" s="123">
        <v>4</v>
      </c>
      <c r="P394" s="123"/>
      <c r="Q394" s="123"/>
      <c r="R394" s="133">
        <f t="shared" si="76"/>
        <v>0</v>
      </c>
      <c r="S394" s="133"/>
      <c r="T394" s="116">
        <f t="shared" si="79"/>
        <v>0</v>
      </c>
      <c r="U394" s="116">
        <f t="shared" si="80"/>
        <v>0</v>
      </c>
      <c r="V394" s="116">
        <f t="shared" si="81"/>
        <v>0</v>
      </c>
      <c r="W394" s="116">
        <f t="shared" si="82"/>
        <v>0</v>
      </c>
      <c r="X394" s="116">
        <f t="shared" si="74"/>
        <v>0</v>
      </c>
      <c r="Y394" s="116">
        <f t="shared" si="75"/>
        <v>0</v>
      </c>
      <c r="Z394" s="116">
        <f t="shared" si="83"/>
        <v>0</v>
      </c>
      <c r="AA394" s="116">
        <f t="shared" si="84"/>
        <v>0</v>
      </c>
      <c r="AB394" s="116">
        <f t="shared" si="85"/>
        <v>5028.51</v>
      </c>
      <c r="AC394" s="116">
        <f t="shared" si="86"/>
        <v>561.91</v>
      </c>
      <c r="AD394" s="116">
        <f t="shared" si="87"/>
        <v>0</v>
      </c>
      <c r="AE394" s="116">
        <f t="shared" si="88"/>
        <v>0</v>
      </c>
    </row>
    <row r="395" spans="1:31">
      <c r="A395" s="131">
        <v>42618</v>
      </c>
      <c r="B395" s="131">
        <v>42648</v>
      </c>
      <c r="C395" s="123">
        <f t="shared" si="78"/>
        <v>30</v>
      </c>
      <c r="D395" s="132">
        <v>105.41</v>
      </c>
      <c r="E395" s="134"/>
      <c r="F395" s="135"/>
      <c r="G395" s="123"/>
      <c r="H395" s="123"/>
      <c r="I395" s="123"/>
      <c r="J395" s="123"/>
      <c r="K395" s="123"/>
      <c r="L395" s="123"/>
      <c r="M395" s="123"/>
      <c r="N395" s="123">
        <v>26</v>
      </c>
      <c r="O395" s="123">
        <v>4</v>
      </c>
      <c r="P395" s="123"/>
      <c r="Q395" s="123"/>
      <c r="R395" s="133">
        <f t="shared" si="76"/>
        <v>0</v>
      </c>
      <c r="S395" s="133"/>
      <c r="T395" s="116">
        <f t="shared" si="79"/>
        <v>0</v>
      </c>
      <c r="U395" s="116">
        <f t="shared" si="80"/>
        <v>0</v>
      </c>
      <c r="V395" s="116">
        <f t="shared" si="81"/>
        <v>0</v>
      </c>
      <c r="W395" s="116">
        <f t="shared" si="82"/>
        <v>0</v>
      </c>
      <c r="X395" s="116">
        <f t="shared" si="74"/>
        <v>0</v>
      </c>
      <c r="Y395" s="116">
        <f t="shared" si="75"/>
        <v>0</v>
      </c>
      <c r="Z395" s="116">
        <f t="shared" si="83"/>
        <v>0</v>
      </c>
      <c r="AA395" s="116">
        <f t="shared" si="84"/>
        <v>0</v>
      </c>
      <c r="AB395" s="116">
        <f t="shared" si="85"/>
        <v>1293.98</v>
      </c>
      <c r="AC395" s="116">
        <f t="shared" si="86"/>
        <v>144.6</v>
      </c>
      <c r="AD395" s="116">
        <f t="shared" si="87"/>
        <v>0</v>
      </c>
      <c r="AE395" s="116">
        <f t="shared" si="88"/>
        <v>0</v>
      </c>
    </row>
    <row r="396" spans="1:31">
      <c r="A396" s="131">
        <v>42618</v>
      </c>
      <c r="B396" s="131">
        <v>42648</v>
      </c>
      <c r="C396" s="123">
        <f t="shared" si="78"/>
        <v>30</v>
      </c>
      <c r="D396" s="132">
        <v>740.58</v>
      </c>
      <c r="E396" s="134"/>
      <c r="F396" s="135"/>
      <c r="G396" s="123"/>
      <c r="H396" s="123"/>
      <c r="I396" s="123"/>
      <c r="J396" s="123"/>
      <c r="K396" s="123"/>
      <c r="L396" s="123"/>
      <c r="M396" s="123"/>
      <c r="N396" s="123">
        <v>26</v>
      </c>
      <c r="O396" s="123">
        <v>4</v>
      </c>
      <c r="P396" s="123"/>
      <c r="Q396" s="123"/>
      <c r="R396" s="133">
        <f t="shared" si="76"/>
        <v>0</v>
      </c>
      <c r="S396" s="133"/>
      <c r="T396" s="116">
        <f t="shared" si="79"/>
        <v>0</v>
      </c>
      <c r="U396" s="116">
        <f t="shared" si="80"/>
        <v>0</v>
      </c>
      <c r="V396" s="116">
        <f t="shared" si="81"/>
        <v>0</v>
      </c>
      <c r="W396" s="116">
        <f t="shared" si="82"/>
        <v>0</v>
      </c>
      <c r="X396" s="116">
        <f t="shared" si="74"/>
        <v>0</v>
      </c>
      <c r="Y396" s="116">
        <f t="shared" si="75"/>
        <v>0</v>
      </c>
      <c r="Z396" s="116">
        <f t="shared" si="83"/>
        <v>0</v>
      </c>
      <c r="AA396" s="116">
        <f t="shared" si="84"/>
        <v>0</v>
      </c>
      <c r="AB396" s="116">
        <f t="shared" si="85"/>
        <v>9091.16</v>
      </c>
      <c r="AC396" s="116">
        <f t="shared" si="86"/>
        <v>1015.88</v>
      </c>
      <c r="AD396" s="116">
        <f t="shared" si="87"/>
        <v>0</v>
      </c>
      <c r="AE396" s="116">
        <f t="shared" si="88"/>
        <v>0</v>
      </c>
    </row>
    <row r="397" spans="1:31">
      <c r="A397" s="131">
        <v>42614</v>
      </c>
      <c r="B397" s="131">
        <v>42644</v>
      </c>
      <c r="C397" s="123">
        <f t="shared" si="78"/>
        <v>30</v>
      </c>
      <c r="D397" s="132">
        <v>2389.31</v>
      </c>
      <c r="E397" s="134"/>
      <c r="F397" s="135"/>
      <c r="G397" s="123"/>
      <c r="H397" s="123"/>
      <c r="I397" s="123"/>
      <c r="J397" s="123"/>
      <c r="K397" s="123"/>
      <c r="L397" s="123"/>
      <c r="M397" s="123"/>
      <c r="N397" s="123">
        <v>30</v>
      </c>
      <c r="O397" s="123"/>
      <c r="P397" s="123"/>
      <c r="Q397" s="123"/>
      <c r="R397" s="133">
        <f t="shared" si="76"/>
        <v>0</v>
      </c>
      <c r="S397" s="133"/>
      <c r="T397" s="116">
        <f t="shared" si="79"/>
        <v>0</v>
      </c>
      <c r="U397" s="116">
        <f t="shared" si="80"/>
        <v>0</v>
      </c>
      <c r="V397" s="116">
        <f t="shared" si="81"/>
        <v>0</v>
      </c>
      <c r="W397" s="116">
        <f t="shared" si="82"/>
        <v>0</v>
      </c>
      <c r="X397" s="116">
        <f t="shared" si="74"/>
        <v>0</v>
      </c>
      <c r="Y397" s="116">
        <f t="shared" si="75"/>
        <v>0</v>
      </c>
      <c r="Z397" s="116">
        <f t="shared" si="83"/>
        <v>0</v>
      </c>
      <c r="AA397" s="116">
        <f t="shared" si="84"/>
        <v>0</v>
      </c>
      <c r="AB397" s="116">
        <f t="shared" si="85"/>
        <v>33842.92</v>
      </c>
      <c r="AC397" s="116">
        <f t="shared" si="86"/>
        <v>0</v>
      </c>
      <c r="AD397" s="116">
        <f t="shared" si="87"/>
        <v>0</v>
      </c>
      <c r="AE397" s="116">
        <f t="shared" si="88"/>
        <v>0</v>
      </c>
    </row>
    <row r="398" spans="1:31">
      <c r="A398" s="131">
        <v>42614</v>
      </c>
      <c r="B398" s="131">
        <v>42644</v>
      </c>
      <c r="C398" s="123">
        <f t="shared" si="78"/>
        <v>30</v>
      </c>
      <c r="D398" s="132">
        <v>10.78</v>
      </c>
      <c r="E398" s="134"/>
      <c r="F398" s="135"/>
      <c r="G398" s="123"/>
      <c r="H398" s="123"/>
      <c r="I398" s="123"/>
      <c r="J398" s="123"/>
      <c r="K398" s="123"/>
      <c r="L398" s="123"/>
      <c r="M398" s="123"/>
      <c r="N398" s="123">
        <v>30</v>
      </c>
      <c r="O398" s="123"/>
      <c r="P398" s="123"/>
      <c r="Q398" s="123"/>
      <c r="R398" s="133">
        <f t="shared" si="76"/>
        <v>0</v>
      </c>
      <c r="S398" s="133"/>
      <c r="T398" s="116">
        <f t="shared" si="79"/>
        <v>0</v>
      </c>
      <c r="U398" s="116">
        <f t="shared" si="80"/>
        <v>0</v>
      </c>
      <c r="V398" s="116">
        <f t="shared" si="81"/>
        <v>0</v>
      </c>
      <c r="W398" s="116">
        <f t="shared" si="82"/>
        <v>0</v>
      </c>
      <c r="X398" s="116">
        <f t="shared" si="74"/>
        <v>0</v>
      </c>
      <c r="Y398" s="116">
        <f t="shared" si="75"/>
        <v>0</v>
      </c>
      <c r="Z398" s="116">
        <f t="shared" si="83"/>
        <v>0</v>
      </c>
      <c r="AA398" s="116">
        <f t="shared" si="84"/>
        <v>0</v>
      </c>
      <c r="AB398" s="116">
        <f t="shared" si="85"/>
        <v>152.69</v>
      </c>
      <c r="AC398" s="116">
        <f t="shared" si="86"/>
        <v>0</v>
      </c>
      <c r="AD398" s="116">
        <f t="shared" si="87"/>
        <v>0</v>
      </c>
      <c r="AE398" s="116">
        <f t="shared" si="88"/>
        <v>0</v>
      </c>
    </row>
    <row r="399" spans="1:31">
      <c r="A399" s="131">
        <v>42621</v>
      </c>
      <c r="B399" s="131">
        <v>42651</v>
      </c>
      <c r="C399" s="123">
        <f t="shared" si="78"/>
        <v>30</v>
      </c>
      <c r="D399" s="132">
        <v>173.84</v>
      </c>
      <c r="E399" s="134"/>
      <c r="F399" s="135"/>
      <c r="G399" s="123"/>
      <c r="H399" s="123"/>
      <c r="I399" s="123"/>
      <c r="J399" s="123"/>
      <c r="K399" s="123"/>
      <c r="L399" s="123"/>
      <c r="M399" s="123"/>
      <c r="N399" s="123">
        <v>23</v>
      </c>
      <c r="O399" s="123">
        <v>7</v>
      </c>
      <c r="P399" s="123"/>
      <c r="Q399" s="123"/>
      <c r="R399" s="133">
        <f t="shared" si="76"/>
        <v>0</v>
      </c>
      <c r="S399" s="133"/>
      <c r="T399" s="116">
        <f t="shared" si="79"/>
        <v>0</v>
      </c>
      <c r="U399" s="116">
        <f t="shared" si="80"/>
        <v>0</v>
      </c>
      <c r="V399" s="116">
        <f t="shared" si="81"/>
        <v>0</v>
      </c>
      <c r="W399" s="116">
        <f t="shared" si="82"/>
        <v>0</v>
      </c>
      <c r="X399" s="116">
        <f t="shared" si="74"/>
        <v>0</v>
      </c>
      <c r="Y399" s="116">
        <f t="shared" si="75"/>
        <v>0</v>
      </c>
      <c r="Z399" s="116">
        <f t="shared" si="83"/>
        <v>0</v>
      </c>
      <c r="AA399" s="116">
        <f t="shared" si="84"/>
        <v>0</v>
      </c>
      <c r="AB399" s="116">
        <f t="shared" si="85"/>
        <v>1887.78</v>
      </c>
      <c r="AC399" s="116">
        <f t="shared" si="86"/>
        <v>417.31</v>
      </c>
      <c r="AD399" s="116">
        <f t="shared" si="87"/>
        <v>0</v>
      </c>
      <c r="AE399" s="116">
        <f t="shared" si="88"/>
        <v>0</v>
      </c>
    </row>
    <row r="400" spans="1:31">
      <c r="A400" s="131">
        <v>42621</v>
      </c>
      <c r="B400" s="131">
        <v>42651</v>
      </c>
      <c r="C400" s="123">
        <f t="shared" si="78"/>
        <v>30</v>
      </c>
      <c r="D400" s="132">
        <v>332</v>
      </c>
      <c r="E400" s="134"/>
      <c r="F400" s="135"/>
      <c r="G400" s="123"/>
      <c r="H400" s="123"/>
      <c r="I400" s="123"/>
      <c r="J400" s="123"/>
      <c r="K400" s="123"/>
      <c r="L400" s="123"/>
      <c r="M400" s="123"/>
      <c r="N400" s="123">
        <v>23</v>
      </c>
      <c r="O400" s="123">
        <v>7</v>
      </c>
      <c r="P400" s="123"/>
      <c r="Q400" s="123"/>
      <c r="R400" s="133">
        <f t="shared" si="76"/>
        <v>0</v>
      </c>
      <c r="S400" s="133"/>
      <c r="T400" s="116">
        <f t="shared" si="79"/>
        <v>0</v>
      </c>
      <c r="U400" s="116">
        <f t="shared" si="80"/>
        <v>0</v>
      </c>
      <c r="V400" s="116">
        <f t="shared" si="81"/>
        <v>0</v>
      </c>
      <c r="W400" s="116">
        <f t="shared" si="82"/>
        <v>0</v>
      </c>
      <c r="X400" s="116">
        <f t="shared" si="74"/>
        <v>0</v>
      </c>
      <c r="Y400" s="116">
        <f t="shared" si="75"/>
        <v>0</v>
      </c>
      <c r="Z400" s="116">
        <f t="shared" si="83"/>
        <v>0</v>
      </c>
      <c r="AA400" s="116">
        <f t="shared" si="84"/>
        <v>0</v>
      </c>
      <c r="AB400" s="116">
        <f t="shared" si="85"/>
        <v>3605.29</v>
      </c>
      <c r="AC400" s="116">
        <f t="shared" si="86"/>
        <v>796.98</v>
      </c>
      <c r="AD400" s="116">
        <f t="shared" si="87"/>
        <v>0</v>
      </c>
      <c r="AE400" s="116">
        <f t="shared" si="88"/>
        <v>0</v>
      </c>
    </row>
    <row r="401" spans="1:31">
      <c r="A401" s="131">
        <v>42621</v>
      </c>
      <c r="B401" s="131">
        <v>42651</v>
      </c>
      <c r="C401" s="123">
        <f t="shared" si="78"/>
        <v>30</v>
      </c>
      <c r="D401" s="132">
        <v>457.86</v>
      </c>
      <c r="E401" s="134"/>
      <c r="F401" s="135"/>
      <c r="G401" s="123"/>
      <c r="H401" s="123"/>
      <c r="I401" s="123"/>
      <c r="J401" s="123"/>
      <c r="K401" s="123"/>
      <c r="L401" s="123"/>
      <c r="M401" s="123"/>
      <c r="N401" s="123">
        <v>23</v>
      </c>
      <c r="O401" s="123">
        <v>7</v>
      </c>
      <c r="P401" s="123"/>
      <c r="Q401" s="123"/>
      <c r="R401" s="133">
        <f t="shared" si="76"/>
        <v>0</v>
      </c>
      <c r="S401" s="133"/>
      <c r="T401" s="116">
        <f t="shared" si="79"/>
        <v>0</v>
      </c>
      <c r="U401" s="116">
        <f t="shared" si="80"/>
        <v>0</v>
      </c>
      <c r="V401" s="116">
        <f t="shared" si="81"/>
        <v>0</v>
      </c>
      <c r="W401" s="116">
        <f t="shared" si="82"/>
        <v>0</v>
      </c>
      <c r="X401" s="116">
        <f t="shared" si="74"/>
        <v>0</v>
      </c>
      <c r="Y401" s="116">
        <f t="shared" si="75"/>
        <v>0</v>
      </c>
      <c r="Z401" s="116">
        <f t="shared" si="83"/>
        <v>0</v>
      </c>
      <c r="AA401" s="116">
        <f t="shared" si="84"/>
        <v>0</v>
      </c>
      <c r="AB401" s="116">
        <f t="shared" si="85"/>
        <v>4972.04</v>
      </c>
      <c r="AC401" s="116">
        <f t="shared" si="86"/>
        <v>1099.1199999999999</v>
      </c>
      <c r="AD401" s="116">
        <f t="shared" si="87"/>
        <v>0</v>
      </c>
      <c r="AE401" s="116">
        <f t="shared" si="88"/>
        <v>0</v>
      </c>
    </row>
    <row r="402" spans="1:31">
      <c r="A402" s="131">
        <v>42621</v>
      </c>
      <c r="B402" s="131">
        <v>42651</v>
      </c>
      <c r="C402" s="123">
        <f t="shared" si="78"/>
        <v>30</v>
      </c>
      <c r="D402" s="132">
        <v>240.55</v>
      </c>
      <c r="E402" s="134"/>
      <c r="F402" s="135"/>
      <c r="G402" s="123"/>
      <c r="H402" s="123"/>
      <c r="I402" s="123"/>
      <c r="J402" s="123"/>
      <c r="K402" s="123"/>
      <c r="L402" s="123"/>
      <c r="M402" s="123"/>
      <c r="N402" s="123">
        <v>23</v>
      </c>
      <c r="O402" s="123">
        <v>7</v>
      </c>
      <c r="P402" s="123"/>
      <c r="Q402" s="123"/>
      <c r="R402" s="133">
        <f t="shared" si="76"/>
        <v>0</v>
      </c>
      <c r="S402" s="133"/>
      <c r="T402" s="116">
        <f t="shared" si="79"/>
        <v>0</v>
      </c>
      <c r="U402" s="116">
        <f t="shared" si="80"/>
        <v>0</v>
      </c>
      <c r="V402" s="116">
        <f t="shared" si="81"/>
        <v>0</v>
      </c>
      <c r="W402" s="116">
        <f t="shared" si="82"/>
        <v>0</v>
      </c>
      <c r="X402" s="116">
        <f t="shared" si="74"/>
        <v>0</v>
      </c>
      <c r="Y402" s="116">
        <f t="shared" si="75"/>
        <v>0</v>
      </c>
      <c r="Z402" s="116">
        <f t="shared" si="83"/>
        <v>0</v>
      </c>
      <c r="AA402" s="116">
        <f t="shared" si="84"/>
        <v>0</v>
      </c>
      <c r="AB402" s="116">
        <f t="shared" si="85"/>
        <v>2612.1999999999998</v>
      </c>
      <c r="AC402" s="116">
        <f t="shared" si="86"/>
        <v>577.45000000000005</v>
      </c>
      <c r="AD402" s="116">
        <f t="shared" si="87"/>
        <v>0</v>
      </c>
      <c r="AE402" s="116">
        <f t="shared" si="88"/>
        <v>0</v>
      </c>
    </row>
    <row r="403" spans="1:31">
      <c r="A403" s="131">
        <v>42625</v>
      </c>
      <c r="B403" s="131">
        <v>42655</v>
      </c>
      <c r="C403" s="123">
        <f t="shared" si="78"/>
        <v>30</v>
      </c>
      <c r="D403" s="132">
        <v>887.46</v>
      </c>
      <c r="E403" s="134"/>
      <c r="F403" s="135"/>
      <c r="G403" s="123"/>
      <c r="H403" s="123"/>
      <c r="I403" s="123"/>
      <c r="J403" s="123"/>
      <c r="K403" s="123"/>
      <c r="L403" s="123"/>
      <c r="M403" s="123"/>
      <c r="N403" s="123">
        <v>19</v>
      </c>
      <c r="O403" s="123">
        <v>11</v>
      </c>
      <c r="P403" s="123"/>
      <c r="Q403" s="123"/>
      <c r="R403" s="133">
        <f t="shared" si="76"/>
        <v>0</v>
      </c>
      <c r="S403" s="133"/>
      <c r="T403" s="116">
        <f t="shared" si="79"/>
        <v>0</v>
      </c>
      <c r="U403" s="116">
        <f t="shared" si="80"/>
        <v>0</v>
      </c>
      <c r="V403" s="116">
        <f t="shared" si="81"/>
        <v>0</v>
      </c>
      <c r="W403" s="116">
        <f t="shared" si="82"/>
        <v>0</v>
      </c>
      <c r="X403" s="116">
        <f t="shared" si="74"/>
        <v>0</v>
      </c>
      <c r="Y403" s="116">
        <f t="shared" si="75"/>
        <v>0</v>
      </c>
      <c r="Z403" s="116">
        <f t="shared" si="83"/>
        <v>0</v>
      </c>
      <c r="AA403" s="116">
        <f t="shared" si="84"/>
        <v>0</v>
      </c>
      <c r="AB403" s="116">
        <f t="shared" si="85"/>
        <v>7961.16</v>
      </c>
      <c r="AC403" s="116">
        <f t="shared" si="86"/>
        <v>3347.76</v>
      </c>
      <c r="AD403" s="116">
        <f t="shared" si="87"/>
        <v>0</v>
      </c>
      <c r="AE403" s="116">
        <f t="shared" si="88"/>
        <v>0</v>
      </c>
    </row>
    <row r="404" spans="1:31">
      <c r="A404" s="131">
        <v>42625</v>
      </c>
      <c r="B404" s="131">
        <v>42655</v>
      </c>
      <c r="C404" s="123">
        <f t="shared" si="78"/>
        <v>30</v>
      </c>
      <c r="D404" s="132">
        <v>728.06</v>
      </c>
      <c r="E404" s="134"/>
      <c r="F404" s="135"/>
      <c r="G404" s="123"/>
      <c r="H404" s="123"/>
      <c r="I404" s="123"/>
      <c r="J404" s="123"/>
      <c r="K404" s="123"/>
      <c r="L404" s="123"/>
      <c r="M404" s="123"/>
      <c r="N404" s="123">
        <v>19</v>
      </c>
      <c r="O404" s="123">
        <v>11</v>
      </c>
      <c r="P404" s="123"/>
      <c r="Q404" s="123"/>
      <c r="R404" s="133">
        <f t="shared" si="76"/>
        <v>0</v>
      </c>
      <c r="S404" s="133"/>
      <c r="T404" s="116">
        <f t="shared" si="79"/>
        <v>0</v>
      </c>
      <c r="U404" s="116">
        <f t="shared" si="80"/>
        <v>0</v>
      </c>
      <c r="V404" s="116">
        <f t="shared" si="81"/>
        <v>0</v>
      </c>
      <c r="W404" s="116">
        <f t="shared" si="82"/>
        <v>0</v>
      </c>
      <c r="X404" s="116">
        <f t="shared" si="74"/>
        <v>0</v>
      </c>
      <c r="Y404" s="116">
        <f t="shared" si="75"/>
        <v>0</v>
      </c>
      <c r="Z404" s="116">
        <f t="shared" si="83"/>
        <v>0</v>
      </c>
      <c r="AA404" s="116">
        <f t="shared" si="84"/>
        <v>0</v>
      </c>
      <c r="AB404" s="116">
        <f t="shared" si="85"/>
        <v>6531.23</v>
      </c>
      <c r="AC404" s="116">
        <f t="shared" si="86"/>
        <v>2746.45</v>
      </c>
      <c r="AD404" s="116">
        <f t="shared" si="87"/>
        <v>0</v>
      </c>
      <c r="AE404" s="116">
        <f t="shared" si="88"/>
        <v>0</v>
      </c>
    </row>
    <row r="405" spans="1:31">
      <c r="A405" s="131">
        <v>42625</v>
      </c>
      <c r="B405" s="131">
        <v>42655</v>
      </c>
      <c r="C405" s="123">
        <f t="shared" si="78"/>
        <v>30</v>
      </c>
      <c r="D405" s="132">
        <v>94.18</v>
      </c>
      <c r="E405" s="134"/>
      <c r="F405" s="135"/>
      <c r="G405" s="123"/>
      <c r="H405" s="123"/>
      <c r="I405" s="123"/>
      <c r="J405" s="123"/>
      <c r="K405" s="123"/>
      <c r="L405" s="123"/>
      <c r="M405" s="123"/>
      <c r="N405" s="123">
        <v>19</v>
      </c>
      <c r="O405" s="123">
        <v>11</v>
      </c>
      <c r="P405" s="123"/>
      <c r="Q405" s="123"/>
      <c r="R405" s="133">
        <f t="shared" si="76"/>
        <v>0</v>
      </c>
      <c r="S405" s="133"/>
      <c r="T405" s="116">
        <f t="shared" si="79"/>
        <v>0</v>
      </c>
      <c r="U405" s="116">
        <f t="shared" si="80"/>
        <v>0</v>
      </c>
      <c r="V405" s="116">
        <f t="shared" si="81"/>
        <v>0</v>
      </c>
      <c r="W405" s="116">
        <f t="shared" si="82"/>
        <v>0</v>
      </c>
      <c r="X405" s="116">
        <f t="shared" si="74"/>
        <v>0</v>
      </c>
      <c r="Y405" s="116">
        <f t="shared" si="75"/>
        <v>0</v>
      </c>
      <c r="Z405" s="116">
        <f t="shared" si="83"/>
        <v>0</v>
      </c>
      <c r="AA405" s="116">
        <f t="shared" si="84"/>
        <v>0</v>
      </c>
      <c r="AB405" s="116">
        <f t="shared" si="85"/>
        <v>844.86</v>
      </c>
      <c r="AC405" s="116">
        <f t="shared" si="86"/>
        <v>355.27</v>
      </c>
      <c r="AD405" s="116">
        <f t="shared" si="87"/>
        <v>0</v>
      </c>
      <c r="AE405" s="116">
        <f t="shared" si="88"/>
        <v>0</v>
      </c>
    </row>
    <row r="406" spans="1:31">
      <c r="A406" s="131">
        <v>42628</v>
      </c>
      <c r="B406" s="131">
        <v>42658</v>
      </c>
      <c r="C406" s="123">
        <f t="shared" si="78"/>
        <v>30</v>
      </c>
      <c r="D406" s="132">
        <v>2004.35</v>
      </c>
      <c r="E406" s="134"/>
      <c r="F406" s="135"/>
      <c r="G406" s="123"/>
      <c r="H406" s="123"/>
      <c r="I406" s="123"/>
      <c r="J406" s="123"/>
      <c r="K406" s="123"/>
      <c r="L406" s="123"/>
      <c r="M406" s="123"/>
      <c r="N406" s="123">
        <v>16</v>
      </c>
      <c r="O406" s="123">
        <v>14</v>
      </c>
      <c r="P406" s="123"/>
      <c r="Q406" s="123"/>
      <c r="R406" s="133">
        <f t="shared" si="76"/>
        <v>0</v>
      </c>
      <c r="S406" s="133"/>
      <c r="T406" s="116">
        <f t="shared" si="79"/>
        <v>0</v>
      </c>
      <c r="U406" s="116">
        <f t="shared" si="80"/>
        <v>0</v>
      </c>
      <c r="V406" s="116">
        <f t="shared" si="81"/>
        <v>0</v>
      </c>
      <c r="W406" s="116">
        <f t="shared" si="82"/>
        <v>0</v>
      </c>
      <c r="X406" s="116">
        <f t="shared" si="74"/>
        <v>0</v>
      </c>
      <c r="Y406" s="116">
        <f t="shared" si="75"/>
        <v>0</v>
      </c>
      <c r="Z406" s="116">
        <f t="shared" si="83"/>
        <v>0</v>
      </c>
      <c r="AA406" s="116">
        <f t="shared" si="84"/>
        <v>0</v>
      </c>
      <c r="AB406" s="116">
        <f t="shared" si="85"/>
        <v>15141.45</v>
      </c>
      <c r="AC406" s="116">
        <f t="shared" si="86"/>
        <v>9623.08</v>
      </c>
      <c r="AD406" s="116">
        <f t="shared" si="87"/>
        <v>0</v>
      </c>
      <c r="AE406" s="116">
        <f t="shared" si="88"/>
        <v>0</v>
      </c>
    </row>
    <row r="407" spans="1:31">
      <c r="A407" s="131">
        <v>42628</v>
      </c>
      <c r="B407" s="131">
        <v>42658</v>
      </c>
      <c r="C407" s="123">
        <f t="shared" si="78"/>
        <v>30</v>
      </c>
      <c r="D407" s="132">
        <v>17412.39</v>
      </c>
      <c r="E407" s="134"/>
      <c r="F407" s="135"/>
      <c r="G407" s="123"/>
      <c r="H407" s="123"/>
      <c r="I407" s="123"/>
      <c r="J407" s="123"/>
      <c r="K407" s="123"/>
      <c r="L407" s="123"/>
      <c r="M407" s="123"/>
      <c r="N407" s="123">
        <v>16</v>
      </c>
      <c r="O407" s="123">
        <v>14</v>
      </c>
      <c r="P407" s="123"/>
      <c r="Q407" s="123"/>
      <c r="R407" s="133">
        <f t="shared" si="76"/>
        <v>0</v>
      </c>
      <c r="S407" s="133"/>
      <c r="T407" s="116">
        <f t="shared" si="79"/>
        <v>0</v>
      </c>
      <c r="U407" s="116">
        <f t="shared" si="80"/>
        <v>0</v>
      </c>
      <c r="V407" s="116">
        <f t="shared" si="81"/>
        <v>0</v>
      </c>
      <c r="W407" s="116">
        <f t="shared" si="82"/>
        <v>0</v>
      </c>
      <c r="X407" s="116">
        <f t="shared" si="74"/>
        <v>0</v>
      </c>
      <c r="Y407" s="116">
        <f t="shared" si="75"/>
        <v>0</v>
      </c>
      <c r="Z407" s="116">
        <f t="shared" si="83"/>
        <v>0</v>
      </c>
      <c r="AA407" s="116">
        <f t="shared" si="84"/>
        <v>0</v>
      </c>
      <c r="AB407" s="116">
        <f t="shared" si="85"/>
        <v>131538.35999999999</v>
      </c>
      <c r="AC407" s="116">
        <f t="shared" si="86"/>
        <v>83598.58</v>
      </c>
      <c r="AD407" s="116">
        <f t="shared" si="87"/>
        <v>0</v>
      </c>
      <c r="AE407" s="116">
        <f t="shared" si="88"/>
        <v>0</v>
      </c>
    </row>
    <row r="408" spans="1:31">
      <c r="A408" s="131">
        <v>42628</v>
      </c>
      <c r="B408" s="131">
        <v>42658</v>
      </c>
      <c r="C408" s="123">
        <f t="shared" si="78"/>
        <v>30</v>
      </c>
      <c r="D408" s="132">
        <v>5455.47</v>
      </c>
      <c r="E408" s="134"/>
      <c r="F408" s="135"/>
      <c r="G408" s="123"/>
      <c r="H408" s="123"/>
      <c r="I408" s="123"/>
      <c r="J408" s="123"/>
      <c r="K408" s="123"/>
      <c r="L408" s="123"/>
      <c r="M408" s="123"/>
      <c r="N408" s="123">
        <v>16</v>
      </c>
      <c r="O408" s="123">
        <v>14</v>
      </c>
      <c r="P408" s="123"/>
      <c r="Q408" s="123"/>
      <c r="R408" s="133">
        <f t="shared" si="76"/>
        <v>0</v>
      </c>
      <c r="S408" s="133"/>
      <c r="T408" s="116">
        <f t="shared" si="79"/>
        <v>0</v>
      </c>
      <c r="U408" s="116">
        <f t="shared" si="80"/>
        <v>0</v>
      </c>
      <c r="V408" s="116">
        <f t="shared" si="81"/>
        <v>0</v>
      </c>
      <c r="W408" s="116">
        <f t="shared" si="82"/>
        <v>0</v>
      </c>
      <c r="X408" s="116">
        <f t="shared" si="74"/>
        <v>0</v>
      </c>
      <c r="Y408" s="116">
        <f t="shared" si="75"/>
        <v>0</v>
      </c>
      <c r="Z408" s="116">
        <f t="shared" si="83"/>
        <v>0</v>
      </c>
      <c r="AA408" s="116">
        <f t="shared" si="84"/>
        <v>0</v>
      </c>
      <c r="AB408" s="116">
        <f t="shared" si="85"/>
        <v>41212.239999999998</v>
      </c>
      <c r="AC408" s="116">
        <f t="shared" si="86"/>
        <v>26192.240000000002</v>
      </c>
      <c r="AD408" s="116">
        <f t="shared" si="87"/>
        <v>0</v>
      </c>
      <c r="AE408" s="116">
        <f t="shared" si="88"/>
        <v>0</v>
      </c>
    </row>
    <row r="409" spans="1:31" ht="15.75" thickBot="1">
      <c r="A409" s="131">
        <v>42635</v>
      </c>
      <c r="B409" s="131">
        <v>42655</v>
      </c>
      <c r="C409" s="123">
        <f t="shared" si="78"/>
        <v>20</v>
      </c>
      <c r="D409" s="132">
        <v>802.52</v>
      </c>
      <c r="E409" s="134"/>
      <c r="F409" s="135"/>
      <c r="G409" s="123"/>
      <c r="H409" s="123"/>
      <c r="I409" s="123"/>
      <c r="J409" s="123"/>
      <c r="K409" s="123"/>
      <c r="L409" s="123"/>
      <c r="M409" s="123"/>
      <c r="N409" s="123">
        <v>9</v>
      </c>
      <c r="O409" s="123">
        <v>11</v>
      </c>
      <c r="P409" s="123"/>
      <c r="Q409" s="123"/>
      <c r="R409" s="133">
        <f t="shared" si="76"/>
        <v>0</v>
      </c>
      <c r="S409" s="133"/>
      <c r="T409" s="116">
        <f t="shared" si="79"/>
        <v>0</v>
      </c>
      <c r="U409" s="116">
        <f t="shared" si="80"/>
        <v>0</v>
      </c>
      <c r="V409" s="116">
        <f t="shared" si="81"/>
        <v>0</v>
      </c>
      <c r="W409" s="116">
        <f t="shared" si="82"/>
        <v>0</v>
      </c>
      <c r="X409" s="116">
        <f t="shared" si="74"/>
        <v>0</v>
      </c>
      <c r="Y409" s="116">
        <f t="shared" si="75"/>
        <v>0</v>
      </c>
      <c r="Z409" s="116">
        <f t="shared" si="83"/>
        <v>0</v>
      </c>
      <c r="AA409" s="116">
        <f t="shared" si="84"/>
        <v>0</v>
      </c>
      <c r="AB409" s="116">
        <f>9533.02-AC409</f>
        <v>4289.8600000000006</v>
      </c>
      <c r="AC409" s="116">
        <v>5243.16</v>
      </c>
      <c r="AD409" s="116">
        <f t="shared" si="87"/>
        <v>0</v>
      </c>
      <c r="AE409" s="116">
        <f t="shared" si="88"/>
        <v>0</v>
      </c>
    </row>
    <row r="410" spans="1:31" ht="15.75" thickBot="1">
      <c r="A410" s="194" t="s">
        <v>45</v>
      </c>
      <c r="B410" s="195"/>
      <c r="C410" s="195"/>
      <c r="D410" s="195"/>
      <c r="E410" s="195"/>
      <c r="F410" s="195"/>
      <c r="G410" s="195"/>
      <c r="H410" s="195"/>
      <c r="I410" s="195"/>
      <c r="J410" s="195"/>
      <c r="K410" s="195"/>
      <c r="L410" s="195"/>
      <c r="M410" s="195"/>
      <c r="N410" s="195"/>
      <c r="O410" s="195"/>
      <c r="P410" s="195"/>
      <c r="Q410" s="195"/>
      <c r="R410" s="195"/>
      <c r="S410" s="195"/>
      <c r="T410" s="195"/>
      <c r="U410" s="195"/>
      <c r="V410" s="195"/>
      <c r="W410" s="195"/>
      <c r="X410" s="195"/>
      <c r="Y410" s="195"/>
      <c r="Z410" s="195"/>
      <c r="AA410" s="195"/>
      <c r="AB410" s="195"/>
      <c r="AC410" s="195"/>
      <c r="AD410" s="195"/>
      <c r="AE410" s="196"/>
    </row>
    <row r="411" spans="1:31">
      <c r="A411" s="131">
        <v>42621</v>
      </c>
      <c r="B411" s="131">
        <v>42651</v>
      </c>
      <c r="C411" s="123">
        <f t="shared" si="78"/>
        <v>30</v>
      </c>
      <c r="D411" s="132">
        <v>-23.3</v>
      </c>
      <c r="E411" s="134"/>
      <c r="F411" s="135"/>
      <c r="G411" s="123"/>
      <c r="H411" s="123"/>
      <c r="I411" s="123"/>
      <c r="J411" s="123"/>
      <c r="K411" s="123"/>
      <c r="L411" s="123"/>
      <c r="M411" s="123"/>
      <c r="N411" s="123">
        <v>23</v>
      </c>
      <c r="O411" s="123">
        <v>7</v>
      </c>
      <c r="P411" s="123"/>
      <c r="Q411" s="123"/>
      <c r="R411" s="133">
        <f t="shared" si="76"/>
        <v>0</v>
      </c>
      <c r="S411" s="133"/>
      <c r="T411" s="116">
        <f t="shared" ref="T411:T447" si="89">ROUND((D411*F411/C411)/$C$6,2)</f>
        <v>0</v>
      </c>
      <c r="U411" s="116">
        <f t="shared" si="80"/>
        <v>0</v>
      </c>
      <c r="V411" s="116">
        <f t="shared" si="81"/>
        <v>0</v>
      </c>
      <c r="W411" s="116">
        <f t="shared" si="82"/>
        <v>0</v>
      </c>
      <c r="X411" s="116">
        <f t="shared" si="74"/>
        <v>0</v>
      </c>
      <c r="Y411" s="116">
        <f t="shared" si="75"/>
        <v>0</v>
      </c>
      <c r="Z411" s="116">
        <f t="shared" si="83"/>
        <v>0</v>
      </c>
      <c r="AA411" s="116">
        <f t="shared" si="84"/>
        <v>0</v>
      </c>
      <c r="AB411" s="116">
        <f t="shared" si="85"/>
        <v>-253.02</v>
      </c>
      <c r="AC411" s="116">
        <f t="shared" si="86"/>
        <v>-55.93</v>
      </c>
      <c r="AD411" s="116">
        <f t="shared" si="87"/>
        <v>0</v>
      </c>
      <c r="AE411" s="116">
        <f t="shared" si="88"/>
        <v>0</v>
      </c>
    </row>
    <row r="412" spans="1:31">
      <c r="A412" s="131">
        <v>42590</v>
      </c>
      <c r="B412" s="131">
        <v>42621</v>
      </c>
      <c r="C412" s="123">
        <f t="shared" si="78"/>
        <v>31</v>
      </c>
      <c r="D412" s="132"/>
      <c r="E412" s="134"/>
      <c r="F412" s="135"/>
      <c r="G412" s="123"/>
      <c r="H412" s="123"/>
      <c r="I412" s="123"/>
      <c r="J412" s="123"/>
      <c r="K412" s="123"/>
      <c r="L412" s="123"/>
      <c r="M412" s="123">
        <v>24</v>
      </c>
      <c r="N412" s="123">
        <v>7</v>
      </c>
      <c r="O412" s="123"/>
      <c r="P412" s="123"/>
      <c r="Q412" s="123"/>
      <c r="R412" s="133">
        <f t="shared" si="76"/>
        <v>0</v>
      </c>
      <c r="S412" s="133"/>
      <c r="T412" s="116">
        <f t="shared" si="89"/>
        <v>0</v>
      </c>
      <c r="U412" s="116">
        <f t="shared" si="80"/>
        <v>0</v>
      </c>
      <c r="V412" s="116">
        <f t="shared" si="81"/>
        <v>0</v>
      </c>
      <c r="W412" s="116">
        <f t="shared" si="82"/>
        <v>0</v>
      </c>
      <c r="X412" s="116">
        <f t="shared" si="74"/>
        <v>0</v>
      </c>
      <c r="Y412" s="116">
        <f t="shared" si="75"/>
        <v>0</v>
      </c>
      <c r="Z412" s="116">
        <f t="shared" si="83"/>
        <v>0</v>
      </c>
      <c r="AA412" s="116">
        <f t="shared" si="84"/>
        <v>0</v>
      </c>
      <c r="AB412" s="116">
        <f t="shared" si="85"/>
        <v>0</v>
      </c>
      <c r="AC412" s="116">
        <f t="shared" si="86"/>
        <v>0</v>
      </c>
      <c r="AD412" s="116">
        <f t="shared" si="87"/>
        <v>0</v>
      </c>
      <c r="AE412" s="116">
        <f t="shared" si="88"/>
        <v>0</v>
      </c>
    </row>
    <row r="413" spans="1:31">
      <c r="A413" s="131">
        <v>42628</v>
      </c>
      <c r="B413" s="131">
        <v>42658</v>
      </c>
      <c r="C413" s="123">
        <f t="shared" si="78"/>
        <v>30</v>
      </c>
      <c r="D413" s="132">
        <v>1258.8500000000001</v>
      </c>
      <c r="E413" s="134"/>
      <c r="F413" s="135"/>
      <c r="G413" s="123"/>
      <c r="H413" s="123"/>
      <c r="I413" s="123"/>
      <c r="J413" s="123"/>
      <c r="K413" s="123"/>
      <c r="L413" s="123"/>
      <c r="M413" s="123"/>
      <c r="N413" s="123">
        <v>16</v>
      </c>
      <c r="O413" s="123">
        <v>14</v>
      </c>
      <c r="P413" s="123"/>
      <c r="Q413" s="123"/>
      <c r="R413" s="133">
        <f t="shared" si="76"/>
        <v>0</v>
      </c>
      <c r="S413" s="133"/>
      <c r="T413" s="116">
        <f t="shared" si="89"/>
        <v>0</v>
      </c>
      <c r="U413" s="116">
        <f t="shared" si="80"/>
        <v>0</v>
      </c>
      <c r="V413" s="116">
        <f t="shared" si="81"/>
        <v>0</v>
      </c>
      <c r="W413" s="116">
        <f t="shared" si="82"/>
        <v>0</v>
      </c>
      <c r="X413" s="116">
        <f t="shared" si="74"/>
        <v>0</v>
      </c>
      <c r="Y413" s="116">
        <f t="shared" si="75"/>
        <v>0</v>
      </c>
      <c r="Z413" s="116">
        <f t="shared" si="83"/>
        <v>0</v>
      </c>
      <c r="AA413" s="116">
        <f t="shared" si="84"/>
        <v>0</v>
      </c>
      <c r="AB413" s="116">
        <f t="shared" si="85"/>
        <v>9509.73</v>
      </c>
      <c r="AC413" s="116">
        <f t="shared" si="86"/>
        <v>6043.86</v>
      </c>
      <c r="AD413" s="116">
        <f t="shared" si="87"/>
        <v>0</v>
      </c>
      <c r="AE413" s="116">
        <f t="shared" si="88"/>
        <v>0</v>
      </c>
    </row>
    <row r="414" spans="1:31">
      <c r="A414" s="131">
        <v>42632</v>
      </c>
      <c r="B414" s="131">
        <v>42662</v>
      </c>
      <c r="C414" s="123">
        <f t="shared" si="78"/>
        <v>30</v>
      </c>
      <c r="D414" s="132">
        <v>501.46</v>
      </c>
      <c r="E414" s="134"/>
      <c r="F414" s="135"/>
      <c r="G414" s="123"/>
      <c r="H414" s="123"/>
      <c r="I414" s="123"/>
      <c r="J414" s="123"/>
      <c r="K414" s="123"/>
      <c r="L414" s="123"/>
      <c r="M414" s="123"/>
      <c r="N414" s="123">
        <v>12</v>
      </c>
      <c r="O414" s="123">
        <v>18</v>
      </c>
      <c r="P414" s="123"/>
      <c r="Q414" s="123"/>
      <c r="R414" s="133">
        <f t="shared" si="76"/>
        <v>0</v>
      </c>
      <c r="S414" s="133"/>
      <c r="T414" s="116">
        <f t="shared" si="89"/>
        <v>0</v>
      </c>
      <c r="U414" s="116">
        <f t="shared" si="80"/>
        <v>0</v>
      </c>
      <c r="V414" s="116">
        <f t="shared" si="81"/>
        <v>0</v>
      </c>
      <c r="W414" s="116">
        <f t="shared" si="82"/>
        <v>0</v>
      </c>
      <c r="X414" s="116">
        <f t="shared" si="74"/>
        <v>0</v>
      </c>
      <c r="Y414" s="116">
        <f t="shared" si="75"/>
        <v>0</v>
      </c>
      <c r="Z414" s="116">
        <f t="shared" si="83"/>
        <v>0</v>
      </c>
      <c r="AA414" s="116">
        <f t="shared" si="84"/>
        <v>0</v>
      </c>
      <c r="AB414" s="116">
        <f t="shared" si="85"/>
        <v>2841.13</v>
      </c>
      <c r="AC414" s="116">
        <f t="shared" si="86"/>
        <v>3095.43</v>
      </c>
      <c r="AD414" s="116">
        <f t="shared" si="87"/>
        <v>0</v>
      </c>
      <c r="AE414" s="116">
        <f t="shared" si="88"/>
        <v>0</v>
      </c>
    </row>
    <row r="415" spans="1:31">
      <c r="A415" s="131">
        <v>42632</v>
      </c>
      <c r="B415" s="131">
        <v>42662</v>
      </c>
      <c r="C415" s="123">
        <f t="shared" si="78"/>
        <v>30</v>
      </c>
      <c r="D415" s="132">
        <v>438.82</v>
      </c>
      <c r="E415" s="134"/>
      <c r="F415" s="135"/>
      <c r="G415" s="123"/>
      <c r="H415" s="123"/>
      <c r="I415" s="123"/>
      <c r="J415" s="123"/>
      <c r="K415" s="123"/>
      <c r="L415" s="123"/>
      <c r="M415" s="123"/>
      <c r="N415" s="123">
        <v>12</v>
      </c>
      <c r="O415" s="123">
        <v>18</v>
      </c>
      <c r="P415" s="123"/>
      <c r="Q415" s="123"/>
      <c r="R415" s="133">
        <f t="shared" si="76"/>
        <v>0</v>
      </c>
      <c r="S415" s="133"/>
      <c r="T415" s="116">
        <f t="shared" si="89"/>
        <v>0</v>
      </c>
      <c r="U415" s="116">
        <f t="shared" si="80"/>
        <v>0</v>
      </c>
      <c r="V415" s="116">
        <f t="shared" si="81"/>
        <v>0</v>
      </c>
      <c r="W415" s="116">
        <f t="shared" si="82"/>
        <v>0</v>
      </c>
      <c r="X415" s="116">
        <f t="shared" si="74"/>
        <v>0</v>
      </c>
      <c r="Y415" s="116">
        <f t="shared" si="75"/>
        <v>0</v>
      </c>
      <c r="Z415" s="116">
        <f t="shared" si="83"/>
        <v>0</v>
      </c>
      <c r="AA415" s="116">
        <f t="shared" si="84"/>
        <v>0</v>
      </c>
      <c r="AB415" s="116">
        <f t="shared" si="85"/>
        <v>2486.23</v>
      </c>
      <c r="AC415" s="116">
        <f t="shared" si="86"/>
        <v>2708.77</v>
      </c>
      <c r="AD415" s="116">
        <f t="shared" si="87"/>
        <v>0</v>
      </c>
      <c r="AE415" s="116">
        <f t="shared" si="88"/>
        <v>0</v>
      </c>
    </row>
    <row r="416" spans="1:31">
      <c r="A416" s="131">
        <v>42632</v>
      </c>
      <c r="B416" s="131">
        <v>42662</v>
      </c>
      <c r="C416" s="123">
        <f t="shared" si="78"/>
        <v>30</v>
      </c>
      <c r="D416" s="132">
        <v>38.700000000000003</v>
      </c>
      <c r="E416" s="134"/>
      <c r="F416" s="135"/>
      <c r="G416" s="123"/>
      <c r="H416" s="123"/>
      <c r="I416" s="123"/>
      <c r="J416" s="123"/>
      <c r="K416" s="123"/>
      <c r="L416" s="123"/>
      <c r="M416" s="123"/>
      <c r="N416" s="123">
        <v>12</v>
      </c>
      <c r="O416" s="123">
        <v>18</v>
      </c>
      <c r="P416" s="123"/>
      <c r="Q416" s="123"/>
      <c r="R416" s="133">
        <f t="shared" si="76"/>
        <v>0</v>
      </c>
      <c r="S416" s="133"/>
      <c r="T416" s="116">
        <f t="shared" si="89"/>
        <v>0</v>
      </c>
      <c r="U416" s="116">
        <f t="shared" si="80"/>
        <v>0</v>
      </c>
      <c r="V416" s="116">
        <f t="shared" si="81"/>
        <v>0</v>
      </c>
      <c r="W416" s="116">
        <f t="shared" si="82"/>
        <v>0</v>
      </c>
      <c r="X416" s="116">
        <f t="shared" si="74"/>
        <v>0</v>
      </c>
      <c r="Y416" s="116">
        <f t="shared" si="75"/>
        <v>0</v>
      </c>
      <c r="Z416" s="116">
        <f t="shared" si="83"/>
        <v>0</v>
      </c>
      <c r="AA416" s="116">
        <f t="shared" si="84"/>
        <v>0</v>
      </c>
      <c r="AB416" s="116">
        <f t="shared" si="85"/>
        <v>219.26</v>
      </c>
      <c r="AC416" s="116">
        <f t="shared" si="86"/>
        <v>238.89</v>
      </c>
      <c r="AD416" s="116">
        <f t="shared" si="87"/>
        <v>0</v>
      </c>
      <c r="AE416" s="116">
        <f t="shared" si="88"/>
        <v>0</v>
      </c>
    </row>
    <row r="417" spans="1:31">
      <c r="A417" s="131">
        <v>42632</v>
      </c>
      <c r="B417" s="131">
        <v>42662</v>
      </c>
      <c r="C417" s="123">
        <f t="shared" si="78"/>
        <v>30</v>
      </c>
      <c r="D417" s="132">
        <v>1197.1000000000001</v>
      </c>
      <c r="E417" s="134"/>
      <c r="F417" s="135"/>
      <c r="G417" s="123"/>
      <c r="H417" s="123"/>
      <c r="I417" s="123"/>
      <c r="J417" s="123"/>
      <c r="K417" s="123"/>
      <c r="L417" s="123"/>
      <c r="M417" s="123"/>
      <c r="N417" s="123">
        <v>12</v>
      </c>
      <c r="O417" s="123">
        <v>18</v>
      </c>
      <c r="P417" s="123"/>
      <c r="Q417" s="123"/>
      <c r="R417" s="133">
        <f t="shared" si="76"/>
        <v>0</v>
      </c>
      <c r="S417" s="133"/>
      <c r="T417" s="116">
        <f t="shared" si="89"/>
        <v>0</v>
      </c>
      <c r="U417" s="116">
        <f t="shared" si="80"/>
        <v>0</v>
      </c>
      <c r="V417" s="116">
        <f t="shared" si="81"/>
        <v>0</v>
      </c>
      <c r="W417" s="116">
        <f t="shared" si="82"/>
        <v>0</v>
      </c>
      <c r="X417" s="116">
        <f t="shared" ref="X417:X481" si="90">ROUND(($D417*$J417/$C417)/$C$10,2)</f>
        <v>0</v>
      </c>
      <c r="Y417" s="116">
        <f t="shared" ref="Y417:Y481" si="91">ROUND(($D417*$K417/$C417)/$C$11,2)</f>
        <v>0</v>
      </c>
      <c r="Z417" s="116">
        <f t="shared" si="83"/>
        <v>0</v>
      </c>
      <c r="AA417" s="116">
        <f t="shared" si="84"/>
        <v>0</v>
      </c>
      <c r="AB417" s="116">
        <f t="shared" si="85"/>
        <v>6782.44</v>
      </c>
      <c r="AC417" s="116">
        <f t="shared" si="86"/>
        <v>7389.51</v>
      </c>
      <c r="AD417" s="116">
        <f t="shared" si="87"/>
        <v>0</v>
      </c>
      <c r="AE417" s="116">
        <f t="shared" si="88"/>
        <v>0</v>
      </c>
    </row>
    <row r="418" spans="1:31">
      <c r="A418" s="131">
        <v>42635</v>
      </c>
      <c r="B418" s="131">
        <v>42665</v>
      </c>
      <c r="C418" s="123">
        <f t="shared" si="78"/>
        <v>30</v>
      </c>
      <c r="D418" s="132">
        <v>1211.0899999999999</v>
      </c>
      <c r="E418" s="134"/>
      <c r="F418" s="135"/>
      <c r="G418" s="123"/>
      <c r="H418" s="123"/>
      <c r="I418" s="123"/>
      <c r="J418" s="123"/>
      <c r="K418" s="123"/>
      <c r="L418" s="123"/>
      <c r="M418" s="123"/>
      <c r="N418" s="123">
        <v>9</v>
      </c>
      <c r="O418" s="123">
        <v>21</v>
      </c>
      <c r="P418" s="123"/>
      <c r="Q418" s="123"/>
      <c r="R418" s="133">
        <f t="shared" ref="R418:R482" si="92">C418-SUM(F418:Q418)</f>
        <v>0</v>
      </c>
      <c r="S418" s="133"/>
      <c r="T418" s="116">
        <f t="shared" si="89"/>
        <v>0</v>
      </c>
      <c r="U418" s="116">
        <f t="shared" si="80"/>
        <v>0</v>
      </c>
      <c r="V418" s="116">
        <f t="shared" si="81"/>
        <v>0</v>
      </c>
      <c r="W418" s="116">
        <f t="shared" si="82"/>
        <v>0</v>
      </c>
      <c r="X418" s="116">
        <f t="shared" si="90"/>
        <v>0</v>
      </c>
      <c r="Y418" s="116">
        <f t="shared" si="91"/>
        <v>0</v>
      </c>
      <c r="Z418" s="116">
        <f t="shared" si="83"/>
        <v>0</v>
      </c>
      <c r="AA418" s="116">
        <f t="shared" si="84"/>
        <v>0</v>
      </c>
      <c r="AB418" s="116">
        <f>13552.27-AC418</f>
        <v>4065.6800000000003</v>
      </c>
      <c r="AC418" s="116">
        <v>9486.59</v>
      </c>
      <c r="AD418" s="116">
        <f t="shared" si="87"/>
        <v>0</v>
      </c>
      <c r="AE418" s="116">
        <f t="shared" si="88"/>
        <v>0</v>
      </c>
    </row>
    <row r="419" spans="1:31">
      <c r="A419" s="131">
        <v>42628</v>
      </c>
      <c r="B419" s="131">
        <v>42658</v>
      </c>
      <c r="C419" s="123">
        <f t="shared" si="78"/>
        <v>30</v>
      </c>
      <c r="D419" s="132">
        <v>8088.2</v>
      </c>
      <c r="E419" s="134"/>
      <c r="F419" s="135"/>
      <c r="G419" s="123"/>
      <c r="H419" s="123"/>
      <c r="I419" s="123"/>
      <c r="J419" s="123"/>
      <c r="K419" s="123"/>
      <c r="L419" s="123"/>
      <c r="M419" s="123"/>
      <c r="N419" s="123">
        <v>16</v>
      </c>
      <c r="O419" s="123">
        <v>14</v>
      </c>
      <c r="P419" s="123"/>
      <c r="Q419" s="123"/>
      <c r="R419" s="133">
        <f t="shared" si="92"/>
        <v>0</v>
      </c>
      <c r="S419" s="133"/>
      <c r="T419" s="116">
        <f t="shared" si="89"/>
        <v>0</v>
      </c>
      <c r="U419" s="116">
        <f t="shared" si="80"/>
        <v>0</v>
      </c>
      <c r="V419" s="116">
        <f t="shared" si="81"/>
        <v>0</v>
      </c>
      <c r="W419" s="116">
        <f t="shared" si="82"/>
        <v>0</v>
      </c>
      <c r="X419" s="116">
        <f t="shared" si="90"/>
        <v>0</v>
      </c>
      <c r="Y419" s="116">
        <f t="shared" si="91"/>
        <v>0</v>
      </c>
      <c r="Z419" s="116">
        <f t="shared" si="83"/>
        <v>0</v>
      </c>
      <c r="AA419" s="116">
        <f t="shared" si="84"/>
        <v>0</v>
      </c>
      <c r="AB419" s="116">
        <f t="shared" si="85"/>
        <v>61100.66</v>
      </c>
      <c r="AC419" s="116">
        <f t="shared" si="86"/>
        <v>38832.239999999998</v>
      </c>
      <c r="AD419" s="116">
        <f t="shared" si="87"/>
        <v>0</v>
      </c>
      <c r="AE419" s="116">
        <f t="shared" si="88"/>
        <v>0</v>
      </c>
    </row>
    <row r="420" spans="1:31">
      <c r="A420" s="131">
        <v>42635</v>
      </c>
      <c r="B420" s="131">
        <v>42665</v>
      </c>
      <c r="C420" s="123">
        <f t="shared" si="78"/>
        <v>30</v>
      </c>
      <c r="D420" s="132">
        <v>212561.02</v>
      </c>
      <c r="E420" s="134"/>
      <c r="F420" s="135"/>
      <c r="G420" s="123"/>
      <c r="H420" s="123"/>
      <c r="I420" s="123"/>
      <c r="J420" s="123"/>
      <c r="K420" s="123"/>
      <c r="L420" s="123"/>
      <c r="M420" s="123"/>
      <c r="N420" s="123">
        <v>9</v>
      </c>
      <c r="O420" s="123">
        <v>21</v>
      </c>
      <c r="P420" s="123"/>
      <c r="Q420" s="123"/>
      <c r="R420" s="133">
        <f t="shared" si="92"/>
        <v>0</v>
      </c>
      <c r="S420" s="133"/>
      <c r="T420" s="116">
        <f t="shared" si="89"/>
        <v>0</v>
      </c>
      <c r="U420" s="116">
        <f t="shared" si="80"/>
        <v>0</v>
      </c>
      <c r="V420" s="116">
        <f t="shared" si="81"/>
        <v>0</v>
      </c>
      <c r="W420" s="116">
        <f t="shared" si="82"/>
        <v>0</v>
      </c>
      <c r="X420" s="116">
        <f t="shared" si="90"/>
        <v>0</v>
      </c>
      <c r="Y420" s="116">
        <f t="shared" si="91"/>
        <v>0</v>
      </c>
      <c r="Z420" s="116">
        <f t="shared" si="83"/>
        <v>0</v>
      </c>
      <c r="AA420" s="116">
        <f t="shared" si="84"/>
        <v>0</v>
      </c>
      <c r="AB420" s="116">
        <f>2368171.87-AC420</f>
        <v>662604.56000000006</v>
      </c>
      <c r="AC420" s="116">
        <v>1705567.31</v>
      </c>
      <c r="AD420" s="116">
        <f t="shared" si="87"/>
        <v>0</v>
      </c>
      <c r="AE420" s="116">
        <f t="shared" si="88"/>
        <v>0</v>
      </c>
    </row>
    <row r="421" spans="1:31">
      <c r="A421" s="131">
        <v>42639</v>
      </c>
      <c r="B421" s="131">
        <v>42669</v>
      </c>
      <c r="C421" s="123">
        <f t="shared" si="78"/>
        <v>30</v>
      </c>
      <c r="D421" s="132">
        <v>1059.58</v>
      </c>
      <c r="E421" s="134"/>
      <c r="F421" s="135"/>
      <c r="G421" s="123"/>
      <c r="H421" s="123"/>
      <c r="I421" s="123"/>
      <c r="J421" s="123"/>
      <c r="K421" s="123"/>
      <c r="L421" s="123"/>
      <c r="M421" s="123"/>
      <c r="N421" s="123">
        <v>5</v>
      </c>
      <c r="O421" s="123">
        <v>25</v>
      </c>
      <c r="P421" s="123"/>
      <c r="Q421" s="123"/>
      <c r="R421" s="133">
        <f t="shared" si="92"/>
        <v>0</v>
      </c>
      <c r="S421" s="133"/>
      <c r="T421" s="116">
        <f t="shared" si="89"/>
        <v>0</v>
      </c>
      <c r="U421" s="116">
        <f t="shared" si="80"/>
        <v>0</v>
      </c>
      <c r="V421" s="116">
        <f t="shared" si="81"/>
        <v>0</v>
      </c>
      <c r="W421" s="116">
        <f t="shared" si="82"/>
        <v>0</v>
      </c>
      <c r="X421" s="116">
        <f t="shared" si="90"/>
        <v>0</v>
      </c>
      <c r="Y421" s="116">
        <f t="shared" si="91"/>
        <v>0</v>
      </c>
      <c r="Z421" s="116">
        <f t="shared" si="83"/>
        <v>0</v>
      </c>
      <c r="AA421" s="116">
        <f t="shared" si="84"/>
        <v>0</v>
      </c>
      <c r="AB421" s="116">
        <f t="shared" si="85"/>
        <v>2501.37</v>
      </c>
      <c r="AC421" s="116">
        <f t="shared" si="86"/>
        <v>9084.19</v>
      </c>
      <c r="AD421" s="116">
        <f t="shared" si="87"/>
        <v>0</v>
      </c>
      <c r="AE421" s="116">
        <f t="shared" si="88"/>
        <v>0</v>
      </c>
    </row>
    <row r="422" spans="1:31">
      <c r="A422" s="131">
        <v>42639</v>
      </c>
      <c r="B422" s="131">
        <v>42669</v>
      </c>
      <c r="C422" s="123">
        <f t="shared" si="78"/>
        <v>30</v>
      </c>
      <c r="D422" s="132">
        <v>1169.47</v>
      </c>
      <c r="E422" s="134"/>
      <c r="F422" s="135"/>
      <c r="G422" s="123"/>
      <c r="H422" s="123"/>
      <c r="I422" s="123"/>
      <c r="J422" s="123"/>
      <c r="K422" s="123"/>
      <c r="L422" s="123"/>
      <c r="M422" s="123"/>
      <c r="N422" s="123">
        <v>5</v>
      </c>
      <c r="O422" s="123">
        <v>25</v>
      </c>
      <c r="P422" s="123"/>
      <c r="Q422" s="123"/>
      <c r="R422" s="133">
        <f t="shared" si="92"/>
        <v>0</v>
      </c>
      <c r="S422" s="133"/>
      <c r="T422" s="116">
        <f t="shared" si="89"/>
        <v>0</v>
      </c>
      <c r="U422" s="116">
        <f t="shared" si="80"/>
        <v>0</v>
      </c>
      <c r="V422" s="116">
        <f t="shared" si="81"/>
        <v>0</v>
      </c>
      <c r="W422" s="116">
        <f t="shared" si="82"/>
        <v>0</v>
      </c>
      <c r="X422" s="116">
        <f t="shared" si="90"/>
        <v>0</v>
      </c>
      <c r="Y422" s="116">
        <f t="shared" si="91"/>
        <v>0</v>
      </c>
      <c r="Z422" s="116">
        <f t="shared" si="83"/>
        <v>0</v>
      </c>
      <c r="AA422" s="116">
        <f t="shared" si="84"/>
        <v>0</v>
      </c>
      <c r="AB422" s="116">
        <f t="shared" si="85"/>
        <v>2760.79</v>
      </c>
      <c r="AC422" s="116">
        <f t="shared" si="86"/>
        <v>10026.32</v>
      </c>
      <c r="AD422" s="116">
        <f t="shared" si="87"/>
        <v>0</v>
      </c>
      <c r="AE422" s="116">
        <f t="shared" si="88"/>
        <v>0</v>
      </c>
    </row>
    <row r="423" spans="1:31">
      <c r="A423" s="131">
        <v>42590</v>
      </c>
      <c r="B423" s="131">
        <v>42621</v>
      </c>
      <c r="C423" s="123">
        <f t="shared" si="78"/>
        <v>31</v>
      </c>
      <c r="D423" s="132">
        <v>51.99</v>
      </c>
      <c r="E423" s="134"/>
      <c r="F423" s="135"/>
      <c r="G423" s="123"/>
      <c r="H423" s="123"/>
      <c r="I423" s="123"/>
      <c r="J423" s="123"/>
      <c r="K423" s="123"/>
      <c r="L423" s="123"/>
      <c r="M423" s="123">
        <v>24</v>
      </c>
      <c r="N423" s="123">
        <v>7</v>
      </c>
      <c r="O423" s="123"/>
      <c r="P423" s="123"/>
      <c r="Q423" s="123"/>
      <c r="R423" s="133">
        <f t="shared" si="92"/>
        <v>0</v>
      </c>
      <c r="S423" s="133"/>
      <c r="T423" s="116">
        <f t="shared" si="89"/>
        <v>0</v>
      </c>
      <c r="U423" s="116">
        <f t="shared" si="80"/>
        <v>0</v>
      </c>
      <c r="V423" s="116">
        <f t="shared" si="81"/>
        <v>0</v>
      </c>
      <c r="W423" s="116">
        <f t="shared" si="82"/>
        <v>0</v>
      </c>
      <c r="X423" s="116">
        <f t="shared" si="90"/>
        <v>0</v>
      </c>
      <c r="Y423" s="116">
        <f t="shared" si="91"/>
        <v>0</v>
      </c>
      <c r="Z423" s="116">
        <f t="shared" si="83"/>
        <v>0</v>
      </c>
      <c r="AA423" s="116">
        <f t="shared" si="84"/>
        <v>469.72</v>
      </c>
      <c r="AB423" s="116">
        <f t="shared" si="85"/>
        <v>166.28</v>
      </c>
      <c r="AC423" s="116">
        <f t="shared" si="86"/>
        <v>0</v>
      </c>
      <c r="AD423" s="116">
        <f t="shared" si="87"/>
        <v>0</v>
      </c>
      <c r="AE423" s="116">
        <f t="shared" si="88"/>
        <v>0</v>
      </c>
    </row>
    <row r="424" spans="1:31">
      <c r="A424" s="131">
        <v>42641</v>
      </c>
      <c r="B424" s="131">
        <v>42671</v>
      </c>
      <c r="C424" s="123">
        <f t="shared" si="78"/>
        <v>30</v>
      </c>
      <c r="D424" s="132">
        <v>1231.51</v>
      </c>
      <c r="E424" s="134"/>
      <c r="F424" s="135"/>
      <c r="G424" s="123"/>
      <c r="H424" s="123"/>
      <c r="I424" s="123"/>
      <c r="J424" s="123"/>
      <c r="K424" s="123"/>
      <c r="L424" s="123"/>
      <c r="M424" s="123"/>
      <c r="N424" s="123">
        <v>3</v>
      </c>
      <c r="O424" s="123">
        <v>27</v>
      </c>
      <c r="P424" s="123"/>
      <c r="Q424" s="123"/>
      <c r="R424" s="133">
        <f t="shared" si="92"/>
        <v>0</v>
      </c>
      <c r="S424" s="133"/>
      <c r="T424" s="116">
        <f t="shared" si="89"/>
        <v>0</v>
      </c>
      <c r="U424" s="116">
        <f t="shared" si="80"/>
        <v>0</v>
      </c>
      <c r="V424" s="116">
        <f t="shared" si="81"/>
        <v>0</v>
      </c>
      <c r="W424" s="116">
        <f t="shared" si="82"/>
        <v>0</v>
      </c>
      <c r="X424" s="116">
        <f t="shared" si="90"/>
        <v>0</v>
      </c>
      <c r="Y424" s="116">
        <f t="shared" si="91"/>
        <v>0</v>
      </c>
      <c r="Z424" s="116">
        <f t="shared" si="83"/>
        <v>0</v>
      </c>
      <c r="AA424" s="116">
        <f t="shared" si="84"/>
        <v>0</v>
      </c>
      <c r="AB424" s="116">
        <f t="shared" si="85"/>
        <v>1744.35</v>
      </c>
      <c r="AC424" s="116">
        <f t="shared" si="86"/>
        <v>11402.87</v>
      </c>
      <c r="AD424" s="116">
        <f t="shared" si="87"/>
        <v>0</v>
      </c>
      <c r="AE424" s="116">
        <f t="shared" si="88"/>
        <v>0</v>
      </c>
    </row>
    <row r="425" spans="1:31">
      <c r="A425" s="131">
        <v>42641</v>
      </c>
      <c r="B425" s="131">
        <v>42671</v>
      </c>
      <c r="C425" s="123">
        <f t="shared" si="78"/>
        <v>30</v>
      </c>
      <c r="D425" s="132">
        <v>1282.6000000000001</v>
      </c>
      <c r="E425" s="134"/>
      <c r="F425" s="135"/>
      <c r="G425" s="123"/>
      <c r="H425" s="123"/>
      <c r="I425" s="123"/>
      <c r="J425" s="123"/>
      <c r="K425" s="123"/>
      <c r="L425" s="123"/>
      <c r="M425" s="123"/>
      <c r="N425" s="123">
        <v>3</v>
      </c>
      <c r="O425" s="123">
        <v>27</v>
      </c>
      <c r="P425" s="123"/>
      <c r="Q425" s="123"/>
      <c r="R425" s="133">
        <f t="shared" si="92"/>
        <v>0</v>
      </c>
      <c r="S425" s="133"/>
      <c r="T425" s="116">
        <f t="shared" si="89"/>
        <v>0</v>
      </c>
      <c r="U425" s="116">
        <f t="shared" si="80"/>
        <v>0</v>
      </c>
      <c r="V425" s="116">
        <f t="shared" si="81"/>
        <v>0</v>
      </c>
      <c r="W425" s="116">
        <f t="shared" si="82"/>
        <v>0</v>
      </c>
      <c r="X425" s="116">
        <f t="shared" si="90"/>
        <v>0</v>
      </c>
      <c r="Y425" s="116">
        <f t="shared" si="91"/>
        <v>0</v>
      </c>
      <c r="Z425" s="116">
        <f t="shared" si="83"/>
        <v>0</v>
      </c>
      <c r="AA425" s="116">
        <f t="shared" si="84"/>
        <v>0</v>
      </c>
      <c r="AB425" s="116">
        <f t="shared" si="85"/>
        <v>1816.71</v>
      </c>
      <c r="AC425" s="116">
        <f t="shared" si="86"/>
        <v>11875.93</v>
      </c>
      <c r="AD425" s="116">
        <f t="shared" si="87"/>
        <v>0</v>
      </c>
      <c r="AE425" s="116">
        <f t="shared" si="88"/>
        <v>0</v>
      </c>
    </row>
    <row r="426" spans="1:31">
      <c r="A426" s="131">
        <v>42644</v>
      </c>
      <c r="B426" s="131">
        <v>42675</v>
      </c>
      <c r="C426" s="123">
        <f t="shared" si="78"/>
        <v>31</v>
      </c>
      <c r="D426" s="132">
        <v>255.73</v>
      </c>
      <c r="E426" s="134"/>
      <c r="F426" s="135"/>
      <c r="G426" s="123"/>
      <c r="H426" s="123"/>
      <c r="I426" s="123"/>
      <c r="J426" s="123"/>
      <c r="K426" s="123"/>
      <c r="L426" s="123"/>
      <c r="M426" s="123"/>
      <c r="N426" s="123"/>
      <c r="O426" s="123">
        <v>31</v>
      </c>
      <c r="P426" s="123"/>
      <c r="Q426" s="123"/>
      <c r="R426" s="133">
        <f t="shared" si="92"/>
        <v>0</v>
      </c>
      <c r="S426" s="133"/>
      <c r="T426" s="116">
        <f t="shared" si="89"/>
        <v>0</v>
      </c>
      <c r="U426" s="116">
        <f t="shared" si="80"/>
        <v>0</v>
      </c>
      <c r="V426" s="116">
        <f t="shared" si="81"/>
        <v>0</v>
      </c>
      <c r="W426" s="116">
        <f t="shared" si="82"/>
        <v>0</v>
      </c>
      <c r="X426" s="116">
        <f t="shared" si="90"/>
        <v>0</v>
      </c>
      <c r="Y426" s="116">
        <f t="shared" si="91"/>
        <v>0</v>
      </c>
      <c r="Z426" s="116">
        <f t="shared" si="83"/>
        <v>0</v>
      </c>
      <c r="AA426" s="116">
        <f t="shared" si="84"/>
        <v>0</v>
      </c>
      <c r="AB426" s="116">
        <f t="shared" si="85"/>
        <v>0</v>
      </c>
      <c r="AC426" s="116">
        <f t="shared" si="86"/>
        <v>2630.97</v>
      </c>
      <c r="AD426" s="116">
        <f t="shared" si="87"/>
        <v>0</v>
      </c>
      <c r="AE426" s="116">
        <f t="shared" si="88"/>
        <v>0</v>
      </c>
    </row>
    <row r="427" spans="1:31">
      <c r="A427" s="131">
        <v>42644</v>
      </c>
      <c r="B427" s="131">
        <v>42675</v>
      </c>
      <c r="C427" s="123">
        <f t="shared" si="78"/>
        <v>31</v>
      </c>
      <c r="D427" s="132">
        <v>3835.28</v>
      </c>
      <c r="E427" s="134"/>
      <c r="F427" s="135"/>
      <c r="G427" s="123"/>
      <c r="H427" s="123"/>
      <c r="I427" s="123"/>
      <c r="J427" s="123"/>
      <c r="K427" s="123"/>
      <c r="L427" s="123"/>
      <c r="M427" s="123"/>
      <c r="N427" s="123"/>
      <c r="O427" s="123">
        <v>31</v>
      </c>
      <c r="P427" s="123"/>
      <c r="Q427" s="123"/>
      <c r="R427" s="133">
        <f t="shared" si="92"/>
        <v>0</v>
      </c>
      <c r="S427" s="133"/>
      <c r="T427" s="116">
        <f t="shared" si="89"/>
        <v>0</v>
      </c>
      <c r="U427" s="116">
        <f t="shared" si="80"/>
        <v>0</v>
      </c>
      <c r="V427" s="116">
        <f t="shared" si="81"/>
        <v>0</v>
      </c>
      <c r="W427" s="116">
        <f t="shared" si="82"/>
        <v>0</v>
      </c>
      <c r="X427" s="116">
        <f t="shared" si="90"/>
        <v>0</v>
      </c>
      <c r="Y427" s="116">
        <f t="shared" si="91"/>
        <v>0</v>
      </c>
      <c r="Z427" s="116">
        <f t="shared" si="83"/>
        <v>0</v>
      </c>
      <c r="AA427" s="116">
        <f t="shared" si="84"/>
        <v>0</v>
      </c>
      <c r="AB427" s="116">
        <f t="shared" si="85"/>
        <v>0</v>
      </c>
      <c r="AC427" s="116">
        <f t="shared" si="86"/>
        <v>39457.61</v>
      </c>
      <c r="AD427" s="116">
        <f t="shared" si="87"/>
        <v>0</v>
      </c>
      <c r="AE427" s="116">
        <f t="shared" si="88"/>
        <v>0</v>
      </c>
    </row>
    <row r="428" spans="1:31">
      <c r="A428" s="131">
        <v>42641</v>
      </c>
      <c r="B428" s="131">
        <v>42671</v>
      </c>
      <c r="C428" s="123">
        <f t="shared" si="78"/>
        <v>30</v>
      </c>
      <c r="D428" s="132">
        <v>4756.93</v>
      </c>
      <c r="E428" s="134"/>
      <c r="F428" s="135"/>
      <c r="G428" s="123"/>
      <c r="H428" s="123"/>
      <c r="I428" s="123"/>
      <c r="J428" s="123"/>
      <c r="K428" s="123"/>
      <c r="L428" s="123"/>
      <c r="M428" s="123"/>
      <c r="N428" s="123">
        <v>3</v>
      </c>
      <c r="O428" s="123">
        <v>27</v>
      </c>
      <c r="P428" s="123"/>
      <c r="Q428" s="123"/>
      <c r="R428" s="133">
        <f t="shared" si="92"/>
        <v>0</v>
      </c>
      <c r="S428" s="133"/>
      <c r="T428" s="116">
        <f t="shared" si="89"/>
        <v>0</v>
      </c>
      <c r="U428" s="116">
        <f t="shared" si="80"/>
        <v>0</v>
      </c>
      <c r="V428" s="116">
        <f t="shared" si="81"/>
        <v>0</v>
      </c>
      <c r="W428" s="116">
        <f t="shared" si="82"/>
        <v>0</v>
      </c>
      <c r="X428" s="116">
        <f t="shared" si="90"/>
        <v>0</v>
      </c>
      <c r="Y428" s="116">
        <f t="shared" si="91"/>
        <v>0</v>
      </c>
      <c r="Z428" s="116">
        <f t="shared" si="83"/>
        <v>0</v>
      </c>
      <c r="AA428" s="116">
        <f t="shared" si="84"/>
        <v>0</v>
      </c>
      <c r="AB428" s="116">
        <f>60142.86-AC428</f>
        <v>6014.2900000000009</v>
      </c>
      <c r="AC428" s="116">
        <v>54128.57</v>
      </c>
      <c r="AD428" s="116">
        <f t="shared" si="87"/>
        <v>0</v>
      </c>
      <c r="AE428" s="116">
        <f t="shared" si="88"/>
        <v>0</v>
      </c>
    </row>
    <row r="429" spans="1:31">
      <c r="A429" s="131">
        <v>42644</v>
      </c>
      <c r="B429" s="131">
        <v>42675</v>
      </c>
      <c r="C429" s="123">
        <f t="shared" si="78"/>
        <v>31</v>
      </c>
      <c r="D429" s="132">
        <v>52417.99</v>
      </c>
      <c r="E429" s="134"/>
      <c r="F429" s="135"/>
      <c r="G429" s="123"/>
      <c r="H429" s="123"/>
      <c r="I429" s="123"/>
      <c r="J429" s="123"/>
      <c r="K429" s="123"/>
      <c r="L429" s="123"/>
      <c r="M429" s="123"/>
      <c r="N429" s="123"/>
      <c r="O429" s="123">
        <v>31</v>
      </c>
      <c r="P429" s="123"/>
      <c r="Q429" s="123"/>
      <c r="R429" s="133">
        <f t="shared" si="92"/>
        <v>0</v>
      </c>
      <c r="S429" s="133"/>
      <c r="T429" s="116">
        <f t="shared" si="89"/>
        <v>0</v>
      </c>
      <c r="U429" s="116">
        <f t="shared" si="80"/>
        <v>0</v>
      </c>
      <c r="V429" s="116">
        <f t="shared" si="81"/>
        <v>0</v>
      </c>
      <c r="W429" s="116">
        <f t="shared" si="82"/>
        <v>0</v>
      </c>
      <c r="X429" s="116">
        <f t="shared" si="90"/>
        <v>0</v>
      </c>
      <c r="Y429" s="116">
        <f t="shared" si="91"/>
        <v>0</v>
      </c>
      <c r="Z429" s="116">
        <f t="shared" si="83"/>
        <v>0</v>
      </c>
      <c r="AA429" s="116">
        <f t="shared" si="84"/>
        <v>0</v>
      </c>
      <c r="AB429" s="116">
        <f t="shared" si="85"/>
        <v>0</v>
      </c>
      <c r="AC429" s="116">
        <f t="shared" si="86"/>
        <v>539279.73</v>
      </c>
      <c r="AD429" s="116">
        <f t="shared" si="87"/>
        <v>0</v>
      </c>
      <c r="AE429" s="116">
        <f t="shared" si="88"/>
        <v>0</v>
      </c>
    </row>
    <row r="430" spans="1:31">
      <c r="A430" s="131">
        <v>42644</v>
      </c>
      <c r="B430" s="131">
        <v>42675</v>
      </c>
      <c r="C430" s="123">
        <f t="shared" si="78"/>
        <v>31</v>
      </c>
      <c r="D430" s="132">
        <v>7186.06</v>
      </c>
      <c r="E430" s="134"/>
      <c r="F430" s="135"/>
      <c r="G430" s="123"/>
      <c r="H430" s="123"/>
      <c r="I430" s="123"/>
      <c r="J430" s="123"/>
      <c r="K430" s="123"/>
      <c r="L430" s="123"/>
      <c r="M430" s="123"/>
      <c r="N430" s="123"/>
      <c r="O430" s="123">
        <v>31</v>
      </c>
      <c r="P430" s="123"/>
      <c r="Q430" s="123"/>
      <c r="R430" s="133">
        <f t="shared" si="92"/>
        <v>0</v>
      </c>
      <c r="S430" s="133"/>
      <c r="T430" s="116">
        <f t="shared" si="89"/>
        <v>0</v>
      </c>
      <c r="U430" s="116">
        <f t="shared" si="80"/>
        <v>0</v>
      </c>
      <c r="V430" s="116">
        <f t="shared" si="81"/>
        <v>0</v>
      </c>
      <c r="W430" s="116">
        <f t="shared" si="82"/>
        <v>0</v>
      </c>
      <c r="X430" s="116">
        <f t="shared" si="90"/>
        <v>0</v>
      </c>
      <c r="Y430" s="116">
        <f t="shared" si="91"/>
        <v>0</v>
      </c>
      <c r="Z430" s="116">
        <f t="shared" si="83"/>
        <v>0</v>
      </c>
      <c r="AA430" s="116">
        <f t="shared" si="84"/>
        <v>0</v>
      </c>
      <c r="AB430" s="116">
        <f t="shared" si="85"/>
        <v>0</v>
      </c>
      <c r="AC430" s="116">
        <f t="shared" si="86"/>
        <v>73930.66</v>
      </c>
      <c r="AD430" s="116">
        <f t="shared" si="87"/>
        <v>0</v>
      </c>
      <c r="AE430" s="116">
        <f t="shared" si="88"/>
        <v>0</v>
      </c>
    </row>
    <row r="431" spans="1:31">
      <c r="A431" s="131">
        <v>42644</v>
      </c>
      <c r="B431" s="131">
        <v>42675</v>
      </c>
      <c r="C431" s="123">
        <f t="shared" si="78"/>
        <v>31</v>
      </c>
      <c r="D431" s="132">
        <v>203891.42</v>
      </c>
      <c r="E431" s="134"/>
      <c r="F431" s="135"/>
      <c r="G431" s="123"/>
      <c r="H431" s="123"/>
      <c r="I431" s="123"/>
      <c r="J431" s="123"/>
      <c r="K431" s="123"/>
      <c r="L431" s="123"/>
      <c r="M431" s="123"/>
      <c r="N431" s="123"/>
      <c r="O431" s="123">
        <v>31</v>
      </c>
      <c r="P431" s="123"/>
      <c r="Q431" s="123"/>
      <c r="R431" s="133">
        <f t="shared" si="92"/>
        <v>0</v>
      </c>
      <c r="S431" s="133"/>
      <c r="T431" s="116">
        <f t="shared" si="89"/>
        <v>0</v>
      </c>
      <c r="U431" s="116">
        <f t="shared" si="80"/>
        <v>0</v>
      </c>
      <c r="V431" s="116">
        <f t="shared" si="81"/>
        <v>0</v>
      </c>
      <c r="W431" s="116">
        <f t="shared" si="82"/>
        <v>0</v>
      </c>
      <c r="X431" s="116">
        <f t="shared" si="90"/>
        <v>0</v>
      </c>
      <c r="Y431" s="116">
        <f t="shared" si="91"/>
        <v>0</v>
      </c>
      <c r="Z431" s="116">
        <f t="shared" si="83"/>
        <v>0</v>
      </c>
      <c r="AA431" s="116">
        <f t="shared" si="84"/>
        <v>0</v>
      </c>
      <c r="AB431" s="116">
        <f t="shared" si="85"/>
        <v>0</v>
      </c>
      <c r="AC431" s="116">
        <f t="shared" si="86"/>
        <v>2097648.35</v>
      </c>
      <c r="AD431" s="116">
        <f t="shared" si="87"/>
        <v>0</v>
      </c>
      <c r="AE431" s="116">
        <f t="shared" si="88"/>
        <v>0</v>
      </c>
    </row>
    <row r="432" spans="1:31">
      <c r="A432" s="131">
        <v>42621</v>
      </c>
      <c r="B432" s="131">
        <v>42651</v>
      </c>
      <c r="C432" s="123">
        <f t="shared" si="78"/>
        <v>30</v>
      </c>
      <c r="D432" s="132">
        <v>23.3</v>
      </c>
      <c r="E432" s="134"/>
      <c r="F432" s="135"/>
      <c r="G432" s="123"/>
      <c r="H432" s="123"/>
      <c r="I432" s="123"/>
      <c r="J432" s="123"/>
      <c r="K432" s="123"/>
      <c r="L432" s="123"/>
      <c r="M432" s="123"/>
      <c r="N432" s="123">
        <v>23</v>
      </c>
      <c r="O432" s="123">
        <v>7</v>
      </c>
      <c r="P432" s="123"/>
      <c r="Q432" s="123"/>
      <c r="R432" s="133">
        <f t="shared" si="92"/>
        <v>0</v>
      </c>
      <c r="S432" s="133"/>
      <c r="T432" s="116">
        <f t="shared" si="89"/>
        <v>0</v>
      </c>
      <c r="U432" s="116">
        <f t="shared" si="80"/>
        <v>0</v>
      </c>
      <c r="V432" s="116">
        <f t="shared" si="81"/>
        <v>0</v>
      </c>
      <c r="W432" s="116">
        <f t="shared" si="82"/>
        <v>0</v>
      </c>
      <c r="X432" s="116">
        <f t="shared" si="90"/>
        <v>0</v>
      </c>
      <c r="Y432" s="116">
        <f t="shared" si="91"/>
        <v>0</v>
      </c>
      <c r="Z432" s="116">
        <f t="shared" si="83"/>
        <v>0</v>
      </c>
      <c r="AA432" s="116">
        <f t="shared" si="84"/>
        <v>0</v>
      </c>
      <c r="AB432" s="116">
        <f t="shared" si="85"/>
        <v>253.02</v>
      </c>
      <c r="AC432" s="116">
        <f t="shared" si="86"/>
        <v>55.93</v>
      </c>
      <c r="AD432" s="116">
        <f t="shared" si="87"/>
        <v>0</v>
      </c>
      <c r="AE432" s="116">
        <f t="shared" si="88"/>
        <v>0</v>
      </c>
    </row>
    <row r="433" spans="1:31">
      <c r="A433" s="131">
        <v>42644</v>
      </c>
      <c r="B433" s="131">
        <v>42675</v>
      </c>
      <c r="C433" s="123">
        <f t="shared" si="78"/>
        <v>31</v>
      </c>
      <c r="D433" s="132">
        <v>2692.77</v>
      </c>
      <c r="E433" s="134"/>
      <c r="F433" s="135"/>
      <c r="G433" s="123"/>
      <c r="H433" s="123"/>
      <c r="I433" s="123"/>
      <c r="J433" s="123"/>
      <c r="K433" s="123"/>
      <c r="L433" s="123"/>
      <c r="M433" s="123"/>
      <c r="N433" s="123"/>
      <c r="O433" s="123">
        <v>31</v>
      </c>
      <c r="P433" s="123"/>
      <c r="Q433" s="123"/>
      <c r="R433" s="133">
        <f t="shared" si="92"/>
        <v>0</v>
      </c>
      <c r="S433" s="133"/>
      <c r="T433" s="116">
        <f t="shared" si="89"/>
        <v>0</v>
      </c>
      <c r="U433" s="116">
        <f t="shared" si="80"/>
        <v>0</v>
      </c>
      <c r="V433" s="116">
        <f t="shared" si="81"/>
        <v>0</v>
      </c>
      <c r="W433" s="116">
        <f t="shared" si="82"/>
        <v>0</v>
      </c>
      <c r="X433" s="116">
        <f t="shared" si="90"/>
        <v>0</v>
      </c>
      <c r="Y433" s="116">
        <f t="shared" si="91"/>
        <v>0</v>
      </c>
      <c r="Z433" s="116">
        <f t="shared" si="83"/>
        <v>0</v>
      </c>
      <c r="AA433" s="116">
        <f t="shared" si="84"/>
        <v>0</v>
      </c>
      <c r="AB433" s="116">
        <f t="shared" si="85"/>
        <v>0</v>
      </c>
      <c r="AC433" s="116">
        <f t="shared" si="86"/>
        <v>27703.4</v>
      </c>
      <c r="AD433" s="116">
        <f t="shared" si="87"/>
        <v>0</v>
      </c>
      <c r="AE433" s="116">
        <f t="shared" si="88"/>
        <v>0</v>
      </c>
    </row>
    <row r="434" spans="1:31">
      <c r="A434" s="131">
        <v>42646</v>
      </c>
      <c r="B434" s="131">
        <v>42677</v>
      </c>
      <c r="C434" s="123">
        <f t="shared" si="78"/>
        <v>31</v>
      </c>
      <c r="D434" s="132">
        <v>2087.9</v>
      </c>
      <c r="E434" s="134"/>
      <c r="F434" s="135"/>
      <c r="G434" s="123"/>
      <c r="H434" s="123"/>
      <c r="I434" s="123"/>
      <c r="J434" s="123"/>
      <c r="K434" s="123"/>
      <c r="L434" s="123"/>
      <c r="M434" s="123"/>
      <c r="N434" s="123"/>
      <c r="O434" s="123">
        <v>29</v>
      </c>
      <c r="P434" s="123">
        <v>2</v>
      </c>
      <c r="Q434" s="123"/>
      <c r="R434" s="133">
        <f t="shared" si="92"/>
        <v>0</v>
      </c>
      <c r="S434" s="133"/>
      <c r="T434" s="116">
        <f t="shared" si="89"/>
        <v>0</v>
      </c>
      <c r="U434" s="116">
        <f t="shared" si="80"/>
        <v>0</v>
      </c>
      <c r="V434" s="116">
        <f t="shared" si="81"/>
        <v>0</v>
      </c>
      <c r="W434" s="116">
        <f t="shared" si="82"/>
        <v>0</v>
      </c>
      <c r="X434" s="116">
        <f t="shared" si="90"/>
        <v>0</v>
      </c>
      <c r="Y434" s="116">
        <f t="shared" si="91"/>
        <v>0</v>
      </c>
      <c r="Z434" s="116">
        <f t="shared" si="83"/>
        <v>0</v>
      </c>
      <c r="AA434" s="116">
        <f t="shared" si="84"/>
        <v>0</v>
      </c>
      <c r="AB434" s="116">
        <f t="shared" si="85"/>
        <v>0</v>
      </c>
      <c r="AC434" s="116">
        <f t="shared" si="86"/>
        <v>20094.62</v>
      </c>
      <c r="AD434" s="116">
        <f t="shared" si="87"/>
        <v>1097.74</v>
      </c>
      <c r="AE434" s="116">
        <f t="shared" si="88"/>
        <v>0</v>
      </c>
    </row>
    <row r="435" spans="1:31">
      <c r="A435" s="131">
        <v>42646</v>
      </c>
      <c r="B435" s="131">
        <v>42677</v>
      </c>
      <c r="C435" s="123">
        <f t="shared" si="78"/>
        <v>31</v>
      </c>
      <c r="D435" s="132">
        <v>551.91999999999996</v>
      </c>
      <c r="E435" s="134"/>
      <c r="F435" s="135"/>
      <c r="G435" s="123"/>
      <c r="H435" s="123"/>
      <c r="I435" s="123"/>
      <c r="J435" s="123"/>
      <c r="K435" s="123"/>
      <c r="L435" s="123"/>
      <c r="M435" s="123"/>
      <c r="N435" s="123"/>
      <c r="O435" s="123">
        <v>29</v>
      </c>
      <c r="P435" s="123">
        <v>2</v>
      </c>
      <c r="Q435" s="123"/>
      <c r="R435" s="133">
        <f t="shared" si="92"/>
        <v>0</v>
      </c>
      <c r="S435" s="133"/>
      <c r="T435" s="116">
        <f t="shared" si="89"/>
        <v>0</v>
      </c>
      <c r="U435" s="116">
        <f t="shared" si="80"/>
        <v>0</v>
      </c>
      <c r="V435" s="116">
        <f t="shared" si="81"/>
        <v>0</v>
      </c>
      <c r="W435" s="116">
        <f t="shared" si="82"/>
        <v>0</v>
      </c>
      <c r="X435" s="116">
        <f t="shared" si="90"/>
        <v>0</v>
      </c>
      <c r="Y435" s="116">
        <f t="shared" si="91"/>
        <v>0</v>
      </c>
      <c r="Z435" s="116">
        <f t="shared" si="83"/>
        <v>0</v>
      </c>
      <c r="AA435" s="116">
        <f t="shared" si="84"/>
        <v>0</v>
      </c>
      <c r="AB435" s="116">
        <f t="shared" si="85"/>
        <v>0</v>
      </c>
      <c r="AC435" s="116">
        <f t="shared" si="86"/>
        <v>5311.85</v>
      </c>
      <c r="AD435" s="116">
        <f t="shared" si="87"/>
        <v>290.18</v>
      </c>
      <c r="AE435" s="116">
        <f t="shared" si="88"/>
        <v>0</v>
      </c>
    </row>
    <row r="436" spans="1:31">
      <c r="A436" s="131">
        <v>42646</v>
      </c>
      <c r="B436" s="131">
        <v>42677</v>
      </c>
      <c r="C436" s="123">
        <f t="shared" si="78"/>
        <v>31</v>
      </c>
      <c r="D436" s="132">
        <v>451.78</v>
      </c>
      <c r="E436" s="134"/>
      <c r="F436" s="135"/>
      <c r="G436" s="123"/>
      <c r="H436" s="123"/>
      <c r="I436" s="123"/>
      <c r="J436" s="123"/>
      <c r="K436" s="123"/>
      <c r="L436" s="123"/>
      <c r="M436" s="123"/>
      <c r="N436" s="123"/>
      <c r="O436" s="123">
        <v>29</v>
      </c>
      <c r="P436" s="123">
        <v>2</v>
      </c>
      <c r="Q436" s="123"/>
      <c r="R436" s="133">
        <f t="shared" si="92"/>
        <v>0</v>
      </c>
      <c r="S436" s="133"/>
      <c r="T436" s="116">
        <f t="shared" si="89"/>
        <v>0</v>
      </c>
      <c r="U436" s="116">
        <f t="shared" si="80"/>
        <v>0</v>
      </c>
      <c r="V436" s="116">
        <f t="shared" si="81"/>
        <v>0</v>
      </c>
      <c r="W436" s="116">
        <f t="shared" si="82"/>
        <v>0</v>
      </c>
      <c r="X436" s="116">
        <f t="shared" si="90"/>
        <v>0</v>
      </c>
      <c r="Y436" s="116">
        <f t="shared" si="91"/>
        <v>0</v>
      </c>
      <c r="Z436" s="116">
        <f t="shared" si="83"/>
        <v>0</v>
      </c>
      <c r="AA436" s="116">
        <f t="shared" si="84"/>
        <v>0</v>
      </c>
      <c r="AB436" s="116">
        <f t="shared" si="85"/>
        <v>0</v>
      </c>
      <c r="AC436" s="116">
        <f t="shared" si="86"/>
        <v>4348.08</v>
      </c>
      <c r="AD436" s="116">
        <f t="shared" si="87"/>
        <v>237.53</v>
      </c>
      <c r="AE436" s="116">
        <f t="shared" si="88"/>
        <v>0</v>
      </c>
    </row>
    <row r="437" spans="1:31">
      <c r="A437" s="131">
        <v>42646</v>
      </c>
      <c r="B437" s="131">
        <v>42677</v>
      </c>
      <c r="C437" s="123">
        <f t="shared" si="78"/>
        <v>31</v>
      </c>
      <c r="D437" s="132">
        <v>1183.42</v>
      </c>
      <c r="E437" s="134"/>
      <c r="F437" s="135"/>
      <c r="G437" s="123"/>
      <c r="H437" s="123"/>
      <c r="I437" s="123"/>
      <c r="J437" s="123"/>
      <c r="K437" s="123"/>
      <c r="L437" s="123"/>
      <c r="M437" s="123"/>
      <c r="N437" s="123"/>
      <c r="O437" s="123">
        <v>29</v>
      </c>
      <c r="P437" s="123">
        <v>2</v>
      </c>
      <c r="Q437" s="123"/>
      <c r="R437" s="133">
        <f t="shared" si="92"/>
        <v>0</v>
      </c>
      <c r="S437" s="133"/>
      <c r="T437" s="116">
        <f t="shared" si="89"/>
        <v>0</v>
      </c>
      <c r="U437" s="116">
        <f t="shared" si="80"/>
        <v>0</v>
      </c>
      <c r="V437" s="116">
        <f t="shared" si="81"/>
        <v>0</v>
      </c>
      <c r="W437" s="116">
        <f t="shared" si="82"/>
        <v>0</v>
      </c>
      <c r="X437" s="116">
        <f t="shared" si="90"/>
        <v>0</v>
      </c>
      <c r="Y437" s="116">
        <f t="shared" si="91"/>
        <v>0</v>
      </c>
      <c r="Z437" s="116">
        <f t="shared" si="83"/>
        <v>0</v>
      </c>
      <c r="AA437" s="116">
        <f t="shared" si="84"/>
        <v>0</v>
      </c>
      <c r="AB437" s="116">
        <f t="shared" si="85"/>
        <v>0</v>
      </c>
      <c r="AC437" s="116">
        <f t="shared" si="86"/>
        <v>11389.61</v>
      </c>
      <c r="AD437" s="116">
        <f t="shared" si="87"/>
        <v>622.20000000000005</v>
      </c>
      <c r="AE437" s="116">
        <f t="shared" si="88"/>
        <v>0</v>
      </c>
    </row>
    <row r="438" spans="1:31">
      <c r="A438" s="131">
        <v>42648</v>
      </c>
      <c r="B438" s="131">
        <v>42679</v>
      </c>
      <c r="C438" s="123">
        <f t="shared" si="78"/>
        <v>31</v>
      </c>
      <c r="D438" s="132">
        <v>914.21</v>
      </c>
      <c r="E438" s="134"/>
      <c r="F438" s="135"/>
      <c r="G438" s="123"/>
      <c r="H438" s="123"/>
      <c r="I438" s="123"/>
      <c r="J438" s="123"/>
      <c r="K438" s="123"/>
      <c r="L438" s="123"/>
      <c r="M438" s="123"/>
      <c r="N438" s="123"/>
      <c r="O438" s="123">
        <v>27</v>
      </c>
      <c r="P438" s="123">
        <v>4</v>
      </c>
      <c r="Q438" s="123"/>
      <c r="R438" s="133">
        <f t="shared" si="92"/>
        <v>0</v>
      </c>
      <c r="S438" s="133"/>
      <c r="T438" s="116">
        <f t="shared" si="89"/>
        <v>0</v>
      </c>
      <c r="U438" s="116">
        <f t="shared" si="80"/>
        <v>0</v>
      </c>
      <c r="V438" s="116">
        <f t="shared" si="81"/>
        <v>0</v>
      </c>
      <c r="W438" s="116">
        <f t="shared" si="82"/>
        <v>0</v>
      </c>
      <c r="X438" s="116">
        <f t="shared" si="90"/>
        <v>0</v>
      </c>
      <c r="Y438" s="116">
        <f t="shared" si="91"/>
        <v>0</v>
      </c>
      <c r="Z438" s="116">
        <f t="shared" si="83"/>
        <v>0</v>
      </c>
      <c r="AA438" s="116">
        <f t="shared" si="84"/>
        <v>0</v>
      </c>
      <c r="AB438" s="116">
        <f t="shared" si="85"/>
        <v>0</v>
      </c>
      <c r="AC438" s="116">
        <f t="shared" si="86"/>
        <v>8191.85</v>
      </c>
      <c r="AD438" s="116">
        <f t="shared" si="87"/>
        <v>961.31</v>
      </c>
      <c r="AE438" s="116">
        <f t="shared" si="88"/>
        <v>0</v>
      </c>
    </row>
    <row r="439" spans="1:31">
      <c r="A439" s="131">
        <v>42648</v>
      </c>
      <c r="B439" s="131">
        <v>42679</v>
      </c>
      <c r="C439" s="123">
        <f t="shared" si="78"/>
        <v>31</v>
      </c>
      <c r="D439" s="132">
        <v>140.19</v>
      </c>
      <c r="E439" s="134"/>
      <c r="F439" s="135"/>
      <c r="G439" s="123"/>
      <c r="H439" s="123"/>
      <c r="I439" s="123"/>
      <c r="J439" s="123"/>
      <c r="K439" s="123"/>
      <c r="L439" s="123"/>
      <c r="M439" s="123"/>
      <c r="N439" s="123"/>
      <c r="O439" s="123">
        <v>27</v>
      </c>
      <c r="P439" s="123">
        <v>4</v>
      </c>
      <c r="Q439" s="123"/>
      <c r="R439" s="133">
        <f t="shared" si="92"/>
        <v>0</v>
      </c>
      <c r="S439" s="133"/>
      <c r="T439" s="116">
        <f t="shared" si="89"/>
        <v>0</v>
      </c>
      <c r="U439" s="116">
        <f t="shared" si="80"/>
        <v>0</v>
      </c>
      <c r="V439" s="116">
        <f t="shared" si="81"/>
        <v>0</v>
      </c>
      <c r="W439" s="116">
        <f t="shared" si="82"/>
        <v>0</v>
      </c>
      <c r="X439" s="116">
        <f t="shared" si="90"/>
        <v>0</v>
      </c>
      <c r="Y439" s="116">
        <f t="shared" si="91"/>
        <v>0</v>
      </c>
      <c r="Z439" s="116">
        <f t="shared" si="83"/>
        <v>0</v>
      </c>
      <c r="AA439" s="116">
        <f t="shared" si="84"/>
        <v>0</v>
      </c>
      <c r="AB439" s="116">
        <f t="shared" si="85"/>
        <v>0</v>
      </c>
      <c r="AC439" s="116">
        <f t="shared" si="86"/>
        <v>1256.18</v>
      </c>
      <c r="AD439" s="116">
        <f t="shared" si="87"/>
        <v>147.41</v>
      </c>
      <c r="AE439" s="116">
        <f t="shared" si="88"/>
        <v>0</v>
      </c>
    </row>
    <row r="440" spans="1:31">
      <c r="A440" s="131">
        <v>42648</v>
      </c>
      <c r="B440" s="131">
        <v>42679</v>
      </c>
      <c r="C440" s="123">
        <f t="shared" si="78"/>
        <v>31</v>
      </c>
      <c r="D440" s="132">
        <v>575.06000000000006</v>
      </c>
      <c r="E440" s="134"/>
      <c r="F440" s="135"/>
      <c r="G440" s="123"/>
      <c r="H440" s="123"/>
      <c r="I440" s="123"/>
      <c r="J440" s="123"/>
      <c r="K440" s="123"/>
      <c r="L440" s="123"/>
      <c r="M440" s="123"/>
      <c r="N440" s="123"/>
      <c r="O440" s="123">
        <v>27</v>
      </c>
      <c r="P440" s="123">
        <v>4</v>
      </c>
      <c r="Q440" s="123"/>
      <c r="R440" s="133">
        <f t="shared" si="92"/>
        <v>0</v>
      </c>
      <c r="S440" s="133"/>
      <c r="T440" s="116">
        <f t="shared" si="89"/>
        <v>0</v>
      </c>
      <c r="U440" s="116">
        <f t="shared" si="80"/>
        <v>0</v>
      </c>
      <c r="V440" s="116">
        <f t="shared" si="81"/>
        <v>0</v>
      </c>
      <c r="W440" s="116">
        <f t="shared" si="82"/>
        <v>0</v>
      </c>
      <c r="X440" s="116">
        <f t="shared" si="90"/>
        <v>0</v>
      </c>
      <c r="Y440" s="116">
        <f t="shared" si="91"/>
        <v>0</v>
      </c>
      <c r="Z440" s="116">
        <f t="shared" si="83"/>
        <v>0</v>
      </c>
      <c r="AA440" s="116">
        <f t="shared" si="84"/>
        <v>0</v>
      </c>
      <c r="AB440" s="116">
        <f t="shared" si="85"/>
        <v>0</v>
      </c>
      <c r="AC440" s="116">
        <f t="shared" si="86"/>
        <v>5152.87</v>
      </c>
      <c r="AD440" s="116">
        <f t="shared" si="87"/>
        <v>604.69000000000005</v>
      </c>
      <c r="AE440" s="116">
        <f t="shared" si="88"/>
        <v>0</v>
      </c>
    </row>
    <row r="441" spans="1:31">
      <c r="A441" s="131">
        <v>42651</v>
      </c>
      <c r="B441" s="131">
        <v>42682</v>
      </c>
      <c r="C441" s="123">
        <f t="shared" si="78"/>
        <v>31</v>
      </c>
      <c r="D441" s="132">
        <v>244.57</v>
      </c>
      <c r="E441" s="134"/>
      <c r="F441" s="135"/>
      <c r="G441" s="123"/>
      <c r="H441" s="123"/>
      <c r="I441" s="123"/>
      <c r="J441" s="123"/>
      <c r="K441" s="123"/>
      <c r="L441" s="123"/>
      <c r="M441" s="123"/>
      <c r="N441" s="123"/>
      <c r="O441" s="123">
        <v>24</v>
      </c>
      <c r="P441" s="123">
        <v>7</v>
      </c>
      <c r="Q441" s="123"/>
      <c r="R441" s="133">
        <f t="shared" si="92"/>
        <v>0</v>
      </c>
      <c r="S441" s="133"/>
      <c r="T441" s="116">
        <f t="shared" si="89"/>
        <v>0</v>
      </c>
      <c r="U441" s="116">
        <f t="shared" si="80"/>
        <v>0</v>
      </c>
      <c r="V441" s="116">
        <f t="shared" si="81"/>
        <v>0</v>
      </c>
      <c r="W441" s="116">
        <f t="shared" si="82"/>
        <v>0</v>
      </c>
      <c r="X441" s="116">
        <f t="shared" si="90"/>
        <v>0</v>
      </c>
      <c r="Y441" s="116">
        <f t="shared" si="91"/>
        <v>0</v>
      </c>
      <c r="Z441" s="116">
        <f t="shared" si="83"/>
        <v>0</v>
      </c>
      <c r="AA441" s="116">
        <f t="shared" si="84"/>
        <v>0</v>
      </c>
      <c r="AB441" s="116">
        <f t="shared" si="85"/>
        <v>0</v>
      </c>
      <c r="AC441" s="116">
        <f t="shared" si="86"/>
        <v>1947.99</v>
      </c>
      <c r="AD441" s="116">
        <f t="shared" si="87"/>
        <v>450.05</v>
      </c>
      <c r="AE441" s="116">
        <f t="shared" si="88"/>
        <v>0</v>
      </c>
    </row>
    <row r="442" spans="1:31">
      <c r="A442" s="131">
        <v>42651</v>
      </c>
      <c r="B442" s="131">
        <v>42682</v>
      </c>
      <c r="C442" s="123">
        <f t="shared" si="78"/>
        <v>31</v>
      </c>
      <c r="D442" s="132">
        <v>691.77</v>
      </c>
      <c r="E442" s="134"/>
      <c r="F442" s="135"/>
      <c r="G442" s="123"/>
      <c r="H442" s="123"/>
      <c r="I442" s="123"/>
      <c r="J442" s="123"/>
      <c r="K442" s="123"/>
      <c r="L442" s="123"/>
      <c r="M442" s="123"/>
      <c r="N442" s="123"/>
      <c r="O442" s="123">
        <v>24</v>
      </c>
      <c r="P442" s="123">
        <v>7</v>
      </c>
      <c r="Q442" s="123"/>
      <c r="R442" s="133">
        <f t="shared" si="92"/>
        <v>0</v>
      </c>
      <c r="S442" s="133"/>
      <c r="T442" s="116">
        <f t="shared" si="89"/>
        <v>0</v>
      </c>
      <c r="U442" s="116">
        <f t="shared" si="80"/>
        <v>0</v>
      </c>
      <c r="V442" s="116">
        <f t="shared" si="81"/>
        <v>0</v>
      </c>
      <c r="W442" s="116">
        <f t="shared" si="82"/>
        <v>0</v>
      </c>
      <c r="X442" s="116">
        <f t="shared" si="90"/>
        <v>0</v>
      </c>
      <c r="Y442" s="116">
        <f t="shared" si="91"/>
        <v>0</v>
      </c>
      <c r="Z442" s="116">
        <f t="shared" si="83"/>
        <v>0</v>
      </c>
      <c r="AA442" s="116">
        <f t="shared" si="84"/>
        <v>0</v>
      </c>
      <c r="AB442" s="116">
        <f t="shared" si="85"/>
        <v>0</v>
      </c>
      <c r="AC442" s="116">
        <f t="shared" si="86"/>
        <v>5509.92</v>
      </c>
      <c r="AD442" s="116">
        <f t="shared" si="87"/>
        <v>1272.97</v>
      </c>
      <c r="AE442" s="116">
        <f t="shared" si="88"/>
        <v>0</v>
      </c>
    </row>
    <row r="443" spans="1:31">
      <c r="A443" s="131">
        <v>42651</v>
      </c>
      <c r="B443" s="131">
        <v>42682</v>
      </c>
      <c r="C443" s="123">
        <f t="shared" ref="C443:C502" si="93">B443-A443</f>
        <v>31</v>
      </c>
      <c r="D443" s="132">
        <v>199.02</v>
      </c>
      <c r="E443" s="134"/>
      <c r="F443" s="135"/>
      <c r="G443" s="123"/>
      <c r="H443" s="123"/>
      <c r="I443" s="123"/>
      <c r="J443" s="123"/>
      <c r="K443" s="123"/>
      <c r="L443" s="123"/>
      <c r="M443" s="123"/>
      <c r="N443" s="123"/>
      <c r="O443" s="123">
        <v>24</v>
      </c>
      <c r="P443" s="123">
        <v>7</v>
      </c>
      <c r="Q443" s="123"/>
      <c r="R443" s="133">
        <f t="shared" si="92"/>
        <v>0</v>
      </c>
      <c r="S443" s="133"/>
      <c r="T443" s="116">
        <f t="shared" si="89"/>
        <v>0</v>
      </c>
      <c r="U443" s="116">
        <f t="shared" ref="U443:U502" si="94">ROUND(($D443*$G443/$C443)/$C$7,2)</f>
        <v>0</v>
      </c>
      <c r="V443" s="116">
        <f t="shared" ref="V443:V502" si="95">ROUND(($D443*$H443/$C443)/$C$8,2)</f>
        <v>0</v>
      </c>
      <c r="W443" s="116">
        <f t="shared" ref="W443:W502" si="96">ROUND(($D443*$I443/$C443)/$C$9,2)</f>
        <v>0</v>
      </c>
      <c r="X443" s="116">
        <f t="shared" si="90"/>
        <v>0</v>
      </c>
      <c r="Y443" s="116">
        <f t="shared" si="91"/>
        <v>0</v>
      </c>
      <c r="Z443" s="116">
        <f t="shared" ref="Z443:Z502" si="97">ROUND(($D443*$L443/$C443)/$C$12,2)</f>
        <v>0</v>
      </c>
      <c r="AA443" s="116">
        <f t="shared" ref="AA443:AA502" si="98">ROUND(($D443*$M443/$C443)/$C$13,2)</f>
        <v>0</v>
      </c>
      <c r="AB443" s="116">
        <f t="shared" ref="AB443:AB502" si="99">ROUND(($D443*$N443/$C443)/$C$14,2)</f>
        <v>0</v>
      </c>
      <c r="AC443" s="116">
        <f t="shared" ref="AC443:AC502" si="100">ROUND(($D443*$O443/$C443)/$C$15,2)</f>
        <v>1585.19</v>
      </c>
      <c r="AD443" s="116">
        <f t="shared" ref="AD443:AD501" si="101">ROUND(($D443*$P443/$C443)/$C$16,2)</f>
        <v>366.23</v>
      </c>
      <c r="AE443" s="116">
        <f t="shared" ref="AE443:AE501" si="102">ROUND(($D443*$Q443/$C443)/$C$17,2)</f>
        <v>0</v>
      </c>
    </row>
    <row r="444" spans="1:31">
      <c r="A444" s="131">
        <v>42651</v>
      </c>
      <c r="B444" s="131">
        <v>42682</v>
      </c>
      <c r="C444" s="123">
        <f t="shared" si="93"/>
        <v>31</v>
      </c>
      <c r="D444" s="132">
        <v>506.62</v>
      </c>
      <c r="E444" s="134"/>
      <c r="F444" s="135"/>
      <c r="G444" s="123"/>
      <c r="H444" s="123"/>
      <c r="I444" s="123"/>
      <c r="J444" s="123"/>
      <c r="K444" s="123"/>
      <c r="L444" s="123"/>
      <c r="M444" s="123"/>
      <c r="N444" s="123"/>
      <c r="O444" s="123">
        <v>24</v>
      </c>
      <c r="P444" s="123">
        <v>7</v>
      </c>
      <c r="Q444" s="123"/>
      <c r="R444" s="133">
        <f t="shared" si="92"/>
        <v>0</v>
      </c>
      <c r="S444" s="133"/>
      <c r="T444" s="116">
        <f t="shared" si="89"/>
        <v>0</v>
      </c>
      <c r="U444" s="116">
        <f t="shared" si="94"/>
        <v>0</v>
      </c>
      <c r="V444" s="116">
        <f t="shared" si="95"/>
        <v>0</v>
      </c>
      <c r="W444" s="116">
        <f t="shared" si="96"/>
        <v>0</v>
      </c>
      <c r="X444" s="116">
        <f t="shared" si="90"/>
        <v>0</v>
      </c>
      <c r="Y444" s="116">
        <f t="shared" si="91"/>
        <v>0</v>
      </c>
      <c r="Z444" s="116">
        <f t="shared" si="97"/>
        <v>0</v>
      </c>
      <c r="AA444" s="116">
        <f t="shared" si="98"/>
        <v>0</v>
      </c>
      <c r="AB444" s="116">
        <f t="shared" si="99"/>
        <v>0</v>
      </c>
      <c r="AC444" s="116">
        <f t="shared" si="100"/>
        <v>4035.21</v>
      </c>
      <c r="AD444" s="116">
        <f t="shared" si="101"/>
        <v>932.26</v>
      </c>
      <c r="AE444" s="116">
        <f t="shared" si="102"/>
        <v>0</v>
      </c>
    </row>
    <row r="445" spans="1:31">
      <c r="A445" s="131">
        <v>42655</v>
      </c>
      <c r="B445" s="131">
        <v>42686</v>
      </c>
      <c r="C445" s="123">
        <f t="shared" si="93"/>
        <v>31</v>
      </c>
      <c r="D445" s="132">
        <v>150.12</v>
      </c>
      <c r="E445" s="134"/>
      <c r="F445" s="135"/>
      <c r="G445" s="123"/>
      <c r="H445" s="123"/>
      <c r="I445" s="123"/>
      <c r="J445" s="123"/>
      <c r="K445" s="123"/>
      <c r="L445" s="123"/>
      <c r="M445" s="123"/>
      <c r="N445" s="123"/>
      <c r="O445" s="123">
        <v>20</v>
      </c>
      <c r="P445" s="123">
        <v>11</v>
      </c>
      <c r="Q445" s="123"/>
      <c r="R445" s="133">
        <f t="shared" si="92"/>
        <v>0</v>
      </c>
      <c r="S445" s="133"/>
      <c r="T445" s="116">
        <f t="shared" si="89"/>
        <v>0</v>
      </c>
      <c r="U445" s="116">
        <f t="shared" si="94"/>
        <v>0</v>
      </c>
      <c r="V445" s="116">
        <f t="shared" si="95"/>
        <v>0</v>
      </c>
      <c r="W445" s="116">
        <f t="shared" si="96"/>
        <v>0</v>
      </c>
      <c r="X445" s="116">
        <f t="shared" si="90"/>
        <v>0</v>
      </c>
      <c r="Y445" s="116">
        <f t="shared" si="91"/>
        <v>0</v>
      </c>
      <c r="Z445" s="116">
        <f t="shared" si="97"/>
        <v>0</v>
      </c>
      <c r="AA445" s="116">
        <f t="shared" si="98"/>
        <v>0</v>
      </c>
      <c r="AB445" s="116">
        <f t="shared" si="99"/>
        <v>0</v>
      </c>
      <c r="AC445" s="116">
        <f t="shared" si="100"/>
        <v>996.42</v>
      </c>
      <c r="AD445" s="116">
        <f t="shared" si="101"/>
        <v>434.1</v>
      </c>
      <c r="AE445" s="116">
        <f t="shared" si="102"/>
        <v>0</v>
      </c>
    </row>
    <row r="446" spans="1:31">
      <c r="A446" s="131">
        <v>42648</v>
      </c>
      <c r="B446" s="131">
        <v>42684</v>
      </c>
      <c r="C446" s="123">
        <f t="shared" si="93"/>
        <v>36</v>
      </c>
      <c r="D446" s="132">
        <v>55.84</v>
      </c>
      <c r="E446" s="134"/>
      <c r="F446" s="135"/>
      <c r="G446" s="123"/>
      <c r="H446" s="123"/>
      <c r="I446" s="123"/>
      <c r="J446" s="123"/>
      <c r="K446" s="123"/>
      <c r="L446" s="123"/>
      <c r="M446" s="123"/>
      <c r="N446" s="123"/>
      <c r="O446" s="123">
        <v>27</v>
      </c>
      <c r="P446" s="123">
        <v>9</v>
      </c>
      <c r="Q446" s="123"/>
      <c r="R446" s="133">
        <f t="shared" si="92"/>
        <v>0</v>
      </c>
      <c r="S446" s="133"/>
      <c r="T446" s="116">
        <f t="shared" si="89"/>
        <v>0</v>
      </c>
      <c r="U446" s="116">
        <f t="shared" si="94"/>
        <v>0</v>
      </c>
      <c r="V446" s="116">
        <f t="shared" si="95"/>
        <v>0</v>
      </c>
      <c r="W446" s="116">
        <f t="shared" si="96"/>
        <v>0</v>
      </c>
      <c r="X446" s="116">
        <f t="shared" si="90"/>
        <v>0</v>
      </c>
      <c r="Y446" s="116">
        <f t="shared" si="91"/>
        <v>0</v>
      </c>
      <c r="Z446" s="116">
        <f t="shared" si="97"/>
        <v>0</v>
      </c>
      <c r="AA446" s="116">
        <f t="shared" si="98"/>
        <v>0</v>
      </c>
      <c r="AB446" s="116">
        <f t="shared" si="99"/>
        <v>0</v>
      </c>
      <c r="AC446" s="116">
        <f t="shared" si="100"/>
        <v>430.86</v>
      </c>
      <c r="AD446" s="116">
        <f t="shared" si="101"/>
        <v>113.76</v>
      </c>
      <c r="AE446" s="116">
        <f t="shared" si="102"/>
        <v>0</v>
      </c>
    </row>
    <row r="447" spans="1:31" ht="15.75" thickBot="1">
      <c r="A447" s="131">
        <v>42655</v>
      </c>
      <c r="B447" s="131">
        <v>42686</v>
      </c>
      <c r="C447" s="123">
        <f t="shared" si="93"/>
        <v>31</v>
      </c>
      <c r="D447" s="132">
        <v>1015.34</v>
      </c>
      <c r="E447" s="134"/>
      <c r="F447" s="135"/>
      <c r="G447" s="123"/>
      <c r="H447" s="123"/>
      <c r="I447" s="123"/>
      <c r="J447" s="123"/>
      <c r="K447" s="123"/>
      <c r="L447" s="123"/>
      <c r="M447" s="123"/>
      <c r="N447" s="123"/>
      <c r="O447" s="123">
        <v>20</v>
      </c>
      <c r="P447" s="123">
        <v>11</v>
      </c>
      <c r="Q447" s="123"/>
      <c r="R447" s="133">
        <f t="shared" si="92"/>
        <v>0</v>
      </c>
      <c r="S447" s="133"/>
      <c r="T447" s="116">
        <f t="shared" si="89"/>
        <v>0</v>
      </c>
      <c r="U447" s="116">
        <f t="shared" si="94"/>
        <v>0</v>
      </c>
      <c r="V447" s="116">
        <f t="shared" si="95"/>
        <v>0</v>
      </c>
      <c r="W447" s="116">
        <f t="shared" si="96"/>
        <v>0</v>
      </c>
      <c r="X447" s="116">
        <f t="shared" si="90"/>
        <v>0</v>
      </c>
      <c r="Y447" s="116">
        <f t="shared" si="91"/>
        <v>0</v>
      </c>
      <c r="Z447" s="116">
        <f t="shared" si="97"/>
        <v>0</v>
      </c>
      <c r="AA447" s="116">
        <f t="shared" si="98"/>
        <v>0</v>
      </c>
      <c r="AB447" s="116">
        <f t="shared" si="99"/>
        <v>0</v>
      </c>
      <c r="AC447" s="116">
        <f t="shared" si="100"/>
        <v>6739.28</v>
      </c>
      <c r="AD447" s="116">
        <f t="shared" si="101"/>
        <v>2936.04</v>
      </c>
      <c r="AE447" s="116">
        <f t="shared" si="102"/>
        <v>0</v>
      </c>
    </row>
    <row r="448" spans="1:31" ht="15.75" thickBot="1">
      <c r="A448" s="194" t="s">
        <v>46</v>
      </c>
      <c r="B448" s="195"/>
      <c r="C448" s="195"/>
      <c r="D448" s="195"/>
      <c r="E448" s="195"/>
      <c r="F448" s="195"/>
      <c r="G448" s="195"/>
      <c r="H448" s="195"/>
      <c r="I448" s="195"/>
      <c r="J448" s="195"/>
      <c r="K448" s="195"/>
      <c r="L448" s="195"/>
      <c r="M448" s="195"/>
      <c r="N448" s="195"/>
      <c r="O448" s="195"/>
      <c r="P448" s="195"/>
      <c r="Q448" s="195"/>
      <c r="R448" s="195"/>
      <c r="S448" s="195"/>
      <c r="T448" s="195"/>
      <c r="U448" s="195"/>
      <c r="V448" s="195"/>
      <c r="W448" s="195"/>
      <c r="X448" s="195"/>
      <c r="Y448" s="195"/>
      <c r="Z448" s="195"/>
      <c r="AA448" s="195"/>
      <c r="AB448" s="195"/>
      <c r="AC448" s="195"/>
      <c r="AD448" s="195"/>
      <c r="AE448" s="196"/>
    </row>
    <row r="449" spans="1:31">
      <c r="A449" s="131">
        <v>42644</v>
      </c>
      <c r="B449" s="131">
        <v>42675</v>
      </c>
      <c r="C449" s="123">
        <f t="shared" si="93"/>
        <v>31</v>
      </c>
      <c r="D449" s="132">
        <v>-176.25</v>
      </c>
      <c r="E449" s="134"/>
      <c r="F449" s="135"/>
      <c r="G449" s="123"/>
      <c r="H449" s="123"/>
      <c r="I449" s="123"/>
      <c r="J449" s="123"/>
      <c r="K449" s="123"/>
      <c r="L449" s="123"/>
      <c r="M449" s="123"/>
      <c r="N449" s="123"/>
      <c r="O449" s="123">
        <v>31</v>
      </c>
      <c r="P449" s="123"/>
      <c r="Q449" s="123"/>
      <c r="R449" s="133">
        <f t="shared" si="92"/>
        <v>0</v>
      </c>
      <c r="S449" s="133"/>
      <c r="T449" s="116">
        <f t="shared" ref="T449:T483" si="103">ROUND((D449*F449/C449)/$C$6,2)</f>
        <v>0</v>
      </c>
      <c r="U449" s="116">
        <f t="shared" si="94"/>
        <v>0</v>
      </c>
      <c r="V449" s="116">
        <f t="shared" si="95"/>
        <v>0</v>
      </c>
      <c r="W449" s="116">
        <f t="shared" si="96"/>
        <v>0</v>
      </c>
      <c r="X449" s="116">
        <f t="shared" si="90"/>
        <v>0</v>
      </c>
      <c r="Y449" s="116">
        <f t="shared" si="91"/>
        <v>0</v>
      </c>
      <c r="Z449" s="116">
        <f t="shared" si="97"/>
        <v>0</v>
      </c>
      <c r="AA449" s="116">
        <f t="shared" si="98"/>
        <v>0</v>
      </c>
      <c r="AB449" s="116">
        <f t="shared" si="99"/>
        <v>0</v>
      </c>
      <c r="AC449" s="116">
        <f t="shared" si="100"/>
        <v>-1813.27</v>
      </c>
      <c r="AD449" s="116">
        <f t="shared" si="101"/>
        <v>0</v>
      </c>
      <c r="AE449" s="116">
        <f t="shared" si="102"/>
        <v>0</v>
      </c>
    </row>
    <row r="450" spans="1:31">
      <c r="A450" s="131">
        <v>42662</v>
      </c>
      <c r="B450" s="131">
        <v>42693</v>
      </c>
      <c r="C450" s="123">
        <f t="shared" si="93"/>
        <v>31</v>
      </c>
      <c r="D450" s="132">
        <v>1863.92</v>
      </c>
      <c r="E450" s="134"/>
      <c r="F450" s="135"/>
      <c r="G450" s="123"/>
      <c r="H450" s="123"/>
      <c r="I450" s="123"/>
      <c r="J450" s="123"/>
      <c r="K450" s="123"/>
      <c r="L450" s="123"/>
      <c r="M450" s="123"/>
      <c r="N450" s="123"/>
      <c r="O450" s="123">
        <v>13</v>
      </c>
      <c r="P450" s="123">
        <v>18</v>
      </c>
      <c r="Q450" s="123"/>
      <c r="R450" s="133">
        <f t="shared" si="92"/>
        <v>0</v>
      </c>
      <c r="S450" s="133"/>
      <c r="T450" s="116">
        <f t="shared" si="103"/>
        <v>0</v>
      </c>
      <c r="U450" s="116">
        <f t="shared" si="94"/>
        <v>0</v>
      </c>
      <c r="V450" s="116">
        <f t="shared" si="95"/>
        <v>0</v>
      </c>
      <c r="W450" s="116">
        <f t="shared" si="96"/>
        <v>0</v>
      </c>
      <c r="X450" s="116">
        <f t="shared" si="90"/>
        <v>0</v>
      </c>
      <c r="Y450" s="116">
        <f t="shared" si="91"/>
        <v>0</v>
      </c>
      <c r="Z450" s="116">
        <f t="shared" si="97"/>
        <v>0</v>
      </c>
      <c r="AA450" s="116">
        <f t="shared" si="98"/>
        <v>0</v>
      </c>
      <c r="AB450" s="116">
        <f t="shared" si="99"/>
        <v>0</v>
      </c>
      <c r="AC450" s="116">
        <f t="shared" si="100"/>
        <v>8041.6</v>
      </c>
      <c r="AD450" s="116">
        <f t="shared" si="101"/>
        <v>8819.7900000000009</v>
      </c>
      <c r="AE450" s="116">
        <f t="shared" si="102"/>
        <v>0</v>
      </c>
    </row>
    <row r="451" spans="1:31">
      <c r="A451" s="131">
        <v>42658</v>
      </c>
      <c r="B451" s="131">
        <v>42689</v>
      </c>
      <c r="C451" s="123">
        <f t="shared" si="93"/>
        <v>31</v>
      </c>
      <c r="D451" s="132">
        <v>42775.75</v>
      </c>
      <c r="E451" s="134"/>
      <c r="F451" s="135"/>
      <c r="G451" s="123"/>
      <c r="H451" s="123"/>
      <c r="I451" s="123"/>
      <c r="J451" s="123"/>
      <c r="K451" s="123"/>
      <c r="L451" s="123"/>
      <c r="M451" s="123"/>
      <c r="N451" s="123"/>
      <c r="O451" s="123">
        <v>17</v>
      </c>
      <c r="P451" s="123">
        <v>14</v>
      </c>
      <c r="Q451" s="123"/>
      <c r="R451" s="133">
        <f t="shared" si="92"/>
        <v>0</v>
      </c>
      <c r="S451" s="133"/>
      <c r="T451" s="116">
        <f t="shared" si="103"/>
        <v>0</v>
      </c>
      <c r="U451" s="116">
        <f t="shared" si="94"/>
        <v>0</v>
      </c>
      <c r="V451" s="116">
        <f t="shared" si="95"/>
        <v>0</v>
      </c>
      <c r="W451" s="116">
        <f t="shared" si="96"/>
        <v>0</v>
      </c>
      <c r="X451" s="116">
        <f t="shared" si="90"/>
        <v>0</v>
      </c>
      <c r="Y451" s="116">
        <f t="shared" si="91"/>
        <v>0</v>
      </c>
      <c r="Z451" s="116">
        <f t="shared" si="97"/>
        <v>0</v>
      </c>
      <c r="AA451" s="116">
        <f t="shared" si="98"/>
        <v>0</v>
      </c>
      <c r="AB451" s="116">
        <f t="shared" si="99"/>
        <v>0</v>
      </c>
      <c r="AC451" s="116">
        <f t="shared" si="100"/>
        <v>241334.05</v>
      </c>
      <c r="AD451" s="116">
        <f t="shared" si="101"/>
        <v>157428.74</v>
      </c>
      <c r="AE451" s="116">
        <f t="shared" si="102"/>
        <v>0</v>
      </c>
    </row>
    <row r="452" spans="1:31">
      <c r="A452" s="131">
        <v>42658</v>
      </c>
      <c r="B452" s="131">
        <v>42689</v>
      </c>
      <c r="C452" s="123">
        <f t="shared" si="93"/>
        <v>31</v>
      </c>
      <c r="D452" s="132">
        <v>7784.32</v>
      </c>
      <c r="E452" s="110"/>
      <c r="F452" s="123"/>
      <c r="G452" s="123"/>
      <c r="H452" s="123"/>
      <c r="I452" s="123"/>
      <c r="J452" s="123"/>
      <c r="K452" s="123"/>
      <c r="L452" s="123"/>
      <c r="M452" s="123"/>
      <c r="N452" s="123"/>
      <c r="O452" s="123">
        <v>17</v>
      </c>
      <c r="P452" s="123">
        <v>14</v>
      </c>
      <c r="Q452" s="123"/>
      <c r="R452" s="133">
        <f t="shared" si="92"/>
        <v>0</v>
      </c>
      <c r="S452" s="133"/>
      <c r="T452" s="116">
        <f t="shared" si="103"/>
        <v>0</v>
      </c>
      <c r="U452" s="116">
        <f t="shared" si="94"/>
        <v>0</v>
      </c>
      <c r="V452" s="116">
        <f t="shared" si="95"/>
        <v>0</v>
      </c>
      <c r="W452" s="116">
        <f t="shared" si="96"/>
        <v>0</v>
      </c>
      <c r="X452" s="116">
        <f t="shared" si="90"/>
        <v>0</v>
      </c>
      <c r="Y452" s="116">
        <f t="shared" si="91"/>
        <v>0</v>
      </c>
      <c r="Z452" s="116">
        <f t="shared" si="97"/>
        <v>0</v>
      </c>
      <c r="AA452" s="116">
        <f t="shared" si="98"/>
        <v>0</v>
      </c>
      <c r="AB452" s="116">
        <f t="shared" si="99"/>
        <v>0</v>
      </c>
      <c r="AC452" s="116">
        <f t="shared" si="100"/>
        <v>43917.91</v>
      </c>
      <c r="AD452" s="116">
        <f t="shared" si="101"/>
        <v>28648.84</v>
      </c>
      <c r="AE452" s="116">
        <f t="shared" si="102"/>
        <v>0</v>
      </c>
    </row>
    <row r="453" spans="1:31">
      <c r="A453" s="131">
        <v>42658</v>
      </c>
      <c r="B453" s="131">
        <v>42689</v>
      </c>
      <c r="C453" s="123">
        <f t="shared" si="93"/>
        <v>31</v>
      </c>
      <c r="D453" s="132">
        <v>2738.96</v>
      </c>
      <c r="E453" s="110"/>
      <c r="F453" s="123"/>
      <c r="G453" s="123"/>
      <c r="H453" s="123"/>
      <c r="I453" s="123"/>
      <c r="J453" s="123"/>
      <c r="K453" s="123"/>
      <c r="L453" s="123"/>
      <c r="M453" s="123"/>
      <c r="N453" s="123"/>
      <c r="O453" s="123">
        <v>17</v>
      </c>
      <c r="P453" s="123">
        <v>14</v>
      </c>
      <c r="Q453" s="123"/>
      <c r="R453" s="133">
        <f t="shared" si="92"/>
        <v>0</v>
      </c>
      <c r="S453" s="133"/>
      <c r="T453" s="116">
        <f t="shared" si="103"/>
        <v>0</v>
      </c>
      <c r="U453" s="116">
        <f t="shared" si="94"/>
        <v>0</v>
      </c>
      <c r="V453" s="116">
        <f t="shared" si="95"/>
        <v>0</v>
      </c>
      <c r="W453" s="116">
        <f t="shared" si="96"/>
        <v>0</v>
      </c>
      <c r="X453" s="116">
        <f t="shared" si="90"/>
        <v>0</v>
      </c>
      <c r="Y453" s="116">
        <f t="shared" si="91"/>
        <v>0</v>
      </c>
      <c r="Z453" s="116">
        <f t="shared" si="97"/>
        <v>0</v>
      </c>
      <c r="AA453" s="116">
        <f t="shared" si="98"/>
        <v>0</v>
      </c>
      <c r="AB453" s="116">
        <f t="shared" si="99"/>
        <v>0</v>
      </c>
      <c r="AC453" s="116">
        <f t="shared" si="100"/>
        <v>15452.78</v>
      </c>
      <c r="AD453" s="116">
        <f t="shared" si="101"/>
        <v>10080.27</v>
      </c>
      <c r="AE453" s="116">
        <f t="shared" si="102"/>
        <v>0</v>
      </c>
    </row>
    <row r="454" spans="1:31">
      <c r="A454" s="131">
        <v>42662</v>
      </c>
      <c r="B454" s="131">
        <v>42693</v>
      </c>
      <c r="C454" s="123">
        <f t="shared" si="93"/>
        <v>31</v>
      </c>
      <c r="D454" s="132">
        <v>718.85</v>
      </c>
      <c r="E454" s="110"/>
      <c r="F454" s="123"/>
      <c r="G454" s="123"/>
      <c r="H454" s="123"/>
      <c r="I454" s="123"/>
      <c r="J454" s="123"/>
      <c r="K454" s="123"/>
      <c r="L454" s="123"/>
      <c r="M454" s="123"/>
      <c r="N454" s="123"/>
      <c r="O454" s="123">
        <v>13</v>
      </c>
      <c r="P454" s="123">
        <v>18</v>
      </c>
      <c r="Q454" s="123"/>
      <c r="R454" s="133">
        <f t="shared" si="92"/>
        <v>0</v>
      </c>
      <c r="S454" s="133"/>
      <c r="T454" s="116">
        <f t="shared" si="103"/>
        <v>0</v>
      </c>
      <c r="U454" s="116">
        <f t="shared" si="94"/>
        <v>0</v>
      </c>
      <c r="V454" s="116">
        <f t="shared" si="95"/>
        <v>0</v>
      </c>
      <c r="W454" s="116">
        <f t="shared" si="96"/>
        <v>0</v>
      </c>
      <c r="X454" s="116">
        <f t="shared" si="90"/>
        <v>0</v>
      </c>
      <c r="Y454" s="116">
        <f t="shared" si="91"/>
        <v>0</v>
      </c>
      <c r="Z454" s="116">
        <f t="shared" si="97"/>
        <v>0</v>
      </c>
      <c r="AA454" s="116">
        <f t="shared" si="98"/>
        <v>0</v>
      </c>
      <c r="AB454" s="116">
        <f t="shared" si="99"/>
        <v>0</v>
      </c>
      <c r="AC454" s="116">
        <f t="shared" si="100"/>
        <v>3101.37</v>
      </c>
      <c r="AD454" s="116">
        <f t="shared" si="101"/>
        <v>3401.49</v>
      </c>
      <c r="AE454" s="116">
        <f t="shared" si="102"/>
        <v>0</v>
      </c>
    </row>
    <row r="455" spans="1:31">
      <c r="A455" s="131">
        <v>42662</v>
      </c>
      <c r="B455" s="131">
        <v>42693</v>
      </c>
      <c r="C455" s="123">
        <f t="shared" si="93"/>
        <v>31</v>
      </c>
      <c r="D455" s="132">
        <v>585.48</v>
      </c>
      <c r="E455" s="110"/>
      <c r="F455" s="123"/>
      <c r="G455" s="123"/>
      <c r="H455" s="123"/>
      <c r="I455" s="123"/>
      <c r="J455" s="123"/>
      <c r="K455" s="123"/>
      <c r="L455" s="123"/>
      <c r="M455" s="123"/>
      <c r="N455" s="123"/>
      <c r="O455" s="123">
        <v>13</v>
      </c>
      <c r="P455" s="123">
        <v>18</v>
      </c>
      <c r="Q455" s="123"/>
      <c r="R455" s="133">
        <f t="shared" si="92"/>
        <v>0</v>
      </c>
      <c r="S455" s="133"/>
      <c r="T455" s="116">
        <f t="shared" si="103"/>
        <v>0</v>
      </c>
      <c r="U455" s="116">
        <f t="shared" si="94"/>
        <v>0</v>
      </c>
      <c r="V455" s="116">
        <f t="shared" si="95"/>
        <v>0</v>
      </c>
      <c r="W455" s="116">
        <f t="shared" si="96"/>
        <v>0</v>
      </c>
      <c r="X455" s="116">
        <f t="shared" si="90"/>
        <v>0</v>
      </c>
      <c r="Y455" s="116">
        <f t="shared" si="91"/>
        <v>0</v>
      </c>
      <c r="Z455" s="116">
        <f t="shared" si="97"/>
        <v>0</v>
      </c>
      <c r="AA455" s="116">
        <f t="shared" si="98"/>
        <v>0</v>
      </c>
      <c r="AB455" s="116">
        <f t="shared" si="99"/>
        <v>0</v>
      </c>
      <c r="AC455" s="116">
        <f t="shared" si="100"/>
        <v>2525.9699999999998</v>
      </c>
      <c r="AD455" s="116">
        <f t="shared" si="101"/>
        <v>2770.4</v>
      </c>
      <c r="AE455" s="116">
        <f t="shared" si="102"/>
        <v>0</v>
      </c>
    </row>
    <row r="456" spans="1:31">
      <c r="A456" s="131">
        <v>42665</v>
      </c>
      <c r="B456" s="131">
        <v>42696</v>
      </c>
      <c r="C456" s="123">
        <f t="shared" si="93"/>
        <v>31</v>
      </c>
      <c r="D456" s="132">
        <v>292828.41000000003</v>
      </c>
      <c r="E456" s="110"/>
      <c r="F456" s="123"/>
      <c r="G456" s="123"/>
      <c r="H456" s="123"/>
      <c r="I456" s="123"/>
      <c r="J456" s="123"/>
      <c r="K456" s="123"/>
      <c r="L456" s="123"/>
      <c r="M456" s="123"/>
      <c r="N456" s="123"/>
      <c r="O456" s="123">
        <v>10</v>
      </c>
      <c r="P456" s="123">
        <v>21</v>
      </c>
      <c r="Q456" s="123"/>
      <c r="R456" s="133">
        <f t="shared" si="92"/>
        <v>0</v>
      </c>
      <c r="S456" s="133"/>
      <c r="T456" s="116">
        <f t="shared" si="103"/>
        <v>0</v>
      </c>
      <c r="U456" s="116">
        <f t="shared" si="94"/>
        <v>0</v>
      </c>
      <c r="V456" s="116">
        <f t="shared" si="95"/>
        <v>0</v>
      </c>
      <c r="W456" s="116">
        <f t="shared" si="96"/>
        <v>0</v>
      </c>
      <c r="X456" s="116">
        <f t="shared" si="90"/>
        <v>0</v>
      </c>
      <c r="Y456" s="116">
        <f t="shared" si="91"/>
        <v>0</v>
      </c>
      <c r="Z456" s="116">
        <f t="shared" si="97"/>
        <v>0</v>
      </c>
      <c r="AA456" s="116">
        <f t="shared" si="98"/>
        <v>0</v>
      </c>
      <c r="AB456" s="116">
        <f t="shared" si="99"/>
        <v>0</v>
      </c>
      <c r="AC456" s="116">
        <f>2541084.8-AD456</f>
        <v>744339.7799999998</v>
      </c>
      <c r="AD456" s="116">
        <v>1796745.02</v>
      </c>
      <c r="AE456" s="116">
        <f t="shared" si="102"/>
        <v>0</v>
      </c>
    </row>
    <row r="457" spans="1:31">
      <c r="A457" s="131">
        <v>42669</v>
      </c>
      <c r="B457" s="131">
        <v>42700</v>
      </c>
      <c r="C457" s="123">
        <f t="shared" si="93"/>
        <v>31</v>
      </c>
      <c r="D457" s="132">
        <v>1761.46</v>
      </c>
      <c r="E457" s="110"/>
      <c r="F457" s="123"/>
      <c r="G457" s="123"/>
      <c r="H457" s="123"/>
      <c r="I457" s="123"/>
      <c r="J457" s="123"/>
      <c r="K457" s="123"/>
      <c r="L457" s="123"/>
      <c r="M457" s="123"/>
      <c r="N457" s="123"/>
      <c r="O457" s="123">
        <v>6</v>
      </c>
      <c r="P457" s="123">
        <v>25</v>
      </c>
      <c r="Q457" s="123"/>
      <c r="R457" s="133">
        <f t="shared" si="92"/>
        <v>0</v>
      </c>
      <c r="S457" s="133"/>
      <c r="T457" s="116">
        <f t="shared" si="103"/>
        <v>0</v>
      </c>
      <c r="U457" s="116">
        <f t="shared" si="94"/>
        <v>0</v>
      </c>
      <c r="V457" s="116">
        <f t="shared" si="95"/>
        <v>0</v>
      </c>
      <c r="W457" s="116">
        <f t="shared" si="96"/>
        <v>0</v>
      </c>
      <c r="X457" s="116">
        <f t="shared" si="90"/>
        <v>0</v>
      </c>
      <c r="Y457" s="116">
        <f t="shared" si="91"/>
        <v>0</v>
      </c>
      <c r="Z457" s="116">
        <f t="shared" si="97"/>
        <v>0</v>
      </c>
      <c r="AA457" s="116">
        <f t="shared" si="98"/>
        <v>0</v>
      </c>
      <c r="AB457" s="116">
        <f t="shared" si="99"/>
        <v>0</v>
      </c>
      <c r="AC457" s="116">
        <f t="shared" si="100"/>
        <v>3507.49</v>
      </c>
      <c r="AD457" s="116">
        <f t="shared" si="101"/>
        <v>11576.34</v>
      </c>
      <c r="AE457" s="116">
        <f t="shared" si="102"/>
        <v>0</v>
      </c>
    </row>
    <row r="458" spans="1:31">
      <c r="A458" s="131">
        <v>42655</v>
      </c>
      <c r="B458" s="131">
        <v>42686</v>
      </c>
      <c r="C458" s="123">
        <f t="shared" si="93"/>
        <v>31</v>
      </c>
      <c r="D458" s="132">
        <v>1028.71</v>
      </c>
      <c r="E458" s="135"/>
      <c r="F458" s="135"/>
      <c r="G458" s="123"/>
      <c r="H458" s="123"/>
      <c r="I458" s="123"/>
      <c r="J458" s="123"/>
      <c r="K458" s="123"/>
      <c r="L458" s="123"/>
      <c r="M458" s="123"/>
      <c r="N458" s="123"/>
      <c r="O458" s="123">
        <v>20</v>
      </c>
      <c r="P458" s="123">
        <v>11</v>
      </c>
      <c r="Q458" s="123"/>
      <c r="R458" s="133">
        <f t="shared" si="92"/>
        <v>0</v>
      </c>
      <c r="S458" s="133"/>
      <c r="T458" s="116">
        <f t="shared" si="103"/>
        <v>0</v>
      </c>
      <c r="U458" s="116">
        <f t="shared" si="94"/>
        <v>0</v>
      </c>
      <c r="V458" s="116">
        <f t="shared" si="95"/>
        <v>0</v>
      </c>
      <c r="W458" s="116">
        <f t="shared" si="96"/>
        <v>0</v>
      </c>
      <c r="X458" s="116">
        <f t="shared" si="90"/>
        <v>0</v>
      </c>
      <c r="Y458" s="116">
        <f t="shared" si="91"/>
        <v>0</v>
      </c>
      <c r="Z458" s="116">
        <f t="shared" si="97"/>
        <v>0</v>
      </c>
      <c r="AA458" s="116">
        <f t="shared" si="98"/>
        <v>0</v>
      </c>
      <c r="AB458" s="116">
        <f t="shared" si="99"/>
        <v>0</v>
      </c>
      <c r="AC458" s="116">
        <f t="shared" si="100"/>
        <v>6828.02</v>
      </c>
      <c r="AD458" s="116">
        <f t="shared" si="101"/>
        <v>2974.71</v>
      </c>
      <c r="AE458" s="116">
        <f t="shared" si="102"/>
        <v>0</v>
      </c>
    </row>
    <row r="459" spans="1:31">
      <c r="A459" s="131">
        <v>42669</v>
      </c>
      <c r="B459" s="131">
        <v>42700</v>
      </c>
      <c r="C459" s="123">
        <f t="shared" si="93"/>
        <v>31</v>
      </c>
      <c r="D459" s="132">
        <v>1656.91</v>
      </c>
      <c r="E459" s="135"/>
      <c r="F459" s="135"/>
      <c r="G459" s="123"/>
      <c r="H459" s="123"/>
      <c r="I459" s="123"/>
      <c r="J459" s="123"/>
      <c r="K459" s="123"/>
      <c r="L459" s="123"/>
      <c r="M459" s="123"/>
      <c r="N459" s="123"/>
      <c r="O459" s="123">
        <v>6</v>
      </c>
      <c r="P459" s="123">
        <v>25</v>
      </c>
      <c r="Q459" s="123"/>
      <c r="R459" s="133">
        <f t="shared" si="92"/>
        <v>0</v>
      </c>
      <c r="S459" s="133"/>
      <c r="T459" s="116">
        <f t="shared" si="103"/>
        <v>0</v>
      </c>
      <c r="U459" s="116">
        <f t="shared" si="94"/>
        <v>0</v>
      </c>
      <c r="V459" s="116">
        <f t="shared" si="95"/>
        <v>0</v>
      </c>
      <c r="W459" s="116">
        <f t="shared" si="96"/>
        <v>0</v>
      </c>
      <c r="X459" s="116">
        <f t="shared" si="90"/>
        <v>0</v>
      </c>
      <c r="Y459" s="116">
        <f t="shared" si="91"/>
        <v>0</v>
      </c>
      <c r="Z459" s="116">
        <f t="shared" si="97"/>
        <v>0</v>
      </c>
      <c r="AA459" s="116">
        <f t="shared" si="98"/>
        <v>0</v>
      </c>
      <c r="AB459" s="116">
        <f t="shared" si="99"/>
        <v>0</v>
      </c>
      <c r="AC459" s="116">
        <f t="shared" si="100"/>
        <v>3299.3</v>
      </c>
      <c r="AD459" s="116">
        <f t="shared" si="101"/>
        <v>10889.23</v>
      </c>
      <c r="AE459" s="116">
        <f t="shared" si="102"/>
        <v>0</v>
      </c>
    </row>
    <row r="460" spans="1:31">
      <c r="A460" s="131">
        <v>42671</v>
      </c>
      <c r="B460" s="131">
        <v>42702</v>
      </c>
      <c r="C460" s="123">
        <f t="shared" si="93"/>
        <v>31</v>
      </c>
      <c r="D460" s="132">
        <v>1854.89</v>
      </c>
      <c r="E460" s="135"/>
      <c r="F460" s="135"/>
      <c r="G460" s="123"/>
      <c r="H460" s="123"/>
      <c r="I460" s="123"/>
      <c r="J460" s="123"/>
      <c r="K460" s="123"/>
      <c r="L460" s="123"/>
      <c r="M460" s="123"/>
      <c r="N460" s="123"/>
      <c r="O460" s="123">
        <v>4</v>
      </c>
      <c r="P460" s="123">
        <v>27</v>
      </c>
      <c r="Q460" s="123"/>
      <c r="R460" s="133">
        <f t="shared" si="92"/>
        <v>0</v>
      </c>
      <c r="S460" s="133"/>
      <c r="T460" s="116">
        <f t="shared" si="103"/>
        <v>0</v>
      </c>
      <c r="U460" s="116">
        <f t="shared" si="94"/>
        <v>0</v>
      </c>
      <c r="V460" s="116">
        <f t="shared" si="95"/>
        <v>0</v>
      </c>
      <c r="W460" s="116">
        <f t="shared" si="96"/>
        <v>0</v>
      </c>
      <c r="X460" s="116">
        <f t="shared" si="90"/>
        <v>0</v>
      </c>
      <c r="Y460" s="116">
        <f t="shared" si="91"/>
        <v>0</v>
      </c>
      <c r="Z460" s="116">
        <f t="shared" si="97"/>
        <v>0</v>
      </c>
      <c r="AA460" s="116">
        <f t="shared" si="98"/>
        <v>0</v>
      </c>
      <c r="AB460" s="116">
        <f t="shared" si="99"/>
        <v>0</v>
      </c>
      <c r="AC460" s="116">
        <f t="shared" si="100"/>
        <v>2462.35</v>
      </c>
      <c r="AD460" s="116">
        <f t="shared" si="101"/>
        <v>13165.59</v>
      </c>
      <c r="AE460" s="116">
        <f t="shared" si="102"/>
        <v>0</v>
      </c>
    </row>
    <row r="461" spans="1:31">
      <c r="A461" s="131">
        <v>42671</v>
      </c>
      <c r="B461" s="131">
        <v>42702</v>
      </c>
      <c r="C461" s="123">
        <f t="shared" si="93"/>
        <v>31</v>
      </c>
      <c r="D461" s="132">
        <v>1721.25</v>
      </c>
      <c r="E461" s="135"/>
      <c r="F461" s="135"/>
      <c r="G461" s="123"/>
      <c r="H461" s="123"/>
      <c r="I461" s="123"/>
      <c r="J461" s="123"/>
      <c r="K461" s="123"/>
      <c r="L461" s="123"/>
      <c r="M461" s="123"/>
      <c r="N461" s="123"/>
      <c r="O461" s="123">
        <v>4</v>
      </c>
      <c r="P461" s="123">
        <v>27</v>
      </c>
      <c r="Q461" s="123"/>
      <c r="R461" s="133">
        <f t="shared" si="92"/>
        <v>0</v>
      </c>
      <c r="S461" s="133"/>
      <c r="T461" s="116">
        <f t="shared" si="103"/>
        <v>0</v>
      </c>
      <c r="U461" s="116">
        <f t="shared" si="94"/>
        <v>0</v>
      </c>
      <c r="V461" s="116">
        <f t="shared" si="95"/>
        <v>0</v>
      </c>
      <c r="W461" s="116">
        <f t="shared" si="96"/>
        <v>0</v>
      </c>
      <c r="X461" s="116">
        <f t="shared" si="90"/>
        <v>0</v>
      </c>
      <c r="Y461" s="116">
        <f t="shared" si="91"/>
        <v>0</v>
      </c>
      <c r="Z461" s="116">
        <f t="shared" si="97"/>
        <v>0</v>
      </c>
      <c r="AA461" s="116">
        <f t="shared" si="98"/>
        <v>0</v>
      </c>
      <c r="AB461" s="116">
        <f t="shared" si="99"/>
        <v>0</v>
      </c>
      <c r="AC461" s="116">
        <f t="shared" si="100"/>
        <v>2284.9499999999998</v>
      </c>
      <c r="AD461" s="116">
        <f t="shared" si="101"/>
        <v>12217.04</v>
      </c>
      <c r="AE461" s="116">
        <f t="shared" si="102"/>
        <v>0</v>
      </c>
    </row>
    <row r="462" spans="1:31">
      <c r="A462" s="131">
        <v>42675</v>
      </c>
      <c r="B462" s="131">
        <v>42705</v>
      </c>
      <c r="C462" s="123">
        <f t="shared" si="93"/>
        <v>30</v>
      </c>
      <c r="D462" s="132">
        <v>322.85000000000002</v>
      </c>
      <c r="E462" s="135"/>
      <c r="F462" s="135"/>
      <c r="G462" s="123"/>
      <c r="H462" s="123"/>
      <c r="I462" s="123"/>
      <c r="J462" s="123"/>
      <c r="K462" s="123"/>
      <c r="L462" s="123"/>
      <c r="M462" s="123"/>
      <c r="N462" s="123"/>
      <c r="O462" s="123"/>
      <c r="P462" s="123">
        <v>30</v>
      </c>
      <c r="Q462" s="123"/>
      <c r="R462" s="133">
        <f t="shared" si="92"/>
        <v>0</v>
      </c>
      <c r="S462" s="133"/>
      <c r="T462" s="116">
        <f t="shared" si="103"/>
        <v>0</v>
      </c>
      <c r="U462" s="116">
        <f t="shared" si="94"/>
        <v>0</v>
      </c>
      <c r="V462" s="116">
        <f t="shared" si="95"/>
        <v>0</v>
      </c>
      <c r="W462" s="116">
        <f t="shared" si="96"/>
        <v>0</v>
      </c>
      <c r="X462" s="116">
        <f t="shared" si="90"/>
        <v>0</v>
      </c>
      <c r="Y462" s="116">
        <f t="shared" si="91"/>
        <v>0</v>
      </c>
      <c r="Z462" s="116">
        <f t="shared" si="97"/>
        <v>0</v>
      </c>
      <c r="AA462" s="116">
        <f t="shared" si="98"/>
        <v>0</v>
      </c>
      <c r="AB462" s="116">
        <f t="shared" si="99"/>
        <v>0</v>
      </c>
      <c r="AC462" s="116">
        <f t="shared" si="100"/>
        <v>0</v>
      </c>
      <c r="AD462" s="116">
        <f t="shared" si="101"/>
        <v>2631</v>
      </c>
      <c r="AE462" s="116">
        <f t="shared" si="102"/>
        <v>0</v>
      </c>
    </row>
    <row r="463" spans="1:31">
      <c r="A463" s="131">
        <v>42675</v>
      </c>
      <c r="B463" s="131">
        <v>42705</v>
      </c>
      <c r="C463" s="123">
        <f t="shared" si="93"/>
        <v>30</v>
      </c>
      <c r="D463" s="132">
        <v>9663.06</v>
      </c>
      <c r="E463" s="135"/>
      <c r="F463" s="135"/>
      <c r="G463" s="123"/>
      <c r="H463" s="123"/>
      <c r="I463" s="123"/>
      <c r="J463" s="123"/>
      <c r="K463" s="123"/>
      <c r="L463" s="123"/>
      <c r="M463" s="123"/>
      <c r="N463" s="123"/>
      <c r="O463" s="123"/>
      <c r="P463" s="123">
        <v>30</v>
      </c>
      <c r="Q463" s="123"/>
      <c r="R463" s="133">
        <f t="shared" si="92"/>
        <v>0</v>
      </c>
      <c r="S463" s="133"/>
      <c r="T463" s="116">
        <f t="shared" si="103"/>
        <v>0</v>
      </c>
      <c r="U463" s="116">
        <f t="shared" si="94"/>
        <v>0</v>
      </c>
      <c r="V463" s="116">
        <f t="shared" si="95"/>
        <v>0</v>
      </c>
      <c r="W463" s="116">
        <f t="shared" si="96"/>
        <v>0</v>
      </c>
      <c r="X463" s="116">
        <f t="shared" si="90"/>
        <v>0</v>
      </c>
      <c r="Y463" s="116">
        <f t="shared" si="91"/>
        <v>0</v>
      </c>
      <c r="Z463" s="116">
        <f t="shared" si="97"/>
        <v>0</v>
      </c>
      <c r="AA463" s="116">
        <f t="shared" si="98"/>
        <v>0</v>
      </c>
      <c r="AB463" s="116">
        <f t="shared" si="99"/>
        <v>0</v>
      </c>
      <c r="AC463" s="116">
        <f t="shared" si="100"/>
        <v>0</v>
      </c>
      <c r="AD463" s="116">
        <f t="shared" si="101"/>
        <v>78747.13</v>
      </c>
      <c r="AE463" s="116">
        <f t="shared" si="102"/>
        <v>0</v>
      </c>
    </row>
    <row r="464" spans="1:31">
      <c r="A464" s="131">
        <v>42671</v>
      </c>
      <c r="B464" s="131">
        <v>42702</v>
      </c>
      <c r="C464" s="123">
        <f t="shared" si="93"/>
        <v>31</v>
      </c>
      <c r="D464" s="132">
        <v>6277.01</v>
      </c>
      <c r="E464" s="135"/>
      <c r="F464" s="135"/>
      <c r="G464" s="123"/>
      <c r="H464" s="123"/>
      <c r="I464" s="123"/>
      <c r="J464" s="123"/>
      <c r="K464" s="123"/>
      <c r="L464" s="123"/>
      <c r="M464" s="123"/>
      <c r="N464" s="123"/>
      <c r="O464" s="123">
        <v>4</v>
      </c>
      <c r="P464" s="123">
        <v>27</v>
      </c>
      <c r="Q464" s="123"/>
      <c r="R464" s="133">
        <f t="shared" si="92"/>
        <v>0</v>
      </c>
      <c r="S464" s="133"/>
      <c r="T464" s="116">
        <f t="shared" si="103"/>
        <v>0</v>
      </c>
      <c r="U464" s="116">
        <f t="shared" si="94"/>
        <v>0</v>
      </c>
      <c r="V464" s="116">
        <f t="shared" si="95"/>
        <v>0</v>
      </c>
      <c r="W464" s="116">
        <f t="shared" si="96"/>
        <v>0</v>
      </c>
      <c r="X464" s="116">
        <f t="shared" si="90"/>
        <v>0</v>
      </c>
      <c r="Y464" s="116">
        <f t="shared" si="91"/>
        <v>0</v>
      </c>
      <c r="Z464" s="116">
        <f t="shared" si="97"/>
        <v>0</v>
      </c>
      <c r="AA464" s="116">
        <f t="shared" si="98"/>
        <v>0</v>
      </c>
      <c r="AB464" s="116">
        <f t="shared" si="99"/>
        <v>0</v>
      </c>
      <c r="AC464" s="116">
        <f>70859.2-AD464</f>
        <v>9143.1199999999953</v>
      </c>
      <c r="AD464" s="116">
        <v>61716.08</v>
      </c>
      <c r="AE464" s="116">
        <f t="shared" si="102"/>
        <v>0</v>
      </c>
    </row>
    <row r="465" spans="1:31">
      <c r="A465" s="131">
        <v>42675</v>
      </c>
      <c r="B465" s="131">
        <v>42705</v>
      </c>
      <c r="C465" s="123">
        <f t="shared" si="93"/>
        <v>30</v>
      </c>
      <c r="D465" s="132">
        <v>339591.3</v>
      </c>
      <c r="E465" s="135"/>
      <c r="F465" s="135"/>
      <c r="G465" s="123"/>
      <c r="H465" s="123"/>
      <c r="I465" s="123"/>
      <c r="J465" s="123"/>
      <c r="K465" s="123"/>
      <c r="L465" s="123"/>
      <c r="M465" s="123"/>
      <c r="N465" s="123"/>
      <c r="O465" s="123"/>
      <c r="P465" s="123">
        <v>30</v>
      </c>
      <c r="Q465" s="123"/>
      <c r="R465" s="133">
        <f t="shared" si="92"/>
        <v>0</v>
      </c>
      <c r="S465" s="133"/>
      <c r="T465" s="116">
        <f t="shared" si="103"/>
        <v>0</v>
      </c>
      <c r="U465" s="116">
        <f t="shared" si="94"/>
        <v>0</v>
      </c>
      <c r="V465" s="116">
        <f t="shared" si="95"/>
        <v>0</v>
      </c>
      <c r="W465" s="116">
        <f t="shared" si="96"/>
        <v>0</v>
      </c>
      <c r="X465" s="116">
        <f t="shared" si="90"/>
        <v>0</v>
      </c>
      <c r="Y465" s="116">
        <f t="shared" si="91"/>
        <v>0</v>
      </c>
      <c r="Z465" s="116">
        <f t="shared" si="97"/>
        <v>0</v>
      </c>
      <c r="AA465" s="116">
        <f t="shared" si="98"/>
        <v>0</v>
      </c>
      <c r="AB465" s="116">
        <f t="shared" si="99"/>
        <v>0</v>
      </c>
      <c r="AC465" s="116">
        <f t="shared" si="100"/>
        <v>0</v>
      </c>
      <c r="AD465" s="116">
        <f t="shared" si="101"/>
        <v>2767429.71</v>
      </c>
      <c r="AE465" s="116">
        <f t="shared" si="102"/>
        <v>0</v>
      </c>
    </row>
    <row r="466" spans="1:31">
      <c r="A466" s="131">
        <v>42677</v>
      </c>
      <c r="B466" s="131">
        <v>42707</v>
      </c>
      <c r="C466" s="123">
        <f t="shared" si="93"/>
        <v>30</v>
      </c>
      <c r="D466" s="132">
        <v>1494.98</v>
      </c>
      <c r="E466" s="135"/>
      <c r="F466" s="135"/>
      <c r="G466" s="123"/>
      <c r="H466" s="123"/>
      <c r="I466" s="123"/>
      <c r="J466" s="123"/>
      <c r="K466" s="123"/>
      <c r="L466" s="123"/>
      <c r="M466" s="123"/>
      <c r="N466" s="123"/>
      <c r="O466" s="123"/>
      <c r="P466" s="123">
        <v>28</v>
      </c>
      <c r="Q466" s="123">
        <v>2</v>
      </c>
      <c r="R466" s="133">
        <f t="shared" si="92"/>
        <v>0</v>
      </c>
      <c r="S466" s="133"/>
      <c r="T466" s="116">
        <f t="shared" si="103"/>
        <v>0</v>
      </c>
      <c r="U466" s="116">
        <f t="shared" si="94"/>
        <v>0</v>
      </c>
      <c r="V466" s="116">
        <f t="shared" si="95"/>
        <v>0</v>
      </c>
      <c r="W466" s="116">
        <f t="shared" si="96"/>
        <v>0</v>
      </c>
      <c r="X466" s="116">
        <f t="shared" si="90"/>
        <v>0</v>
      </c>
      <c r="Y466" s="116">
        <f t="shared" si="91"/>
        <v>0</v>
      </c>
      <c r="Z466" s="116">
        <f t="shared" si="97"/>
        <v>0</v>
      </c>
      <c r="AA466" s="116">
        <f t="shared" si="98"/>
        <v>0</v>
      </c>
      <c r="AB466" s="116">
        <f t="shared" si="99"/>
        <v>0</v>
      </c>
      <c r="AC466" s="116">
        <f t="shared" si="100"/>
        <v>0</v>
      </c>
      <c r="AD466" s="116">
        <f t="shared" si="101"/>
        <v>11370.83</v>
      </c>
      <c r="AE466" s="116">
        <f t="shared" si="102"/>
        <v>940.77</v>
      </c>
    </row>
    <row r="467" spans="1:31">
      <c r="A467" s="131">
        <v>42677</v>
      </c>
      <c r="B467" s="131">
        <v>42707</v>
      </c>
      <c r="C467" s="123">
        <f t="shared" si="93"/>
        <v>30</v>
      </c>
      <c r="D467" s="132">
        <v>641.39</v>
      </c>
      <c r="E467" s="135"/>
      <c r="F467" s="135"/>
      <c r="G467" s="123"/>
      <c r="H467" s="123"/>
      <c r="I467" s="123"/>
      <c r="J467" s="123"/>
      <c r="K467" s="123"/>
      <c r="L467" s="123"/>
      <c r="M467" s="123"/>
      <c r="N467" s="123"/>
      <c r="O467" s="123"/>
      <c r="P467" s="123">
        <v>28</v>
      </c>
      <c r="Q467" s="123">
        <v>2</v>
      </c>
      <c r="R467" s="133">
        <f t="shared" si="92"/>
        <v>0</v>
      </c>
      <c r="S467" s="133"/>
      <c r="T467" s="116">
        <f t="shared" si="103"/>
        <v>0</v>
      </c>
      <c r="U467" s="116">
        <f t="shared" si="94"/>
        <v>0</v>
      </c>
      <c r="V467" s="116">
        <f t="shared" si="95"/>
        <v>0</v>
      </c>
      <c r="W467" s="116">
        <f t="shared" si="96"/>
        <v>0</v>
      </c>
      <c r="X467" s="116">
        <f t="shared" si="90"/>
        <v>0</v>
      </c>
      <c r="Y467" s="116">
        <f t="shared" si="91"/>
        <v>0</v>
      </c>
      <c r="Z467" s="116">
        <f t="shared" si="97"/>
        <v>0</v>
      </c>
      <c r="AA467" s="116">
        <f t="shared" si="98"/>
        <v>0</v>
      </c>
      <c r="AB467" s="116">
        <f t="shared" si="99"/>
        <v>0</v>
      </c>
      <c r="AC467" s="116">
        <f t="shared" si="100"/>
        <v>0</v>
      </c>
      <c r="AD467" s="116">
        <f t="shared" si="101"/>
        <v>4878.42</v>
      </c>
      <c r="AE467" s="116">
        <f t="shared" si="102"/>
        <v>403.62</v>
      </c>
    </row>
    <row r="468" spans="1:31">
      <c r="A468" s="131">
        <v>42675</v>
      </c>
      <c r="B468" s="131">
        <v>42705</v>
      </c>
      <c r="C468" s="123">
        <f t="shared" si="93"/>
        <v>30</v>
      </c>
      <c r="D468" s="132">
        <v>5157.29</v>
      </c>
      <c r="E468" s="135"/>
      <c r="F468" s="135"/>
      <c r="G468" s="123"/>
      <c r="H468" s="123"/>
      <c r="I468" s="123"/>
      <c r="J468" s="123"/>
      <c r="K468" s="123"/>
      <c r="L468" s="123"/>
      <c r="M468" s="123"/>
      <c r="N468" s="123"/>
      <c r="O468" s="123"/>
      <c r="P468" s="123">
        <v>30</v>
      </c>
      <c r="Q468" s="123"/>
      <c r="R468" s="133">
        <f t="shared" si="92"/>
        <v>0</v>
      </c>
      <c r="S468" s="133"/>
      <c r="T468" s="116">
        <f t="shared" si="103"/>
        <v>0</v>
      </c>
      <c r="U468" s="116">
        <f t="shared" si="94"/>
        <v>0</v>
      </c>
      <c r="V468" s="116">
        <f t="shared" si="95"/>
        <v>0</v>
      </c>
      <c r="W468" s="116">
        <f t="shared" si="96"/>
        <v>0</v>
      </c>
      <c r="X468" s="116">
        <f t="shared" si="90"/>
        <v>0</v>
      </c>
      <c r="Y468" s="116">
        <f t="shared" si="91"/>
        <v>0</v>
      </c>
      <c r="Z468" s="116">
        <f t="shared" si="97"/>
        <v>0</v>
      </c>
      <c r="AA468" s="116">
        <f t="shared" si="98"/>
        <v>0</v>
      </c>
      <c r="AB468" s="116">
        <f t="shared" si="99"/>
        <v>0</v>
      </c>
      <c r="AC468" s="116">
        <f t="shared" si="100"/>
        <v>0</v>
      </c>
      <c r="AD468" s="116">
        <f t="shared" si="101"/>
        <v>42028.28</v>
      </c>
      <c r="AE468" s="116">
        <f t="shared" si="102"/>
        <v>0</v>
      </c>
    </row>
    <row r="469" spans="1:31">
      <c r="A469" s="131">
        <v>42677</v>
      </c>
      <c r="B469" s="131">
        <v>42707</v>
      </c>
      <c r="C469" s="123">
        <f t="shared" si="93"/>
        <v>30</v>
      </c>
      <c r="D469" s="132">
        <v>888.19</v>
      </c>
      <c r="E469" s="135"/>
      <c r="F469" s="135"/>
      <c r="G469" s="123"/>
      <c r="H469" s="123"/>
      <c r="I469" s="123"/>
      <c r="J469" s="123"/>
      <c r="K469" s="123"/>
      <c r="L469" s="123"/>
      <c r="M469" s="123"/>
      <c r="N469" s="123"/>
      <c r="O469" s="123"/>
      <c r="P469" s="123">
        <v>28</v>
      </c>
      <c r="Q469" s="123">
        <v>2</v>
      </c>
      <c r="R469" s="133">
        <f t="shared" si="92"/>
        <v>0</v>
      </c>
      <c r="S469" s="133"/>
      <c r="T469" s="116">
        <f t="shared" si="103"/>
        <v>0</v>
      </c>
      <c r="U469" s="116">
        <f t="shared" si="94"/>
        <v>0</v>
      </c>
      <c r="V469" s="116">
        <f t="shared" si="95"/>
        <v>0</v>
      </c>
      <c r="W469" s="116">
        <f t="shared" si="96"/>
        <v>0</v>
      </c>
      <c r="X469" s="116">
        <f t="shared" si="90"/>
        <v>0</v>
      </c>
      <c r="Y469" s="116">
        <f t="shared" si="91"/>
        <v>0</v>
      </c>
      <c r="Z469" s="116">
        <f t="shared" si="97"/>
        <v>0</v>
      </c>
      <c r="AA469" s="116">
        <f t="shared" si="98"/>
        <v>0</v>
      </c>
      <c r="AB469" s="116">
        <f t="shared" si="99"/>
        <v>0</v>
      </c>
      <c r="AC469" s="116">
        <f t="shared" si="100"/>
        <v>0</v>
      </c>
      <c r="AD469" s="116">
        <f t="shared" si="101"/>
        <v>6755.58</v>
      </c>
      <c r="AE469" s="116">
        <f t="shared" si="102"/>
        <v>558.92999999999995</v>
      </c>
    </row>
    <row r="470" spans="1:31">
      <c r="A470" s="131">
        <v>42658</v>
      </c>
      <c r="B470" s="131">
        <v>42705</v>
      </c>
      <c r="C470" s="123">
        <f t="shared" si="93"/>
        <v>47</v>
      </c>
      <c r="D470" s="132">
        <v>13.7</v>
      </c>
      <c r="E470" s="135"/>
      <c r="F470" s="135"/>
      <c r="G470" s="123"/>
      <c r="H470" s="123"/>
      <c r="I470" s="123"/>
      <c r="J470" s="123"/>
      <c r="K470" s="123"/>
      <c r="L470" s="123"/>
      <c r="M470" s="123"/>
      <c r="N470" s="123"/>
      <c r="O470" s="123">
        <v>17</v>
      </c>
      <c r="P470" s="123">
        <v>30</v>
      </c>
      <c r="Q470" s="123"/>
      <c r="R470" s="133">
        <f t="shared" si="92"/>
        <v>0</v>
      </c>
      <c r="S470" s="133"/>
      <c r="T470" s="116">
        <f t="shared" si="103"/>
        <v>0</v>
      </c>
      <c r="U470" s="116">
        <f t="shared" si="94"/>
        <v>0</v>
      </c>
      <c r="V470" s="116">
        <f t="shared" si="95"/>
        <v>0</v>
      </c>
      <c r="W470" s="116">
        <f t="shared" si="96"/>
        <v>0</v>
      </c>
      <c r="X470" s="116">
        <f t="shared" si="90"/>
        <v>0</v>
      </c>
      <c r="Y470" s="116">
        <f t="shared" si="91"/>
        <v>0</v>
      </c>
      <c r="Z470" s="116">
        <f t="shared" si="97"/>
        <v>0</v>
      </c>
      <c r="AA470" s="116">
        <f t="shared" si="98"/>
        <v>0</v>
      </c>
      <c r="AB470" s="116">
        <f t="shared" si="99"/>
        <v>0</v>
      </c>
      <c r="AC470" s="116">
        <f t="shared" si="100"/>
        <v>50.98</v>
      </c>
      <c r="AD470" s="116">
        <f t="shared" si="101"/>
        <v>71.260000000000005</v>
      </c>
      <c r="AE470" s="116">
        <f t="shared" si="102"/>
        <v>0</v>
      </c>
    </row>
    <row r="471" spans="1:31">
      <c r="A471" s="131">
        <v>42689</v>
      </c>
      <c r="B471" s="131">
        <v>42705</v>
      </c>
      <c r="C471" s="123">
        <f t="shared" si="93"/>
        <v>16</v>
      </c>
      <c r="D471" s="132">
        <v>30.41</v>
      </c>
      <c r="E471" s="135"/>
      <c r="F471" s="135"/>
      <c r="G471" s="123"/>
      <c r="H471" s="123"/>
      <c r="I471" s="123"/>
      <c r="J471" s="123"/>
      <c r="K471" s="123"/>
      <c r="L471" s="123"/>
      <c r="M471" s="123"/>
      <c r="N471" s="123"/>
      <c r="O471" s="123"/>
      <c r="P471" s="123">
        <v>16</v>
      </c>
      <c r="Q471" s="123"/>
      <c r="R471" s="133">
        <f t="shared" si="92"/>
        <v>0</v>
      </c>
      <c r="S471" s="133"/>
      <c r="T471" s="116">
        <f t="shared" si="103"/>
        <v>0</v>
      </c>
      <c r="U471" s="116">
        <f t="shared" si="94"/>
        <v>0</v>
      </c>
      <c r="V471" s="116">
        <f t="shared" si="95"/>
        <v>0</v>
      </c>
      <c r="W471" s="116">
        <f t="shared" si="96"/>
        <v>0</v>
      </c>
      <c r="X471" s="116">
        <f t="shared" si="90"/>
        <v>0</v>
      </c>
      <c r="Y471" s="116">
        <f t="shared" si="91"/>
        <v>0</v>
      </c>
      <c r="Z471" s="116">
        <f t="shared" si="97"/>
        <v>0</v>
      </c>
      <c r="AA471" s="116">
        <f t="shared" si="98"/>
        <v>0</v>
      </c>
      <c r="AB471" s="116">
        <f t="shared" si="99"/>
        <v>0</v>
      </c>
      <c r="AC471" s="116">
        <f t="shared" si="100"/>
        <v>0</v>
      </c>
      <c r="AD471" s="116">
        <f t="shared" si="101"/>
        <v>247.82</v>
      </c>
      <c r="AE471" s="116">
        <f t="shared" si="102"/>
        <v>0</v>
      </c>
    </row>
    <row r="472" spans="1:31">
      <c r="A472" s="131">
        <v>42677</v>
      </c>
      <c r="B472" s="131">
        <v>42705</v>
      </c>
      <c r="C472" s="123">
        <f t="shared" si="93"/>
        <v>28</v>
      </c>
      <c r="D472" s="132">
        <v>8.86</v>
      </c>
      <c r="E472" s="135"/>
      <c r="F472" s="135"/>
      <c r="G472" s="123"/>
      <c r="H472" s="123"/>
      <c r="I472" s="123"/>
      <c r="J472" s="123"/>
      <c r="K472" s="123"/>
      <c r="L472" s="123"/>
      <c r="M472" s="123"/>
      <c r="N472" s="123"/>
      <c r="O472" s="123"/>
      <c r="P472" s="123">
        <v>28</v>
      </c>
      <c r="Q472" s="123"/>
      <c r="R472" s="133">
        <f t="shared" si="92"/>
        <v>0</v>
      </c>
      <c r="S472" s="133"/>
      <c r="T472" s="116">
        <f t="shared" si="103"/>
        <v>0</v>
      </c>
      <c r="U472" s="116">
        <f t="shared" si="94"/>
        <v>0</v>
      </c>
      <c r="V472" s="116">
        <f t="shared" si="95"/>
        <v>0</v>
      </c>
      <c r="W472" s="116">
        <f t="shared" si="96"/>
        <v>0</v>
      </c>
      <c r="X472" s="116">
        <f t="shared" si="90"/>
        <v>0</v>
      </c>
      <c r="Y472" s="116">
        <f t="shared" si="91"/>
        <v>0</v>
      </c>
      <c r="Z472" s="116">
        <f t="shared" si="97"/>
        <v>0</v>
      </c>
      <c r="AA472" s="116">
        <f t="shared" si="98"/>
        <v>0</v>
      </c>
      <c r="AB472" s="116">
        <f t="shared" si="99"/>
        <v>0</v>
      </c>
      <c r="AC472" s="116">
        <f t="shared" si="100"/>
        <v>0</v>
      </c>
      <c r="AD472" s="116">
        <f t="shared" si="101"/>
        <v>72.2</v>
      </c>
      <c r="AE472" s="116">
        <f t="shared" si="102"/>
        <v>0</v>
      </c>
    </row>
    <row r="473" spans="1:31">
      <c r="A473" s="131">
        <v>42675</v>
      </c>
      <c r="B473" s="131">
        <v>42705</v>
      </c>
      <c r="C473" s="123">
        <f t="shared" si="93"/>
        <v>30</v>
      </c>
      <c r="D473" s="132">
        <v>62252.13</v>
      </c>
      <c r="E473" s="135"/>
      <c r="F473" s="135"/>
      <c r="G473" s="123"/>
      <c r="H473" s="123"/>
      <c r="I473" s="123"/>
      <c r="J473" s="123"/>
      <c r="K473" s="123"/>
      <c r="L473" s="123"/>
      <c r="M473" s="123"/>
      <c r="N473" s="123"/>
      <c r="O473" s="123"/>
      <c r="P473" s="123">
        <v>30</v>
      </c>
      <c r="Q473" s="123"/>
      <c r="R473" s="133">
        <f t="shared" si="92"/>
        <v>0</v>
      </c>
      <c r="S473" s="133"/>
      <c r="T473" s="116">
        <f t="shared" si="103"/>
        <v>0</v>
      </c>
      <c r="U473" s="116">
        <f t="shared" si="94"/>
        <v>0</v>
      </c>
      <c r="V473" s="116">
        <f t="shared" si="95"/>
        <v>0</v>
      </c>
      <c r="W473" s="116">
        <f t="shared" si="96"/>
        <v>0</v>
      </c>
      <c r="X473" s="116">
        <f t="shared" si="90"/>
        <v>0</v>
      </c>
      <c r="Y473" s="116">
        <f t="shared" si="91"/>
        <v>0</v>
      </c>
      <c r="Z473" s="116">
        <f t="shared" si="97"/>
        <v>0</v>
      </c>
      <c r="AA473" s="116">
        <f t="shared" si="98"/>
        <v>0</v>
      </c>
      <c r="AB473" s="116">
        <f t="shared" si="99"/>
        <v>0</v>
      </c>
      <c r="AC473" s="116">
        <f t="shared" si="100"/>
        <v>0</v>
      </c>
      <c r="AD473" s="116">
        <f t="shared" si="101"/>
        <v>507310.98</v>
      </c>
      <c r="AE473" s="116">
        <f t="shared" si="102"/>
        <v>0</v>
      </c>
    </row>
    <row r="474" spans="1:31">
      <c r="A474" s="131">
        <v>42677</v>
      </c>
      <c r="B474" s="131">
        <v>42707</v>
      </c>
      <c r="C474" s="123">
        <f t="shared" si="93"/>
        <v>30</v>
      </c>
      <c r="D474" s="132">
        <v>3277.34</v>
      </c>
      <c r="E474" s="135"/>
      <c r="F474" s="135"/>
      <c r="G474" s="123"/>
      <c r="H474" s="123"/>
      <c r="I474" s="123"/>
      <c r="J474" s="123"/>
      <c r="K474" s="123"/>
      <c r="L474" s="123"/>
      <c r="M474" s="123"/>
      <c r="N474" s="123"/>
      <c r="O474" s="123"/>
      <c r="P474" s="123">
        <v>28</v>
      </c>
      <c r="Q474" s="123">
        <v>2</v>
      </c>
      <c r="R474" s="133">
        <f t="shared" si="92"/>
        <v>0</v>
      </c>
      <c r="S474" s="133"/>
      <c r="T474" s="116">
        <f t="shared" si="103"/>
        <v>0</v>
      </c>
      <c r="U474" s="116">
        <f t="shared" si="94"/>
        <v>0</v>
      </c>
      <c r="V474" s="116">
        <f t="shared" si="95"/>
        <v>0</v>
      </c>
      <c r="W474" s="116">
        <f t="shared" si="96"/>
        <v>0</v>
      </c>
      <c r="X474" s="116">
        <f t="shared" si="90"/>
        <v>0</v>
      </c>
      <c r="Y474" s="116">
        <f t="shared" si="91"/>
        <v>0</v>
      </c>
      <c r="Z474" s="116">
        <f t="shared" si="97"/>
        <v>0</v>
      </c>
      <c r="AA474" s="116">
        <f t="shared" si="98"/>
        <v>0</v>
      </c>
      <c r="AB474" s="116">
        <f t="shared" si="99"/>
        <v>0</v>
      </c>
      <c r="AC474" s="116">
        <f t="shared" si="100"/>
        <v>0</v>
      </c>
      <c r="AD474" s="116">
        <f t="shared" si="101"/>
        <v>24927.48</v>
      </c>
      <c r="AE474" s="116">
        <f t="shared" si="102"/>
        <v>2062.39</v>
      </c>
    </row>
    <row r="475" spans="1:31">
      <c r="A475" s="131">
        <v>42679</v>
      </c>
      <c r="B475" s="131">
        <v>42709</v>
      </c>
      <c r="C475" s="123">
        <f t="shared" si="93"/>
        <v>30</v>
      </c>
      <c r="D475" s="132">
        <v>167.86</v>
      </c>
      <c r="E475" s="135"/>
      <c r="F475" s="135"/>
      <c r="G475" s="123"/>
      <c r="H475" s="123"/>
      <c r="I475" s="123"/>
      <c r="J475" s="123"/>
      <c r="K475" s="123"/>
      <c r="L475" s="123"/>
      <c r="M475" s="123"/>
      <c r="N475" s="123"/>
      <c r="O475" s="123"/>
      <c r="P475" s="123">
        <v>26</v>
      </c>
      <c r="Q475" s="123">
        <v>4</v>
      </c>
      <c r="R475" s="133">
        <f t="shared" si="92"/>
        <v>0</v>
      </c>
      <c r="S475" s="133"/>
      <c r="T475" s="116">
        <f t="shared" si="103"/>
        <v>0</v>
      </c>
      <c r="U475" s="116">
        <f t="shared" si="94"/>
        <v>0</v>
      </c>
      <c r="V475" s="116">
        <f t="shared" si="95"/>
        <v>0</v>
      </c>
      <c r="W475" s="116">
        <f t="shared" si="96"/>
        <v>0</v>
      </c>
      <c r="X475" s="116">
        <f t="shared" si="90"/>
        <v>0</v>
      </c>
      <c r="Y475" s="116">
        <f t="shared" si="91"/>
        <v>0</v>
      </c>
      <c r="Z475" s="116">
        <f t="shared" si="97"/>
        <v>0</v>
      </c>
      <c r="AA475" s="116">
        <f t="shared" si="98"/>
        <v>0</v>
      </c>
      <c r="AB475" s="116">
        <f t="shared" si="99"/>
        <v>0</v>
      </c>
      <c r="AC475" s="116">
        <f t="shared" si="100"/>
        <v>0</v>
      </c>
      <c r="AD475" s="116">
        <f t="shared" si="101"/>
        <v>1185.55</v>
      </c>
      <c r="AE475" s="116">
        <f t="shared" si="102"/>
        <v>211.26</v>
      </c>
    </row>
    <row r="476" spans="1:31">
      <c r="A476" s="131">
        <v>42679</v>
      </c>
      <c r="B476" s="131">
        <v>42709</v>
      </c>
      <c r="C476" s="123">
        <f t="shared" si="93"/>
        <v>30</v>
      </c>
      <c r="D476" s="132">
        <v>1048.3700000000001</v>
      </c>
      <c r="E476" s="135"/>
      <c r="F476" s="135"/>
      <c r="G476" s="123"/>
      <c r="H476" s="123"/>
      <c r="I476" s="123"/>
      <c r="J476" s="123"/>
      <c r="K476" s="123"/>
      <c r="L476" s="123"/>
      <c r="M476" s="123"/>
      <c r="N476" s="123"/>
      <c r="O476" s="123"/>
      <c r="P476" s="123">
        <v>26</v>
      </c>
      <c r="Q476" s="123">
        <v>4</v>
      </c>
      <c r="R476" s="133">
        <f t="shared" si="92"/>
        <v>0</v>
      </c>
      <c r="S476" s="133"/>
      <c r="T476" s="116">
        <f t="shared" si="103"/>
        <v>0</v>
      </c>
      <c r="U476" s="116">
        <f t="shared" si="94"/>
        <v>0</v>
      </c>
      <c r="V476" s="116">
        <f t="shared" si="95"/>
        <v>0</v>
      </c>
      <c r="W476" s="116">
        <f t="shared" si="96"/>
        <v>0</v>
      </c>
      <c r="X476" s="116">
        <f t="shared" si="90"/>
        <v>0</v>
      </c>
      <c r="Y476" s="116">
        <f t="shared" si="91"/>
        <v>0</v>
      </c>
      <c r="Z476" s="116">
        <f t="shared" si="97"/>
        <v>0</v>
      </c>
      <c r="AA476" s="116">
        <f t="shared" si="98"/>
        <v>0</v>
      </c>
      <c r="AB476" s="116">
        <f t="shared" si="99"/>
        <v>0</v>
      </c>
      <c r="AC476" s="116">
        <f t="shared" si="100"/>
        <v>0</v>
      </c>
      <c r="AD476" s="116">
        <f t="shared" si="101"/>
        <v>7404.35</v>
      </c>
      <c r="AE476" s="116">
        <f t="shared" si="102"/>
        <v>1319.45</v>
      </c>
    </row>
    <row r="477" spans="1:31">
      <c r="A477" s="131">
        <v>42679</v>
      </c>
      <c r="B477" s="131">
        <v>42709</v>
      </c>
      <c r="C477" s="123">
        <f t="shared" si="93"/>
        <v>30</v>
      </c>
      <c r="D477" s="132">
        <v>777.93</v>
      </c>
      <c r="E477" s="135"/>
      <c r="F477" s="135"/>
      <c r="G477" s="123"/>
      <c r="H477" s="123"/>
      <c r="I477" s="123"/>
      <c r="J477" s="123"/>
      <c r="K477" s="123"/>
      <c r="L477" s="123"/>
      <c r="M477" s="123"/>
      <c r="N477" s="123"/>
      <c r="O477" s="123"/>
      <c r="P477" s="123">
        <v>26</v>
      </c>
      <c r="Q477" s="123">
        <v>4</v>
      </c>
      <c r="R477" s="133">
        <f t="shared" si="92"/>
        <v>0</v>
      </c>
      <c r="S477" s="133"/>
      <c r="T477" s="116">
        <f t="shared" si="103"/>
        <v>0</v>
      </c>
      <c r="U477" s="116">
        <f t="shared" si="94"/>
        <v>0</v>
      </c>
      <c r="V477" s="116">
        <f t="shared" si="95"/>
        <v>0</v>
      </c>
      <c r="W477" s="116">
        <f t="shared" si="96"/>
        <v>0</v>
      </c>
      <c r="X477" s="116">
        <f t="shared" si="90"/>
        <v>0</v>
      </c>
      <c r="Y477" s="116">
        <f t="shared" si="91"/>
        <v>0</v>
      </c>
      <c r="Z477" s="116">
        <f t="shared" si="97"/>
        <v>0</v>
      </c>
      <c r="AA477" s="116">
        <f t="shared" si="98"/>
        <v>0</v>
      </c>
      <c r="AB477" s="116">
        <f t="shared" si="99"/>
        <v>0</v>
      </c>
      <c r="AC477" s="116">
        <f t="shared" si="100"/>
        <v>0</v>
      </c>
      <c r="AD477" s="116">
        <f t="shared" si="101"/>
        <v>5494.3</v>
      </c>
      <c r="AE477" s="116">
        <f t="shared" si="102"/>
        <v>979.08</v>
      </c>
    </row>
    <row r="478" spans="1:31">
      <c r="A478" s="131">
        <v>42675</v>
      </c>
      <c r="B478" s="131">
        <v>42705</v>
      </c>
      <c r="C478" s="123">
        <f t="shared" si="93"/>
        <v>30</v>
      </c>
      <c r="D478" s="132">
        <v>3671.8</v>
      </c>
      <c r="E478" s="135"/>
      <c r="F478" s="135"/>
      <c r="G478" s="123"/>
      <c r="H478" s="123"/>
      <c r="I478" s="123"/>
      <c r="J478" s="123"/>
      <c r="K478" s="123"/>
      <c r="L478" s="123"/>
      <c r="M478" s="123"/>
      <c r="N478" s="123"/>
      <c r="O478" s="123"/>
      <c r="P478" s="123">
        <v>30</v>
      </c>
      <c r="Q478" s="123"/>
      <c r="R478" s="133">
        <f t="shared" si="92"/>
        <v>0</v>
      </c>
      <c r="S478" s="133"/>
      <c r="T478" s="116">
        <f t="shared" si="103"/>
        <v>0</v>
      </c>
      <c r="U478" s="116">
        <f t="shared" si="94"/>
        <v>0</v>
      </c>
      <c r="V478" s="116">
        <f t="shared" si="95"/>
        <v>0</v>
      </c>
      <c r="W478" s="116">
        <f t="shared" si="96"/>
        <v>0</v>
      </c>
      <c r="X478" s="116">
        <f t="shared" si="90"/>
        <v>0</v>
      </c>
      <c r="Y478" s="116">
        <f t="shared" si="91"/>
        <v>0</v>
      </c>
      <c r="Z478" s="116">
        <f t="shared" si="97"/>
        <v>0</v>
      </c>
      <c r="AA478" s="116">
        <f t="shared" si="98"/>
        <v>0</v>
      </c>
      <c r="AB478" s="116">
        <f t="shared" si="99"/>
        <v>0</v>
      </c>
      <c r="AC478" s="116">
        <f t="shared" si="100"/>
        <v>0</v>
      </c>
      <c r="AD478" s="116">
        <f t="shared" si="101"/>
        <v>29922.58</v>
      </c>
      <c r="AE478" s="116">
        <f t="shared" si="102"/>
        <v>0</v>
      </c>
    </row>
    <row r="479" spans="1:31">
      <c r="A479" s="131">
        <v>42682</v>
      </c>
      <c r="B479" s="131">
        <v>42712</v>
      </c>
      <c r="C479" s="123">
        <f t="shared" si="93"/>
        <v>30</v>
      </c>
      <c r="D479" s="132">
        <v>212.89</v>
      </c>
      <c r="E479" s="135"/>
      <c r="F479" s="135"/>
      <c r="G479" s="123"/>
      <c r="H479" s="123"/>
      <c r="I479" s="123"/>
      <c r="J479" s="123"/>
      <c r="K479" s="123"/>
      <c r="L479" s="123"/>
      <c r="M479" s="123"/>
      <c r="N479" s="123"/>
      <c r="O479" s="123"/>
      <c r="P479" s="123">
        <v>23</v>
      </c>
      <c r="Q479" s="123">
        <v>7</v>
      </c>
      <c r="R479" s="133">
        <f t="shared" si="92"/>
        <v>0</v>
      </c>
      <c r="S479" s="133"/>
      <c r="T479" s="116">
        <f t="shared" si="103"/>
        <v>0</v>
      </c>
      <c r="U479" s="116">
        <f t="shared" si="94"/>
        <v>0</v>
      </c>
      <c r="V479" s="116">
        <f t="shared" si="95"/>
        <v>0</v>
      </c>
      <c r="W479" s="116">
        <f t="shared" si="96"/>
        <v>0</v>
      </c>
      <c r="X479" s="116">
        <f t="shared" si="90"/>
        <v>0</v>
      </c>
      <c r="Y479" s="116">
        <f t="shared" si="91"/>
        <v>0</v>
      </c>
      <c r="Z479" s="116">
        <f t="shared" si="97"/>
        <v>0</v>
      </c>
      <c r="AA479" s="116">
        <f t="shared" si="98"/>
        <v>0</v>
      </c>
      <c r="AB479" s="116">
        <f t="shared" si="99"/>
        <v>0</v>
      </c>
      <c r="AC479" s="116">
        <f t="shared" si="100"/>
        <v>0</v>
      </c>
      <c r="AD479" s="116">
        <f t="shared" si="101"/>
        <v>1330.09</v>
      </c>
      <c r="AE479" s="116">
        <f t="shared" si="102"/>
        <v>468.89</v>
      </c>
    </row>
    <row r="480" spans="1:31">
      <c r="A480" s="131">
        <v>42682</v>
      </c>
      <c r="B480" s="131">
        <v>42712</v>
      </c>
      <c r="C480" s="123">
        <f t="shared" si="93"/>
        <v>30</v>
      </c>
      <c r="D480" s="132">
        <v>799.91</v>
      </c>
      <c r="E480" s="135"/>
      <c r="F480" s="135"/>
      <c r="G480" s="123"/>
      <c r="H480" s="123"/>
      <c r="I480" s="123"/>
      <c r="J480" s="123"/>
      <c r="K480" s="123"/>
      <c r="L480" s="123"/>
      <c r="M480" s="123"/>
      <c r="N480" s="123"/>
      <c r="O480" s="123"/>
      <c r="P480" s="123">
        <v>23</v>
      </c>
      <c r="Q480" s="123">
        <v>7</v>
      </c>
      <c r="R480" s="133">
        <f t="shared" si="92"/>
        <v>0</v>
      </c>
      <c r="S480" s="133"/>
      <c r="T480" s="116">
        <f t="shared" si="103"/>
        <v>0</v>
      </c>
      <c r="U480" s="116">
        <f t="shared" si="94"/>
        <v>0</v>
      </c>
      <c r="V480" s="116">
        <f t="shared" si="95"/>
        <v>0</v>
      </c>
      <c r="W480" s="116">
        <f t="shared" si="96"/>
        <v>0</v>
      </c>
      <c r="X480" s="116">
        <f t="shared" si="90"/>
        <v>0</v>
      </c>
      <c r="Y480" s="116">
        <f t="shared" si="91"/>
        <v>0</v>
      </c>
      <c r="Z480" s="116">
        <f t="shared" si="97"/>
        <v>0</v>
      </c>
      <c r="AA480" s="116">
        <f t="shared" si="98"/>
        <v>0</v>
      </c>
      <c r="AB480" s="116">
        <f t="shared" si="99"/>
        <v>0</v>
      </c>
      <c r="AC480" s="116">
        <f t="shared" si="100"/>
        <v>0</v>
      </c>
      <c r="AD480" s="116">
        <f t="shared" si="101"/>
        <v>4997.67</v>
      </c>
      <c r="AE480" s="116">
        <f t="shared" si="102"/>
        <v>1761.81</v>
      </c>
    </row>
    <row r="481" spans="1:31">
      <c r="A481" s="131">
        <v>42682</v>
      </c>
      <c r="B481" s="131">
        <v>42712</v>
      </c>
      <c r="C481" s="123">
        <f t="shared" si="93"/>
        <v>30</v>
      </c>
      <c r="D481" s="132">
        <v>257.92</v>
      </c>
      <c r="E481" s="135"/>
      <c r="F481" s="135"/>
      <c r="G481" s="123"/>
      <c r="H481" s="123"/>
      <c r="I481" s="123"/>
      <c r="J481" s="123"/>
      <c r="K481" s="123"/>
      <c r="L481" s="123"/>
      <c r="M481" s="123"/>
      <c r="N481" s="123"/>
      <c r="O481" s="123"/>
      <c r="P481" s="123">
        <v>23</v>
      </c>
      <c r="Q481" s="123">
        <v>7</v>
      </c>
      <c r="R481" s="133">
        <f t="shared" si="92"/>
        <v>0</v>
      </c>
      <c r="S481" s="133"/>
      <c r="T481" s="116">
        <f t="shared" si="103"/>
        <v>0</v>
      </c>
      <c r="U481" s="116">
        <f t="shared" si="94"/>
        <v>0</v>
      </c>
      <c r="V481" s="116">
        <f t="shared" si="95"/>
        <v>0</v>
      </c>
      <c r="W481" s="116">
        <f t="shared" si="96"/>
        <v>0</v>
      </c>
      <c r="X481" s="116">
        <f t="shared" si="90"/>
        <v>0</v>
      </c>
      <c r="Y481" s="116">
        <f t="shared" si="91"/>
        <v>0</v>
      </c>
      <c r="Z481" s="116">
        <f t="shared" si="97"/>
        <v>0</v>
      </c>
      <c r="AA481" s="116">
        <f t="shared" si="98"/>
        <v>0</v>
      </c>
      <c r="AB481" s="116">
        <f t="shared" si="99"/>
        <v>0</v>
      </c>
      <c r="AC481" s="116">
        <f t="shared" si="100"/>
        <v>0</v>
      </c>
      <c r="AD481" s="116">
        <f t="shared" si="101"/>
        <v>1611.43</v>
      </c>
      <c r="AE481" s="116">
        <f t="shared" si="102"/>
        <v>568.07000000000005</v>
      </c>
    </row>
    <row r="482" spans="1:31">
      <c r="A482" s="131">
        <v>42682</v>
      </c>
      <c r="B482" s="131">
        <v>42712</v>
      </c>
      <c r="C482" s="123">
        <f t="shared" si="93"/>
        <v>30</v>
      </c>
      <c r="D482" s="132">
        <v>599.56000000000006</v>
      </c>
      <c r="E482" s="135"/>
      <c r="F482" s="135"/>
      <c r="G482" s="123"/>
      <c r="H482" s="123"/>
      <c r="I482" s="123"/>
      <c r="J482" s="123"/>
      <c r="K482" s="123"/>
      <c r="L482" s="123"/>
      <c r="M482" s="123"/>
      <c r="N482" s="123"/>
      <c r="O482" s="123"/>
      <c r="P482" s="123">
        <v>23</v>
      </c>
      <c r="Q482" s="123">
        <v>7</v>
      </c>
      <c r="R482" s="133">
        <f t="shared" si="92"/>
        <v>0</v>
      </c>
      <c r="S482" s="133"/>
      <c r="T482" s="116">
        <f t="shared" si="103"/>
        <v>0</v>
      </c>
      <c r="U482" s="116">
        <f t="shared" si="94"/>
        <v>0</v>
      </c>
      <c r="V482" s="116">
        <f t="shared" si="95"/>
        <v>0</v>
      </c>
      <c r="W482" s="116">
        <f t="shared" si="96"/>
        <v>0</v>
      </c>
      <c r="X482" s="116">
        <f t="shared" ref="X482:X538" si="104">ROUND(($D482*$J482/$C482)/$C$10,2)</f>
        <v>0</v>
      </c>
      <c r="Y482" s="116">
        <f t="shared" ref="Y482:Y538" si="105">ROUND(($D482*$K482/$C482)/$C$11,2)</f>
        <v>0</v>
      </c>
      <c r="Z482" s="116">
        <f t="shared" si="97"/>
        <v>0</v>
      </c>
      <c r="AA482" s="116">
        <f t="shared" si="98"/>
        <v>0</v>
      </c>
      <c r="AB482" s="116">
        <f t="shared" si="99"/>
        <v>0</v>
      </c>
      <c r="AC482" s="116">
        <f t="shared" si="100"/>
        <v>0</v>
      </c>
      <c r="AD482" s="116">
        <f t="shared" si="101"/>
        <v>3745.93</v>
      </c>
      <c r="AE482" s="116">
        <f t="shared" si="102"/>
        <v>1320.53</v>
      </c>
    </row>
    <row r="483" spans="1:31" ht="15.75" thickBot="1">
      <c r="A483" s="131">
        <v>42686</v>
      </c>
      <c r="B483" s="131">
        <v>42716</v>
      </c>
      <c r="C483" s="123">
        <f t="shared" si="93"/>
        <v>30</v>
      </c>
      <c r="D483" s="132">
        <v>174.87</v>
      </c>
      <c r="E483" s="135"/>
      <c r="F483" s="135"/>
      <c r="G483" s="123"/>
      <c r="H483" s="123"/>
      <c r="I483" s="123"/>
      <c r="J483" s="123"/>
      <c r="K483" s="123"/>
      <c r="L483" s="123"/>
      <c r="M483" s="123"/>
      <c r="N483" s="123"/>
      <c r="O483" s="123"/>
      <c r="P483" s="123">
        <v>19</v>
      </c>
      <c r="Q483" s="123">
        <v>11</v>
      </c>
      <c r="R483" s="133">
        <f t="shared" ref="R483:R517" si="106">C483-SUM(F483:Q483)</f>
        <v>0</v>
      </c>
      <c r="S483" s="133"/>
      <c r="T483" s="116">
        <f t="shared" si="103"/>
        <v>0</v>
      </c>
      <c r="U483" s="116">
        <f t="shared" si="94"/>
        <v>0</v>
      </c>
      <c r="V483" s="116">
        <f t="shared" si="95"/>
        <v>0</v>
      </c>
      <c r="W483" s="116">
        <f t="shared" si="96"/>
        <v>0</v>
      </c>
      <c r="X483" s="116">
        <f t="shared" si="104"/>
        <v>0</v>
      </c>
      <c r="Y483" s="116">
        <f t="shared" si="105"/>
        <v>0</v>
      </c>
      <c r="Z483" s="116">
        <f t="shared" si="97"/>
        <v>0</v>
      </c>
      <c r="AA483" s="116">
        <f t="shared" si="98"/>
        <v>0</v>
      </c>
      <c r="AB483" s="116">
        <f t="shared" si="99"/>
        <v>0</v>
      </c>
      <c r="AC483" s="116">
        <f t="shared" si="100"/>
        <v>0</v>
      </c>
      <c r="AD483" s="116">
        <f t="shared" si="101"/>
        <v>902.54</v>
      </c>
      <c r="AE483" s="116">
        <f t="shared" si="102"/>
        <v>605.24</v>
      </c>
    </row>
    <row r="484" spans="1:31" ht="15.75" thickBot="1">
      <c r="A484" s="194">
        <v>2017</v>
      </c>
      <c r="B484" s="195"/>
      <c r="C484" s="195"/>
      <c r="D484" s="195"/>
      <c r="E484" s="195"/>
      <c r="F484" s="195"/>
      <c r="G484" s="195"/>
      <c r="H484" s="195"/>
      <c r="I484" s="195"/>
      <c r="J484" s="195"/>
      <c r="K484" s="195"/>
      <c r="L484" s="195"/>
      <c r="M484" s="195"/>
      <c r="N484" s="195"/>
      <c r="O484" s="195"/>
      <c r="P484" s="195"/>
      <c r="Q484" s="195"/>
      <c r="R484" s="195"/>
      <c r="S484" s="195"/>
      <c r="T484" s="195"/>
      <c r="U484" s="195"/>
      <c r="V484" s="195"/>
      <c r="W484" s="195"/>
      <c r="X484" s="195"/>
      <c r="Y484" s="195"/>
      <c r="Z484" s="195"/>
      <c r="AA484" s="195"/>
      <c r="AB484" s="195"/>
      <c r="AC484" s="195"/>
      <c r="AD484" s="195"/>
      <c r="AE484" s="196"/>
    </row>
    <row r="485" spans="1:31">
      <c r="A485" s="131">
        <v>42686</v>
      </c>
      <c r="B485" s="131">
        <v>42716</v>
      </c>
      <c r="C485" s="123">
        <f t="shared" si="93"/>
        <v>30</v>
      </c>
      <c r="D485" s="132">
        <v>1257.3700000000001</v>
      </c>
      <c r="E485" s="135"/>
      <c r="F485" s="135"/>
      <c r="G485" s="123"/>
      <c r="H485" s="123"/>
      <c r="I485" s="123"/>
      <c r="J485" s="123"/>
      <c r="K485" s="123"/>
      <c r="L485" s="123"/>
      <c r="M485" s="123"/>
      <c r="N485" s="123"/>
      <c r="O485" s="123"/>
      <c r="P485" s="123">
        <v>19</v>
      </c>
      <c r="Q485" s="123">
        <v>11</v>
      </c>
      <c r="R485" s="133">
        <f t="shared" si="106"/>
        <v>0</v>
      </c>
      <c r="S485" s="133"/>
      <c r="T485" s="116">
        <f t="shared" ref="T485:T524" si="107">ROUND((D485*F485/C485)/$C$6,2)</f>
        <v>0</v>
      </c>
      <c r="U485" s="116">
        <f t="shared" si="94"/>
        <v>0</v>
      </c>
      <c r="V485" s="116">
        <f t="shared" si="95"/>
        <v>0</v>
      </c>
      <c r="W485" s="116">
        <f t="shared" si="96"/>
        <v>0</v>
      </c>
      <c r="X485" s="116">
        <f t="shared" si="104"/>
        <v>0</v>
      </c>
      <c r="Y485" s="116">
        <f t="shared" si="105"/>
        <v>0</v>
      </c>
      <c r="Z485" s="116">
        <f t="shared" si="97"/>
        <v>0</v>
      </c>
      <c r="AA485" s="116">
        <f t="shared" si="98"/>
        <v>0</v>
      </c>
      <c r="AB485" s="116">
        <f t="shared" si="99"/>
        <v>0</v>
      </c>
      <c r="AC485" s="116">
        <f t="shared" si="100"/>
        <v>0</v>
      </c>
      <c r="AD485" s="116">
        <f t="shared" si="101"/>
        <v>6489.56</v>
      </c>
      <c r="AE485" s="116">
        <f t="shared" si="102"/>
        <v>4351.8599999999997</v>
      </c>
    </row>
    <row r="486" spans="1:31">
      <c r="A486" s="131">
        <v>42686</v>
      </c>
      <c r="B486" s="131">
        <v>42716</v>
      </c>
      <c r="C486" s="123">
        <f t="shared" si="93"/>
        <v>30</v>
      </c>
      <c r="D486" s="132">
        <v>1123.03</v>
      </c>
      <c r="E486" s="135"/>
      <c r="F486" s="135"/>
      <c r="G486" s="123"/>
      <c r="H486" s="123"/>
      <c r="I486" s="123"/>
      <c r="J486" s="123"/>
      <c r="K486" s="123"/>
      <c r="L486" s="123"/>
      <c r="M486" s="123"/>
      <c r="N486" s="123"/>
      <c r="O486" s="123"/>
      <c r="P486" s="123">
        <v>19</v>
      </c>
      <c r="Q486" s="123">
        <v>11</v>
      </c>
      <c r="R486" s="133">
        <f t="shared" si="106"/>
        <v>0</v>
      </c>
      <c r="S486" s="133"/>
      <c r="T486" s="116">
        <f t="shared" si="107"/>
        <v>0</v>
      </c>
      <c r="U486" s="116">
        <f t="shared" si="94"/>
        <v>0</v>
      </c>
      <c r="V486" s="116">
        <f t="shared" si="95"/>
        <v>0</v>
      </c>
      <c r="W486" s="116">
        <f t="shared" si="96"/>
        <v>0</v>
      </c>
      <c r="X486" s="116">
        <f t="shared" si="104"/>
        <v>0</v>
      </c>
      <c r="Y486" s="116">
        <f t="shared" si="105"/>
        <v>0</v>
      </c>
      <c r="Z486" s="116">
        <f t="shared" si="97"/>
        <v>0</v>
      </c>
      <c r="AA486" s="116">
        <f t="shared" si="98"/>
        <v>0</v>
      </c>
      <c r="AB486" s="116">
        <f t="shared" si="99"/>
        <v>0</v>
      </c>
      <c r="AC486" s="116">
        <f t="shared" si="100"/>
        <v>0</v>
      </c>
      <c r="AD486" s="116">
        <f t="shared" si="101"/>
        <v>5796.21</v>
      </c>
      <c r="AE486" s="116">
        <f t="shared" si="102"/>
        <v>3886.9</v>
      </c>
    </row>
    <row r="487" spans="1:31">
      <c r="A487" s="131">
        <v>42693</v>
      </c>
      <c r="B487" s="131">
        <v>42723</v>
      </c>
      <c r="C487" s="123">
        <f t="shared" si="93"/>
        <v>30</v>
      </c>
      <c r="D487" s="132">
        <v>679.01</v>
      </c>
      <c r="E487" s="135"/>
      <c r="F487" s="135"/>
      <c r="G487" s="123"/>
      <c r="H487" s="123"/>
      <c r="I487" s="123"/>
      <c r="J487" s="123"/>
      <c r="K487" s="123"/>
      <c r="L487" s="123"/>
      <c r="M487" s="123"/>
      <c r="N487" s="123"/>
      <c r="O487" s="123"/>
      <c r="P487" s="123">
        <v>12</v>
      </c>
      <c r="Q487" s="123">
        <v>18</v>
      </c>
      <c r="R487" s="133">
        <f t="shared" si="106"/>
        <v>0</v>
      </c>
      <c r="S487" s="133"/>
      <c r="T487" s="116">
        <f t="shared" si="107"/>
        <v>0</v>
      </c>
      <c r="U487" s="116">
        <f t="shared" si="94"/>
        <v>0</v>
      </c>
      <c r="V487" s="116">
        <f t="shared" si="95"/>
        <v>0</v>
      </c>
      <c r="W487" s="116">
        <f t="shared" si="96"/>
        <v>0</v>
      </c>
      <c r="X487" s="116">
        <f t="shared" si="104"/>
        <v>0</v>
      </c>
      <c r="Y487" s="116">
        <f t="shared" si="105"/>
        <v>0</v>
      </c>
      <c r="Z487" s="116">
        <f t="shared" si="97"/>
        <v>0</v>
      </c>
      <c r="AA487" s="116">
        <f t="shared" si="98"/>
        <v>0</v>
      </c>
      <c r="AB487" s="116">
        <f t="shared" si="99"/>
        <v>0</v>
      </c>
      <c r="AC487" s="116">
        <f t="shared" si="100"/>
        <v>0</v>
      </c>
      <c r="AD487" s="116">
        <f t="shared" si="101"/>
        <v>2213.38</v>
      </c>
      <c r="AE487" s="116">
        <f t="shared" si="102"/>
        <v>3845.63</v>
      </c>
    </row>
    <row r="488" spans="1:31">
      <c r="A488" s="131">
        <v>42693</v>
      </c>
      <c r="B488" s="131">
        <v>42723</v>
      </c>
      <c r="C488" s="123">
        <f t="shared" si="93"/>
        <v>30</v>
      </c>
      <c r="D488" s="132">
        <v>2002.1</v>
      </c>
      <c r="E488" s="135"/>
      <c r="F488" s="135"/>
      <c r="G488" s="123"/>
      <c r="H488" s="123"/>
      <c r="I488" s="123"/>
      <c r="J488" s="123"/>
      <c r="K488" s="123"/>
      <c r="L488" s="123"/>
      <c r="M488" s="123"/>
      <c r="N488" s="123"/>
      <c r="O488" s="123"/>
      <c r="P488" s="123">
        <v>12</v>
      </c>
      <c r="Q488" s="123">
        <v>18</v>
      </c>
      <c r="R488" s="133">
        <f t="shared" si="106"/>
        <v>0</v>
      </c>
      <c r="S488" s="133"/>
      <c r="T488" s="116">
        <f t="shared" si="107"/>
        <v>0</v>
      </c>
      <c r="U488" s="116">
        <f t="shared" si="94"/>
        <v>0</v>
      </c>
      <c r="V488" s="116">
        <f t="shared" si="95"/>
        <v>0</v>
      </c>
      <c r="W488" s="116">
        <f t="shared" si="96"/>
        <v>0</v>
      </c>
      <c r="X488" s="116">
        <f t="shared" si="104"/>
        <v>0</v>
      </c>
      <c r="Y488" s="116">
        <f t="shared" si="105"/>
        <v>0</v>
      </c>
      <c r="Z488" s="116">
        <f t="shared" si="97"/>
        <v>0</v>
      </c>
      <c r="AA488" s="116">
        <f t="shared" si="98"/>
        <v>0</v>
      </c>
      <c r="AB488" s="116">
        <f t="shared" si="99"/>
        <v>0</v>
      </c>
      <c r="AC488" s="116">
        <f t="shared" si="100"/>
        <v>0</v>
      </c>
      <c r="AD488" s="116">
        <f t="shared" si="101"/>
        <v>6526.28</v>
      </c>
      <c r="AE488" s="116">
        <f t="shared" si="102"/>
        <v>11339.06</v>
      </c>
    </row>
    <row r="489" spans="1:31">
      <c r="A489" s="131">
        <v>42693</v>
      </c>
      <c r="B489" s="131">
        <v>42723</v>
      </c>
      <c r="C489" s="123">
        <f t="shared" si="93"/>
        <v>30</v>
      </c>
      <c r="D489" s="132">
        <v>809.46</v>
      </c>
      <c r="E489" s="135"/>
      <c r="F489" s="135"/>
      <c r="G489" s="123"/>
      <c r="H489" s="123"/>
      <c r="I489" s="123"/>
      <c r="J489" s="123"/>
      <c r="K489" s="123"/>
      <c r="L489" s="123"/>
      <c r="M489" s="123"/>
      <c r="N489" s="123"/>
      <c r="O489" s="123"/>
      <c r="P489" s="123">
        <v>12</v>
      </c>
      <c r="Q489" s="123">
        <v>18</v>
      </c>
      <c r="R489" s="133">
        <f t="shared" si="106"/>
        <v>0</v>
      </c>
      <c r="S489" s="133"/>
      <c r="T489" s="116">
        <f t="shared" si="107"/>
        <v>0</v>
      </c>
      <c r="U489" s="116">
        <f t="shared" si="94"/>
        <v>0</v>
      </c>
      <c r="V489" s="116">
        <f t="shared" si="95"/>
        <v>0</v>
      </c>
      <c r="W489" s="116">
        <f t="shared" si="96"/>
        <v>0</v>
      </c>
      <c r="X489" s="116">
        <f t="shared" si="104"/>
        <v>0</v>
      </c>
      <c r="Y489" s="116">
        <f t="shared" si="105"/>
        <v>0</v>
      </c>
      <c r="Z489" s="116">
        <f t="shared" si="97"/>
        <v>0</v>
      </c>
      <c r="AA489" s="116">
        <f t="shared" si="98"/>
        <v>0</v>
      </c>
      <c r="AB489" s="116">
        <f t="shared" si="99"/>
        <v>0</v>
      </c>
      <c r="AC489" s="116">
        <f t="shared" si="100"/>
        <v>0</v>
      </c>
      <c r="AD489" s="116">
        <f t="shared" si="101"/>
        <v>2638.61</v>
      </c>
      <c r="AE489" s="116">
        <f t="shared" si="102"/>
        <v>4584.4399999999996</v>
      </c>
    </row>
    <row r="490" spans="1:31">
      <c r="A490" s="131">
        <v>42700</v>
      </c>
      <c r="B490" s="131">
        <v>42724</v>
      </c>
      <c r="C490" s="123">
        <f t="shared" si="93"/>
        <v>24</v>
      </c>
      <c r="D490" s="132">
        <v>47.69</v>
      </c>
      <c r="E490" s="135"/>
      <c r="F490" s="135"/>
      <c r="G490" s="123"/>
      <c r="H490" s="123"/>
      <c r="I490" s="123"/>
      <c r="J490" s="123"/>
      <c r="K490" s="123"/>
      <c r="L490" s="123"/>
      <c r="M490" s="123"/>
      <c r="N490" s="123"/>
      <c r="O490" s="123"/>
      <c r="P490" s="123">
        <v>5</v>
      </c>
      <c r="Q490" s="123">
        <v>19</v>
      </c>
      <c r="R490" s="133">
        <f t="shared" si="106"/>
        <v>0</v>
      </c>
      <c r="S490" s="133"/>
      <c r="T490" s="116">
        <f t="shared" si="107"/>
        <v>0</v>
      </c>
      <c r="U490" s="116">
        <f t="shared" si="94"/>
        <v>0</v>
      </c>
      <c r="V490" s="116">
        <f t="shared" si="95"/>
        <v>0</v>
      </c>
      <c r="W490" s="116">
        <f t="shared" si="96"/>
        <v>0</v>
      </c>
      <c r="X490" s="116">
        <f t="shared" si="104"/>
        <v>0</v>
      </c>
      <c r="Y490" s="116">
        <f t="shared" si="105"/>
        <v>0</v>
      </c>
      <c r="Z490" s="116">
        <f t="shared" si="97"/>
        <v>0</v>
      </c>
      <c r="AA490" s="116">
        <f t="shared" si="98"/>
        <v>0</v>
      </c>
      <c r="AB490" s="116">
        <f t="shared" si="99"/>
        <v>0</v>
      </c>
      <c r="AC490" s="116">
        <f t="shared" si="100"/>
        <v>0</v>
      </c>
      <c r="AD490" s="116">
        <f t="shared" si="101"/>
        <v>80.97</v>
      </c>
      <c r="AE490" s="116">
        <f t="shared" si="102"/>
        <v>356.38</v>
      </c>
    </row>
    <row r="491" spans="1:31">
      <c r="A491" s="131">
        <v>42700</v>
      </c>
      <c r="B491" s="131">
        <v>42730</v>
      </c>
      <c r="C491" s="123">
        <f t="shared" si="93"/>
        <v>30</v>
      </c>
      <c r="D491" s="132">
        <v>1852.74</v>
      </c>
      <c r="E491" s="135"/>
      <c r="F491" s="135"/>
      <c r="G491" s="123"/>
      <c r="H491" s="123"/>
      <c r="I491" s="123"/>
      <c r="J491" s="123"/>
      <c r="K491" s="123"/>
      <c r="L491" s="123"/>
      <c r="M491" s="123"/>
      <c r="N491" s="123"/>
      <c r="O491" s="123"/>
      <c r="P491" s="123">
        <v>5</v>
      </c>
      <c r="Q491" s="123">
        <v>25</v>
      </c>
      <c r="R491" s="133">
        <f t="shared" si="106"/>
        <v>0</v>
      </c>
      <c r="S491" s="133"/>
      <c r="T491" s="116">
        <f t="shared" si="107"/>
        <v>0</v>
      </c>
      <c r="U491" s="116">
        <f t="shared" si="94"/>
        <v>0</v>
      </c>
      <c r="V491" s="116">
        <f t="shared" si="95"/>
        <v>0</v>
      </c>
      <c r="W491" s="116">
        <f t="shared" si="96"/>
        <v>0</v>
      </c>
      <c r="X491" s="116">
        <f t="shared" si="104"/>
        <v>0</v>
      </c>
      <c r="Y491" s="116">
        <f t="shared" si="105"/>
        <v>0</v>
      </c>
      <c r="Z491" s="116">
        <f t="shared" si="97"/>
        <v>0</v>
      </c>
      <c r="AA491" s="116">
        <f t="shared" si="98"/>
        <v>0</v>
      </c>
      <c r="AB491" s="116">
        <f t="shared" si="99"/>
        <v>0</v>
      </c>
      <c r="AC491" s="116">
        <f t="shared" si="100"/>
        <v>0</v>
      </c>
      <c r="AD491" s="116">
        <f t="shared" si="101"/>
        <v>2516.42</v>
      </c>
      <c r="AE491" s="116">
        <f t="shared" si="102"/>
        <v>14573.82</v>
      </c>
    </row>
    <row r="492" spans="1:31">
      <c r="A492" s="131">
        <v>42689</v>
      </c>
      <c r="B492" s="131">
        <v>42719</v>
      </c>
      <c r="C492" s="123">
        <f t="shared" si="93"/>
        <v>30</v>
      </c>
      <c r="D492" s="132">
        <v>2989.3</v>
      </c>
      <c r="E492" s="135"/>
      <c r="F492" s="135"/>
      <c r="G492" s="123"/>
      <c r="H492" s="123"/>
      <c r="I492" s="123"/>
      <c r="J492" s="123"/>
      <c r="K492" s="123"/>
      <c r="L492" s="123"/>
      <c r="M492" s="123"/>
      <c r="N492" s="123"/>
      <c r="O492" s="123"/>
      <c r="P492" s="123">
        <v>16</v>
      </c>
      <c r="Q492" s="123">
        <v>14</v>
      </c>
      <c r="R492" s="133">
        <f t="shared" si="106"/>
        <v>0</v>
      </c>
      <c r="S492" s="133"/>
      <c r="T492" s="116">
        <f t="shared" si="107"/>
        <v>0</v>
      </c>
      <c r="U492" s="116">
        <f t="shared" si="94"/>
        <v>0</v>
      </c>
      <c r="V492" s="116">
        <f t="shared" si="95"/>
        <v>0</v>
      </c>
      <c r="W492" s="116">
        <f t="shared" si="96"/>
        <v>0</v>
      </c>
      <c r="X492" s="116">
        <f t="shared" si="104"/>
        <v>0</v>
      </c>
      <c r="Y492" s="116">
        <f t="shared" si="105"/>
        <v>0</v>
      </c>
      <c r="Z492" s="116">
        <f t="shared" si="97"/>
        <v>0</v>
      </c>
      <c r="AA492" s="116">
        <f t="shared" si="98"/>
        <v>0</v>
      </c>
      <c r="AB492" s="116">
        <f t="shared" si="99"/>
        <v>0</v>
      </c>
      <c r="AC492" s="116">
        <f t="shared" si="100"/>
        <v>0</v>
      </c>
      <c r="AD492" s="116">
        <f t="shared" si="101"/>
        <v>12992.37</v>
      </c>
      <c r="AE492" s="116">
        <f t="shared" si="102"/>
        <v>13167.89</v>
      </c>
    </row>
    <row r="493" spans="1:31">
      <c r="A493" s="131">
        <v>42689</v>
      </c>
      <c r="B493" s="131">
        <v>42719</v>
      </c>
      <c r="C493" s="123">
        <f t="shared" si="93"/>
        <v>30</v>
      </c>
      <c r="D493" s="132">
        <v>50334.98</v>
      </c>
      <c r="E493" s="135"/>
      <c r="F493" s="135"/>
      <c r="G493" s="123"/>
      <c r="H493" s="123"/>
      <c r="I493" s="123"/>
      <c r="J493" s="123"/>
      <c r="K493" s="123"/>
      <c r="L493" s="123"/>
      <c r="M493" s="123"/>
      <c r="N493" s="123"/>
      <c r="O493" s="123"/>
      <c r="P493" s="123">
        <v>16</v>
      </c>
      <c r="Q493" s="123">
        <v>14</v>
      </c>
      <c r="R493" s="133">
        <f t="shared" si="106"/>
        <v>0</v>
      </c>
      <c r="S493" s="133"/>
      <c r="T493" s="116">
        <f t="shared" si="107"/>
        <v>0</v>
      </c>
      <c r="U493" s="116">
        <f t="shared" si="94"/>
        <v>0</v>
      </c>
      <c r="V493" s="116">
        <f t="shared" si="95"/>
        <v>0</v>
      </c>
      <c r="W493" s="116">
        <f t="shared" si="96"/>
        <v>0</v>
      </c>
      <c r="X493" s="116">
        <f t="shared" si="104"/>
        <v>0</v>
      </c>
      <c r="Y493" s="116">
        <f t="shared" si="105"/>
        <v>0</v>
      </c>
      <c r="Z493" s="116">
        <f t="shared" si="97"/>
        <v>0</v>
      </c>
      <c r="AA493" s="116">
        <f t="shared" si="98"/>
        <v>0</v>
      </c>
      <c r="AB493" s="116">
        <f t="shared" si="99"/>
        <v>0</v>
      </c>
      <c r="AC493" s="116">
        <f t="shared" si="100"/>
        <v>0</v>
      </c>
      <c r="AD493" s="116">
        <f t="shared" si="101"/>
        <v>218770.46</v>
      </c>
      <c r="AE493" s="116">
        <f t="shared" si="102"/>
        <v>221726.05</v>
      </c>
    </row>
    <row r="494" spans="1:31">
      <c r="A494" s="131">
        <v>42689</v>
      </c>
      <c r="B494" s="131">
        <v>42719</v>
      </c>
      <c r="C494" s="123">
        <f t="shared" si="93"/>
        <v>30</v>
      </c>
      <c r="D494" s="132">
        <v>9611.2000000000007</v>
      </c>
      <c r="E494" s="135"/>
      <c r="F494" s="135"/>
      <c r="G494" s="123"/>
      <c r="H494" s="123"/>
      <c r="I494" s="123"/>
      <c r="J494" s="123"/>
      <c r="K494" s="123"/>
      <c r="L494" s="123"/>
      <c r="M494" s="123"/>
      <c r="N494" s="123"/>
      <c r="O494" s="123"/>
      <c r="P494" s="123">
        <v>16</v>
      </c>
      <c r="Q494" s="123">
        <v>14</v>
      </c>
      <c r="R494" s="133">
        <f t="shared" si="106"/>
        <v>0</v>
      </c>
      <c r="S494" s="133"/>
      <c r="T494" s="116">
        <f t="shared" si="107"/>
        <v>0</v>
      </c>
      <c r="U494" s="116">
        <f t="shared" si="94"/>
        <v>0</v>
      </c>
      <c r="V494" s="116">
        <f t="shared" si="95"/>
        <v>0</v>
      </c>
      <c r="W494" s="116">
        <f t="shared" si="96"/>
        <v>0</v>
      </c>
      <c r="X494" s="116">
        <f t="shared" si="104"/>
        <v>0</v>
      </c>
      <c r="Y494" s="116">
        <f t="shared" si="105"/>
        <v>0</v>
      </c>
      <c r="Z494" s="116">
        <f t="shared" si="97"/>
        <v>0</v>
      </c>
      <c r="AA494" s="116">
        <f t="shared" si="98"/>
        <v>0</v>
      </c>
      <c r="AB494" s="116">
        <f t="shared" si="99"/>
        <v>0</v>
      </c>
      <c r="AC494" s="116">
        <f t="shared" si="100"/>
        <v>0</v>
      </c>
      <c r="AD494" s="116">
        <f t="shared" si="101"/>
        <v>41773.07</v>
      </c>
      <c r="AE494" s="116">
        <f t="shared" si="102"/>
        <v>42337.42</v>
      </c>
    </row>
    <row r="495" spans="1:31">
      <c r="A495" s="131">
        <v>42696</v>
      </c>
      <c r="B495" s="131">
        <v>42726</v>
      </c>
      <c r="C495" s="123">
        <f t="shared" si="93"/>
        <v>30</v>
      </c>
      <c r="D495" s="132">
        <v>305079.23</v>
      </c>
      <c r="E495" s="135"/>
      <c r="F495" s="135"/>
      <c r="G495" s="123"/>
      <c r="H495" s="123"/>
      <c r="I495" s="123"/>
      <c r="J495" s="123"/>
      <c r="K495" s="123"/>
      <c r="L495" s="123"/>
      <c r="M495" s="123"/>
      <c r="N495" s="123"/>
      <c r="O495" s="123"/>
      <c r="P495" s="123">
        <v>9</v>
      </c>
      <c r="Q495" s="123">
        <v>21</v>
      </c>
      <c r="R495" s="133">
        <f t="shared" si="106"/>
        <v>0</v>
      </c>
      <c r="S495" s="133"/>
      <c r="T495" s="116">
        <f t="shared" si="107"/>
        <v>0</v>
      </c>
      <c r="U495" s="116">
        <f t="shared" si="94"/>
        <v>0</v>
      </c>
      <c r="V495" s="116">
        <f t="shared" si="95"/>
        <v>0</v>
      </c>
      <c r="W495" s="116">
        <f t="shared" si="96"/>
        <v>0</v>
      </c>
      <c r="X495" s="116">
        <f t="shared" si="104"/>
        <v>0</v>
      </c>
      <c r="Y495" s="116">
        <f t="shared" si="105"/>
        <v>0</v>
      </c>
      <c r="Z495" s="116">
        <f t="shared" si="97"/>
        <v>0</v>
      </c>
      <c r="AA495" s="116">
        <f t="shared" si="98"/>
        <v>0</v>
      </c>
      <c r="AB495" s="116">
        <f t="shared" si="99"/>
        <v>0</v>
      </c>
      <c r="AC495" s="116">
        <f t="shared" si="100"/>
        <v>0</v>
      </c>
      <c r="AD495" s="116">
        <f>2757039-AE495</f>
        <v>775106</v>
      </c>
      <c r="AE495" s="116">
        <v>1981933</v>
      </c>
    </row>
    <row r="496" spans="1:31">
      <c r="A496" s="131">
        <v>42700</v>
      </c>
      <c r="B496" s="131">
        <v>42730</v>
      </c>
      <c r="C496" s="123">
        <f t="shared" si="93"/>
        <v>30</v>
      </c>
      <c r="D496" s="132">
        <v>1698.5</v>
      </c>
      <c r="E496" s="135"/>
      <c r="F496" s="135"/>
      <c r="G496" s="123"/>
      <c r="H496" s="123"/>
      <c r="I496" s="123"/>
      <c r="J496" s="123"/>
      <c r="K496" s="123"/>
      <c r="L496" s="123"/>
      <c r="M496" s="123"/>
      <c r="N496" s="123"/>
      <c r="O496" s="123"/>
      <c r="P496" s="123">
        <v>5</v>
      </c>
      <c r="Q496" s="123">
        <v>25</v>
      </c>
      <c r="R496" s="133">
        <f t="shared" si="106"/>
        <v>0</v>
      </c>
      <c r="S496" s="133"/>
      <c r="T496" s="116">
        <f t="shared" si="107"/>
        <v>0</v>
      </c>
      <c r="U496" s="116">
        <f t="shared" si="94"/>
        <v>0</v>
      </c>
      <c r="V496" s="116">
        <f t="shared" si="95"/>
        <v>0</v>
      </c>
      <c r="W496" s="116">
        <f t="shared" si="96"/>
        <v>0</v>
      </c>
      <c r="X496" s="116">
        <f t="shared" si="104"/>
        <v>0</v>
      </c>
      <c r="Y496" s="116">
        <f t="shared" si="105"/>
        <v>0</v>
      </c>
      <c r="Z496" s="116">
        <f t="shared" si="97"/>
        <v>0</v>
      </c>
      <c r="AA496" s="116">
        <f t="shared" si="98"/>
        <v>0</v>
      </c>
      <c r="AB496" s="116">
        <f t="shared" si="99"/>
        <v>0</v>
      </c>
      <c r="AC496" s="116">
        <f t="shared" si="100"/>
        <v>0</v>
      </c>
      <c r="AD496" s="116">
        <f t="shared" si="101"/>
        <v>2306.9299999999998</v>
      </c>
      <c r="AE496" s="116">
        <f t="shared" si="102"/>
        <v>13360.55</v>
      </c>
    </row>
    <row r="497" spans="1:31">
      <c r="A497" s="131">
        <v>42702</v>
      </c>
      <c r="B497" s="131">
        <v>42732</v>
      </c>
      <c r="C497" s="123">
        <f t="shared" si="93"/>
        <v>30</v>
      </c>
      <c r="D497" s="132">
        <v>368.68</v>
      </c>
      <c r="E497" s="135"/>
      <c r="F497" s="135"/>
      <c r="G497" s="123"/>
      <c r="H497" s="123"/>
      <c r="I497" s="123"/>
      <c r="J497" s="123"/>
      <c r="K497" s="123"/>
      <c r="L497" s="123"/>
      <c r="M497" s="123"/>
      <c r="N497" s="123"/>
      <c r="O497" s="123"/>
      <c r="P497" s="123">
        <v>3</v>
      </c>
      <c r="Q497" s="123">
        <v>27</v>
      </c>
      <c r="R497" s="133">
        <f t="shared" si="106"/>
        <v>0</v>
      </c>
      <c r="S497" s="133"/>
      <c r="T497" s="116">
        <f t="shared" si="107"/>
        <v>0</v>
      </c>
      <c r="U497" s="116">
        <f t="shared" si="94"/>
        <v>0</v>
      </c>
      <c r="V497" s="116">
        <f t="shared" si="95"/>
        <v>0</v>
      </c>
      <c r="W497" s="116">
        <f t="shared" si="96"/>
        <v>0</v>
      </c>
      <c r="X497" s="116">
        <f t="shared" si="104"/>
        <v>0</v>
      </c>
      <c r="Y497" s="116">
        <f t="shared" si="105"/>
        <v>0</v>
      </c>
      <c r="Z497" s="116">
        <f t="shared" si="97"/>
        <v>0</v>
      </c>
      <c r="AA497" s="116">
        <f t="shared" si="98"/>
        <v>0</v>
      </c>
      <c r="AB497" s="116">
        <f t="shared" si="99"/>
        <v>0</v>
      </c>
      <c r="AC497" s="116">
        <f t="shared" si="100"/>
        <v>0</v>
      </c>
      <c r="AD497" s="116">
        <f t="shared" si="101"/>
        <v>300.45</v>
      </c>
      <c r="AE497" s="116">
        <f t="shared" si="102"/>
        <v>3132.07</v>
      </c>
    </row>
    <row r="498" spans="1:31">
      <c r="A498" s="131">
        <v>42702</v>
      </c>
      <c r="B498" s="131">
        <v>42732</v>
      </c>
      <c r="C498" s="123">
        <f t="shared" si="93"/>
        <v>30</v>
      </c>
      <c r="D498" s="132">
        <v>1734.65</v>
      </c>
      <c r="E498" s="135"/>
      <c r="F498" s="135"/>
      <c r="G498" s="123"/>
      <c r="H498" s="123"/>
      <c r="I498" s="123"/>
      <c r="J498" s="123"/>
      <c r="K498" s="123"/>
      <c r="L498" s="123"/>
      <c r="M498" s="123"/>
      <c r="N498" s="123"/>
      <c r="O498" s="123"/>
      <c r="P498" s="123">
        <v>3</v>
      </c>
      <c r="Q498" s="123">
        <v>27</v>
      </c>
      <c r="R498" s="133">
        <f t="shared" si="106"/>
        <v>0</v>
      </c>
      <c r="S498" s="133"/>
      <c r="T498" s="116">
        <f t="shared" si="107"/>
        <v>0</v>
      </c>
      <c r="U498" s="116">
        <f t="shared" si="94"/>
        <v>0</v>
      </c>
      <c r="V498" s="116">
        <f t="shared" si="95"/>
        <v>0</v>
      </c>
      <c r="W498" s="116">
        <f t="shared" si="96"/>
        <v>0</v>
      </c>
      <c r="X498" s="116">
        <f t="shared" si="104"/>
        <v>0</v>
      </c>
      <c r="Y498" s="116">
        <f t="shared" si="105"/>
        <v>0</v>
      </c>
      <c r="Z498" s="116">
        <f t="shared" si="97"/>
        <v>0</v>
      </c>
      <c r="AA498" s="116">
        <f t="shared" si="98"/>
        <v>0</v>
      </c>
      <c r="AB498" s="116">
        <f t="shared" si="99"/>
        <v>0</v>
      </c>
      <c r="AC498" s="116">
        <f t="shared" si="100"/>
        <v>0</v>
      </c>
      <c r="AD498" s="116">
        <f t="shared" si="101"/>
        <v>1413.62</v>
      </c>
      <c r="AE498" s="116">
        <f t="shared" si="102"/>
        <v>14736.5</v>
      </c>
    </row>
    <row r="499" spans="1:31">
      <c r="A499" s="131">
        <v>42696</v>
      </c>
      <c r="B499" s="131">
        <v>42726</v>
      </c>
      <c r="C499" s="123">
        <f t="shared" si="93"/>
        <v>30</v>
      </c>
      <c r="D499" s="132">
        <v>1790.64</v>
      </c>
      <c r="E499" s="135"/>
      <c r="F499" s="135"/>
      <c r="G499" s="123"/>
      <c r="H499" s="123"/>
      <c r="I499" s="123"/>
      <c r="J499" s="123"/>
      <c r="K499" s="123"/>
      <c r="L499" s="123"/>
      <c r="M499" s="123"/>
      <c r="N499" s="123"/>
      <c r="O499" s="123"/>
      <c r="P499" s="123">
        <v>9</v>
      </c>
      <c r="Q499" s="123">
        <v>21</v>
      </c>
      <c r="R499" s="133">
        <f t="shared" si="106"/>
        <v>0</v>
      </c>
      <c r="S499" s="133"/>
      <c r="T499" s="116">
        <f t="shared" si="107"/>
        <v>0</v>
      </c>
      <c r="U499" s="116">
        <f t="shared" si="94"/>
        <v>0</v>
      </c>
      <c r="V499" s="116">
        <f t="shared" si="95"/>
        <v>0</v>
      </c>
      <c r="W499" s="116">
        <f t="shared" si="96"/>
        <v>0</v>
      </c>
      <c r="X499" s="116">
        <f t="shared" si="104"/>
        <v>0</v>
      </c>
      <c r="Y499" s="116">
        <f t="shared" si="105"/>
        <v>0</v>
      </c>
      <c r="Z499" s="116">
        <f t="shared" si="97"/>
        <v>0</v>
      </c>
      <c r="AA499" s="116">
        <f t="shared" si="98"/>
        <v>0</v>
      </c>
      <c r="AB499" s="116">
        <f t="shared" si="99"/>
        <v>0</v>
      </c>
      <c r="AC499" s="116">
        <f t="shared" si="100"/>
        <v>0</v>
      </c>
      <c r="AD499" s="116">
        <f>16187.44-AE499</f>
        <v>4856.2300000000014</v>
      </c>
      <c r="AE499" s="116">
        <v>11331.21</v>
      </c>
    </row>
    <row r="500" spans="1:31">
      <c r="A500" s="131">
        <v>42707</v>
      </c>
      <c r="B500" s="131">
        <v>42735</v>
      </c>
      <c r="C500" s="123">
        <f t="shared" si="93"/>
        <v>28</v>
      </c>
      <c r="D500" s="132">
        <v>36</v>
      </c>
      <c r="E500" s="135"/>
      <c r="F500" s="135"/>
      <c r="G500" s="123"/>
      <c r="H500" s="123"/>
      <c r="I500" s="123"/>
      <c r="J500" s="123"/>
      <c r="K500" s="123"/>
      <c r="L500" s="123"/>
      <c r="M500" s="123"/>
      <c r="N500" s="123"/>
      <c r="O500" s="123"/>
      <c r="P500" s="123"/>
      <c r="Q500" s="123">
        <v>28</v>
      </c>
      <c r="R500" s="133">
        <f t="shared" si="106"/>
        <v>0</v>
      </c>
      <c r="S500" s="133"/>
      <c r="T500" s="116">
        <f t="shared" si="107"/>
        <v>0</v>
      </c>
      <c r="U500" s="116">
        <f t="shared" si="94"/>
        <v>0</v>
      </c>
      <c r="V500" s="116">
        <f t="shared" si="95"/>
        <v>0</v>
      </c>
      <c r="W500" s="116">
        <f t="shared" si="96"/>
        <v>0</v>
      </c>
      <c r="X500" s="116">
        <f t="shared" si="104"/>
        <v>0</v>
      </c>
      <c r="Y500" s="116">
        <f t="shared" si="105"/>
        <v>0</v>
      </c>
      <c r="Z500" s="116">
        <f t="shared" si="97"/>
        <v>0</v>
      </c>
      <c r="AA500" s="116">
        <f t="shared" si="98"/>
        <v>0</v>
      </c>
      <c r="AB500" s="116">
        <f t="shared" si="99"/>
        <v>0</v>
      </c>
      <c r="AC500" s="116">
        <f t="shared" si="100"/>
        <v>0</v>
      </c>
      <c r="AD500" s="116">
        <f t="shared" si="101"/>
        <v>0</v>
      </c>
      <c r="AE500" s="116">
        <f t="shared" si="102"/>
        <v>339.81</v>
      </c>
    </row>
    <row r="501" spans="1:31">
      <c r="A501" s="131">
        <v>42705</v>
      </c>
      <c r="B501" s="131">
        <v>42736</v>
      </c>
      <c r="C501" s="123">
        <f t="shared" si="93"/>
        <v>31</v>
      </c>
      <c r="D501" s="132">
        <v>278.73</v>
      </c>
      <c r="E501" s="135"/>
      <c r="F501" s="135"/>
      <c r="G501" s="123"/>
      <c r="H501" s="123"/>
      <c r="I501" s="123"/>
      <c r="J501" s="123"/>
      <c r="K501" s="123"/>
      <c r="L501" s="123"/>
      <c r="M501" s="123"/>
      <c r="N501" s="123"/>
      <c r="O501" s="123"/>
      <c r="P501" s="123"/>
      <c r="Q501" s="123">
        <v>31</v>
      </c>
      <c r="R501" s="133">
        <f t="shared" si="106"/>
        <v>0</v>
      </c>
      <c r="S501" s="133"/>
      <c r="T501" s="116">
        <f t="shared" si="107"/>
        <v>0</v>
      </c>
      <c r="U501" s="116">
        <f t="shared" si="94"/>
        <v>0</v>
      </c>
      <c r="V501" s="116">
        <f t="shared" si="95"/>
        <v>0</v>
      </c>
      <c r="W501" s="116">
        <f t="shared" si="96"/>
        <v>0</v>
      </c>
      <c r="X501" s="116">
        <f t="shared" si="104"/>
        <v>0</v>
      </c>
      <c r="Y501" s="116">
        <f t="shared" si="105"/>
        <v>0</v>
      </c>
      <c r="Z501" s="116">
        <f t="shared" si="97"/>
        <v>0</v>
      </c>
      <c r="AA501" s="116">
        <f t="shared" si="98"/>
        <v>0</v>
      </c>
      <c r="AB501" s="116">
        <f t="shared" si="99"/>
        <v>0</v>
      </c>
      <c r="AC501" s="116">
        <f t="shared" si="100"/>
        <v>0</v>
      </c>
      <c r="AD501" s="116">
        <f t="shared" si="101"/>
        <v>0</v>
      </c>
      <c r="AE501" s="116">
        <f t="shared" si="102"/>
        <v>2631.02</v>
      </c>
    </row>
    <row r="502" spans="1:31">
      <c r="A502" s="131">
        <v>42702</v>
      </c>
      <c r="B502" s="131">
        <v>42732</v>
      </c>
      <c r="C502" s="123">
        <f t="shared" si="93"/>
        <v>30</v>
      </c>
      <c r="D502" s="132">
        <v>9512.1200000000008</v>
      </c>
      <c r="E502" s="135"/>
      <c r="F502" s="135"/>
      <c r="G502" s="123"/>
      <c r="H502" s="123"/>
      <c r="I502" s="123"/>
      <c r="J502" s="123"/>
      <c r="K502" s="123"/>
      <c r="L502" s="123"/>
      <c r="M502" s="123"/>
      <c r="N502" s="123"/>
      <c r="O502" s="123"/>
      <c r="P502" s="123">
        <v>3</v>
      </c>
      <c r="Q502" s="123">
        <v>27</v>
      </c>
      <c r="R502" s="133">
        <f t="shared" si="106"/>
        <v>0</v>
      </c>
      <c r="S502" s="133"/>
      <c r="T502" s="116">
        <f t="shared" si="107"/>
        <v>0</v>
      </c>
      <c r="U502" s="116">
        <f t="shared" si="94"/>
        <v>0</v>
      </c>
      <c r="V502" s="116">
        <f t="shared" si="95"/>
        <v>0</v>
      </c>
      <c r="W502" s="116">
        <f t="shared" si="96"/>
        <v>0</v>
      </c>
      <c r="X502" s="116">
        <f t="shared" si="104"/>
        <v>0</v>
      </c>
      <c r="Y502" s="116">
        <f t="shared" si="105"/>
        <v>0</v>
      </c>
      <c r="Z502" s="116">
        <f t="shared" si="97"/>
        <v>0</v>
      </c>
      <c r="AA502" s="116">
        <f t="shared" si="98"/>
        <v>0</v>
      </c>
      <c r="AB502" s="116">
        <f t="shared" si="99"/>
        <v>0</v>
      </c>
      <c r="AC502" s="116">
        <f t="shared" si="100"/>
        <v>0</v>
      </c>
      <c r="AD502" s="116">
        <f>116585.56-AE502</f>
        <v>11658.559999999998</v>
      </c>
      <c r="AE502" s="116">
        <v>104927</v>
      </c>
    </row>
    <row r="503" spans="1:31">
      <c r="A503" s="131">
        <v>42705</v>
      </c>
      <c r="B503" s="131">
        <v>42736</v>
      </c>
      <c r="C503" s="123">
        <f t="shared" ref="C503:C538" si="108">B503-A503</f>
        <v>31</v>
      </c>
      <c r="D503" s="132">
        <v>9035.8000000000011</v>
      </c>
      <c r="E503" s="135"/>
      <c r="F503" s="135"/>
      <c r="G503" s="123"/>
      <c r="H503" s="123"/>
      <c r="I503" s="123"/>
      <c r="J503" s="123"/>
      <c r="K503" s="123"/>
      <c r="L503" s="123"/>
      <c r="M503" s="123"/>
      <c r="N503" s="123"/>
      <c r="O503" s="123"/>
      <c r="P503" s="123"/>
      <c r="Q503" s="123">
        <v>31</v>
      </c>
      <c r="R503" s="133">
        <f t="shared" si="106"/>
        <v>0</v>
      </c>
      <c r="S503" s="133"/>
      <c r="T503" s="116">
        <f t="shared" si="107"/>
        <v>0</v>
      </c>
      <c r="U503" s="116">
        <f t="shared" ref="U503:U538" si="109">ROUND(($D503*$G503/$C503)/$C$7,2)</f>
        <v>0</v>
      </c>
      <c r="V503" s="116">
        <f t="shared" ref="V503:V538" si="110">ROUND(($D503*$H503/$C503)/$C$8,2)</f>
        <v>0</v>
      </c>
      <c r="W503" s="116">
        <f t="shared" ref="W503:W538" si="111">ROUND(($D503*$I503/$C503)/$C$9,2)</f>
        <v>0</v>
      </c>
      <c r="X503" s="116">
        <f t="shared" si="104"/>
        <v>0</v>
      </c>
      <c r="Y503" s="116">
        <f t="shared" si="105"/>
        <v>0</v>
      </c>
      <c r="Z503" s="116">
        <f t="shared" ref="Z503:Z538" si="112">ROUND(($D503*$L503/$C503)/$C$12,2)</f>
        <v>0</v>
      </c>
      <c r="AA503" s="116">
        <f t="shared" ref="AA503:AA538" si="113">ROUND(($D503*$M503/$C503)/$C$13,2)</f>
        <v>0</v>
      </c>
      <c r="AB503" s="116">
        <f t="shared" ref="AB503:AB538" si="114">ROUND(($D503*$N503/$C503)/$C$14,2)</f>
        <v>0</v>
      </c>
      <c r="AC503" s="116">
        <f t="shared" ref="AC503:AC538" si="115">ROUND(($D503*$O503/$C503)/$C$15,2)</f>
        <v>0</v>
      </c>
      <c r="AD503" s="116">
        <f t="shared" ref="AD503:AD538" si="116">ROUND(($D503*$P503/$C503)/$C$16,2)</f>
        <v>0</v>
      </c>
      <c r="AE503" s="116">
        <f t="shared" ref="AE503:AE538" si="117">ROUND(($D503*$Q503/$C503)/$C$17,2)</f>
        <v>85291.67</v>
      </c>
    </row>
    <row r="504" spans="1:31">
      <c r="A504" s="131">
        <v>42705</v>
      </c>
      <c r="B504" s="131">
        <v>42736</v>
      </c>
      <c r="C504" s="123">
        <f t="shared" si="108"/>
        <v>31</v>
      </c>
      <c r="D504" s="132">
        <v>164914.09</v>
      </c>
      <c r="E504" s="135"/>
      <c r="F504" s="135"/>
      <c r="G504" s="123"/>
      <c r="H504" s="123"/>
      <c r="I504" s="123"/>
      <c r="J504" s="123"/>
      <c r="K504" s="123"/>
      <c r="L504" s="123"/>
      <c r="M504" s="123"/>
      <c r="N504" s="123"/>
      <c r="O504" s="123"/>
      <c r="P504" s="123"/>
      <c r="Q504" s="123">
        <v>31</v>
      </c>
      <c r="R504" s="133">
        <f t="shared" si="106"/>
        <v>0</v>
      </c>
      <c r="S504" s="133"/>
      <c r="T504" s="116">
        <f t="shared" si="107"/>
        <v>0</v>
      </c>
      <c r="U504" s="116">
        <f t="shared" si="109"/>
        <v>0</v>
      </c>
      <c r="V504" s="116">
        <f t="shared" si="110"/>
        <v>0</v>
      </c>
      <c r="W504" s="116">
        <f t="shared" si="111"/>
        <v>0</v>
      </c>
      <c r="X504" s="116">
        <f t="shared" si="104"/>
        <v>0</v>
      </c>
      <c r="Y504" s="116">
        <f t="shared" si="105"/>
        <v>0</v>
      </c>
      <c r="Z504" s="116">
        <f t="shared" si="112"/>
        <v>0</v>
      </c>
      <c r="AA504" s="116">
        <f t="shared" si="113"/>
        <v>0</v>
      </c>
      <c r="AB504" s="116">
        <f t="shared" si="114"/>
        <v>0</v>
      </c>
      <c r="AC504" s="116">
        <f t="shared" si="115"/>
        <v>0</v>
      </c>
      <c r="AD504" s="116">
        <f t="shared" si="116"/>
        <v>0</v>
      </c>
      <c r="AE504" s="116">
        <f t="shared" si="117"/>
        <v>1556674.44</v>
      </c>
    </row>
    <row r="505" spans="1:31">
      <c r="A505" s="131">
        <v>42675</v>
      </c>
      <c r="B505" s="131">
        <v>42705</v>
      </c>
      <c r="C505" s="123">
        <f t="shared" si="108"/>
        <v>30</v>
      </c>
      <c r="D505" s="132">
        <v>-150070.29</v>
      </c>
      <c r="E505" s="135"/>
      <c r="F505" s="135"/>
      <c r="G505" s="123"/>
      <c r="H505" s="123"/>
      <c r="I505" s="123"/>
      <c r="J505" s="123"/>
      <c r="K505" s="123"/>
      <c r="L505" s="123"/>
      <c r="M505" s="123"/>
      <c r="N505" s="123"/>
      <c r="O505" s="123"/>
      <c r="P505" s="123">
        <v>30</v>
      </c>
      <c r="Q505" s="123"/>
      <c r="R505" s="133">
        <f t="shared" si="106"/>
        <v>0</v>
      </c>
      <c r="S505" s="133"/>
      <c r="T505" s="116">
        <f t="shared" si="107"/>
        <v>0</v>
      </c>
      <c r="U505" s="116">
        <f t="shared" si="109"/>
        <v>0</v>
      </c>
      <c r="V505" s="116">
        <f t="shared" si="110"/>
        <v>0</v>
      </c>
      <c r="W505" s="116">
        <f t="shared" si="111"/>
        <v>0</v>
      </c>
      <c r="X505" s="116">
        <f t="shared" si="104"/>
        <v>0</v>
      </c>
      <c r="Y505" s="116">
        <f t="shared" si="105"/>
        <v>0</v>
      </c>
      <c r="Z505" s="116">
        <f t="shared" si="112"/>
        <v>0</v>
      </c>
      <c r="AA505" s="116">
        <f t="shared" si="113"/>
        <v>0</v>
      </c>
      <c r="AB505" s="116">
        <f t="shared" si="114"/>
        <v>0</v>
      </c>
      <c r="AC505" s="116">
        <f t="shared" si="115"/>
        <v>0</v>
      </c>
      <c r="AD505" s="116">
        <f t="shared" si="116"/>
        <v>-1222967.08</v>
      </c>
      <c r="AE505" s="116">
        <f t="shared" si="117"/>
        <v>0</v>
      </c>
    </row>
    <row r="506" spans="1:31">
      <c r="A506" s="131">
        <v>42705</v>
      </c>
      <c r="B506" s="131">
        <v>42736</v>
      </c>
      <c r="C506" s="123">
        <f t="shared" si="108"/>
        <v>31</v>
      </c>
      <c r="D506" s="132">
        <v>58179.79</v>
      </c>
      <c r="E506" s="135"/>
      <c r="F506" s="135"/>
      <c r="G506" s="123"/>
      <c r="H506" s="123"/>
      <c r="I506" s="123"/>
      <c r="J506" s="123"/>
      <c r="K506" s="123"/>
      <c r="L506" s="123"/>
      <c r="M506" s="123"/>
      <c r="N506" s="123"/>
      <c r="O506" s="123"/>
      <c r="P506" s="123"/>
      <c r="Q506" s="123">
        <v>31</v>
      </c>
      <c r="R506" s="133">
        <f t="shared" si="106"/>
        <v>0</v>
      </c>
      <c r="S506" s="133"/>
      <c r="T506" s="116">
        <f t="shared" si="107"/>
        <v>0</v>
      </c>
      <c r="U506" s="116">
        <f t="shared" si="109"/>
        <v>0</v>
      </c>
      <c r="V506" s="116">
        <f t="shared" si="110"/>
        <v>0</v>
      </c>
      <c r="W506" s="116">
        <f t="shared" si="111"/>
        <v>0</v>
      </c>
      <c r="X506" s="116">
        <f t="shared" si="104"/>
        <v>0</v>
      </c>
      <c r="Y506" s="116">
        <f t="shared" si="105"/>
        <v>0</v>
      </c>
      <c r="Z506" s="116">
        <f t="shared" si="112"/>
        <v>0</v>
      </c>
      <c r="AA506" s="116">
        <f t="shared" si="113"/>
        <v>0</v>
      </c>
      <c r="AB506" s="116">
        <f t="shared" si="114"/>
        <v>0</v>
      </c>
      <c r="AC506" s="116">
        <f t="shared" si="115"/>
        <v>0</v>
      </c>
      <c r="AD506" s="116">
        <f t="shared" si="116"/>
        <v>0</v>
      </c>
      <c r="AE506" s="116">
        <f t="shared" si="117"/>
        <v>549176.80000000005</v>
      </c>
    </row>
    <row r="507" spans="1:31">
      <c r="A507" s="131">
        <v>42705</v>
      </c>
      <c r="B507" s="131">
        <v>42736</v>
      </c>
      <c r="C507" s="123">
        <f t="shared" si="108"/>
        <v>31</v>
      </c>
      <c r="D507" s="132">
        <v>4832.28</v>
      </c>
      <c r="E507" s="135"/>
      <c r="F507" s="135"/>
      <c r="G507" s="123"/>
      <c r="H507" s="123"/>
      <c r="I507" s="123"/>
      <c r="J507" s="123"/>
      <c r="K507" s="123"/>
      <c r="L507" s="123"/>
      <c r="M507" s="123"/>
      <c r="N507" s="123"/>
      <c r="O507" s="123"/>
      <c r="P507" s="123"/>
      <c r="Q507" s="123">
        <v>31</v>
      </c>
      <c r="R507" s="133">
        <f t="shared" si="106"/>
        <v>0</v>
      </c>
      <c r="S507" s="133"/>
      <c r="T507" s="116">
        <f t="shared" si="107"/>
        <v>0</v>
      </c>
      <c r="U507" s="116">
        <f t="shared" si="109"/>
        <v>0</v>
      </c>
      <c r="V507" s="116">
        <f t="shared" si="110"/>
        <v>0</v>
      </c>
      <c r="W507" s="116">
        <f t="shared" si="111"/>
        <v>0</v>
      </c>
      <c r="X507" s="116">
        <f t="shared" si="104"/>
        <v>0</v>
      </c>
      <c r="Y507" s="116">
        <f t="shared" si="105"/>
        <v>0</v>
      </c>
      <c r="Z507" s="116">
        <f t="shared" si="112"/>
        <v>0</v>
      </c>
      <c r="AA507" s="116">
        <f t="shared" si="113"/>
        <v>0</v>
      </c>
      <c r="AB507" s="116">
        <f t="shared" si="114"/>
        <v>0</v>
      </c>
      <c r="AC507" s="116">
        <f t="shared" si="115"/>
        <v>0</v>
      </c>
      <c r="AD507" s="116">
        <f t="shared" si="116"/>
        <v>0</v>
      </c>
      <c r="AE507" s="116">
        <f t="shared" si="117"/>
        <v>45613.37</v>
      </c>
    </row>
    <row r="508" spans="1:31">
      <c r="A508" s="131">
        <v>42705</v>
      </c>
      <c r="B508" s="131">
        <v>42736</v>
      </c>
      <c r="C508" s="123">
        <f t="shared" si="108"/>
        <v>31</v>
      </c>
      <c r="D508" s="132">
        <v>3953.74</v>
      </c>
      <c r="E508" s="135"/>
      <c r="F508" s="135"/>
      <c r="G508" s="123"/>
      <c r="H508" s="123"/>
      <c r="I508" s="123"/>
      <c r="J508" s="123"/>
      <c r="K508" s="123"/>
      <c r="L508" s="123"/>
      <c r="M508" s="123"/>
      <c r="N508" s="123"/>
      <c r="O508" s="123"/>
      <c r="P508" s="123"/>
      <c r="Q508" s="123">
        <v>31</v>
      </c>
      <c r="R508" s="133">
        <f t="shared" si="106"/>
        <v>0</v>
      </c>
      <c r="S508" s="133"/>
      <c r="T508" s="116">
        <f t="shared" si="107"/>
        <v>0</v>
      </c>
      <c r="U508" s="116">
        <f t="shared" si="109"/>
        <v>0</v>
      </c>
      <c r="V508" s="116">
        <f t="shared" si="110"/>
        <v>0</v>
      </c>
      <c r="W508" s="116">
        <f t="shared" si="111"/>
        <v>0</v>
      </c>
      <c r="X508" s="116">
        <f t="shared" si="104"/>
        <v>0</v>
      </c>
      <c r="Y508" s="116">
        <f t="shared" si="105"/>
        <v>0</v>
      </c>
      <c r="Z508" s="116">
        <f t="shared" si="112"/>
        <v>0</v>
      </c>
      <c r="AA508" s="116">
        <f t="shared" si="113"/>
        <v>0</v>
      </c>
      <c r="AB508" s="116">
        <f t="shared" si="114"/>
        <v>0</v>
      </c>
      <c r="AC508" s="116">
        <f t="shared" si="115"/>
        <v>0</v>
      </c>
      <c r="AD508" s="116">
        <f t="shared" si="116"/>
        <v>0</v>
      </c>
      <c r="AE508" s="116">
        <f t="shared" si="117"/>
        <v>37320.559999999998</v>
      </c>
    </row>
    <row r="509" spans="1:31">
      <c r="A509" s="131">
        <v>42709</v>
      </c>
      <c r="B509" s="131">
        <v>42740</v>
      </c>
      <c r="C509" s="123">
        <f t="shared" si="108"/>
        <v>31</v>
      </c>
      <c r="D509" s="132">
        <v>1062.79</v>
      </c>
      <c r="E509" s="135"/>
      <c r="F509" s="135"/>
      <c r="G509" s="123"/>
      <c r="H509" s="123"/>
      <c r="I509" s="123"/>
      <c r="J509" s="123"/>
      <c r="K509" s="123"/>
      <c r="L509" s="123"/>
      <c r="M509" s="123"/>
      <c r="N509" s="123"/>
      <c r="O509" s="123"/>
      <c r="P509" s="123"/>
      <c r="Q509" s="123">
        <v>27</v>
      </c>
      <c r="R509" s="133">
        <f t="shared" ref="R509:R515" si="118">C509-SUM(F509:Q509)-(B509-$B$17)+1</f>
        <v>0</v>
      </c>
      <c r="S509" s="133"/>
      <c r="T509" s="116">
        <f t="shared" si="107"/>
        <v>0</v>
      </c>
      <c r="U509" s="116">
        <f t="shared" si="109"/>
        <v>0</v>
      </c>
      <c r="V509" s="116">
        <f t="shared" si="110"/>
        <v>0</v>
      </c>
      <c r="W509" s="116">
        <f t="shared" si="111"/>
        <v>0</v>
      </c>
      <c r="X509" s="116">
        <f t="shared" si="104"/>
        <v>0</v>
      </c>
      <c r="Y509" s="116">
        <f t="shared" si="105"/>
        <v>0</v>
      </c>
      <c r="Z509" s="116">
        <f t="shared" si="112"/>
        <v>0</v>
      </c>
      <c r="AA509" s="116">
        <f t="shared" si="113"/>
        <v>0</v>
      </c>
      <c r="AB509" s="116">
        <f t="shared" si="114"/>
        <v>0</v>
      </c>
      <c r="AC509" s="116">
        <f t="shared" si="115"/>
        <v>0</v>
      </c>
      <c r="AD509" s="116">
        <f t="shared" si="116"/>
        <v>0</v>
      </c>
      <c r="AE509" s="116">
        <f t="shared" si="117"/>
        <v>8737.5499999999993</v>
      </c>
    </row>
    <row r="510" spans="1:31">
      <c r="A510" s="131">
        <v>42707</v>
      </c>
      <c r="B510" s="131">
        <v>42738</v>
      </c>
      <c r="C510" s="123">
        <f t="shared" si="108"/>
        <v>31</v>
      </c>
      <c r="D510" s="132">
        <v>1128.94</v>
      </c>
      <c r="E510" s="135"/>
      <c r="F510" s="135"/>
      <c r="G510" s="123"/>
      <c r="H510" s="123"/>
      <c r="I510" s="123"/>
      <c r="J510" s="123"/>
      <c r="K510" s="123"/>
      <c r="L510" s="123"/>
      <c r="M510" s="123"/>
      <c r="N510" s="123"/>
      <c r="O510" s="123"/>
      <c r="P510" s="123"/>
      <c r="Q510" s="123">
        <v>29</v>
      </c>
      <c r="R510" s="133">
        <f t="shared" si="118"/>
        <v>0</v>
      </c>
      <c r="S510" s="133"/>
      <c r="T510" s="116">
        <f t="shared" si="107"/>
        <v>0</v>
      </c>
      <c r="U510" s="116">
        <f t="shared" si="109"/>
        <v>0</v>
      </c>
      <c r="V510" s="116">
        <f t="shared" si="110"/>
        <v>0</v>
      </c>
      <c r="W510" s="116">
        <f t="shared" si="111"/>
        <v>0</v>
      </c>
      <c r="X510" s="116">
        <f t="shared" si="104"/>
        <v>0</v>
      </c>
      <c r="Y510" s="116">
        <f t="shared" si="105"/>
        <v>0</v>
      </c>
      <c r="Z510" s="116">
        <f t="shared" si="112"/>
        <v>0</v>
      </c>
      <c r="AA510" s="116">
        <f t="shared" si="113"/>
        <v>0</v>
      </c>
      <c r="AB510" s="116">
        <f t="shared" si="114"/>
        <v>0</v>
      </c>
      <c r="AC510" s="116">
        <f t="shared" si="115"/>
        <v>0</v>
      </c>
      <c r="AD510" s="116">
        <f t="shared" si="116"/>
        <v>0</v>
      </c>
      <c r="AE510" s="116">
        <f t="shared" si="117"/>
        <v>9968.9</v>
      </c>
    </row>
    <row r="511" spans="1:31">
      <c r="A511" s="131">
        <v>42707</v>
      </c>
      <c r="B511" s="131">
        <v>42738</v>
      </c>
      <c r="C511" s="123">
        <f t="shared" si="108"/>
        <v>31</v>
      </c>
      <c r="D511" s="132">
        <v>657.27</v>
      </c>
      <c r="E511" s="135"/>
      <c r="F511" s="135"/>
      <c r="G511" s="123"/>
      <c r="H511" s="123"/>
      <c r="I511" s="123"/>
      <c r="J511" s="123"/>
      <c r="K511" s="123"/>
      <c r="L511" s="123"/>
      <c r="M511" s="123"/>
      <c r="N511" s="123"/>
      <c r="O511" s="123"/>
      <c r="P511" s="123"/>
      <c r="Q511" s="123">
        <v>29</v>
      </c>
      <c r="R511" s="133">
        <f t="shared" si="118"/>
        <v>0</v>
      </c>
      <c r="S511" s="133"/>
      <c r="T511" s="116">
        <f t="shared" si="107"/>
        <v>0</v>
      </c>
      <c r="U511" s="116">
        <f t="shared" si="109"/>
        <v>0</v>
      </c>
      <c r="V511" s="116">
        <f t="shared" si="110"/>
        <v>0</v>
      </c>
      <c r="W511" s="116">
        <f t="shared" si="111"/>
        <v>0</v>
      </c>
      <c r="X511" s="116">
        <f t="shared" si="104"/>
        <v>0</v>
      </c>
      <c r="Y511" s="116">
        <f t="shared" si="105"/>
        <v>0</v>
      </c>
      <c r="Z511" s="116">
        <f t="shared" si="112"/>
        <v>0</v>
      </c>
      <c r="AA511" s="116">
        <f t="shared" si="113"/>
        <v>0</v>
      </c>
      <c r="AB511" s="116">
        <f t="shared" si="114"/>
        <v>0</v>
      </c>
      <c r="AC511" s="116">
        <f t="shared" si="115"/>
        <v>0</v>
      </c>
      <c r="AD511" s="116">
        <f t="shared" si="116"/>
        <v>0</v>
      </c>
      <c r="AE511" s="116">
        <f t="shared" si="117"/>
        <v>5803.9</v>
      </c>
    </row>
    <row r="512" spans="1:31">
      <c r="A512" s="131">
        <v>42707</v>
      </c>
      <c r="B512" s="131">
        <v>42738</v>
      </c>
      <c r="C512" s="123">
        <f t="shared" si="108"/>
        <v>31</v>
      </c>
      <c r="D512" s="132">
        <v>1120.1400000000001</v>
      </c>
      <c r="E512" s="135"/>
      <c r="F512" s="135"/>
      <c r="G512" s="123"/>
      <c r="H512" s="123"/>
      <c r="I512" s="123"/>
      <c r="J512" s="123"/>
      <c r="K512" s="123"/>
      <c r="L512" s="123"/>
      <c r="M512" s="123"/>
      <c r="N512" s="123"/>
      <c r="O512" s="123"/>
      <c r="P512" s="123"/>
      <c r="Q512" s="123">
        <v>29</v>
      </c>
      <c r="R512" s="133">
        <f t="shared" si="118"/>
        <v>0</v>
      </c>
      <c r="S512" s="133"/>
      <c r="T512" s="116">
        <f t="shared" si="107"/>
        <v>0</v>
      </c>
      <c r="U512" s="116">
        <f t="shared" si="109"/>
        <v>0</v>
      </c>
      <c r="V512" s="116">
        <f t="shared" si="110"/>
        <v>0</v>
      </c>
      <c r="W512" s="116">
        <f t="shared" si="111"/>
        <v>0</v>
      </c>
      <c r="X512" s="116">
        <f t="shared" si="104"/>
        <v>0</v>
      </c>
      <c r="Y512" s="116">
        <f t="shared" si="105"/>
        <v>0</v>
      </c>
      <c r="Z512" s="116">
        <f t="shared" si="112"/>
        <v>0</v>
      </c>
      <c r="AA512" s="116">
        <f t="shared" si="113"/>
        <v>0</v>
      </c>
      <c r="AB512" s="116">
        <f t="shared" si="114"/>
        <v>0</v>
      </c>
      <c r="AC512" s="116">
        <f t="shared" si="115"/>
        <v>0</v>
      </c>
      <c r="AD512" s="116">
        <f t="shared" si="116"/>
        <v>0</v>
      </c>
      <c r="AE512" s="116">
        <f t="shared" si="117"/>
        <v>9891.19</v>
      </c>
    </row>
    <row r="513" spans="1:31">
      <c r="A513" s="131">
        <v>42707</v>
      </c>
      <c r="B513" s="131">
        <v>42738</v>
      </c>
      <c r="C513" s="123">
        <f t="shared" si="108"/>
        <v>31</v>
      </c>
      <c r="D513" s="132">
        <v>2731.42</v>
      </c>
      <c r="E513" s="135"/>
      <c r="F513" s="135"/>
      <c r="G513" s="123"/>
      <c r="H513" s="123"/>
      <c r="I513" s="123"/>
      <c r="J513" s="123"/>
      <c r="K513" s="123"/>
      <c r="L513" s="123"/>
      <c r="M513" s="123"/>
      <c r="N513" s="123"/>
      <c r="O513" s="123"/>
      <c r="P513" s="123"/>
      <c r="Q513" s="123">
        <v>29</v>
      </c>
      <c r="R513" s="133">
        <f t="shared" si="118"/>
        <v>0</v>
      </c>
      <c r="S513" s="133"/>
      <c r="T513" s="116">
        <f t="shared" si="107"/>
        <v>0</v>
      </c>
      <c r="U513" s="116">
        <f t="shared" si="109"/>
        <v>0</v>
      </c>
      <c r="V513" s="116">
        <f t="shared" si="110"/>
        <v>0</v>
      </c>
      <c r="W513" s="116">
        <f t="shared" si="111"/>
        <v>0</v>
      </c>
      <c r="X513" s="116">
        <f t="shared" si="104"/>
        <v>0</v>
      </c>
      <c r="Y513" s="116">
        <f t="shared" si="105"/>
        <v>0</v>
      </c>
      <c r="Z513" s="116">
        <f t="shared" si="112"/>
        <v>0</v>
      </c>
      <c r="AA513" s="116">
        <f t="shared" si="113"/>
        <v>0</v>
      </c>
      <c r="AB513" s="116">
        <f t="shared" si="114"/>
        <v>0</v>
      </c>
      <c r="AC513" s="116">
        <f t="shared" si="115"/>
        <v>0</v>
      </c>
      <c r="AD513" s="116">
        <f t="shared" si="116"/>
        <v>0</v>
      </c>
      <c r="AE513" s="116">
        <f t="shared" si="117"/>
        <v>24119.31</v>
      </c>
    </row>
    <row r="514" spans="1:31">
      <c r="A514" s="131">
        <v>42709</v>
      </c>
      <c r="B514" s="131">
        <v>42740</v>
      </c>
      <c r="C514" s="123">
        <f t="shared" si="108"/>
        <v>31</v>
      </c>
      <c r="D514" s="132">
        <v>167.94</v>
      </c>
      <c r="E514" s="135"/>
      <c r="F514" s="135"/>
      <c r="G514" s="123"/>
      <c r="H514" s="123"/>
      <c r="I514" s="123"/>
      <c r="J514" s="123"/>
      <c r="K514" s="123"/>
      <c r="L514" s="123"/>
      <c r="M514" s="123"/>
      <c r="N514" s="123"/>
      <c r="O514" s="123"/>
      <c r="P514" s="123"/>
      <c r="Q514" s="123">
        <v>27</v>
      </c>
      <c r="R514" s="133">
        <f t="shared" si="118"/>
        <v>0</v>
      </c>
      <c r="S514" s="133"/>
      <c r="T514" s="116">
        <f t="shared" si="107"/>
        <v>0</v>
      </c>
      <c r="U514" s="116">
        <f t="shared" si="109"/>
        <v>0</v>
      </c>
      <c r="V514" s="116">
        <f t="shared" si="110"/>
        <v>0</v>
      </c>
      <c r="W514" s="116">
        <f t="shared" si="111"/>
        <v>0</v>
      </c>
      <c r="X514" s="116">
        <f t="shared" si="104"/>
        <v>0</v>
      </c>
      <c r="Y514" s="116">
        <f t="shared" si="105"/>
        <v>0</v>
      </c>
      <c r="Z514" s="116">
        <f t="shared" si="112"/>
        <v>0</v>
      </c>
      <c r="AA514" s="116">
        <f t="shared" si="113"/>
        <v>0</v>
      </c>
      <c r="AB514" s="116">
        <f t="shared" si="114"/>
        <v>0</v>
      </c>
      <c r="AC514" s="116">
        <f t="shared" si="115"/>
        <v>0</v>
      </c>
      <c r="AD514" s="116">
        <f t="shared" si="116"/>
        <v>0</v>
      </c>
      <c r="AE514" s="116">
        <f t="shared" si="117"/>
        <v>1380.69</v>
      </c>
    </row>
    <row r="515" spans="1:31">
      <c r="A515" s="131">
        <v>42709</v>
      </c>
      <c r="B515" s="131">
        <v>42740</v>
      </c>
      <c r="C515" s="123">
        <f t="shared" si="108"/>
        <v>31</v>
      </c>
      <c r="D515" s="132">
        <v>627.18000000000006</v>
      </c>
      <c r="E515" s="135"/>
      <c r="F515" s="135"/>
      <c r="G515" s="123"/>
      <c r="H515" s="123"/>
      <c r="I515" s="123"/>
      <c r="J515" s="123"/>
      <c r="K515" s="123"/>
      <c r="L515" s="123"/>
      <c r="M515" s="123"/>
      <c r="N515" s="123"/>
      <c r="O515" s="123"/>
      <c r="P515" s="123"/>
      <c r="Q515" s="123">
        <v>27</v>
      </c>
      <c r="R515" s="133">
        <f t="shared" si="118"/>
        <v>0</v>
      </c>
      <c r="S515" s="133"/>
      <c r="T515" s="116">
        <f t="shared" si="107"/>
        <v>0</v>
      </c>
      <c r="U515" s="116">
        <f t="shared" si="109"/>
        <v>0</v>
      </c>
      <c r="V515" s="116">
        <f t="shared" si="110"/>
        <v>0</v>
      </c>
      <c r="W515" s="116">
        <f t="shared" si="111"/>
        <v>0</v>
      </c>
      <c r="X515" s="116">
        <f t="shared" si="104"/>
        <v>0</v>
      </c>
      <c r="Y515" s="116">
        <f t="shared" si="105"/>
        <v>0</v>
      </c>
      <c r="Z515" s="116">
        <f t="shared" si="112"/>
        <v>0</v>
      </c>
      <c r="AA515" s="116">
        <f t="shared" si="113"/>
        <v>0</v>
      </c>
      <c r="AB515" s="116">
        <f t="shared" si="114"/>
        <v>0</v>
      </c>
      <c r="AC515" s="116">
        <f t="shared" si="115"/>
        <v>0</v>
      </c>
      <c r="AD515" s="116">
        <f t="shared" si="116"/>
        <v>0</v>
      </c>
      <c r="AE515" s="116">
        <f t="shared" si="117"/>
        <v>5156.25</v>
      </c>
    </row>
    <row r="516" spans="1:31">
      <c r="A516" s="131">
        <v>42675</v>
      </c>
      <c r="B516" s="131">
        <v>42705</v>
      </c>
      <c r="C516" s="123">
        <f t="shared" si="108"/>
        <v>30</v>
      </c>
      <c r="D516" s="132">
        <v>150135</v>
      </c>
      <c r="E516" s="135"/>
      <c r="F516" s="135"/>
      <c r="G516" s="123"/>
      <c r="H516" s="123"/>
      <c r="I516" s="123"/>
      <c r="J516" s="123"/>
      <c r="K516" s="123"/>
      <c r="L516" s="123"/>
      <c r="M516" s="123"/>
      <c r="N516" s="123"/>
      <c r="O516" s="123"/>
      <c r="P516" s="123">
        <v>30</v>
      </c>
      <c r="Q516" s="123"/>
      <c r="R516" s="133">
        <f t="shared" si="106"/>
        <v>0</v>
      </c>
      <c r="S516" s="133"/>
      <c r="T516" s="116">
        <f t="shared" si="107"/>
        <v>0</v>
      </c>
      <c r="U516" s="116">
        <f t="shared" si="109"/>
        <v>0</v>
      </c>
      <c r="V516" s="116">
        <f t="shared" si="110"/>
        <v>0</v>
      </c>
      <c r="W516" s="116">
        <f t="shared" si="111"/>
        <v>0</v>
      </c>
      <c r="X516" s="116">
        <f t="shared" si="104"/>
        <v>0</v>
      </c>
      <c r="Y516" s="116">
        <f t="shared" si="105"/>
        <v>0</v>
      </c>
      <c r="Z516" s="116">
        <f t="shared" si="112"/>
        <v>0</v>
      </c>
      <c r="AA516" s="116">
        <f t="shared" si="113"/>
        <v>0</v>
      </c>
      <c r="AB516" s="116">
        <f t="shared" si="114"/>
        <v>0</v>
      </c>
      <c r="AC516" s="116">
        <f t="shared" si="115"/>
        <v>0</v>
      </c>
      <c r="AD516" s="116">
        <f t="shared" si="116"/>
        <v>1223494.42</v>
      </c>
      <c r="AE516" s="116">
        <f t="shared" si="117"/>
        <v>0</v>
      </c>
    </row>
    <row r="517" spans="1:31">
      <c r="A517" s="131">
        <v>42705</v>
      </c>
      <c r="B517" s="131">
        <v>42736</v>
      </c>
      <c r="C517" s="123">
        <f t="shared" si="108"/>
        <v>31</v>
      </c>
      <c r="D517" s="132">
        <v>45397.58</v>
      </c>
      <c r="E517" s="135"/>
      <c r="F517" s="135"/>
      <c r="G517" s="123"/>
      <c r="H517" s="123"/>
      <c r="I517" s="123"/>
      <c r="J517" s="123"/>
      <c r="K517" s="123"/>
      <c r="L517" s="123"/>
      <c r="M517" s="123"/>
      <c r="N517" s="123"/>
      <c r="O517" s="123"/>
      <c r="P517" s="123"/>
      <c r="Q517" s="123">
        <v>31</v>
      </c>
      <c r="R517" s="133">
        <f t="shared" si="106"/>
        <v>0</v>
      </c>
      <c r="S517" s="133"/>
      <c r="T517" s="116">
        <f t="shared" si="107"/>
        <v>0</v>
      </c>
      <c r="U517" s="116">
        <f t="shared" si="109"/>
        <v>0</v>
      </c>
      <c r="V517" s="116">
        <f t="shared" si="110"/>
        <v>0</v>
      </c>
      <c r="W517" s="116">
        <f t="shared" si="111"/>
        <v>0</v>
      </c>
      <c r="X517" s="116">
        <f t="shared" si="104"/>
        <v>0</v>
      </c>
      <c r="Y517" s="116">
        <f t="shared" si="105"/>
        <v>0</v>
      </c>
      <c r="Z517" s="116">
        <f t="shared" si="112"/>
        <v>0</v>
      </c>
      <c r="AA517" s="116">
        <f t="shared" si="113"/>
        <v>0</v>
      </c>
      <c r="AB517" s="116">
        <f t="shared" si="114"/>
        <v>0</v>
      </c>
      <c r="AC517" s="116">
        <f t="shared" si="115"/>
        <v>0</v>
      </c>
      <c r="AD517" s="116">
        <f t="shared" si="116"/>
        <v>0</v>
      </c>
      <c r="AE517" s="116">
        <f t="shared" si="117"/>
        <v>428521.62</v>
      </c>
    </row>
    <row r="518" spans="1:31">
      <c r="A518" s="131">
        <v>42712</v>
      </c>
      <c r="B518" s="131">
        <v>42743</v>
      </c>
      <c r="C518" s="123">
        <f t="shared" si="108"/>
        <v>31</v>
      </c>
      <c r="D518" s="132">
        <v>723.43</v>
      </c>
      <c r="E518" s="135"/>
      <c r="F518" s="135"/>
      <c r="G518" s="123"/>
      <c r="H518" s="123"/>
      <c r="I518" s="123"/>
      <c r="J518" s="123"/>
      <c r="K518" s="123"/>
      <c r="L518" s="123"/>
      <c r="M518" s="123"/>
      <c r="N518" s="123"/>
      <c r="O518" s="123"/>
      <c r="P518" s="123"/>
      <c r="Q518" s="123">
        <v>24</v>
      </c>
      <c r="R518" s="133">
        <f t="shared" ref="R518:R538" si="119">C518-SUM(F518:Q518)-(B518-$B$17)+1</f>
        <v>0</v>
      </c>
      <c r="S518" s="133"/>
      <c r="T518" s="116">
        <f t="shared" si="107"/>
        <v>0</v>
      </c>
      <c r="U518" s="116">
        <f t="shared" si="109"/>
        <v>0</v>
      </c>
      <c r="V518" s="116">
        <f t="shared" si="110"/>
        <v>0</v>
      </c>
      <c r="W518" s="116">
        <f t="shared" si="111"/>
        <v>0</v>
      </c>
      <c r="X518" s="116">
        <f t="shared" si="104"/>
        <v>0</v>
      </c>
      <c r="Y518" s="116">
        <f t="shared" si="105"/>
        <v>0</v>
      </c>
      <c r="Z518" s="116">
        <f t="shared" si="112"/>
        <v>0</v>
      </c>
      <c r="AA518" s="116">
        <f t="shared" si="113"/>
        <v>0</v>
      </c>
      <c r="AB518" s="116">
        <f t="shared" si="114"/>
        <v>0</v>
      </c>
      <c r="AC518" s="116">
        <f t="shared" si="115"/>
        <v>0</v>
      </c>
      <c r="AD518" s="116">
        <f t="shared" si="116"/>
        <v>0</v>
      </c>
      <c r="AE518" s="116">
        <f t="shared" si="117"/>
        <v>5286.72</v>
      </c>
    </row>
    <row r="519" spans="1:31">
      <c r="A519" s="131">
        <v>42712</v>
      </c>
      <c r="B519" s="131">
        <v>42743</v>
      </c>
      <c r="C519" s="123">
        <f t="shared" si="108"/>
        <v>31</v>
      </c>
      <c r="D519" s="132">
        <v>254.05</v>
      </c>
      <c r="E519" s="135"/>
      <c r="F519" s="135"/>
      <c r="G519" s="123"/>
      <c r="H519" s="123"/>
      <c r="I519" s="123"/>
      <c r="J519" s="123"/>
      <c r="K519" s="123"/>
      <c r="L519" s="123"/>
      <c r="M519" s="123"/>
      <c r="N519" s="123"/>
      <c r="O519" s="123"/>
      <c r="P519" s="123"/>
      <c r="Q519" s="123">
        <v>24</v>
      </c>
      <c r="R519" s="133">
        <f t="shared" si="119"/>
        <v>0</v>
      </c>
      <c r="S519" s="133"/>
      <c r="T519" s="116">
        <f t="shared" si="107"/>
        <v>0</v>
      </c>
      <c r="U519" s="116">
        <f t="shared" si="109"/>
        <v>0</v>
      </c>
      <c r="V519" s="116">
        <f t="shared" si="110"/>
        <v>0</v>
      </c>
      <c r="W519" s="116">
        <f t="shared" si="111"/>
        <v>0</v>
      </c>
      <c r="X519" s="116">
        <f t="shared" si="104"/>
        <v>0</v>
      </c>
      <c r="Y519" s="116">
        <f t="shared" si="105"/>
        <v>0</v>
      </c>
      <c r="Z519" s="116">
        <f t="shared" si="112"/>
        <v>0</v>
      </c>
      <c r="AA519" s="116">
        <f t="shared" si="113"/>
        <v>0</v>
      </c>
      <c r="AB519" s="116">
        <f t="shared" si="114"/>
        <v>0</v>
      </c>
      <c r="AC519" s="116">
        <f t="shared" si="115"/>
        <v>0</v>
      </c>
      <c r="AD519" s="116">
        <f t="shared" si="116"/>
        <v>0</v>
      </c>
      <c r="AE519" s="116">
        <f t="shared" si="117"/>
        <v>1856.56</v>
      </c>
    </row>
    <row r="520" spans="1:31">
      <c r="A520" s="131">
        <v>42712</v>
      </c>
      <c r="B520" s="131">
        <v>42743</v>
      </c>
      <c r="C520" s="123">
        <f t="shared" si="108"/>
        <v>31</v>
      </c>
      <c r="D520" s="132">
        <v>221.11</v>
      </c>
      <c r="E520" s="135"/>
      <c r="F520" s="135"/>
      <c r="G520" s="123"/>
      <c r="H520" s="123"/>
      <c r="I520" s="123"/>
      <c r="J520" s="123"/>
      <c r="K520" s="123"/>
      <c r="L520" s="123"/>
      <c r="M520" s="123"/>
      <c r="N520" s="123"/>
      <c r="O520" s="123"/>
      <c r="P520" s="123"/>
      <c r="Q520" s="123">
        <v>24</v>
      </c>
      <c r="R520" s="133">
        <f t="shared" si="119"/>
        <v>0</v>
      </c>
      <c r="S520" s="133"/>
      <c r="T520" s="116">
        <f t="shared" si="107"/>
        <v>0</v>
      </c>
      <c r="U520" s="116">
        <f t="shared" si="109"/>
        <v>0</v>
      </c>
      <c r="V520" s="116">
        <f t="shared" si="110"/>
        <v>0</v>
      </c>
      <c r="W520" s="116">
        <f t="shared" si="111"/>
        <v>0</v>
      </c>
      <c r="X520" s="116">
        <f t="shared" si="104"/>
        <v>0</v>
      </c>
      <c r="Y520" s="116">
        <f t="shared" si="105"/>
        <v>0</v>
      </c>
      <c r="Z520" s="116">
        <f t="shared" si="112"/>
        <v>0</v>
      </c>
      <c r="AA520" s="116">
        <f t="shared" si="113"/>
        <v>0</v>
      </c>
      <c r="AB520" s="116">
        <f t="shared" si="114"/>
        <v>0</v>
      </c>
      <c r="AC520" s="116">
        <f t="shared" si="115"/>
        <v>0</v>
      </c>
      <c r="AD520" s="116">
        <f t="shared" si="116"/>
        <v>0</v>
      </c>
      <c r="AE520" s="116">
        <f t="shared" si="117"/>
        <v>1615.84</v>
      </c>
    </row>
    <row r="521" spans="1:31">
      <c r="A521" s="131">
        <v>42712</v>
      </c>
      <c r="B521" s="131">
        <v>42743</v>
      </c>
      <c r="C521" s="123">
        <f t="shared" si="108"/>
        <v>31</v>
      </c>
      <c r="D521" s="132">
        <v>627.12</v>
      </c>
      <c r="E521" s="135"/>
      <c r="F521" s="135"/>
      <c r="G521" s="123"/>
      <c r="H521" s="123"/>
      <c r="I521" s="123"/>
      <c r="J521" s="123"/>
      <c r="K521" s="123"/>
      <c r="L521" s="123"/>
      <c r="M521" s="123"/>
      <c r="N521" s="123"/>
      <c r="O521" s="123"/>
      <c r="P521" s="123"/>
      <c r="Q521" s="123">
        <v>24</v>
      </c>
      <c r="R521" s="133">
        <f t="shared" si="119"/>
        <v>0</v>
      </c>
      <c r="S521" s="133"/>
      <c r="T521" s="116">
        <f t="shared" si="107"/>
        <v>0</v>
      </c>
      <c r="U521" s="116">
        <f t="shared" si="109"/>
        <v>0</v>
      </c>
      <c r="V521" s="116">
        <f t="shared" si="110"/>
        <v>0</v>
      </c>
      <c r="W521" s="116">
        <f t="shared" si="111"/>
        <v>0</v>
      </c>
      <c r="X521" s="116">
        <f t="shared" si="104"/>
        <v>0</v>
      </c>
      <c r="Y521" s="116">
        <f t="shared" si="105"/>
        <v>0</v>
      </c>
      <c r="Z521" s="116">
        <f t="shared" si="112"/>
        <v>0</v>
      </c>
      <c r="AA521" s="116">
        <f t="shared" si="113"/>
        <v>0</v>
      </c>
      <c r="AB521" s="116">
        <f t="shared" si="114"/>
        <v>0</v>
      </c>
      <c r="AC521" s="116">
        <f t="shared" si="115"/>
        <v>0</v>
      </c>
      <c r="AD521" s="116">
        <f t="shared" si="116"/>
        <v>0</v>
      </c>
      <c r="AE521" s="116">
        <f t="shared" si="117"/>
        <v>4582.8999999999996</v>
      </c>
    </row>
    <row r="522" spans="1:31">
      <c r="A522" s="131">
        <v>42716</v>
      </c>
      <c r="B522" s="131">
        <v>42747</v>
      </c>
      <c r="C522" s="123">
        <f t="shared" si="108"/>
        <v>31</v>
      </c>
      <c r="D522" s="132">
        <v>1005.82</v>
      </c>
      <c r="E522" s="135"/>
      <c r="F522" s="135"/>
      <c r="G522" s="123"/>
      <c r="H522" s="123"/>
      <c r="I522" s="123"/>
      <c r="J522" s="123"/>
      <c r="K522" s="123"/>
      <c r="L522" s="123"/>
      <c r="M522" s="123"/>
      <c r="N522" s="123"/>
      <c r="O522" s="123"/>
      <c r="P522" s="123"/>
      <c r="Q522" s="123">
        <v>20</v>
      </c>
      <c r="R522" s="133">
        <f t="shared" si="119"/>
        <v>0</v>
      </c>
      <c r="S522" s="133"/>
      <c r="T522" s="116">
        <f t="shared" si="107"/>
        <v>0</v>
      </c>
      <c r="U522" s="116">
        <f t="shared" si="109"/>
        <v>0</v>
      </c>
      <c r="V522" s="116">
        <f t="shared" si="110"/>
        <v>0</v>
      </c>
      <c r="W522" s="116">
        <f t="shared" si="111"/>
        <v>0</v>
      </c>
      <c r="X522" s="116">
        <f t="shared" si="104"/>
        <v>0</v>
      </c>
      <c r="Y522" s="116">
        <f t="shared" si="105"/>
        <v>0</v>
      </c>
      <c r="Z522" s="116">
        <f t="shared" si="112"/>
        <v>0</v>
      </c>
      <c r="AA522" s="116">
        <f t="shared" si="113"/>
        <v>0</v>
      </c>
      <c r="AB522" s="116">
        <f t="shared" si="114"/>
        <v>0</v>
      </c>
      <c r="AC522" s="116">
        <f t="shared" si="115"/>
        <v>0</v>
      </c>
      <c r="AD522" s="116">
        <f t="shared" si="116"/>
        <v>0</v>
      </c>
      <c r="AE522" s="116">
        <f t="shared" si="117"/>
        <v>6125.32</v>
      </c>
    </row>
    <row r="523" spans="1:31">
      <c r="A523" s="131">
        <v>42716</v>
      </c>
      <c r="B523" s="131">
        <v>42747</v>
      </c>
      <c r="C523" s="123">
        <f t="shared" si="108"/>
        <v>31</v>
      </c>
      <c r="D523" s="132">
        <v>1041.28</v>
      </c>
      <c r="E523" s="135"/>
      <c r="F523" s="135"/>
      <c r="G523" s="123"/>
      <c r="H523" s="123"/>
      <c r="I523" s="123"/>
      <c r="J523" s="123"/>
      <c r="K523" s="123"/>
      <c r="L523" s="123"/>
      <c r="M523" s="123"/>
      <c r="N523" s="123"/>
      <c r="O523" s="123"/>
      <c r="P523" s="123"/>
      <c r="Q523" s="123">
        <v>20</v>
      </c>
      <c r="R523" s="133">
        <f t="shared" si="119"/>
        <v>0</v>
      </c>
      <c r="S523" s="133"/>
      <c r="T523" s="116">
        <f t="shared" si="107"/>
        <v>0</v>
      </c>
      <c r="U523" s="116">
        <f t="shared" si="109"/>
        <v>0</v>
      </c>
      <c r="V523" s="116">
        <f t="shared" si="110"/>
        <v>0</v>
      </c>
      <c r="W523" s="116">
        <f t="shared" si="111"/>
        <v>0</v>
      </c>
      <c r="X523" s="116">
        <f t="shared" si="104"/>
        <v>0</v>
      </c>
      <c r="Y523" s="116">
        <f t="shared" si="105"/>
        <v>0</v>
      </c>
      <c r="Z523" s="116">
        <f t="shared" si="112"/>
        <v>0</v>
      </c>
      <c r="AA523" s="116">
        <f t="shared" si="113"/>
        <v>0</v>
      </c>
      <c r="AB523" s="116">
        <f t="shared" si="114"/>
        <v>0</v>
      </c>
      <c r="AC523" s="116">
        <f t="shared" si="115"/>
        <v>0</v>
      </c>
      <c r="AD523" s="116">
        <f t="shared" si="116"/>
        <v>0</v>
      </c>
      <c r="AE523" s="116">
        <f t="shared" si="117"/>
        <v>6341.26</v>
      </c>
    </row>
    <row r="524" spans="1:31">
      <c r="A524" s="131">
        <v>42716</v>
      </c>
      <c r="B524" s="131">
        <v>42747</v>
      </c>
      <c r="C524" s="123">
        <f t="shared" si="108"/>
        <v>31</v>
      </c>
      <c r="D524" s="132">
        <v>229.8</v>
      </c>
      <c r="E524" s="135"/>
      <c r="F524" s="135"/>
      <c r="G524" s="123"/>
      <c r="H524" s="123"/>
      <c r="I524" s="123"/>
      <c r="J524" s="123"/>
      <c r="K524" s="123"/>
      <c r="L524" s="123"/>
      <c r="M524" s="123"/>
      <c r="N524" s="123"/>
      <c r="O524" s="123"/>
      <c r="P524" s="123"/>
      <c r="Q524" s="123">
        <v>20</v>
      </c>
      <c r="R524" s="133">
        <f t="shared" si="119"/>
        <v>0</v>
      </c>
      <c r="S524" s="133"/>
      <c r="T524" s="116">
        <f t="shared" si="107"/>
        <v>0</v>
      </c>
      <c r="U524" s="116">
        <f t="shared" si="109"/>
        <v>0</v>
      </c>
      <c r="V524" s="116">
        <f t="shared" si="110"/>
        <v>0</v>
      </c>
      <c r="W524" s="116">
        <f t="shared" si="111"/>
        <v>0</v>
      </c>
      <c r="X524" s="116">
        <f t="shared" si="104"/>
        <v>0</v>
      </c>
      <c r="Y524" s="116">
        <f t="shared" si="105"/>
        <v>0</v>
      </c>
      <c r="Z524" s="116">
        <f t="shared" si="112"/>
        <v>0</v>
      </c>
      <c r="AA524" s="116">
        <f t="shared" si="113"/>
        <v>0</v>
      </c>
      <c r="AB524" s="116">
        <f t="shared" si="114"/>
        <v>0</v>
      </c>
      <c r="AC524" s="116">
        <f t="shared" si="115"/>
        <v>0</v>
      </c>
      <c r="AD524" s="116">
        <f t="shared" si="116"/>
        <v>0</v>
      </c>
      <c r="AE524" s="116">
        <f t="shared" si="117"/>
        <v>1399.45</v>
      </c>
    </row>
    <row r="525" spans="1:31">
      <c r="A525" s="131">
        <v>42707</v>
      </c>
      <c r="B525" s="131">
        <v>42738</v>
      </c>
      <c r="C525" s="123">
        <f t="shared" si="108"/>
        <v>31</v>
      </c>
      <c r="D525" s="132">
        <v>819.21</v>
      </c>
      <c r="E525" s="135"/>
      <c r="F525" s="135"/>
      <c r="G525" s="123"/>
      <c r="H525" s="123"/>
      <c r="I525" s="123"/>
      <c r="J525" s="123"/>
      <c r="K525" s="123"/>
      <c r="L525" s="123"/>
      <c r="M525" s="123"/>
      <c r="N525" s="123"/>
      <c r="O525" s="123"/>
      <c r="P525" s="123"/>
      <c r="Q525" s="123">
        <v>29</v>
      </c>
      <c r="R525" s="133">
        <f t="shared" si="119"/>
        <v>0</v>
      </c>
      <c r="S525" s="133"/>
      <c r="T525" s="116">
        <f t="shared" ref="T525:T538" si="120">ROUND((D525*F525/C525)/$C$6,2)</f>
        <v>0</v>
      </c>
      <c r="U525" s="116">
        <f t="shared" si="109"/>
        <v>0</v>
      </c>
      <c r="V525" s="116">
        <f t="shared" si="110"/>
        <v>0</v>
      </c>
      <c r="W525" s="116">
        <f t="shared" si="111"/>
        <v>0</v>
      </c>
      <c r="X525" s="116">
        <f t="shared" si="104"/>
        <v>0</v>
      </c>
      <c r="Y525" s="116">
        <f t="shared" si="105"/>
        <v>0</v>
      </c>
      <c r="Z525" s="116">
        <f t="shared" si="112"/>
        <v>0</v>
      </c>
      <c r="AA525" s="116">
        <f t="shared" si="113"/>
        <v>0</v>
      </c>
      <c r="AB525" s="116">
        <f t="shared" si="114"/>
        <v>0</v>
      </c>
      <c r="AC525" s="116">
        <f t="shared" si="115"/>
        <v>0</v>
      </c>
      <c r="AD525" s="116">
        <f t="shared" si="116"/>
        <v>0</v>
      </c>
      <c r="AE525" s="116">
        <f t="shared" si="117"/>
        <v>7233.88</v>
      </c>
    </row>
    <row r="526" spans="1:31">
      <c r="A526" s="131">
        <v>42723</v>
      </c>
      <c r="B526" s="131">
        <v>42754</v>
      </c>
      <c r="C526" s="123">
        <f t="shared" si="108"/>
        <v>31</v>
      </c>
      <c r="D526" s="132">
        <v>1566.27</v>
      </c>
      <c r="E526" s="135"/>
      <c r="F526" s="135"/>
      <c r="G526" s="123"/>
      <c r="H526" s="123"/>
      <c r="I526" s="123"/>
      <c r="J526" s="123"/>
      <c r="K526" s="123"/>
      <c r="L526" s="123"/>
      <c r="M526" s="123"/>
      <c r="N526" s="123"/>
      <c r="O526" s="123"/>
      <c r="P526" s="123"/>
      <c r="Q526" s="123">
        <v>13</v>
      </c>
      <c r="R526" s="133">
        <f t="shared" si="119"/>
        <v>0</v>
      </c>
      <c r="S526" s="133"/>
      <c r="T526" s="116">
        <f t="shared" si="120"/>
        <v>0</v>
      </c>
      <c r="U526" s="116">
        <f t="shared" si="109"/>
        <v>0</v>
      </c>
      <c r="V526" s="116">
        <f t="shared" si="110"/>
        <v>0</v>
      </c>
      <c r="W526" s="116">
        <f t="shared" si="111"/>
        <v>0</v>
      </c>
      <c r="X526" s="116">
        <f t="shared" si="104"/>
        <v>0</v>
      </c>
      <c r="Y526" s="116">
        <f t="shared" si="105"/>
        <v>0</v>
      </c>
      <c r="Z526" s="116">
        <f t="shared" si="112"/>
        <v>0</v>
      </c>
      <c r="AA526" s="116">
        <f t="shared" si="113"/>
        <v>0</v>
      </c>
      <c r="AB526" s="116">
        <f t="shared" si="114"/>
        <v>0</v>
      </c>
      <c r="AC526" s="116">
        <f t="shared" si="115"/>
        <v>0</v>
      </c>
      <c r="AD526" s="116">
        <f t="shared" si="116"/>
        <v>0</v>
      </c>
      <c r="AE526" s="116">
        <f t="shared" si="117"/>
        <v>6199.95</v>
      </c>
    </row>
    <row r="527" spans="1:31">
      <c r="A527" s="131">
        <v>42723</v>
      </c>
      <c r="B527" s="131">
        <v>42754</v>
      </c>
      <c r="C527" s="123">
        <f t="shared" si="108"/>
        <v>31</v>
      </c>
      <c r="D527" s="132">
        <v>662.01</v>
      </c>
      <c r="E527" s="135"/>
      <c r="F527" s="135"/>
      <c r="G527" s="123"/>
      <c r="H527" s="123"/>
      <c r="I527" s="123"/>
      <c r="J527" s="123"/>
      <c r="K527" s="123"/>
      <c r="L527" s="123"/>
      <c r="M527" s="123"/>
      <c r="N527" s="123"/>
      <c r="O527" s="123"/>
      <c r="P527" s="123"/>
      <c r="Q527" s="123">
        <v>13</v>
      </c>
      <c r="R527" s="133">
        <f t="shared" si="119"/>
        <v>0</v>
      </c>
      <c r="S527" s="133"/>
      <c r="T527" s="116">
        <f t="shared" si="120"/>
        <v>0</v>
      </c>
      <c r="U527" s="116">
        <f t="shared" si="109"/>
        <v>0</v>
      </c>
      <c r="V527" s="116">
        <f t="shared" si="110"/>
        <v>0</v>
      </c>
      <c r="W527" s="116">
        <f t="shared" si="111"/>
        <v>0</v>
      </c>
      <c r="X527" s="116">
        <f t="shared" si="104"/>
        <v>0</v>
      </c>
      <c r="Y527" s="116">
        <f t="shared" si="105"/>
        <v>0</v>
      </c>
      <c r="Z527" s="116">
        <f t="shared" si="112"/>
        <v>0</v>
      </c>
      <c r="AA527" s="116">
        <f t="shared" si="113"/>
        <v>0</v>
      </c>
      <c r="AB527" s="116">
        <f t="shared" si="114"/>
        <v>0</v>
      </c>
      <c r="AC527" s="116">
        <f t="shared" si="115"/>
        <v>0</v>
      </c>
      <c r="AD527" s="116">
        <f t="shared" si="116"/>
        <v>0</v>
      </c>
      <c r="AE527" s="116">
        <f t="shared" si="117"/>
        <v>2620.5100000000002</v>
      </c>
    </row>
    <row r="528" spans="1:31">
      <c r="A528" s="131">
        <v>42719</v>
      </c>
      <c r="B528" s="131">
        <v>42750</v>
      </c>
      <c r="C528" s="123">
        <f t="shared" si="108"/>
        <v>31</v>
      </c>
      <c r="D528" s="132">
        <v>7460.52</v>
      </c>
      <c r="E528" s="135"/>
      <c r="F528" s="135"/>
      <c r="G528" s="123"/>
      <c r="H528" s="123"/>
      <c r="I528" s="123"/>
      <c r="J528" s="123"/>
      <c r="K528" s="123"/>
      <c r="L528" s="123"/>
      <c r="M528" s="123"/>
      <c r="N528" s="123"/>
      <c r="O528" s="123"/>
      <c r="P528" s="123"/>
      <c r="Q528" s="123">
        <v>17</v>
      </c>
      <c r="R528" s="133">
        <f t="shared" si="119"/>
        <v>0</v>
      </c>
      <c r="S528" s="133"/>
      <c r="T528" s="116">
        <f t="shared" si="120"/>
        <v>0</v>
      </c>
      <c r="U528" s="116">
        <f t="shared" si="109"/>
        <v>0</v>
      </c>
      <c r="V528" s="116">
        <f t="shared" si="110"/>
        <v>0</v>
      </c>
      <c r="W528" s="116">
        <f t="shared" si="111"/>
        <v>0</v>
      </c>
      <c r="X528" s="116">
        <f t="shared" si="104"/>
        <v>0</v>
      </c>
      <c r="Y528" s="116">
        <f t="shared" si="105"/>
        <v>0</v>
      </c>
      <c r="Z528" s="116">
        <f t="shared" si="112"/>
        <v>0</v>
      </c>
      <c r="AA528" s="116">
        <f t="shared" si="113"/>
        <v>0</v>
      </c>
      <c r="AB528" s="116">
        <f t="shared" si="114"/>
        <v>0</v>
      </c>
      <c r="AC528" s="116">
        <f t="shared" si="115"/>
        <v>0</v>
      </c>
      <c r="AD528" s="116">
        <f t="shared" si="116"/>
        <v>0</v>
      </c>
      <c r="AE528" s="116">
        <f t="shared" si="117"/>
        <v>38618.589999999997</v>
      </c>
    </row>
    <row r="529" spans="1:32">
      <c r="A529" s="131">
        <v>42719</v>
      </c>
      <c r="B529" s="131">
        <v>42750</v>
      </c>
      <c r="C529" s="123">
        <f t="shared" si="108"/>
        <v>31</v>
      </c>
      <c r="D529" s="132">
        <v>43960.160000000003</v>
      </c>
      <c r="E529" s="135"/>
      <c r="F529" s="135"/>
      <c r="G529" s="123"/>
      <c r="H529" s="123"/>
      <c r="I529" s="123"/>
      <c r="J529" s="123"/>
      <c r="K529" s="123"/>
      <c r="L529" s="123"/>
      <c r="M529" s="123"/>
      <c r="N529" s="123"/>
      <c r="O529" s="123"/>
      <c r="P529" s="123"/>
      <c r="Q529" s="123">
        <v>17</v>
      </c>
      <c r="R529" s="133">
        <f t="shared" si="119"/>
        <v>0</v>
      </c>
      <c r="S529" s="133"/>
      <c r="T529" s="116">
        <f t="shared" si="120"/>
        <v>0</v>
      </c>
      <c r="U529" s="116">
        <f t="shared" si="109"/>
        <v>0</v>
      </c>
      <c r="V529" s="116">
        <f t="shared" si="110"/>
        <v>0</v>
      </c>
      <c r="W529" s="116">
        <f t="shared" si="111"/>
        <v>0</v>
      </c>
      <c r="X529" s="116">
        <f t="shared" si="104"/>
        <v>0</v>
      </c>
      <c r="Y529" s="116">
        <f t="shared" si="105"/>
        <v>0</v>
      </c>
      <c r="Z529" s="116">
        <f t="shared" si="112"/>
        <v>0</v>
      </c>
      <c r="AA529" s="116">
        <f t="shared" si="113"/>
        <v>0</v>
      </c>
      <c r="AB529" s="116">
        <f t="shared" si="114"/>
        <v>0</v>
      </c>
      <c r="AC529" s="116">
        <f t="shared" si="115"/>
        <v>0</v>
      </c>
      <c r="AD529" s="116">
        <f t="shared" si="116"/>
        <v>0</v>
      </c>
      <c r="AE529" s="116">
        <f t="shared" si="117"/>
        <v>227555.07</v>
      </c>
    </row>
    <row r="530" spans="1:32">
      <c r="A530" s="131">
        <v>42719</v>
      </c>
      <c r="B530" s="131">
        <v>42750</v>
      </c>
      <c r="C530" s="123">
        <f t="shared" si="108"/>
        <v>31</v>
      </c>
      <c r="D530" s="132">
        <v>2701.36</v>
      </c>
      <c r="E530" s="135"/>
      <c r="F530" s="135"/>
      <c r="G530" s="123"/>
      <c r="H530" s="123"/>
      <c r="I530" s="123"/>
      <c r="J530" s="123"/>
      <c r="K530" s="123"/>
      <c r="L530" s="123"/>
      <c r="M530" s="123"/>
      <c r="N530" s="123"/>
      <c r="O530" s="123"/>
      <c r="P530" s="123"/>
      <c r="Q530" s="123">
        <v>17</v>
      </c>
      <c r="R530" s="133">
        <f t="shared" si="119"/>
        <v>0</v>
      </c>
      <c r="S530" s="133"/>
      <c r="T530" s="116">
        <f t="shared" si="120"/>
        <v>0</v>
      </c>
      <c r="U530" s="116">
        <f t="shared" si="109"/>
        <v>0</v>
      </c>
      <c r="V530" s="116">
        <f t="shared" si="110"/>
        <v>0</v>
      </c>
      <c r="W530" s="116">
        <f t="shared" si="111"/>
        <v>0</v>
      </c>
      <c r="X530" s="116">
        <f t="shared" si="104"/>
        <v>0</v>
      </c>
      <c r="Y530" s="116">
        <f t="shared" si="105"/>
        <v>0</v>
      </c>
      <c r="Z530" s="116">
        <f t="shared" si="112"/>
        <v>0</v>
      </c>
      <c r="AA530" s="116">
        <f t="shared" si="113"/>
        <v>0</v>
      </c>
      <c r="AB530" s="116">
        <f t="shared" si="114"/>
        <v>0</v>
      </c>
      <c r="AC530" s="116">
        <f t="shared" si="115"/>
        <v>0</v>
      </c>
      <c r="AD530" s="116">
        <f t="shared" si="116"/>
        <v>0</v>
      </c>
      <c r="AE530" s="116">
        <f t="shared" si="117"/>
        <v>13983.3</v>
      </c>
    </row>
    <row r="531" spans="1:32">
      <c r="A531" s="131">
        <v>42726</v>
      </c>
      <c r="B531" s="131">
        <v>42757</v>
      </c>
      <c r="C531" s="123">
        <f t="shared" si="108"/>
        <v>31</v>
      </c>
      <c r="D531" s="132">
        <v>219416.93</v>
      </c>
      <c r="E531" s="135"/>
      <c r="F531" s="135"/>
      <c r="G531" s="123"/>
      <c r="H531" s="123"/>
      <c r="I531" s="123"/>
      <c r="J531" s="123"/>
      <c r="K531" s="123"/>
      <c r="L531" s="123"/>
      <c r="M531" s="123"/>
      <c r="N531" s="123"/>
      <c r="O531" s="123"/>
      <c r="P531" s="123"/>
      <c r="Q531" s="123">
        <v>10</v>
      </c>
      <c r="R531" s="133">
        <f t="shared" si="119"/>
        <v>0</v>
      </c>
      <c r="S531" s="133"/>
      <c r="T531" s="116">
        <f t="shared" si="120"/>
        <v>0</v>
      </c>
      <c r="U531" s="116">
        <f t="shared" si="109"/>
        <v>0</v>
      </c>
      <c r="V531" s="116">
        <f t="shared" si="110"/>
        <v>0</v>
      </c>
      <c r="W531" s="116">
        <f t="shared" si="111"/>
        <v>0</v>
      </c>
      <c r="X531" s="116">
        <f t="shared" si="104"/>
        <v>0</v>
      </c>
      <c r="Y531" s="116">
        <f t="shared" si="105"/>
        <v>0</v>
      </c>
      <c r="Z531" s="116">
        <f t="shared" si="112"/>
        <v>0</v>
      </c>
      <c r="AA531" s="116">
        <f t="shared" si="113"/>
        <v>0</v>
      </c>
      <c r="AB531" s="116">
        <f t="shared" si="114"/>
        <v>0</v>
      </c>
      <c r="AC531" s="116">
        <f t="shared" si="115"/>
        <v>0</v>
      </c>
      <c r="AD531" s="116">
        <f t="shared" si="116"/>
        <v>0</v>
      </c>
      <c r="AE531" s="116">
        <v>929974.79</v>
      </c>
    </row>
    <row r="532" spans="1:32">
      <c r="A532" s="131">
        <v>42730</v>
      </c>
      <c r="B532" s="131">
        <v>42761</v>
      </c>
      <c r="C532" s="123">
        <f t="shared" si="108"/>
        <v>31</v>
      </c>
      <c r="D532" s="132">
        <v>1364.38</v>
      </c>
      <c r="E532" s="135"/>
      <c r="F532" s="135"/>
      <c r="G532" s="123"/>
      <c r="H532" s="123"/>
      <c r="I532" s="123"/>
      <c r="J532" s="123"/>
      <c r="K532" s="123"/>
      <c r="L532" s="123"/>
      <c r="M532" s="123"/>
      <c r="N532" s="123"/>
      <c r="O532" s="123"/>
      <c r="P532" s="123"/>
      <c r="Q532" s="123">
        <v>6</v>
      </c>
      <c r="R532" s="133">
        <f t="shared" si="119"/>
        <v>0</v>
      </c>
      <c r="S532" s="133"/>
      <c r="T532" s="116">
        <f t="shared" si="120"/>
        <v>0</v>
      </c>
      <c r="U532" s="116">
        <f t="shared" si="109"/>
        <v>0</v>
      </c>
      <c r="V532" s="116">
        <f t="shared" si="110"/>
        <v>0</v>
      </c>
      <c r="W532" s="116">
        <f t="shared" si="111"/>
        <v>0</v>
      </c>
      <c r="X532" s="116">
        <f t="shared" si="104"/>
        <v>0</v>
      </c>
      <c r="Y532" s="116">
        <f t="shared" si="105"/>
        <v>0</v>
      </c>
      <c r="Z532" s="116">
        <f t="shared" si="112"/>
        <v>0</v>
      </c>
      <c r="AA532" s="116">
        <f t="shared" si="113"/>
        <v>0</v>
      </c>
      <c r="AB532" s="116">
        <f t="shared" si="114"/>
        <v>0</v>
      </c>
      <c r="AC532" s="116">
        <f t="shared" si="115"/>
        <v>0</v>
      </c>
      <c r="AD532" s="116">
        <f t="shared" si="116"/>
        <v>0</v>
      </c>
      <c r="AE532" s="116">
        <f t="shared" si="117"/>
        <v>2492.67</v>
      </c>
    </row>
    <row r="533" spans="1:32">
      <c r="A533" s="131">
        <v>42730</v>
      </c>
      <c r="B533" s="131">
        <v>42761</v>
      </c>
      <c r="C533" s="123">
        <f t="shared" si="108"/>
        <v>31</v>
      </c>
      <c r="D533" s="132">
        <v>1039.8</v>
      </c>
      <c r="E533" s="135"/>
      <c r="F533" s="135"/>
      <c r="G533" s="123"/>
      <c r="H533" s="123"/>
      <c r="I533" s="123"/>
      <c r="J533" s="123"/>
      <c r="K533" s="123"/>
      <c r="L533" s="123"/>
      <c r="M533" s="123"/>
      <c r="N533" s="123"/>
      <c r="O533" s="123"/>
      <c r="P533" s="123"/>
      <c r="Q533" s="123">
        <v>6</v>
      </c>
      <c r="R533" s="133">
        <f t="shared" si="119"/>
        <v>0</v>
      </c>
      <c r="S533" s="133"/>
      <c r="T533" s="116">
        <f t="shared" si="120"/>
        <v>0</v>
      </c>
      <c r="U533" s="116">
        <f t="shared" si="109"/>
        <v>0</v>
      </c>
      <c r="V533" s="116">
        <f t="shared" si="110"/>
        <v>0</v>
      </c>
      <c r="W533" s="116">
        <f t="shared" si="111"/>
        <v>0</v>
      </c>
      <c r="X533" s="116">
        <f t="shared" si="104"/>
        <v>0</v>
      </c>
      <c r="Y533" s="116">
        <f t="shared" si="105"/>
        <v>0</v>
      </c>
      <c r="Z533" s="116">
        <f t="shared" si="112"/>
        <v>0</v>
      </c>
      <c r="AA533" s="116">
        <f t="shared" si="113"/>
        <v>0</v>
      </c>
      <c r="AB533" s="116">
        <f t="shared" si="114"/>
        <v>0</v>
      </c>
      <c r="AC533" s="116">
        <f t="shared" si="115"/>
        <v>0</v>
      </c>
      <c r="AD533" s="116">
        <f t="shared" si="116"/>
        <v>0</v>
      </c>
      <c r="AE533" s="116">
        <f t="shared" si="117"/>
        <v>1899.68</v>
      </c>
    </row>
    <row r="534" spans="1:32">
      <c r="A534" s="131">
        <v>42732</v>
      </c>
      <c r="B534" s="131">
        <v>42763</v>
      </c>
      <c r="C534" s="123">
        <f t="shared" si="108"/>
        <v>31</v>
      </c>
      <c r="D534" s="132">
        <v>1203.8800000000001</v>
      </c>
      <c r="E534" s="135"/>
      <c r="F534" s="135"/>
      <c r="G534" s="123"/>
      <c r="H534" s="123"/>
      <c r="I534" s="123"/>
      <c r="J534" s="123"/>
      <c r="K534" s="123"/>
      <c r="L534" s="123"/>
      <c r="M534" s="123"/>
      <c r="N534" s="123"/>
      <c r="O534" s="123"/>
      <c r="P534" s="123"/>
      <c r="Q534" s="123">
        <v>4</v>
      </c>
      <c r="R534" s="133">
        <f t="shared" si="119"/>
        <v>0</v>
      </c>
      <c r="S534" s="133"/>
      <c r="T534" s="116">
        <f t="shared" si="120"/>
        <v>0</v>
      </c>
      <c r="U534" s="116">
        <f t="shared" si="109"/>
        <v>0</v>
      </c>
      <c r="V534" s="116">
        <f t="shared" si="110"/>
        <v>0</v>
      </c>
      <c r="W534" s="116">
        <f t="shared" si="111"/>
        <v>0</v>
      </c>
      <c r="X534" s="116">
        <f t="shared" si="104"/>
        <v>0</v>
      </c>
      <c r="Y534" s="116">
        <f t="shared" si="105"/>
        <v>0</v>
      </c>
      <c r="Z534" s="116">
        <f t="shared" si="112"/>
        <v>0</v>
      </c>
      <c r="AA534" s="116">
        <f t="shared" si="113"/>
        <v>0</v>
      </c>
      <c r="AB534" s="116">
        <f t="shared" si="114"/>
        <v>0</v>
      </c>
      <c r="AC534" s="116">
        <f t="shared" si="115"/>
        <v>0</v>
      </c>
      <c r="AD534" s="116">
        <f t="shared" si="116"/>
        <v>0</v>
      </c>
      <c r="AE534" s="116">
        <f t="shared" si="117"/>
        <v>1466.3</v>
      </c>
    </row>
    <row r="535" spans="1:32">
      <c r="A535" s="131">
        <v>42732</v>
      </c>
      <c r="B535" s="131">
        <v>42763</v>
      </c>
      <c r="C535" s="123">
        <f t="shared" si="108"/>
        <v>31</v>
      </c>
      <c r="D535" s="132">
        <v>243.84</v>
      </c>
      <c r="E535" s="135"/>
      <c r="F535" s="135"/>
      <c r="G535" s="123"/>
      <c r="H535" s="123"/>
      <c r="I535" s="123"/>
      <c r="J535" s="123"/>
      <c r="K535" s="123"/>
      <c r="L535" s="123"/>
      <c r="M535" s="123"/>
      <c r="N535" s="123"/>
      <c r="O535" s="123"/>
      <c r="P535" s="123"/>
      <c r="Q535" s="123">
        <v>4</v>
      </c>
      <c r="R535" s="133">
        <f t="shared" si="119"/>
        <v>0</v>
      </c>
      <c r="S535" s="133"/>
      <c r="T535" s="116">
        <f t="shared" si="120"/>
        <v>0</v>
      </c>
      <c r="U535" s="116">
        <f t="shared" si="109"/>
        <v>0</v>
      </c>
      <c r="V535" s="116">
        <f t="shared" si="110"/>
        <v>0</v>
      </c>
      <c r="W535" s="116">
        <f t="shared" si="111"/>
        <v>0</v>
      </c>
      <c r="X535" s="116">
        <f t="shared" si="104"/>
        <v>0</v>
      </c>
      <c r="Y535" s="116">
        <f t="shared" si="105"/>
        <v>0</v>
      </c>
      <c r="Z535" s="116">
        <f t="shared" si="112"/>
        <v>0</v>
      </c>
      <c r="AA535" s="116">
        <f t="shared" si="113"/>
        <v>0</v>
      </c>
      <c r="AB535" s="116">
        <f t="shared" si="114"/>
        <v>0</v>
      </c>
      <c r="AC535" s="116">
        <f t="shared" si="115"/>
        <v>0</v>
      </c>
      <c r="AD535" s="116">
        <f t="shared" si="116"/>
        <v>0</v>
      </c>
      <c r="AE535" s="116">
        <f t="shared" si="117"/>
        <v>296.99</v>
      </c>
    </row>
    <row r="536" spans="1:32">
      <c r="A536" s="131">
        <v>42730</v>
      </c>
      <c r="B536" s="131">
        <v>42761</v>
      </c>
      <c r="C536" s="123">
        <f t="shared" si="108"/>
        <v>31</v>
      </c>
      <c r="D536" s="132">
        <v>19.3</v>
      </c>
      <c r="E536" s="135"/>
      <c r="F536" s="135"/>
      <c r="G536" s="123"/>
      <c r="H536" s="123"/>
      <c r="I536" s="123"/>
      <c r="J536" s="123"/>
      <c r="K536" s="123"/>
      <c r="L536" s="123"/>
      <c r="M536" s="123"/>
      <c r="N536" s="123"/>
      <c r="O536" s="123"/>
      <c r="P536" s="123"/>
      <c r="Q536" s="123">
        <v>6</v>
      </c>
      <c r="R536" s="133">
        <f t="shared" si="119"/>
        <v>0</v>
      </c>
      <c r="S536" s="133"/>
      <c r="T536" s="116">
        <f t="shared" si="120"/>
        <v>0</v>
      </c>
      <c r="U536" s="116">
        <f t="shared" si="109"/>
        <v>0</v>
      </c>
      <c r="V536" s="116">
        <f t="shared" si="110"/>
        <v>0</v>
      </c>
      <c r="W536" s="116">
        <f t="shared" si="111"/>
        <v>0</v>
      </c>
      <c r="X536" s="116">
        <f t="shared" si="104"/>
        <v>0</v>
      </c>
      <c r="Y536" s="116">
        <f t="shared" si="105"/>
        <v>0</v>
      </c>
      <c r="Z536" s="116">
        <f t="shared" si="112"/>
        <v>0</v>
      </c>
      <c r="AA536" s="116">
        <f t="shared" si="113"/>
        <v>0</v>
      </c>
      <c r="AB536" s="116">
        <f t="shared" si="114"/>
        <v>0</v>
      </c>
      <c r="AC536" s="116">
        <f t="shared" si="115"/>
        <v>0</v>
      </c>
      <c r="AD536" s="116">
        <f t="shared" si="116"/>
        <v>0</v>
      </c>
      <c r="AE536" s="116">
        <f t="shared" si="117"/>
        <v>35.26</v>
      </c>
    </row>
    <row r="537" spans="1:32">
      <c r="A537" s="131">
        <v>42732</v>
      </c>
      <c r="B537" s="131">
        <v>42762</v>
      </c>
      <c r="C537" s="123">
        <f t="shared" si="108"/>
        <v>30</v>
      </c>
      <c r="D537" s="132">
        <v>6907.84</v>
      </c>
      <c r="E537" s="135"/>
      <c r="F537" s="135"/>
      <c r="G537" s="123"/>
      <c r="H537" s="123"/>
      <c r="I537" s="123"/>
      <c r="J537" s="123"/>
      <c r="K537" s="123"/>
      <c r="L537" s="123"/>
      <c r="M537" s="123"/>
      <c r="N537" s="123"/>
      <c r="O537" s="123"/>
      <c r="P537" s="123"/>
      <c r="Q537" s="123">
        <v>4</v>
      </c>
      <c r="R537" s="133">
        <f t="shared" si="119"/>
        <v>0</v>
      </c>
      <c r="S537" s="133"/>
      <c r="T537" s="116">
        <f t="shared" si="120"/>
        <v>0</v>
      </c>
      <c r="U537" s="116">
        <f t="shared" si="109"/>
        <v>0</v>
      </c>
      <c r="V537" s="116">
        <f t="shared" si="110"/>
        <v>0</v>
      </c>
      <c r="W537" s="116">
        <f t="shared" si="111"/>
        <v>0</v>
      </c>
      <c r="X537" s="116">
        <f t="shared" si="104"/>
        <v>0</v>
      </c>
      <c r="Y537" s="116">
        <f t="shared" si="105"/>
        <v>0</v>
      </c>
      <c r="Z537" s="116">
        <f t="shared" si="112"/>
        <v>0</v>
      </c>
      <c r="AA537" s="116">
        <f t="shared" si="113"/>
        <v>0</v>
      </c>
      <c r="AB537" s="116">
        <f t="shared" si="114"/>
        <v>0</v>
      </c>
      <c r="AC537" s="116">
        <f t="shared" si="115"/>
        <v>0</v>
      </c>
      <c r="AD537" s="116">
        <f t="shared" si="116"/>
        <v>0</v>
      </c>
      <c r="AE537" s="116">
        <v>17134.21</v>
      </c>
    </row>
    <row r="538" spans="1:32">
      <c r="A538" s="131">
        <v>42723</v>
      </c>
      <c r="B538" s="131">
        <v>42754</v>
      </c>
      <c r="C538" s="123">
        <f t="shared" si="108"/>
        <v>31</v>
      </c>
      <c r="D538" s="132">
        <v>544.61</v>
      </c>
      <c r="E538" s="135"/>
      <c r="F538" s="135"/>
      <c r="G538" s="123"/>
      <c r="H538" s="123"/>
      <c r="I538" s="123"/>
      <c r="J538" s="123"/>
      <c r="K538" s="123"/>
      <c r="L538" s="123"/>
      <c r="M538" s="123"/>
      <c r="N538" s="123"/>
      <c r="O538" s="123"/>
      <c r="P538" s="123"/>
      <c r="Q538" s="123">
        <v>13</v>
      </c>
      <c r="R538" s="133">
        <f t="shared" si="119"/>
        <v>0</v>
      </c>
      <c r="S538" s="133"/>
      <c r="T538" s="136">
        <f t="shared" si="120"/>
        <v>0</v>
      </c>
      <c r="U538" s="136">
        <f t="shared" si="109"/>
        <v>0</v>
      </c>
      <c r="V538" s="136">
        <f t="shared" si="110"/>
        <v>0</v>
      </c>
      <c r="W538" s="136">
        <f t="shared" si="111"/>
        <v>0</v>
      </c>
      <c r="X538" s="136">
        <f t="shared" si="104"/>
        <v>0</v>
      </c>
      <c r="Y538" s="136">
        <f t="shared" si="105"/>
        <v>0</v>
      </c>
      <c r="Z538" s="136">
        <f t="shared" si="112"/>
        <v>0</v>
      </c>
      <c r="AA538" s="136">
        <f t="shared" si="113"/>
        <v>0</v>
      </c>
      <c r="AB538" s="136">
        <f t="shared" si="114"/>
        <v>0</v>
      </c>
      <c r="AC538" s="136">
        <f t="shared" si="115"/>
        <v>0</v>
      </c>
      <c r="AD538" s="136">
        <f t="shared" si="116"/>
        <v>0</v>
      </c>
      <c r="AE538" s="136">
        <f t="shared" si="117"/>
        <v>2155.79</v>
      </c>
    </row>
    <row r="539" spans="1:32">
      <c r="B539" s="135"/>
      <c r="C539" s="135"/>
      <c r="D539" s="110"/>
      <c r="E539" s="110"/>
      <c r="F539" s="123"/>
      <c r="G539" s="123"/>
      <c r="H539" s="123"/>
      <c r="I539" s="123"/>
      <c r="J539" s="123"/>
      <c r="K539" s="123"/>
      <c r="L539" s="123"/>
      <c r="M539" s="123"/>
      <c r="N539" s="123"/>
      <c r="O539" s="123"/>
      <c r="P539" s="123"/>
      <c r="Q539" s="123"/>
      <c r="R539" s="110"/>
      <c r="S539" s="110"/>
      <c r="T539" s="116"/>
      <c r="U539" s="116"/>
      <c r="V539" s="116"/>
      <c r="W539" s="116"/>
      <c r="X539" s="116"/>
      <c r="Y539" s="116"/>
      <c r="Z539" s="116"/>
      <c r="AA539" s="116"/>
      <c r="AB539" s="116"/>
      <c r="AC539" s="116"/>
      <c r="AD539" s="116"/>
      <c r="AE539" s="116"/>
    </row>
    <row r="540" spans="1:32" ht="15.75" thickBot="1">
      <c r="A540" s="117" t="s">
        <v>50</v>
      </c>
      <c r="B540" s="135"/>
      <c r="C540" s="135"/>
      <c r="F540" s="123">
        <f t="shared" ref="F540:Q540" si="121">COUNT(F47:F538)</f>
        <v>63</v>
      </c>
      <c r="G540" s="123">
        <f t="shared" si="121"/>
        <v>59</v>
      </c>
      <c r="H540" s="123">
        <f t="shared" si="121"/>
        <v>67</v>
      </c>
      <c r="I540" s="123">
        <f t="shared" si="121"/>
        <v>64</v>
      </c>
      <c r="J540" s="123">
        <f t="shared" si="121"/>
        <v>60</v>
      </c>
      <c r="K540" s="123">
        <f t="shared" si="121"/>
        <v>67</v>
      </c>
      <c r="L540" s="123">
        <f t="shared" si="121"/>
        <v>71</v>
      </c>
      <c r="M540" s="123">
        <f t="shared" si="121"/>
        <v>65</v>
      </c>
      <c r="N540" s="123">
        <f t="shared" si="121"/>
        <v>73</v>
      </c>
      <c r="O540" s="123">
        <f t="shared" si="121"/>
        <v>68</v>
      </c>
      <c r="P540" s="123">
        <f t="shared" si="121"/>
        <v>66</v>
      </c>
      <c r="Q540" s="123">
        <f t="shared" si="121"/>
        <v>64</v>
      </c>
      <c r="R540" s="110"/>
      <c r="S540" s="110"/>
      <c r="T540" s="137">
        <f t="shared" ref="T540:AE540" si="122">SUM(T47:T539)</f>
        <v>6006489.759999997</v>
      </c>
      <c r="U540" s="137">
        <f t="shared" si="122"/>
        <v>5847441.6800000016</v>
      </c>
      <c r="V540" s="137">
        <f t="shared" si="122"/>
        <v>5998838.1599999974</v>
      </c>
      <c r="W540" s="137">
        <f t="shared" si="122"/>
        <v>5213063.8899999997</v>
      </c>
      <c r="X540" s="137">
        <f t="shared" si="122"/>
        <v>5257310.9000000022</v>
      </c>
      <c r="Y540" s="137">
        <f t="shared" si="122"/>
        <v>5544652.3499999978</v>
      </c>
      <c r="Z540" s="137">
        <f t="shared" si="122"/>
        <v>6026916.8099999987</v>
      </c>
      <c r="AA540" s="137">
        <f t="shared" si="122"/>
        <v>6818351.6499999985</v>
      </c>
      <c r="AB540" s="137">
        <f t="shared" si="122"/>
        <v>5564335.4200000046</v>
      </c>
      <c r="AC540" s="137">
        <f t="shared" si="122"/>
        <v>5949552.1400000015</v>
      </c>
      <c r="AD540" s="137">
        <f t="shared" si="122"/>
        <v>6729931.5999999996</v>
      </c>
      <c r="AE540" s="137">
        <f t="shared" si="122"/>
        <v>6510291.9399999995</v>
      </c>
      <c r="AF540" s="141"/>
    </row>
    <row r="541" spans="1:32" ht="15.75" thickTop="1">
      <c r="B541" s="135"/>
      <c r="C541" s="135"/>
      <c r="R541" s="113" t="s">
        <v>220</v>
      </c>
      <c r="U541" s="138">
        <f>U540-T540</f>
        <v>-159048.07999999542</v>
      </c>
      <c r="V541" s="138">
        <f t="shared" ref="V541:AE541" si="123">V540-U540</f>
        <v>151396.47999999579</v>
      </c>
      <c r="W541" s="138">
        <f t="shared" si="123"/>
        <v>-785774.26999999769</v>
      </c>
      <c r="X541" s="138">
        <f t="shared" si="123"/>
        <v>44247.01000000257</v>
      </c>
      <c r="Y541" s="138">
        <f t="shared" si="123"/>
        <v>287341.44999999553</v>
      </c>
      <c r="Z541" s="138">
        <f t="shared" si="123"/>
        <v>482264.46000000089</v>
      </c>
      <c r="AA541" s="138">
        <f t="shared" si="123"/>
        <v>791434.83999999985</v>
      </c>
      <c r="AB541" s="138">
        <f t="shared" si="123"/>
        <v>-1254016.2299999939</v>
      </c>
      <c r="AC541" s="138">
        <f t="shared" si="123"/>
        <v>385216.71999999695</v>
      </c>
      <c r="AD541" s="138">
        <f t="shared" si="123"/>
        <v>780379.4599999981</v>
      </c>
      <c r="AE541" s="138">
        <f t="shared" si="123"/>
        <v>-219639.66000000015</v>
      </c>
    </row>
    <row r="542" spans="1:32">
      <c r="B542" s="135"/>
      <c r="C542" s="135"/>
      <c r="R542" s="113" t="s">
        <v>221</v>
      </c>
      <c r="U542" s="139">
        <f>U541/T540</f>
        <v>-2.6479372537879013E-2</v>
      </c>
      <c r="V542" s="139">
        <f t="shared" ref="V542:AE542" si="124">V541/U540</f>
        <v>2.5891062841689728E-2</v>
      </c>
      <c r="W542" s="139">
        <f t="shared" si="124"/>
        <v>-0.13098774279984876</v>
      </c>
      <c r="X542" s="139">
        <f t="shared" si="124"/>
        <v>8.4877168079370256E-3</v>
      </c>
      <c r="Y542" s="139">
        <f t="shared" si="124"/>
        <v>5.4655593984368589E-2</v>
      </c>
      <c r="Z542" s="139">
        <f t="shared" si="124"/>
        <v>8.6978304419753405E-2</v>
      </c>
      <c r="AA542" s="139">
        <f t="shared" si="124"/>
        <v>0.13131670221278532</v>
      </c>
      <c r="AB542" s="139">
        <f t="shared" si="124"/>
        <v>-0.18391779925284349</v>
      </c>
      <c r="AC542" s="139">
        <f t="shared" si="124"/>
        <v>6.9229600828053003E-2</v>
      </c>
      <c r="AD542" s="139">
        <f t="shared" si="124"/>
        <v>0.13116608471305841</v>
      </c>
      <c r="AE542" s="139">
        <f t="shared" si="124"/>
        <v>-3.263623957188512E-2</v>
      </c>
    </row>
    <row r="543" spans="1:32">
      <c r="B543" s="135"/>
      <c r="C543" s="135"/>
    </row>
    <row r="544" spans="1:32">
      <c r="B544" s="135"/>
      <c r="C544" s="135"/>
    </row>
    <row r="545" spans="2:31">
      <c r="B545" s="135"/>
      <c r="C545" s="135"/>
      <c r="R545" s="113" t="s">
        <v>222</v>
      </c>
      <c r="T545" s="140">
        <v>11512316</v>
      </c>
      <c r="U545" s="140">
        <v>11155793</v>
      </c>
      <c r="V545" s="140">
        <v>8836081</v>
      </c>
      <c r="W545" s="140">
        <v>7189495</v>
      </c>
      <c r="X545" s="140">
        <v>6198898</v>
      </c>
      <c r="Y545" s="140">
        <v>9440909</v>
      </c>
      <c r="Z545" s="140">
        <v>12590544</v>
      </c>
      <c r="AA545" s="140">
        <v>14378475</v>
      </c>
      <c r="AB545" s="140">
        <v>11217316</v>
      </c>
      <c r="AC545" s="140">
        <v>13832754</v>
      </c>
      <c r="AD545" s="140">
        <v>16156779</v>
      </c>
      <c r="AE545" s="140">
        <v>16504763</v>
      </c>
    </row>
    <row r="546" spans="2:31">
      <c r="B546" s="135"/>
      <c r="C546" s="135"/>
      <c r="R546" s="113" t="s">
        <v>223</v>
      </c>
      <c r="T546" s="140">
        <v>3861491</v>
      </c>
      <c r="U546" s="140">
        <v>3599300</v>
      </c>
      <c r="V546" s="140">
        <v>4606360</v>
      </c>
      <c r="W546" s="140">
        <v>4557740</v>
      </c>
      <c r="X546" s="140">
        <v>5096160</v>
      </c>
      <c r="Y546" s="140">
        <v>4372480</v>
      </c>
      <c r="Z546" s="140">
        <v>2969150</v>
      </c>
      <c r="AA546" s="140">
        <v>1791130</v>
      </c>
      <c r="AB546" s="140">
        <v>2181910</v>
      </c>
      <c r="AC546" s="140">
        <v>482680</v>
      </c>
      <c r="AD546" s="140">
        <v>9090</v>
      </c>
      <c r="AE546" s="140">
        <v>1303580</v>
      </c>
    </row>
    <row r="547" spans="2:31">
      <c r="B547" s="135"/>
      <c r="C547" s="135"/>
      <c r="R547" s="113" t="s">
        <v>224</v>
      </c>
      <c r="T547" s="140">
        <v>3103028</v>
      </c>
      <c r="U547" s="140">
        <v>3053336</v>
      </c>
      <c r="V547" s="140">
        <v>3053336</v>
      </c>
      <c r="W547" s="140">
        <v>3238654</v>
      </c>
      <c r="X547" s="140">
        <v>2263877</v>
      </c>
      <c r="Y547" s="140">
        <v>325338</v>
      </c>
      <c r="Z547" s="140">
        <v>343</v>
      </c>
      <c r="AA547" s="140">
        <v>0</v>
      </c>
      <c r="AB547" s="140">
        <v>0</v>
      </c>
      <c r="AC547" s="140">
        <v>0</v>
      </c>
      <c r="AD547" s="140">
        <v>0</v>
      </c>
      <c r="AE547" s="140">
        <v>598714</v>
      </c>
    </row>
    <row r="548" spans="2:31">
      <c r="B548" s="135"/>
      <c r="C548" s="135"/>
      <c r="R548" s="113" t="s">
        <v>225</v>
      </c>
      <c r="T548" s="140">
        <v>263922</v>
      </c>
      <c r="U548" s="141">
        <v>227761</v>
      </c>
      <c r="V548" s="140">
        <v>135957</v>
      </c>
      <c r="W548" s="140">
        <v>191750</v>
      </c>
      <c r="X548" s="140">
        <v>104205</v>
      </c>
      <c r="Y548" s="140">
        <v>0</v>
      </c>
      <c r="Z548" s="140">
        <v>0</v>
      </c>
      <c r="AA548" s="140">
        <v>0</v>
      </c>
      <c r="AB548" s="140">
        <v>0</v>
      </c>
      <c r="AC548" s="140">
        <v>0</v>
      </c>
      <c r="AD548" s="140">
        <v>0</v>
      </c>
      <c r="AE548" s="140">
        <v>0</v>
      </c>
    </row>
    <row r="549" spans="2:31" ht="15.75" thickBot="1">
      <c r="B549" s="135"/>
      <c r="C549" s="135"/>
      <c r="T549" s="142">
        <f>SUM(T545:T548)</f>
        <v>18740757</v>
      </c>
      <c r="U549" s="142">
        <f t="shared" ref="U549:AE549" si="125">SUM(U545:U548)</f>
        <v>18036190</v>
      </c>
      <c r="V549" s="142">
        <f t="shared" si="125"/>
        <v>16631734</v>
      </c>
      <c r="W549" s="142">
        <f t="shared" si="125"/>
        <v>15177639</v>
      </c>
      <c r="X549" s="142">
        <f t="shared" si="125"/>
        <v>13663140</v>
      </c>
      <c r="Y549" s="142">
        <f t="shared" si="125"/>
        <v>14138727</v>
      </c>
      <c r="Z549" s="142">
        <f t="shared" si="125"/>
        <v>15560037</v>
      </c>
      <c r="AA549" s="142">
        <f t="shared" si="125"/>
        <v>16169605</v>
      </c>
      <c r="AB549" s="142">
        <f t="shared" si="125"/>
        <v>13399226</v>
      </c>
      <c r="AC549" s="142">
        <f t="shared" si="125"/>
        <v>14315434</v>
      </c>
      <c r="AD549" s="142">
        <f t="shared" si="125"/>
        <v>16165869</v>
      </c>
      <c r="AE549" s="142">
        <f t="shared" si="125"/>
        <v>18407057</v>
      </c>
    </row>
    <row r="550" spans="2:31" ht="15.75" thickTop="1">
      <c r="B550" s="135"/>
      <c r="C550" s="135"/>
      <c r="R550" s="113" t="s">
        <v>220</v>
      </c>
      <c r="U550" s="138">
        <f>U549-T549</f>
        <v>-704567</v>
      </c>
      <c r="V550" s="138">
        <f t="shared" ref="V550:AE550" si="126">V549-U549</f>
        <v>-1404456</v>
      </c>
      <c r="W550" s="138">
        <f t="shared" si="126"/>
        <v>-1454095</v>
      </c>
      <c r="X550" s="138">
        <f t="shared" si="126"/>
        <v>-1514499</v>
      </c>
      <c r="Y550" s="138">
        <f t="shared" si="126"/>
        <v>475587</v>
      </c>
      <c r="Z550" s="138">
        <f t="shared" si="126"/>
        <v>1421310</v>
      </c>
      <c r="AA550" s="138">
        <f t="shared" si="126"/>
        <v>609568</v>
      </c>
      <c r="AB550" s="138">
        <f t="shared" si="126"/>
        <v>-2770379</v>
      </c>
      <c r="AC550" s="138">
        <f t="shared" si="126"/>
        <v>916208</v>
      </c>
      <c r="AD550" s="138">
        <f t="shared" si="126"/>
        <v>1850435</v>
      </c>
      <c r="AE550" s="138">
        <f t="shared" si="126"/>
        <v>2241188</v>
      </c>
    </row>
    <row r="551" spans="2:31">
      <c r="B551" s="135"/>
      <c r="C551" s="135"/>
      <c r="R551" s="113" t="s">
        <v>221</v>
      </c>
      <c r="U551" s="139">
        <f>U550/T549</f>
        <v>-3.7595439714628393E-2</v>
      </c>
      <c r="V551" s="139">
        <f t="shared" ref="V551:AE551" si="127">V550/U549</f>
        <v>-7.7868773837490066E-2</v>
      </c>
      <c r="W551" s="139">
        <f t="shared" si="127"/>
        <v>-8.7428947576963414E-2</v>
      </c>
      <c r="X551" s="139">
        <f t="shared" si="127"/>
        <v>-9.9784887491394414E-2</v>
      </c>
      <c r="Y551" s="139">
        <f t="shared" si="127"/>
        <v>3.4808030950425742E-2</v>
      </c>
      <c r="Z551" s="139">
        <f t="shared" si="127"/>
        <v>0.10052602331171683</v>
      </c>
      <c r="AA551" s="139">
        <f t="shared" si="127"/>
        <v>3.9175228182298023E-2</v>
      </c>
      <c r="AB551" s="139">
        <f t="shared" si="127"/>
        <v>-0.17133250935938138</v>
      </c>
      <c r="AC551" s="139">
        <f t="shared" si="127"/>
        <v>6.83776809197785E-2</v>
      </c>
      <c r="AD551" s="139">
        <f t="shared" si="127"/>
        <v>0.12926153688389747</v>
      </c>
      <c r="AE551" s="139">
        <f t="shared" si="127"/>
        <v>0.13863702594645547</v>
      </c>
    </row>
    <row r="552" spans="2:31">
      <c r="B552" s="135"/>
      <c r="C552" s="135"/>
    </row>
    <row r="553" spans="2:31">
      <c r="B553" s="135"/>
      <c r="C553" s="135"/>
      <c r="S553" s="143" t="s">
        <v>234</v>
      </c>
      <c r="T553" s="141">
        <f>SUM(T485:T538)</f>
        <v>0</v>
      </c>
      <c r="U553" s="141">
        <f t="shared" ref="U553:AE553" si="128">SUM(U485:U538)</f>
        <v>0</v>
      </c>
      <c r="V553" s="141">
        <f t="shared" si="128"/>
        <v>0</v>
      </c>
      <c r="W553" s="141">
        <f t="shared" si="128"/>
        <v>0</v>
      </c>
      <c r="X553" s="141">
        <f t="shared" si="128"/>
        <v>0</v>
      </c>
      <c r="Y553" s="141">
        <f t="shared" si="128"/>
        <v>0</v>
      </c>
      <c r="Z553" s="141">
        <f t="shared" si="128"/>
        <v>0</v>
      </c>
      <c r="AA553" s="141">
        <f t="shared" si="128"/>
        <v>0</v>
      </c>
      <c r="AB553" s="141">
        <f t="shared" si="128"/>
        <v>0</v>
      </c>
      <c r="AC553" s="141">
        <f t="shared" si="128"/>
        <v>0</v>
      </c>
      <c r="AD553" s="141">
        <f t="shared" si="128"/>
        <v>1095966.46</v>
      </c>
      <c r="AE553" s="141">
        <f t="shared" si="128"/>
        <v>6499091.8999999994</v>
      </c>
    </row>
    <row r="554" spans="2:31">
      <c r="B554" s="135"/>
      <c r="C554" s="135"/>
      <c r="S554" s="143" t="s">
        <v>235</v>
      </c>
      <c r="T554" s="110">
        <f>ROUND($C6*T$553,2)</f>
        <v>0</v>
      </c>
      <c r="U554" s="110">
        <f>ROUND($C7*U$553,2)</f>
        <v>0</v>
      </c>
      <c r="V554" s="110">
        <f>ROUND($C8*V$553,2)</f>
        <v>0</v>
      </c>
      <c r="W554" s="110">
        <f>ROUND($C9*W$553,2)</f>
        <v>0</v>
      </c>
      <c r="X554" s="110">
        <f>ROUND($C10*X$553,2)</f>
        <v>0</v>
      </c>
      <c r="Y554" s="110">
        <f>ROUND($C11*Y$553,2)</f>
        <v>0</v>
      </c>
      <c r="Z554" s="110">
        <f>ROUND($C12*Z$553,2)</f>
        <v>0</v>
      </c>
      <c r="AA554" s="110">
        <f>ROUND($C13*AA$553,2)</f>
        <v>0</v>
      </c>
      <c r="AB554" s="110">
        <f>ROUND($C14*AB$553,2)</f>
        <v>0</v>
      </c>
      <c r="AC554" s="110">
        <f>ROUND($C15*AC$553,2)</f>
        <v>0</v>
      </c>
      <c r="AD554" s="110">
        <f>ROUND($C16*AD$553,2)</f>
        <v>134486.04</v>
      </c>
      <c r="AE554" s="144">
        <f>ROUND($C17*AE$553,2)</f>
        <v>688513.8</v>
      </c>
    </row>
    <row r="555" spans="2:31">
      <c r="B555" s="135"/>
      <c r="C555" s="135"/>
    </row>
    <row r="556" spans="2:31">
      <c r="B556" s="135"/>
      <c r="C556" s="135"/>
      <c r="S556" s="143" t="s">
        <v>236</v>
      </c>
      <c r="AE556" s="116">
        <f>SUM(T554:AE554)</f>
        <v>822999.84000000008</v>
      </c>
    </row>
    <row r="557" spans="2:31">
      <c r="B557" s="135"/>
      <c r="C557" s="135"/>
      <c r="S557" s="143" t="s">
        <v>237</v>
      </c>
      <c r="AE557" s="144">
        <v>913235.76</v>
      </c>
    </row>
    <row r="558" spans="2:31">
      <c r="B558" s="135"/>
      <c r="C558" s="135"/>
    </row>
    <row r="559" spans="2:31" ht="15.75" thickBot="1">
      <c r="B559" s="135"/>
      <c r="C559" s="135"/>
      <c r="S559" s="143" t="s">
        <v>51</v>
      </c>
      <c r="AE559" s="145">
        <f>AE557-AE556</f>
        <v>90235.919999999925</v>
      </c>
    </row>
    <row r="560" spans="2:31" ht="15.75" thickTop="1">
      <c r="B560" s="135"/>
      <c r="C560" s="135"/>
    </row>
    <row r="561" spans="2:3">
      <c r="B561" s="135"/>
      <c r="C561" s="135"/>
    </row>
    <row r="562" spans="2:3">
      <c r="B562" s="135"/>
      <c r="C562" s="135"/>
    </row>
    <row r="563" spans="2:3">
      <c r="B563" s="135"/>
      <c r="C563" s="135"/>
    </row>
    <row r="564" spans="2:3">
      <c r="B564" s="135"/>
      <c r="C564" s="135"/>
    </row>
    <row r="565" spans="2:3">
      <c r="B565" s="135"/>
      <c r="C565" s="135"/>
    </row>
    <row r="566" spans="2:3">
      <c r="B566" s="135"/>
      <c r="C566" s="135"/>
    </row>
    <row r="567" spans="2:3">
      <c r="B567" s="135"/>
      <c r="C567" s="135"/>
    </row>
    <row r="568" spans="2:3">
      <c r="B568" s="135"/>
      <c r="C568" s="135"/>
    </row>
    <row r="569" spans="2:3">
      <c r="B569" s="135"/>
      <c r="C569" s="135"/>
    </row>
    <row r="570" spans="2:3">
      <c r="B570" s="135"/>
      <c r="C570" s="135"/>
    </row>
    <row r="571" spans="2:3">
      <c r="B571" s="135"/>
      <c r="C571" s="135"/>
    </row>
    <row r="572" spans="2:3">
      <c r="B572" s="135"/>
      <c r="C572" s="135"/>
    </row>
    <row r="573" spans="2:3">
      <c r="B573" s="135"/>
      <c r="C573" s="135"/>
    </row>
    <row r="574" spans="2:3">
      <c r="B574" s="135"/>
      <c r="C574" s="135"/>
    </row>
    <row r="575" spans="2:3">
      <c r="B575" s="135"/>
      <c r="C575" s="135"/>
    </row>
    <row r="576" spans="2:3">
      <c r="B576" s="135"/>
      <c r="C576" s="135"/>
    </row>
    <row r="577" spans="2:3">
      <c r="B577" s="135"/>
      <c r="C577" s="135"/>
    </row>
    <row r="578" spans="2:3">
      <c r="B578" s="135"/>
      <c r="C578" s="135"/>
    </row>
    <row r="579" spans="2:3">
      <c r="B579" s="135"/>
      <c r="C579" s="135"/>
    </row>
    <row r="580" spans="2:3">
      <c r="B580" s="135"/>
      <c r="C580" s="135"/>
    </row>
    <row r="581" spans="2:3">
      <c r="B581" s="135"/>
      <c r="C581" s="135"/>
    </row>
    <row r="582" spans="2:3">
      <c r="B582" s="135"/>
      <c r="C582" s="135"/>
    </row>
    <row r="583" spans="2:3">
      <c r="B583" s="135"/>
      <c r="C583" s="135"/>
    </row>
    <row r="584" spans="2:3">
      <c r="B584" s="135"/>
      <c r="C584" s="135"/>
    </row>
    <row r="585" spans="2:3">
      <c r="B585" s="135"/>
      <c r="C585" s="135"/>
    </row>
    <row r="586" spans="2:3">
      <c r="B586" s="135"/>
      <c r="C586" s="135"/>
    </row>
    <row r="587" spans="2:3">
      <c r="B587" s="135"/>
      <c r="C587" s="135"/>
    </row>
    <row r="588" spans="2:3">
      <c r="B588" s="135"/>
      <c r="C588" s="135"/>
    </row>
    <row r="589" spans="2:3">
      <c r="B589" s="135"/>
      <c r="C589" s="135"/>
    </row>
    <row r="590" spans="2:3">
      <c r="B590" s="135"/>
      <c r="C590" s="135"/>
    </row>
    <row r="591" spans="2:3">
      <c r="B591" s="135"/>
      <c r="C591" s="135"/>
    </row>
    <row r="592" spans="2:3">
      <c r="B592" s="135"/>
      <c r="C592" s="135"/>
    </row>
    <row r="593" spans="2:3">
      <c r="B593" s="135"/>
      <c r="C593" s="135"/>
    </row>
    <row r="594" spans="2:3">
      <c r="B594" s="135"/>
      <c r="C594" s="135"/>
    </row>
    <row r="595" spans="2:3">
      <c r="B595" s="135"/>
      <c r="C595" s="135"/>
    </row>
    <row r="596" spans="2:3">
      <c r="B596" s="135"/>
      <c r="C596" s="135"/>
    </row>
    <row r="597" spans="2:3">
      <c r="B597" s="135"/>
      <c r="C597" s="135"/>
    </row>
    <row r="598" spans="2:3">
      <c r="B598" s="135"/>
      <c r="C598" s="135"/>
    </row>
    <row r="599" spans="2:3">
      <c r="B599" s="135"/>
      <c r="C599" s="135"/>
    </row>
    <row r="600" spans="2:3">
      <c r="B600" s="135"/>
      <c r="C600" s="135"/>
    </row>
    <row r="601" spans="2:3">
      <c r="B601" s="135"/>
      <c r="C601" s="135"/>
    </row>
    <row r="602" spans="2:3">
      <c r="B602" s="135"/>
      <c r="C602" s="135"/>
    </row>
    <row r="603" spans="2:3">
      <c r="B603" s="135"/>
      <c r="C603" s="135"/>
    </row>
    <row r="604" spans="2:3">
      <c r="B604" s="135"/>
      <c r="C604" s="135"/>
    </row>
    <row r="605" spans="2:3">
      <c r="B605" s="135"/>
      <c r="C605" s="135"/>
    </row>
    <row r="606" spans="2:3">
      <c r="B606" s="135"/>
      <c r="C606" s="135"/>
    </row>
    <row r="607" spans="2:3">
      <c r="B607" s="135"/>
      <c r="C607" s="135"/>
    </row>
    <row r="608" spans="2:3">
      <c r="B608" s="135"/>
      <c r="C608" s="135"/>
    </row>
    <row r="609" spans="2:3">
      <c r="B609" s="135"/>
      <c r="C609" s="135"/>
    </row>
    <row r="610" spans="2:3">
      <c r="B610" s="135"/>
      <c r="C610" s="135"/>
    </row>
    <row r="611" spans="2:3">
      <c r="B611" s="135"/>
      <c r="C611" s="135"/>
    </row>
    <row r="612" spans="2:3">
      <c r="B612" s="135"/>
      <c r="C612" s="135"/>
    </row>
    <row r="613" spans="2:3">
      <c r="B613" s="135"/>
      <c r="C613" s="135"/>
    </row>
    <row r="614" spans="2:3">
      <c r="B614" s="135"/>
      <c r="C614" s="135"/>
    </row>
    <row r="615" spans="2:3">
      <c r="B615" s="135"/>
      <c r="C615" s="135"/>
    </row>
    <row r="616" spans="2:3">
      <c r="B616" s="135"/>
      <c r="C616" s="135"/>
    </row>
    <row r="617" spans="2:3">
      <c r="B617" s="135"/>
      <c r="C617" s="135"/>
    </row>
    <row r="618" spans="2:3">
      <c r="B618" s="135"/>
      <c r="C618" s="135"/>
    </row>
    <row r="619" spans="2:3">
      <c r="B619" s="135"/>
      <c r="C619" s="135"/>
    </row>
    <row r="620" spans="2:3">
      <c r="B620" s="135"/>
      <c r="C620" s="135"/>
    </row>
    <row r="621" spans="2:3">
      <c r="B621" s="135"/>
      <c r="C621" s="135"/>
    </row>
    <row r="622" spans="2:3">
      <c r="B622" s="135"/>
      <c r="C622" s="135"/>
    </row>
    <row r="623" spans="2:3">
      <c r="B623" s="135"/>
      <c r="C623" s="135"/>
    </row>
    <row r="624" spans="2:3">
      <c r="B624" s="135"/>
      <c r="C624" s="135"/>
    </row>
    <row r="625" spans="2:3">
      <c r="B625" s="135"/>
      <c r="C625" s="135"/>
    </row>
    <row r="626" spans="2:3">
      <c r="B626" s="135"/>
      <c r="C626" s="135"/>
    </row>
    <row r="627" spans="2:3">
      <c r="B627" s="135"/>
      <c r="C627" s="135"/>
    </row>
    <row r="628" spans="2:3">
      <c r="B628" s="135"/>
      <c r="C628" s="135"/>
    </row>
    <row r="629" spans="2:3">
      <c r="B629" s="135"/>
      <c r="C629" s="135"/>
    </row>
    <row r="630" spans="2:3">
      <c r="B630" s="135"/>
      <c r="C630" s="135"/>
    </row>
    <row r="631" spans="2:3">
      <c r="B631" s="135"/>
      <c r="C631" s="135"/>
    </row>
    <row r="632" spans="2:3">
      <c r="B632" s="135"/>
      <c r="C632" s="135"/>
    </row>
    <row r="633" spans="2:3">
      <c r="B633" s="135"/>
      <c r="C633" s="135"/>
    </row>
    <row r="634" spans="2:3">
      <c r="B634" s="135"/>
      <c r="C634" s="135"/>
    </row>
    <row r="635" spans="2:3">
      <c r="B635" s="135"/>
      <c r="C635" s="135"/>
    </row>
    <row r="636" spans="2:3">
      <c r="B636" s="135"/>
      <c r="C636" s="135"/>
    </row>
    <row r="637" spans="2:3">
      <c r="B637" s="135"/>
      <c r="C637" s="135"/>
    </row>
    <row r="638" spans="2:3">
      <c r="B638" s="135"/>
      <c r="C638" s="135"/>
    </row>
    <row r="639" spans="2:3">
      <c r="B639" s="135"/>
      <c r="C639" s="135"/>
    </row>
    <row r="640" spans="2:3">
      <c r="B640" s="135"/>
      <c r="C640" s="135"/>
    </row>
    <row r="641" spans="2:3">
      <c r="B641" s="135"/>
      <c r="C641" s="135"/>
    </row>
    <row r="642" spans="2:3">
      <c r="B642" s="135"/>
      <c r="C642" s="135"/>
    </row>
    <row r="643" spans="2:3">
      <c r="B643" s="135"/>
      <c r="C643" s="135"/>
    </row>
    <row r="644" spans="2:3">
      <c r="B644" s="135"/>
      <c r="C644" s="135"/>
    </row>
    <row r="645" spans="2:3">
      <c r="B645" s="135"/>
      <c r="C645" s="135"/>
    </row>
    <row r="646" spans="2:3">
      <c r="B646" s="135"/>
      <c r="C646" s="135"/>
    </row>
    <row r="647" spans="2:3">
      <c r="B647" s="135"/>
      <c r="C647" s="135"/>
    </row>
    <row r="648" spans="2:3">
      <c r="B648" s="135"/>
      <c r="C648" s="135"/>
    </row>
    <row r="649" spans="2:3">
      <c r="B649" s="135"/>
      <c r="C649" s="135"/>
    </row>
    <row r="650" spans="2:3">
      <c r="B650" s="135"/>
      <c r="C650" s="135"/>
    </row>
    <row r="651" spans="2:3">
      <c r="B651" s="135"/>
      <c r="C651" s="135"/>
    </row>
    <row r="652" spans="2:3">
      <c r="B652" s="135"/>
      <c r="C652" s="135"/>
    </row>
    <row r="653" spans="2:3">
      <c r="B653" s="135"/>
      <c r="C653" s="135"/>
    </row>
    <row r="654" spans="2:3">
      <c r="B654" s="135"/>
      <c r="C654" s="135"/>
    </row>
    <row r="655" spans="2:3">
      <c r="B655" s="135"/>
      <c r="C655" s="135"/>
    </row>
    <row r="656" spans="2:3">
      <c r="B656" s="135"/>
      <c r="C656" s="135"/>
    </row>
    <row r="657" spans="2:3">
      <c r="B657" s="135"/>
      <c r="C657" s="135"/>
    </row>
    <row r="658" spans="2:3">
      <c r="B658" s="135"/>
      <c r="C658" s="135"/>
    </row>
    <row r="659" spans="2:3">
      <c r="B659" s="135"/>
      <c r="C659" s="135"/>
    </row>
    <row r="660" spans="2:3">
      <c r="B660" s="135"/>
      <c r="C660" s="135"/>
    </row>
    <row r="661" spans="2:3">
      <c r="B661" s="135"/>
      <c r="C661" s="135"/>
    </row>
    <row r="662" spans="2:3">
      <c r="B662" s="135"/>
      <c r="C662" s="135"/>
    </row>
    <row r="663" spans="2:3">
      <c r="B663" s="135"/>
      <c r="C663" s="135"/>
    </row>
    <row r="664" spans="2:3">
      <c r="B664" s="135"/>
      <c r="C664" s="135"/>
    </row>
    <row r="665" spans="2:3">
      <c r="B665" s="135"/>
      <c r="C665" s="135"/>
    </row>
    <row r="666" spans="2:3">
      <c r="B666" s="135"/>
      <c r="C666" s="135"/>
    </row>
    <row r="667" spans="2:3">
      <c r="B667" s="135"/>
      <c r="C667" s="135"/>
    </row>
    <row r="668" spans="2:3">
      <c r="B668" s="135"/>
      <c r="C668" s="135"/>
    </row>
    <row r="669" spans="2:3">
      <c r="B669" s="135"/>
      <c r="C669" s="135"/>
    </row>
    <row r="670" spans="2:3">
      <c r="B670" s="135"/>
      <c r="C670" s="135"/>
    </row>
    <row r="671" spans="2:3">
      <c r="B671" s="135"/>
      <c r="C671" s="135"/>
    </row>
    <row r="672" spans="2:3">
      <c r="B672" s="135"/>
      <c r="C672" s="135"/>
    </row>
    <row r="673" spans="2:3">
      <c r="B673" s="135"/>
      <c r="C673" s="135"/>
    </row>
    <row r="674" spans="2:3">
      <c r="B674" s="135"/>
      <c r="C674" s="135"/>
    </row>
    <row r="675" spans="2:3">
      <c r="B675" s="135"/>
      <c r="C675" s="135"/>
    </row>
    <row r="676" spans="2:3">
      <c r="B676" s="135"/>
      <c r="C676" s="135"/>
    </row>
    <row r="677" spans="2:3">
      <c r="B677" s="135"/>
      <c r="C677" s="135"/>
    </row>
    <row r="678" spans="2:3">
      <c r="B678" s="135"/>
      <c r="C678" s="135"/>
    </row>
    <row r="679" spans="2:3">
      <c r="B679" s="135"/>
      <c r="C679" s="135"/>
    </row>
    <row r="680" spans="2:3">
      <c r="B680" s="135"/>
      <c r="C680" s="135"/>
    </row>
    <row r="681" spans="2:3">
      <c r="B681" s="135"/>
      <c r="C681" s="135"/>
    </row>
    <row r="682" spans="2:3">
      <c r="B682" s="135"/>
      <c r="C682" s="135"/>
    </row>
    <row r="683" spans="2:3">
      <c r="B683" s="135"/>
      <c r="C683" s="135"/>
    </row>
    <row r="684" spans="2:3">
      <c r="B684" s="135"/>
      <c r="C684" s="135"/>
    </row>
    <row r="685" spans="2:3">
      <c r="B685" s="135"/>
      <c r="C685" s="135"/>
    </row>
    <row r="686" spans="2:3">
      <c r="B686" s="135"/>
      <c r="C686" s="135"/>
    </row>
    <row r="687" spans="2:3">
      <c r="B687" s="135"/>
      <c r="C687" s="135"/>
    </row>
    <row r="688" spans="2:3">
      <c r="B688" s="135"/>
      <c r="C688" s="135"/>
    </row>
    <row r="689" spans="2:3">
      <c r="B689" s="135"/>
      <c r="C689" s="135"/>
    </row>
    <row r="690" spans="2:3">
      <c r="B690" s="135"/>
      <c r="C690" s="135"/>
    </row>
    <row r="691" spans="2:3">
      <c r="B691" s="135"/>
      <c r="C691" s="135"/>
    </row>
    <row r="692" spans="2:3">
      <c r="B692" s="135"/>
      <c r="C692" s="135"/>
    </row>
    <row r="693" spans="2:3">
      <c r="B693" s="135"/>
      <c r="C693" s="135"/>
    </row>
    <row r="694" spans="2:3">
      <c r="B694" s="135"/>
      <c r="C694" s="135"/>
    </row>
    <row r="695" spans="2:3">
      <c r="B695" s="135"/>
      <c r="C695" s="135"/>
    </row>
    <row r="696" spans="2:3">
      <c r="B696" s="135"/>
      <c r="C696" s="135"/>
    </row>
    <row r="697" spans="2:3">
      <c r="B697" s="135"/>
      <c r="C697" s="135"/>
    </row>
    <row r="698" spans="2:3">
      <c r="B698" s="135"/>
      <c r="C698" s="135"/>
    </row>
    <row r="699" spans="2:3">
      <c r="B699" s="135"/>
      <c r="C699" s="135"/>
    </row>
    <row r="700" spans="2:3">
      <c r="B700" s="135"/>
      <c r="C700" s="135"/>
    </row>
    <row r="701" spans="2:3">
      <c r="B701" s="135"/>
      <c r="C701" s="135"/>
    </row>
    <row r="702" spans="2:3">
      <c r="B702" s="135"/>
      <c r="C702" s="135"/>
    </row>
    <row r="703" spans="2:3">
      <c r="B703" s="135"/>
      <c r="C703" s="135"/>
    </row>
    <row r="704" spans="2:3">
      <c r="B704" s="135"/>
      <c r="C704" s="135"/>
    </row>
    <row r="705" spans="2:3">
      <c r="B705" s="135"/>
      <c r="C705" s="135"/>
    </row>
    <row r="706" spans="2:3">
      <c r="B706" s="135"/>
      <c r="C706" s="135"/>
    </row>
    <row r="707" spans="2:3">
      <c r="B707" s="135"/>
      <c r="C707" s="135"/>
    </row>
    <row r="708" spans="2:3">
      <c r="B708" s="135"/>
      <c r="C708" s="135"/>
    </row>
    <row r="709" spans="2:3">
      <c r="B709" s="135"/>
      <c r="C709" s="135"/>
    </row>
    <row r="710" spans="2:3">
      <c r="B710" s="135"/>
      <c r="C710" s="135"/>
    </row>
    <row r="711" spans="2:3">
      <c r="B711" s="135"/>
      <c r="C711" s="135"/>
    </row>
    <row r="712" spans="2:3">
      <c r="B712" s="135"/>
      <c r="C712" s="135"/>
    </row>
    <row r="713" spans="2:3">
      <c r="B713" s="135"/>
      <c r="C713" s="135"/>
    </row>
    <row r="714" spans="2:3">
      <c r="B714" s="135"/>
      <c r="C714" s="135"/>
    </row>
    <row r="715" spans="2:3">
      <c r="B715" s="135"/>
      <c r="C715" s="135"/>
    </row>
    <row r="716" spans="2:3">
      <c r="B716" s="135"/>
      <c r="C716" s="135"/>
    </row>
    <row r="717" spans="2:3">
      <c r="B717" s="135"/>
      <c r="C717" s="135"/>
    </row>
    <row r="718" spans="2:3">
      <c r="B718" s="135"/>
      <c r="C718" s="135"/>
    </row>
    <row r="719" spans="2:3">
      <c r="B719" s="135"/>
      <c r="C719" s="135"/>
    </row>
    <row r="720" spans="2:3">
      <c r="B720" s="135"/>
      <c r="C720" s="135"/>
    </row>
    <row r="721" spans="2:3">
      <c r="B721" s="135"/>
      <c r="C721" s="135"/>
    </row>
    <row r="722" spans="2:3">
      <c r="B722" s="135"/>
      <c r="C722" s="135"/>
    </row>
    <row r="723" spans="2:3">
      <c r="B723" s="135"/>
      <c r="C723" s="135"/>
    </row>
    <row r="724" spans="2:3">
      <c r="B724" s="135"/>
      <c r="C724" s="135"/>
    </row>
    <row r="725" spans="2:3">
      <c r="B725" s="135"/>
      <c r="C725" s="135"/>
    </row>
    <row r="726" spans="2:3">
      <c r="B726" s="135"/>
      <c r="C726" s="135"/>
    </row>
    <row r="727" spans="2:3">
      <c r="B727" s="135"/>
      <c r="C727" s="135"/>
    </row>
    <row r="728" spans="2:3">
      <c r="B728" s="135"/>
      <c r="C728" s="135"/>
    </row>
    <row r="729" spans="2:3">
      <c r="B729" s="135"/>
      <c r="C729" s="135"/>
    </row>
    <row r="730" spans="2:3">
      <c r="B730" s="135"/>
      <c r="C730" s="135"/>
    </row>
    <row r="731" spans="2:3">
      <c r="B731" s="135"/>
      <c r="C731" s="135"/>
    </row>
    <row r="732" spans="2:3">
      <c r="B732" s="135"/>
      <c r="C732" s="135"/>
    </row>
    <row r="733" spans="2:3">
      <c r="B733" s="135"/>
      <c r="C733" s="135"/>
    </row>
    <row r="734" spans="2:3">
      <c r="B734" s="135"/>
      <c r="C734" s="135"/>
    </row>
    <row r="735" spans="2:3">
      <c r="B735" s="135"/>
      <c r="C735" s="135"/>
    </row>
    <row r="736" spans="2:3">
      <c r="B736" s="135"/>
      <c r="C736" s="135"/>
    </row>
    <row r="737" spans="2:3">
      <c r="B737" s="135"/>
      <c r="C737" s="135"/>
    </row>
    <row r="738" spans="2:3">
      <c r="B738" s="135"/>
      <c r="C738" s="135"/>
    </row>
    <row r="739" spans="2:3">
      <c r="B739" s="135"/>
      <c r="C739" s="135"/>
    </row>
    <row r="740" spans="2:3">
      <c r="B740" s="135"/>
      <c r="C740" s="135"/>
    </row>
    <row r="741" spans="2:3">
      <c r="B741" s="135"/>
      <c r="C741" s="135"/>
    </row>
    <row r="742" spans="2:3">
      <c r="B742" s="135"/>
      <c r="C742" s="135"/>
    </row>
    <row r="743" spans="2:3">
      <c r="B743" s="135"/>
      <c r="C743" s="135"/>
    </row>
    <row r="744" spans="2:3">
      <c r="B744" s="135"/>
      <c r="C744" s="135"/>
    </row>
    <row r="745" spans="2:3">
      <c r="B745" s="135"/>
      <c r="C745" s="135"/>
    </row>
    <row r="746" spans="2:3">
      <c r="B746" s="135"/>
      <c r="C746" s="135"/>
    </row>
    <row r="747" spans="2:3">
      <c r="B747" s="135"/>
      <c r="C747" s="135"/>
    </row>
    <row r="748" spans="2:3">
      <c r="B748" s="135"/>
      <c r="C748" s="135"/>
    </row>
    <row r="749" spans="2:3">
      <c r="B749" s="135"/>
      <c r="C749" s="135"/>
    </row>
    <row r="750" spans="2:3">
      <c r="B750" s="135"/>
      <c r="C750" s="135"/>
    </row>
    <row r="751" spans="2:3">
      <c r="B751" s="135"/>
      <c r="C751" s="135"/>
    </row>
    <row r="752" spans="2:3">
      <c r="B752" s="135"/>
      <c r="C752" s="135"/>
    </row>
    <row r="753" spans="1:3">
      <c r="B753" s="135"/>
      <c r="C753" s="135"/>
    </row>
    <row r="754" spans="1:3">
      <c r="B754" s="135"/>
      <c r="C754" s="135"/>
    </row>
    <row r="755" spans="1:3">
      <c r="B755" s="135"/>
      <c r="C755" s="135"/>
    </row>
    <row r="756" spans="1:3">
      <c r="B756" s="135"/>
      <c r="C756" s="135"/>
    </row>
    <row r="757" spans="1:3">
      <c r="B757" s="135"/>
      <c r="C757" s="135"/>
    </row>
    <row r="758" spans="1:3">
      <c r="B758" s="135"/>
      <c r="C758" s="135"/>
    </row>
    <row r="759" spans="1:3">
      <c r="B759" s="135"/>
      <c r="C759" s="135"/>
    </row>
    <row r="760" spans="1:3">
      <c r="B760" s="135"/>
      <c r="C760" s="135"/>
    </row>
    <row r="761" spans="1:3">
      <c r="B761" s="135"/>
      <c r="C761" s="135"/>
    </row>
    <row r="762" spans="1:3">
      <c r="B762" s="135"/>
      <c r="C762" s="135"/>
    </row>
    <row r="763" spans="1:3">
      <c r="B763" s="135"/>
      <c r="C763" s="135"/>
    </row>
    <row r="764" spans="1:3">
      <c r="A764" s="131"/>
      <c r="B764" s="131"/>
      <c r="C764" s="123"/>
    </row>
    <row r="765" spans="1:3">
      <c r="A765" s="131"/>
      <c r="B765" s="131"/>
      <c r="C765" s="123"/>
    </row>
    <row r="766" spans="1:3">
      <c r="A766" s="131"/>
      <c r="B766" s="131"/>
      <c r="C766" s="123"/>
    </row>
    <row r="767" spans="1:3">
      <c r="A767" s="131"/>
      <c r="B767" s="131"/>
      <c r="C767" s="123"/>
    </row>
    <row r="768" spans="1:3">
      <c r="A768" s="131"/>
      <c r="B768" s="131"/>
      <c r="C768" s="123"/>
    </row>
    <row r="769" spans="1:3">
      <c r="A769" s="131"/>
      <c r="B769" s="131"/>
      <c r="C769" s="123"/>
    </row>
    <row r="770" spans="1:3">
      <c r="A770" s="131"/>
      <c r="B770" s="131"/>
      <c r="C770" s="123"/>
    </row>
    <row r="771" spans="1:3">
      <c r="A771" s="131"/>
      <c r="B771" s="131"/>
      <c r="C771" s="123"/>
    </row>
    <row r="772" spans="1:3">
      <c r="A772" s="131"/>
      <c r="B772" s="131"/>
      <c r="C772" s="123"/>
    </row>
    <row r="773" spans="1:3">
      <c r="A773" s="131"/>
      <c r="B773" s="131"/>
      <c r="C773" s="123"/>
    </row>
    <row r="774" spans="1:3">
      <c r="A774" s="131"/>
      <c r="B774" s="131"/>
      <c r="C774" s="123"/>
    </row>
    <row r="775" spans="1:3">
      <c r="A775" s="131"/>
      <c r="B775" s="131"/>
      <c r="C775" s="123"/>
    </row>
    <row r="776" spans="1:3">
      <c r="A776" s="131"/>
      <c r="B776" s="131"/>
      <c r="C776" s="123"/>
    </row>
    <row r="777" spans="1:3">
      <c r="A777" s="131"/>
      <c r="B777" s="131"/>
      <c r="C777" s="123"/>
    </row>
    <row r="778" spans="1:3">
      <c r="A778" s="131"/>
      <c r="B778" s="131"/>
      <c r="C778" s="123"/>
    </row>
    <row r="779" spans="1:3">
      <c r="A779" s="131"/>
      <c r="B779" s="131"/>
      <c r="C779" s="123"/>
    </row>
    <row r="780" spans="1:3">
      <c r="A780" s="131"/>
      <c r="B780" s="131"/>
      <c r="C780" s="123"/>
    </row>
    <row r="781" spans="1:3">
      <c r="A781" s="131"/>
      <c r="B781" s="131"/>
      <c r="C781" s="123"/>
    </row>
    <row r="782" spans="1:3">
      <c r="A782" s="131"/>
      <c r="B782" s="131"/>
      <c r="C782" s="123"/>
    </row>
    <row r="783" spans="1:3">
      <c r="A783" s="131"/>
      <c r="B783" s="131"/>
      <c r="C783" s="123"/>
    </row>
    <row r="784" spans="1:3">
      <c r="A784" s="131"/>
      <c r="B784" s="131"/>
      <c r="C784" s="123"/>
    </row>
    <row r="785" spans="1:3">
      <c r="A785" s="131"/>
      <c r="B785" s="131"/>
      <c r="C785" s="123"/>
    </row>
    <row r="786" spans="1:3">
      <c r="A786" s="131"/>
      <c r="B786" s="131"/>
      <c r="C786" s="123"/>
    </row>
    <row r="787" spans="1:3">
      <c r="A787" s="131"/>
      <c r="B787" s="131"/>
      <c r="C787" s="123"/>
    </row>
    <row r="788" spans="1:3">
      <c r="A788" s="131"/>
      <c r="B788" s="131"/>
      <c r="C788" s="123"/>
    </row>
    <row r="789" spans="1:3">
      <c r="A789" s="131"/>
      <c r="B789" s="131"/>
      <c r="C789" s="123"/>
    </row>
    <row r="790" spans="1:3">
      <c r="A790" s="131"/>
      <c r="B790" s="131"/>
      <c r="C790" s="123"/>
    </row>
    <row r="791" spans="1:3">
      <c r="A791" s="131"/>
      <c r="B791" s="131"/>
      <c r="C791" s="123"/>
    </row>
    <row r="792" spans="1:3">
      <c r="A792" s="131"/>
      <c r="B792" s="131"/>
      <c r="C792" s="123"/>
    </row>
    <row r="793" spans="1:3">
      <c r="A793" s="131"/>
      <c r="B793" s="131"/>
      <c r="C793" s="123"/>
    </row>
    <row r="794" spans="1:3">
      <c r="A794" s="131"/>
      <c r="B794" s="131"/>
      <c r="C794" s="123"/>
    </row>
    <row r="795" spans="1:3">
      <c r="A795" s="131"/>
      <c r="B795" s="131"/>
      <c r="C795" s="123"/>
    </row>
    <row r="796" spans="1:3">
      <c r="A796" s="131"/>
      <c r="B796" s="131"/>
      <c r="C796" s="123"/>
    </row>
    <row r="797" spans="1:3">
      <c r="A797" s="131"/>
      <c r="B797" s="131"/>
      <c r="C797" s="123"/>
    </row>
    <row r="798" spans="1:3">
      <c r="A798" s="131"/>
      <c r="B798" s="131"/>
      <c r="C798" s="123"/>
    </row>
    <row r="799" spans="1:3">
      <c r="A799" s="131"/>
      <c r="B799" s="131"/>
      <c r="C799" s="123"/>
    </row>
    <row r="800" spans="1:3">
      <c r="A800" s="131"/>
      <c r="B800" s="131"/>
      <c r="C800" s="123"/>
    </row>
    <row r="801" spans="1:3">
      <c r="A801" s="131"/>
      <c r="B801" s="131"/>
      <c r="C801" s="123"/>
    </row>
    <row r="802" spans="1:3">
      <c r="A802" s="131"/>
      <c r="B802" s="131"/>
      <c r="C802" s="123"/>
    </row>
    <row r="803" spans="1:3">
      <c r="A803" s="131"/>
      <c r="B803" s="131"/>
      <c r="C803" s="123"/>
    </row>
    <row r="804" spans="1:3">
      <c r="A804" s="131"/>
      <c r="B804" s="131"/>
      <c r="C804" s="123"/>
    </row>
    <row r="805" spans="1:3">
      <c r="A805" s="131"/>
      <c r="B805" s="131"/>
      <c r="C805" s="123"/>
    </row>
    <row r="806" spans="1:3">
      <c r="A806" s="131"/>
      <c r="B806" s="131"/>
      <c r="C806" s="123"/>
    </row>
    <row r="807" spans="1:3">
      <c r="A807" s="131"/>
      <c r="B807" s="131"/>
      <c r="C807" s="123"/>
    </row>
    <row r="808" spans="1:3">
      <c r="A808" s="131"/>
      <c r="B808" s="131"/>
      <c r="C808" s="123"/>
    </row>
    <row r="809" spans="1:3">
      <c r="A809" s="131"/>
      <c r="B809" s="131"/>
      <c r="C809" s="123"/>
    </row>
    <row r="810" spans="1:3">
      <c r="A810" s="131"/>
      <c r="B810" s="131"/>
      <c r="C810" s="123"/>
    </row>
    <row r="811" spans="1:3">
      <c r="A811" s="131"/>
      <c r="B811" s="131"/>
      <c r="C811" s="123"/>
    </row>
    <row r="812" spans="1:3">
      <c r="A812" s="131"/>
      <c r="B812" s="131"/>
      <c r="C812" s="123"/>
    </row>
    <row r="813" spans="1:3">
      <c r="A813" s="131"/>
      <c r="B813" s="131"/>
      <c r="C813" s="123"/>
    </row>
    <row r="814" spans="1:3">
      <c r="A814" s="131"/>
      <c r="B814" s="131"/>
      <c r="C814" s="123"/>
    </row>
    <row r="815" spans="1:3">
      <c r="A815" s="131"/>
      <c r="B815" s="131"/>
      <c r="C815" s="123"/>
    </row>
    <row r="816" spans="1:3">
      <c r="A816" s="131"/>
      <c r="B816" s="131"/>
      <c r="C816" s="123"/>
    </row>
    <row r="817" spans="1:3">
      <c r="A817" s="131"/>
      <c r="B817" s="131"/>
      <c r="C817" s="123"/>
    </row>
    <row r="818" spans="1:3">
      <c r="A818" s="131"/>
      <c r="B818" s="131"/>
      <c r="C818" s="123"/>
    </row>
    <row r="819" spans="1:3">
      <c r="A819" s="131"/>
      <c r="B819" s="131"/>
      <c r="C819" s="123"/>
    </row>
    <row r="820" spans="1:3">
      <c r="A820" s="131"/>
      <c r="B820" s="131"/>
      <c r="C820" s="123"/>
    </row>
    <row r="821" spans="1:3">
      <c r="A821" s="131"/>
      <c r="B821" s="131"/>
      <c r="C821" s="123"/>
    </row>
    <row r="822" spans="1:3">
      <c r="A822" s="131"/>
      <c r="B822" s="131"/>
      <c r="C822" s="123"/>
    </row>
    <row r="823" spans="1:3">
      <c r="A823" s="131"/>
      <c r="B823" s="131"/>
      <c r="C823" s="123"/>
    </row>
    <row r="824" spans="1:3">
      <c r="A824" s="131"/>
      <c r="B824" s="131"/>
      <c r="C824" s="123"/>
    </row>
    <row r="825" spans="1:3">
      <c r="A825" s="131"/>
      <c r="B825" s="131"/>
      <c r="C825" s="123"/>
    </row>
    <row r="826" spans="1:3">
      <c r="A826" s="131"/>
      <c r="B826" s="131"/>
      <c r="C826" s="123"/>
    </row>
    <row r="827" spans="1:3">
      <c r="A827" s="131"/>
      <c r="B827" s="131"/>
      <c r="C827" s="123"/>
    </row>
    <row r="828" spans="1:3">
      <c r="A828" s="131"/>
      <c r="B828" s="131"/>
      <c r="C828" s="123"/>
    </row>
    <row r="829" spans="1:3">
      <c r="A829" s="131"/>
      <c r="B829" s="131"/>
      <c r="C829" s="123"/>
    </row>
    <row r="830" spans="1:3">
      <c r="A830" s="131"/>
      <c r="B830" s="131"/>
      <c r="C830" s="123"/>
    </row>
    <row r="831" spans="1:3">
      <c r="A831" s="131"/>
      <c r="B831" s="131"/>
      <c r="C831" s="123"/>
    </row>
    <row r="832" spans="1:3">
      <c r="A832" s="131"/>
      <c r="B832" s="131"/>
      <c r="C832" s="123"/>
    </row>
  </sheetData>
  <mergeCells count="20">
    <mergeCell ref="A448:AE448"/>
    <mergeCell ref="A484:AE484"/>
    <mergeCell ref="A213:AE213"/>
    <mergeCell ref="A250:AE250"/>
    <mergeCell ref="A287:AE287"/>
    <mergeCell ref="A332:AE332"/>
    <mergeCell ref="A369:AE369"/>
    <mergeCell ref="A410:AE410"/>
    <mergeCell ref="A1:AE1"/>
    <mergeCell ref="A2:AE2"/>
    <mergeCell ref="A46:AE46"/>
    <mergeCell ref="A93:AE93"/>
    <mergeCell ref="A133:AE133"/>
    <mergeCell ref="A174:AE174"/>
    <mergeCell ref="A4:C4"/>
    <mergeCell ref="F19:Q19"/>
    <mergeCell ref="T19:AE19"/>
    <mergeCell ref="F21:Q21"/>
    <mergeCell ref="T21:AE21"/>
    <mergeCell ref="A22:AE2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46"/>
  <sheetViews>
    <sheetView workbookViewId="0">
      <selection sqref="A1:AE1"/>
    </sheetView>
  </sheetViews>
  <sheetFormatPr defaultRowHeight="15"/>
  <cols>
    <col min="1" max="2" width="11.7109375" style="117" customWidth="1"/>
    <col min="3" max="3" width="12.28515625" style="113" customWidth="1"/>
    <col min="4" max="4" width="18.42578125" style="113" customWidth="1"/>
    <col min="5" max="5" width="0.85546875" style="113" customWidth="1"/>
    <col min="6" max="17" width="3.28515625" style="113" customWidth="1"/>
    <col min="18" max="18" width="13.42578125" style="113" customWidth="1"/>
    <col min="19" max="19" width="15.85546875" style="113" customWidth="1"/>
    <col min="20" max="31" width="14.28515625" style="113" bestFit="1" customWidth="1"/>
    <col min="32" max="41" width="14.28515625" style="113" customWidth="1"/>
    <col min="42" max="16384" width="9.140625" style="113"/>
  </cols>
  <sheetData>
    <row r="1" spans="1:34">
      <c r="A1" s="188" t="s">
        <v>0</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row>
    <row r="2" spans="1:34">
      <c r="A2" s="188" t="s">
        <v>244</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row>
    <row r="3" spans="1:34" ht="15.75" thickBot="1"/>
    <row r="4" spans="1:34" ht="15.75" thickBot="1">
      <c r="A4" s="189" t="s">
        <v>200</v>
      </c>
      <c r="B4" s="190"/>
      <c r="C4" s="191"/>
    </row>
    <row r="5" spans="1:34">
      <c r="A5" s="119" t="s">
        <v>201</v>
      </c>
      <c r="B5" s="119" t="s">
        <v>202</v>
      </c>
      <c r="C5" s="119" t="s">
        <v>203</v>
      </c>
    </row>
    <row r="6" spans="1:34">
      <c r="A6" s="120">
        <v>42005</v>
      </c>
      <c r="B6" s="120">
        <v>42035</v>
      </c>
      <c r="C6" s="126">
        <v>5.5490000000000005E-2</v>
      </c>
    </row>
    <row r="7" spans="1:34">
      <c r="A7" s="120">
        <v>42036</v>
      </c>
      <c r="B7" s="120">
        <v>42063</v>
      </c>
      <c r="C7" s="126">
        <v>6.9809999999999997E-2</v>
      </c>
    </row>
    <row r="8" spans="1:34">
      <c r="A8" s="120">
        <v>42064</v>
      </c>
      <c r="B8" s="120">
        <v>42094</v>
      </c>
      <c r="C8" s="126">
        <v>3.6040000000000003E-2</v>
      </c>
      <c r="U8" s="110"/>
      <c r="V8" s="146"/>
      <c r="X8" s="111"/>
      <c r="Y8" s="111"/>
      <c r="Z8" s="111"/>
      <c r="AB8" s="111"/>
      <c r="AC8" s="111"/>
      <c r="AD8" s="111"/>
      <c r="AF8" s="111"/>
      <c r="AG8" s="111"/>
      <c r="AH8" s="111"/>
    </row>
    <row r="9" spans="1:34">
      <c r="A9" s="120">
        <v>42095</v>
      </c>
      <c r="B9" s="120">
        <v>42124</v>
      </c>
      <c r="C9" s="126">
        <v>6.7049999999999998E-2</v>
      </c>
      <c r="U9" s="110"/>
      <c r="V9" s="146"/>
      <c r="Y9" s="110"/>
      <c r="Z9" s="110"/>
      <c r="AB9" s="110"/>
      <c r="AC9" s="110"/>
      <c r="AD9" s="110"/>
      <c r="AF9" s="110"/>
      <c r="AG9" s="110"/>
      <c r="AH9" s="110"/>
    </row>
    <row r="10" spans="1:34">
      <c r="A10" s="120">
        <v>42125</v>
      </c>
      <c r="B10" s="120">
        <v>42155</v>
      </c>
      <c r="C10" s="126">
        <v>9.4159999999999994E-2</v>
      </c>
      <c r="U10" s="110"/>
      <c r="V10" s="150"/>
      <c r="X10" s="110"/>
      <c r="Y10" s="114"/>
      <c r="Z10" s="110"/>
      <c r="AB10" s="110"/>
      <c r="AC10" s="114"/>
      <c r="AD10" s="110"/>
      <c r="AF10" s="110"/>
      <c r="AG10" s="114"/>
      <c r="AH10" s="110"/>
    </row>
    <row r="11" spans="1:34">
      <c r="A11" s="120">
        <v>42156</v>
      </c>
      <c r="B11" s="120">
        <v>42185</v>
      </c>
      <c r="C11" s="126">
        <v>9.2280000000000001E-2</v>
      </c>
      <c r="U11" s="116"/>
      <c r="V11" s="146"/>
      <c r="X11" s="110"/>
      <c r="Y11" s="114"/>
      <c r="Z11" s="110"/>
      <c r="AB11" s="110"/>
      <c r="AC11" s="114"/>
      <c r="AD11" s="110"/>
      <c r="AF11" s="110"/>
      <c r="AG11" s="114"/>
      <c r="AH11" s="110"/>
    </row>
    <row r="12" spans="1:34">
      <c r="A12" s="120">
        <v>42186</v>
      </c>
      <c r="B12" s="120">
        <v>42216</v>
      </c>
      <c r="C12" s="126">
        <v>8.8880000000000001E-2</v>
      </c>
      <c r="U12" s="110"/>
      <c r="V12" s="146"/>
      <c r="X12" s="110"/>
      <c r="Y12" s="110"/>
      <c r="Z12" s="110"/>
      <c r="AB12" s="110"/>
      <c r="AC12" s="110"/>
      <c r="AD12" s="110"/>
      <c r="AF12" s="110"/>
      <c r="AG12" s="110"/>
      <c r="AH12" s="110"/>
    </row>
    <row r="13" spans="1:34">
      <c r="A13" s="120">
        <v>42217</v>
      </c>
      <c r="B13" s="120">
        <v>42247</v>
      </c>
      <c r="C13" s="126">
        <v>8.8050000000000003E-2</v>
      </c>
      <c r="U13" s="116"/>
      <c r="X13" s="110"/>
      <c r="Y13" s="110"/>
      <c r="Z13" s="110"/>
      <c r="AB13" s="110"/>
      <c r="AC13" s="110"/>
      <c r="AD13" s="110"/>
      <c r="AF13" s="110"/>
      <c r="AG13" s="110"/>
      <c r="AH13" s="110"/>
    </row>
    <row r="14" spans="1:34">
      <c r="A14" s="120">
        <v>42248</v>
      </c>
      <c r="B14" s="120">
        <v>42277</v>
      </c>
      <c r="C14" s="126">
        <v>8.270000000000001E-2</v>
      </c>
      <c r="X14" s="115"/>
      <c r="Z14" s="116"/>
      <c r="AB14" s="115"/>
      <c r="AD14" s="116"/>
      <c r="AF14" s="115"/>
      <c r="AH14" s="116"/>
    </row>
    <row r="15" spans="1:34">
      <c r="A15" s="120">
        <v>42278</v>
      </c>
      <c r="B15" s="120">
        <v>42308</v>
      </c>
      <c r="C15" s="126">
        <v>6.3710000000000003E-2</v>
      </c>
      <c r="W15" s="125"/>
      <c r="X15" s="125"/>
    </row>
    <row r="16" spans="1:34">
      <c r="A16" s="120">
        <v>42309</v>
      </c>
      <c r="B16" s="120">
        <v>42338</v>
      </c>
      <c r="C16" s="126">
        <v>7.6230000000000006E-2</v>
      </c>
      <c r="W16" s="125"/>
      <c r="X16" s="125"/>
      <c r="Y16" s="110"/>
    </row>
    <row r="17" spans="1:31">
      <c r="A17" s="120">
        <v>42339</v>
      </c>
      <c r="B17" s="120">
        <v>42369</v>
      </c>
      <c r="C17" s="126">
        <v>0.11462</v>
      </c>
      <c r="W17" s="125"/>
      <c r="X17" s="125"/>
      <c r="Y17" s="125"/>
      <c r="Z17" s="125"/>
      <c r="AA17" s="125"/>
    </row>
    <row r="18" spans="1:31">
      <c r="A18" s="126"/>
      <c r="B18" s="126"/>
    </row>
    <row r="19" spans="1:31">
      <c r="F19" s="192" t="s">
        <v>204</v>
      </c>
      <c r="G19" s="192"/>
      <c r="H19" s="192"/>
      <c r="I19" s="192"/>
      <c r="J19" s="192"/>
      <c r="K19" s="192"/>
      <c r="L19" s="192"/>
      <c r="M19" s="192"/>
      <c r="N19" s="192"/>
      <c r="O19" s="192"/>
      <c r="P19" s="192"/>
      <c r="Q19" s="192"/>
      <c r="R19" s="127"/>
      <c r="S19" s="127"/>
      <c r="T19" s="192" t="s">
        <v>205</v>
      </c>
      <c r="U19" s="192"/>
      <c r="V19" s="192"/>
      <c r="W19" s="192"/>
      <c r="X19" s="192"/>
      <c r="Y19" s="192"/>
      <c r="Z19" s="192"/>
      <c r="AA19" s="192"/>
      <c r="AB19" s="192"/>
      <c r="AC19" s="192"/>
      <c r="AD19" s="192"/>
      <c r="AE19" s="192"/>
    </row>
    <row r="20" spans="1:31" ht="30">
      <c r="A20" s="128" t="s">
        <v>206</v>
      </c>
      <c r="B20" s="128" t="s">
        <v>207</v>
      </c>
      <c r="C20" s="128" t="s">
        <v>208</v>
      </c>
      <c r="D20" s="128" t="s">
        <v>210</v>
      </c>
      <c r="E20" s="128"/>
      <c r="F20" s="128">
        <v>1</v>
      </c>
      <c r="G20" s="128">
        <v>2</v>
      </c>
      <c r="H20" s="128">
        <v>3</v>
      </c>
      <c r="I20" s="128">
        <v>4</v>
      </c>
      <c r="J20" s="128">
        <v>5</v>
      </c>
      <c r="K20" s="128">
        <v>6</v>
      </c>
      <c r="L20" s="128">
        <v>7</v>
      </c>
      <c r="M20" s="128">
        <v>8</v>
      </c>
      <c r="N20" s="128">
        <v>9</v>
      </c>
      <c r="O20" s="128">
        <v>10</v>
      </c>
      <c r="P20" s="128">
        <v>11</v>
      </c>
      <c r="Q20" s="128">
        <v>12</v>
      </c>
      <c r="R20" s="128" t="s">
        <v>211</v>
      </c>
      <c r="S20" s="128"/>
      <c r="T20" s="128">
        <v>1</v>
      </c>
      <c r="U20" s="128">
        <v>2</v>
      </c>
      <c r="V20" s="128">
        <v>3</v>
      </c>
      <c r="W20" s="128">
        <v>4</v>
      </c>
      <c r="X20" s="128">
        <v>5</v>
      </c>
      <c r="Y20" s="128">
        <v>6</v>
      </c>
      <c r="Z20" s="128">
        <v>7</v>
      </c>
      <c r="AA20" s="128">
        <v>8</v>
      </c>
      <c r="AB20" s="128">
        <v>9</v>
      </c>
      <c r="AC20" s="128">
        <v>10</v>
      </c>
      <c r="AD20" s="128">
        <v>11</v>
      </c>
      <c r="AE20" s="128">
        <v>12</v>
      </c>
    </row>
    <row r="21" spans="1:31" ht="15.75" thickBot="1">
      <c r="A21" s="129" t="s">
        <v>212</v>
      </c>
      <c r="B21" s="129" t="s">
        <v>213</v>
      </c>
      <c r="C21" s="129" t="s">
        <v>214</v>
      </c>
      <c r="D21" s="129" t="s">
        <v>215</v>
      </c>
      <c r="E21" s="129"/>
      <c r="F21" s="193" t="s">
        <v>216</v>
      </c>
      <c r="G21" s="193"/>
      <c r="H21" s="193"/>
      <c r="I21" s="193"/>
      <c r="J21" s="193"/>
      <c r="K21" s="193"/>
      <c r="L21" s="193"/>
      <c r="M21" s="193"/>
      <c r="N21" s="193"/>
      <c r="O21" s="193"/>
      <c r="P21" s="193"/>
      <c r="Q21" s="193"/>
      <c r="R21" s="130"/>
      <c r="S21" s="130"/>
      <c r="T21" s="193" t="s">
        <v>217</v>
      </c>
      <c r="U21" s="193"/>
      <c r="V21" s="193"/>
      <c r="W21" s="193"/>
      <c r="X21" s="193"/>
      <c r="Y21" s="193"/>
      <c r="Z21" s="193"/>
      <c r="AA21" s="193"/>
      <c r="AB21" s="193"/>
      <c r="AC21" s="193"/>
      <c r="AD21" s="193"/>
      <c r="AE21" s="193"/>
    </row>
    <row r="22" spans="1:31" ht="15.75" thickBot="1">
      <c r="A22" s="194" t="s">
        <v>35</v>
      </c>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6"/>
    </row>
    <row r="23" spans="1:31">
      <c r="A23" s="131">
        <v>41971</v>
      </c>
      <c r="B23" s="131">
        <v>42009</v>
      </c>
      <c r="C23" s="123">
        <f>B23-A23</f>
        <v>38</v>
      </c>
      <c r="D23" s="110">
        <v>1142.8</v>
      </c>
      <c r="E23" s="110"/>
      <c r="F23" s="123">
        <f>MAX(0,$B23-$A$6)</f>
        <v>4</v>
      </c>
      <c r="G23" s="123"/>
      <c r="H23" s="123"/>
      <c r="I23" s="123"/>
      <c r="J23" s="123"/>
      <c r="K23" s="123"/>
      <c r="L23" s="123"/>
      <c r="M23" s="123"/>
      <c r="N23" s="123"/>
      <c r="O23" s="123"/>
      <c r="P23" s="123"/>
      <c r="Q23" s="123"/>
      <c r="R23" s="133"/>
      <c r="S23" s="133"/>
      <c r="T23" s="116">
        <f>ROUND(($D23*$F23/$C23)/$C$6,2)</f>
        <v>2167.86</v>
      </c>
      <c r="U23" s="116">
        <f>ROUND(($D23*$H23/$C23)/$C$7,2)</f>
        <v>0</v>
      </c>
      <c r="V23" s="116">
        <f t="shared" ref="V23:V26" si="0">ROUND(($D23*$H23/$C23)/$C$8,2)</f>
        <v>0</v>
      </c>
      <c r="W23" s="116">
        <f>ROUND(($D23*$I23/$C23)/$C$9,2)</f>
        <v>0</v>
      </c>
      <c r="X23" s="116">
        <f>ROUND(($D23*$J23/$C23)/$C$10,2)</f>
        <v>0</v>
      </c>
      <c r="Y23" s="116">
        <f>ROUND(($D23*$K23/$C23)/$C$11,2)</f>
        <v>0</v>
      </c>
      <c r="Z23" s="116">
        <f>ROUND(($D23*$L23/$C23)/$C$12,2)</f>
        <v>0</v>
      </c>
      <c r="AA23" s="116">
        <f>ROUND(($D23*$M23/$C23)/$C$13,2)</f>
        <v>0</v>
      </c>
      <c r="AB23" s="116">
        <f>ROUND(($D23*$N23/$C23)/$C$14,2)</f>
        <v>0</v>
      </c>
      <c r="AC23" s="116">
        <f>ROUND(($D23*$O23/$C23)/$C$15,2)</f>
        <v>0</v>
      </c>
      <c r="AD23" s="116">
        <f>ROUND(($D23*$P23/$C23)/$C$16,2)</f>
        <v>0</v>
      </c>
      <c r="AE23" s="116">
        <f>ROUND(($D23*$Q23/$C23)/$C$17,2)</f>
        <v>0</v>
      </c>
    </row>
    <row r="24" spans="1:31">
      <c r="A24" s="131">
        <v>41950</v>
      </c>
      <c r="B24" s="131">
        <v>42009</v>
      </c>
      <c r="C24" s="123">
        <f t="shared" ref="C24:C86" si="1">B24-A24</f>
        <v>59</v>
      </c>
      <c r="D24" s="110">
        <v>3014.43</v>
      </c>
      <c r="E24" s="110"/>
      <c r="F24" s="123">
        <f>MAX(0,$B24-$A$6)</f>
        <v>4</v>
      </c>
      <c r="G24" s="123"/>
      <c r="H24" s="123"/>
      <c r="I24" s="123"/>
      <c r="J24" s="123"/>
      <c r="K24" s="123"/>
      <c r="L24" s="123"/>
      <c r="M24" s="123"/>
      <c r="N24" s="123"/>
      <c r="O24" s="123"/>
      <c r="P24" s="123"/>
      <c r="Q24" s="123"/>
      <c r="R24" s="133"/>
      <c r="S24" s="133"/>
      <c r="T24" s="116">
        <f>ROUND(($D24*$F24/$C24)/$C$6,2)</f>
        <v>3682.97</v>
      </c>
      <c r="U24" s="116">
        <f t="shared" ref="U24:U55" si="2">ROUND(($D24*$H24/$C24)/$C$7,2)</f>
        <v>0</v>
      </c>
      <c r="V24" s="116">
        <f t="shared" si="0"/>
        <v>0</v>
      </c>
      <c r="W24" s="116">
        <f>ROUND(($D24*$I24/$C24)/$C$9,2)</f>
        <v>0</v>
      </c>
      <c r="X24" s="116">
        <f>ROUND(($D24*$J24/$C24)/$C$10,2)</f>
        <v>0</v>
      </c>
      <c r="Y24" s="116">
        <f>ROUND(($D24*$K24/$C24)/$C$11,2)</f>
        <v>0</v>
      </c>
      <c r="Z24" s="116">
        <f>ROUND(($D24*$L24/$C24)/$C$12,2)</f>
        <v>0</v>
      </c>
      <c r="AA24" s="116">
        <f>ROUND(($D24*$M24/$C24)/$C$13,2)</f>
        <v>0</v>
      </c>
      <c r="AB24" s="116">
        <f>ROUND(($D24*$N24/$C24)/$C$14,2)</f>
        <v>0</v>
      </c>
      <c r="AC24" s="116">
        <f>ROUND(($D24*$O24/$C24)/$C$15,2)</f>
        <v>0</v>
      </c>
      <c r="AD24" s="116">
        <f>ROUND(($D24*$P24/$C24)/$C$16,2)</f>
        <v>0</v>
      </c>
      <c r="AE24" s="116">
        <f>ROUND(($D24*$Q24/$C24)/$C$17,2)</f>
        <v>0</v>
      </c>
    </row>
    <row r="25" spans="1:31">
      <c r="A25" s="131">
        <v>41950</v>
      </c>
      <c r="B25" s="131">
        <v>42009</v>
      </c>
      <c r="C25" s="123">
        <f t="shared" si="1"/>
        <v>59</v>
      </c>
      <c r="D25" s="110">
        <v>789.43</v>
      </c>
      <c r="E25" s="110"/>
      <c r="F25" s="123">
        <f>MAX(0,$B25-$A$6)</f>
        <v>4</v>
      </c>
      <c r="G25" s="123"/>
      <c r="H25" s="123"/>
      <c r="I25" s="123"/>
      <c r="J25" s="123"/>
      <c r="K25" s="123"/>
      <c r="L25" s="123"/>
      <c r="M25" s="123"/>
      <c r="N25" s="123"/>
      <c r="O25" s="123"/>
      <c r="P25" s="123"/>
      <c r="Q25" s="123"/>
      <c r="R25" s="133"/>
      <c r="S25" s="133"/>
      <c r="T25" s="116">
        <f>ROUND((D25*F25/C25)/$C$6,2)</f>
        <v>964.51</v>
      </c>
      <c r="U25" s="116">
        <f t="shared" si="2"/>
        <v>0</v>
      </c>
      <c r="V25" s="116">
        <f t="shared" si="0"/>
        <v>0</v>
      </c>
      <c r="W25" s="116">
        <f>ROUND(($D25*$I25/$C25)/$C$9,2)</f>
        <v>0</v>
      </c>
      <c r="X25" s="116">
        <f>ROUND(($D25*$J25/$C25)/$C$10,2)</f>
        <v>0</v>
      </c>
      <c r="Y25" s="116">
        <f>ROUND(($D25*$K25/$C25)/$C$11,2)</f>
        <v>0</v>
      </c>
      <c r="Z25" s="116">
        <f>ROUND(($D25*$L25/$C25)/$C$12,2)</f>
        <v>0</v>
      </c>
      <c r="AA25" s="116">
        <f>ROUND(($D25*$M25/$C25)/$C$13,2)</f>
        <v>0</v>
      </c>
      <c r="AB25" s="116">
        <f>ROUND(($D25*$N25/$C25)/$C$14,2)</f>
        <v>0</v>
      </c>
      <c r="AC25" s="116">
        <f>ROUND(($D25*$O25/$C25)/$C$15,2)</f>
        <v>0</v>
      </c>
      <c r="AD25" s="116">
        <f>ROUND(($D25*$P25/$C25)/$C$16,2)</f>
        <v>0</v>
      </c>
      <c r="AE25" s="116">
        <f>ROUND(($D25*$Q25/$C25)/$C$17,2)</f>
        <v>0</v>
      </c>
    </row>
    <row r="26" spans="1:31">
      <c r="A26" s="131">
        <v>41978</v>
      </c>
      <c r="B26" s="131">
        <v>42010</v>
      </c>
      <c r="C26" s="123">
        <f t="shared" si="1"/>
        <v>32</v>
      </c>
      <c r="D26" s="110">
        <v>51.21</v>
      </c>
      <c r="E26" s="110"/>
      <c r="F26" s="123">
        <f>MAX(0,$B26-$A$6)</f>
        <v>5</v>
      </c>
      <c r="G26" s="123"/>
      <c r="H26" s="123"/>
      <c r="I26" s="123"/>
      <c r="J26" s="123"/>
      <c r="K26" s="123"/>
      <c r="L26" s="123"/>
      <c r="M26" s="123"/>
      <c r="N26" s="123"/>
      <c r="O26" s="123"/>
      <c r="P26" s="123"/>
      <c r="Q26" s="123"/>
      <c r="R26" s="133"/>
      <c r="S26" s="133"/>
      <c r="T26" s="116">
        <f>ROUND((D26*F26/C26)/$C$6,2)</f>
        <v>144.19999999999999</v>
      </c>
      <c r="U26" s="116">
        <f t="shared" si="2"/>
        <v>0</v>
      </c>
      <c r="V26" s="116">
        <f t="shared" si="0"/>
        <v>0</v>
      </c>
      <c r="W26" s="116">
        <f>ROUND(($D26*$I26/$C26)/$C$9,2)</f>
        <v>0</v>
      </c>
      <c r="X26" s="116">
        <f>ROUND(($D26*$J26/$C26)/$C$10,2)</f>
        <v>0</v>
      </c>
      <c r="Y26" s="116">
        <f>ROUND(($D26*$K26/$C26)/$C$11,2)</f>
        <v>0</v>
      </c>
      <c r="Z26" s="116">
        <f>ROUND(($D26*$L26/$C26)/$C$12,2)</f>
        <v>0</v>
      </c>
      <c r="AA26" s="116">
        <f>ROUND(($D26*$M26/$C26)/$C$13,2)</f>
        <v>0</v>
      </c>
      <c r="AB26" s="116">
        <f>ROUND(($D26*$N26/$C26)/$C$14,2)</f>
        <v>0</v>
      </c>
      <c r="AC26" s="116">
        <f>ROUND(($D26*$O26/$C26)/$C$15,2)</f>
        <v>0</v>
      </c>
      <c r="AD26" s="116">
        <f>ROUND(($D26*$P26/$C26)/$C$16,2)</f>
        <v>0</v>
      </c>
      <c r="AE26" s="116">
        <f>ROUND(($D26*$Q26/$C26)/$C$17,2)</f>
        <v>0</v>
      </c>
    </row>
    <row r="27" spans="1:31">
      <c r="A27" s="131">
        <v>41974</v>
      </c>
      <c r="B27" s="131">
        <v>42009</v>
      </c>
      <c r="C27" s="123">
        <f t="shared" si="1"/>
        <v>35</v>
      </c>
      <c r="D27" s="110">
        <v>61.73</v>
      </c>
      <c r="E27" s="110"/>
      <c r="F27" s="123">
        <f t="shared" ref="F27:F35" si="3">MAX(0,$B27-$A$6)</f>
        <v>4</v>
      </c>
      <c r="G27" s="123"/>
      <c r="H27" s="123"/>
      <c r="I27" s="123"/>
      <c r="J27" s="123"/>
      <c r="K27" s="123"/>
      <c r="L27" s="123"/>
      <c r="M27" s="123"/>
      <c r="N27" s="123"/>
      <c r="O27" s="123"/>
      <c r="P27" s="123"/>
      <c r="Q27" s="123"/>
      <c r="R27" s="133"/>
      <c r="S27" s="133"/>
      <c r="T27" s="116">
        <f t="shared" ref="T27:T35" si="4">ROUND((D27*F27/C27)/$C$6,2)</f>
        <v>127.14</v>
      </c>
      <c r="U27" s="116">
        <f t="shared" si="2"/>
        <v>0</v>
      </c>
      <c r="V27" s="116">
        <f t="shared" ref="V27:V35" si="5">ROUND(($D27*$H27/$C27)/$C$8,2)</f>
        <v>0</v>
      </c>
      <c r="W27" s="116">
        <f t="shared" ref="W27:W35" si="6">ROUND(($D27*$I27/$C27)/$C$9,2)</f>
        <v>0</v>
      </c>
      <c r="X27" s="116">
        <f t="shared" ref="X27:X35" si="7">ROUND(($D27*$J27/$C27)/$C$10,2)</f>
        <v>0</v>
      </c>
      <c r="Y27" s="116">
        <f t="shared" ref="Y27:Y35" si="8">ROUND(($D27*$K27/$C27)/$C$11,2)</f>
        <v>0</v>
      </c>
      <c r="Z27" s="116">
        <f t="shared" ref="Z27:Z35" si="9">ROUND(($D27*$L27/$C27)/$C$12,2)</f>
        <v>0</v>
      </c>
      <c r="AA27" s="116">
        <f t="shared" ref="AA27:AA35" si="10">ROUND(($D27*$M27/$C27)/$C$13,2)</f>
        <v>0</v>
      </c>
      <c r="AB27" s="116">
        <f t="shared" ref="AB27:AB35" si="11">ROUND(($D27*$N27/$C27)/$C$14,2)</f>
        <v>0</v>
      </c>
      <c r="AC27" s="116">
        <f t="shared" ref="AC27:AC35" si="12">ROUND(($D27*$O27/$C27)/$C$15,2)</f>
        <v>0</v>
      </c>
      <c r="AD27" s="116">
        <f t="shared" ref="AD27:AD35" si="13">ROUND(($D27*$P27/$C27)/$C$16,2)</f>
        <v>0</v>
      </c>
      <c r="AE27" s="116">
        <f t="shared" ref="AE27:AE35" si="14">ROUND(($D27*$Q27/$C27)/$C$17,2)</f>
        <v>0</v>
      </c>
    </row>
    <row r="28" spans="1:31">
      <c r="A28" s="131">
        <v>41981</v>
      </c>
      <c r="B28" s="131">
        <v>42012</v>
      </c>
      <c r="C28" s="123">
        <f t="shared" si="1"/>
        <v>31</v>
      </c>
      <c r="D28" s="110">
        <v>384.88</v>
      </c>
      <c r="E28" s="110"/>
      <c r="F28" s="123">
        <f t="shared" si="3"/>
        <v>7</v>
      </c>
      <c r="G28" s="123"/>
      <c r="H28" s="123"/>
      <c r="I28" s="123"/>
      <c r="J28" s="123"/>
      <c r="K28" s="123"/>
      <c r="L28" s="123"/>
      <c r="M28" s="123"/>
      <c r="N28" s="123"/>
      <c r="O28" s="123"/>
      <c r="P28" s="123"/>
      <c r="Q28" s="123"/>
      <c r="R28" s="133"/>
      <c r="S28" s="133"/>
      <c r="T28" s="116">
        <f t="shared" si="4"/>
        <v>1566.2</v>
      </c>
      <c r="U28" s="116">
        <f t="shared" si="2"/>
        <v>0</v>
      </c>
      <c r="V28" s="116">
        <f t="shared" si="5"/>
        <v>0</v>
      </c>
      <c r="W28" s="116">
        <f t="shared" si="6"/>
        <v>0</v>
      </c>
      <c r="X28" s="116">
        <f t="shared" si="7"/>
        <v>0</v>
      </c>
      <c r="Y28" s="116">
        <f t="shared" si="8"/>
        <v>0</v>
      </c>
      <c r="Z28" s="116">
        <f t="shared" si="9"/>
        <v>0</v>
      </c>
      <c r="AA28" s="116">
        <f t="shared" si="10"/>
        <v>0</v>
      </c>
      <c r="AB28" s="116">
        <f t="shared" si="11"/>
        <v>0</v>
      </c>
      <c r="AC28" s="116">
        <f t="shared" si="12"/>
        <v>0</v>
      </c>
      <c r="AD28" s="116">
        <f t="shared" si="13"/>
        <v>0</v>
      </c>
      <c r="AE28" s="116">
        <f t="shared" si="14"/>
        <v>0</v>
      </c>
    </row>
    <row r="29" spans="1:31">
      <c r="A29" s="131">
        <v>41981</v>
      </c>
      <c r="B29" s="131">
        <v>42012</v>
      </c>
      <c r="C29" s="123">
        <f t="shared" si="1"/>
        <v>31</v>
      </c>
      <c r="D29" s="110">
        <v>299.35000000000002</v>
      </c>
      <c r="E29" s="110"/>
      <c r="F29" s="123">
        <f t="shared" si="3"/>
        <v>7</v>
      </c>
      <c r="G29" s="123"/>
      <c r="H29" s="123"/>
      <c r="I29" s="123"/>
      <c r="J29" s="123"/>
      <c r="K29" s="123"/>
      <c r="L29" s="123"/>
      <c r="M29" s="123"/>
      <c r="N29" s="123"/>
      <c r="O29" s="123"/>
      <c r="P29" s="123"/>
      <c r="Q29" s="123"/>
      <c r="R29" s="133"/>
      <c r="S29" s="133"/>
      <c r="T29" s="116">
        <f t="shared" si="4"/>
        <v>1218.1500000000001</v>
      </c>
      <c r="U29" s="116">
        <f t="shared" si="2"/>
        <v>0</v>
      </c>
      <c r="V29" s="116">
        <f t="shared" si="5"/>
        <v>0</v>
      </c>
      <c r="W29" s="116">
        <f t="shared" si="6"/>
        <v>0</v>
      </c>
      <c r="X29" s="116">
        <f t="shared" si="7"/>
        <v>0</v>
      </c>
      <c r="Y29" s="116">
        <f t="shared" si="8"/>
        <v>0</v>
      </c>
      <c r="Z29" s="116">
        <f t="shared" si="9"/>
        <v>0</v>
      </c>
      <c r="AA29" s="116">
        <f t="shared" si="10"/>
        <v>0</v>
      </c>
      <c r="AB29" s="116">
        <f t="shared" si="11"/>
        <v>0</v>
      </c>
      <c r="AC29" s="116">
        <f t="shared" si="12"/>
        <v>0</v>
      </c>
      <c r="AD29" s="116">
        <f t="shared" si="13"/>
        <v>0</v>
      </c>
      <c r="AE29" s="116">
        <f t="shared" si="14"/>
        <v>0</v>
      </c>
    </row>
    <row r="30" spans="1:31">
      <c r="A30" s="131">
        <v>41981</v>
      </c>
      <c r="B30" s="131">
        <v>42012</v>
      </c>
      <c r="C30" s="123">
        <f t="shared" si="1"/>
        <v>31</v>
      </c>
      <c r="D30" s="110">
        <v>802.13</v>
      </c>
      <c r="E30" s="110"/>
      <c r="F30" s="123">
        <f t="shared" si="3"/>
        <v>7</v>
      </c>
      <c r="G30" s="123"/>
      <c r="H30" s="123"/>
      <c r="I30" s="123"/>
      <c r="J30" s="123"/>
      <c r="K30" s="123"/>
      <c r="L30" s="123"/>
      <c r="M30" s="123"/>
      <c r="N30" s="123"/>
      <c r="O30" s="123"/>
      <c r="P30" s="123"/>
      <c r="Q30" s="123"/>
      <c r="R30" s="133"/>
      <c r="S30" s="133"/>
      <c r="T30" s="116">
        <f t="shared" si="4"/>
        <v>3264.12</v>
      </c>
      <c r="U30" s="116">
        <f t="shared" si="2"/>
        <v>0</v>
      </c>
      <c r="V30" s="116">
        <f t="shared" si="5"/>
        <v>0</v>
      </c>
      <c r="W30" s="116">
        <f t="shared" si="6"/>
        <v>0</v>
      </c>
      <c r="X30" s="116">
        <f t="shared" si="7"/>
        <v>0</v>
      </c>
      <c r="Y30" s="116">
        <f t="shared" si="8"/>
        <v>0</v>
      </c>
      <c r="Z30" s="116">
        <f t="shared" si="9"/>
        <v>0</v>
      </c>
      <c r="AA30" s="116">
        <f t="shared" si="10"/>
        <v>0</v>
      </c>
      <c r="AB30" s="116">
        <f t="shared" si="11"/>
        <v>0</v>
      </c>
      <c r="AC30" s="116">
        <f t="shared" si="12"/>
        <v>0</v>
      </c>
      <c r="AD30" s="116">
        <f t="shared" si="13"/>
        <v>0</v>
      </c>
      <c r="AE30" s="116">
        <f t="shared" si="14"/>
        <v>0</v>
      </c>
    </row>
    <row r="31" spans="1:31">
      <c r="A31" s="131">
        <v>41981</v>
      </c>
      <c r="B31" s="131">
        <v>42012</v>
      </c>
      <c r="C31" s="123">
        <f t="shared" si="1"/>
        <v>31</v>
      </c>
      <c r="D31" s="110">
        <v>135</v>
      </c>
      <c r="E31" s="110"/>
      <c r="F31" s="123">
        <f t="shared" si="3"/>
        <v>7</v>
      </c>
      <c r="G31" s="123"/>
      <c r="H31" s="123"/>
      <c r="I31" s="123"/>
      <c r="J31" s="123"/>
      <c r="K31" s="123"/>
      <c r="L31" s="123"/>
      <c r="M31" s="123"/>
      <c r="N31" s="123"/>
      <c r="O31" s="123"/>
      <c r="P31" s="123"/>
      <c r="Q31" s="123"/>
      <c r="R31" s="133"/>
      <c r="S31" s="133"/>
      <c r="T31" s="116">
        <f t="shared" si="4"/>
        <v>549.36</v>
      </c>
      <c r="U31" s="116">
        <f t="shared" si="2"/>
        <v>0</v>
      </c>
      <c r="V31" s="116">
        <f t="shared" si="5"/>
        <v>0</v>
      </c>
      <c r="W31" s="116">
        <f t="shared" si="6"/>
        <v>0</v>
      </c>
      <c r="X31" s="116">
        <f t="shared" si="7"/>
        <v>0</v>
      </c>
      <c r="Y31" s="116">
        <f t="shared" si="8"/>
        <v>0</v>
      </c>
      <c r="Z31" s="116">
        <f t="shared" si="9"/>
        <v>0</v>
      </c>
      <c r="AA31" s="116">
        <f t="shared" si="10"/>
        <v>0</v>
      </c>
      <c r="AB31" s="116">
        <f t="shared" si="11"/>
        <v>0</v>
      </c>
      <c r="AC31" s="116">
        <f t="shared" si="12"/>
        <v>0</v>
      </c>
      <c r="AD31" s="116">
        <f t="shared" si="13"/>
        <v>0</v>
      </c>
      <c r="AE31" s="116">
        <f t="shared" si="14"/>
        <v>0</v>
      </c>
    </row>
    <row r="32" spans="1:31">
      <c r="A32" s="131">
        <v>41978</v>
      </c>
      <c r="B32" s="131">
        <v>42016</v>
      </c>
      <c r="C32" s="123">
        <f t="shared" si="1"/>
        <v>38</v>
      </c>
      <c r="D32" s="110">
        <v>306.72000000000003</v>
      </c>
      <c r="E32" s="110"/>
      <c r="F32" s="123">
        <f t="shared" si="3"/>
        <v>11</v>
      </c>
      <c r="G32" s="123"/>
      <c r="H32" s="123"/>
      <c r="I32" s="123"/>
      <c r="J32" s="123"/>
      <c r="K32" s="123"/>
      <c r="L32" s="123"/>
      <c r="M32" s="123"/>
      <c r="N32" s="123"/>
      <c r="O32" s="123"/>
      <c r="P32" s="123"/>
      <c r="Q32" s="123"/>
      <c r="R32" s="133"/>
      <c r="S32" s="133"/>
      <c r="T32" s="116">
        <f t="shared" si="4"/>
        <v>1600.06</v>
      </c>
      <c r="U32" s="116">
        <f t="shared" si="2"/>
        <v>0</v>
      </c>
      <c r="V32" s="116">
        <f t="shared" si="5"/>
        <v>0</v>
      </c>
      <c r="W32" s="116">
        <f t="shared" si="6"/>
        <v>0</v>
      </c>
      <c r="X32" s="116">
        <f t="shared" si="7"/>
        <v>0</v>
      </c>
      <c r="Y32" s="116">
        <f t="shared" si="8"/>
        <v>0</v>
      </c>
      <c r="Z32" s="116">
        <f t="shared" si="9"/>
        <v>0</v>
      </c>
      <c r="AA32" s="116">
        <f t="shared" si="10"/>
        <v>0</v>
      </c>
      <c r="AB32" s="116">
        <f t="shared" si="11"/>
        <v>0</v>
      </c>
      <c r="AC32" s="116">
        <f t="shared" si="12"/>
        <v>0</v>
      </c>
      <c r="AD32" s="116">
        <f t="shared" si="13"/>
        <v>0</v>
      </c>
      <c r="AE32" s="116">
        <f t="shared" si="14"/>
        <v>0</v>
      </c>
    </row>
    <row r="33" spans="1:31">
      <c r="A33" s="131">
        <v>41981</v>
      </c>
      <c r="B33" s="131">
        <v>42012</v>
      </c>
      <c r="C33" s="123">
        <f t="shared" si="1"/>
        <v>31</v>
      </c>
      <c r="D33" s="110">
        <v>1498.25</v>
      </c>
      <c r="E33" s="110"/>
      <c r="F33" s="123">
        <f t="shared" si="3"/>
        <v>7</v>
      </c>
      <c r="G33" s="123"/>
      <c r="H33" s="123"/>
      <c r="I33" s="123"/>
      <c r="J33" s="123"/>
      <c r="K33" s="123"/>
      <c r="L33" s="123"/>
      <c r="M33" s="123"/>
      <c r="N33" s="123"/>
      <c r="O33" s="123"/>
      <c r="P33" s="123"/>
      <c r="Q33" s="123"/>
      <c r="R33" s="133"/>
      <c r="S33" s="133"/>
      <c r="T33" s="116">
        <f t="shared" si="4"/>
        <v>6096.86</v>
      </c>
      <c r="U33" s="116">
        <f t="shared" si="2"/>
        <v>0</v>
      </c>
      <c r="V33" s="116">
        <f t="shared" si="5"/>
        <v>0</v>
      </c>
      <c r="W33" s="116">
        <f t="shared" si="6"/>
        <v>0</v>
      </c>
      <c r="X33" s="116">
        <f t="shared" si="7"/>
        <v>0</v>
      </c>
      <c r="Y33" s="116">
        <f t="shared" si="8"/>
        <v>0</v>
      </c>
      <c r="Z33" s="116">
        <f t="shared" si="9"/>
        <v>0</v>
      </c>
      <c r="AA33" s="116">
        <f t="shared" si="10"/>
        <v>0</v>
      </c>
      <c r="AB33" s="116">
        <f t="shared" si="11"/>
        <v>0</v>
      </c>
      <c r="AC33" s="116">
        <f t="shared" si="12"/>
        <v>0</v>
      </c>
      <c r="AD33" s="116">
        <f t="shared" si="13"/>
        <v>0</v>
      </c>
      <c r="AE33" s="116">
        <f t="shared" si="14"/>
        <v>0</v>
      </c>
    </row>
    <row r="34" spans="1:31">
      <c r="A34" s="131">
        <v>41981</v>
      </c>
      <c r="B34" s="131">
        <v>42012</v>
      </c>
      <c r="C34" s="123">
        <f t="shared" si="1"/>
        <v>31</v>
      </c>
      <c r="D34" s="110">
        <v>1294.5899999999999</v>
      </c>
      <c r="E34" s="110"/>
      <c r="F34" s="123">
        <f t="shared" si="3"/>
        <v>7</v>
      </c>
      <c r="G34" s="123"/>
      <c r="H34" s="123"/>
      <c r="I34" s="123"/>
      <c r="J34" s="123"/>
      <c r="K34" s="123"/>
      <c r="L34" s="123"/>
      <c r="M34" s="123"/>
      <c r="N34" s="123"/>
      <c r="O34" s="123"/>
      <c r="P34" s="123"/>
      <c r="Q34" s="123"/>
      <c r="R34" s="133"/>
      <c r="S34" s="133"/>
      <c r="T34" s="116">
        <f t="shared" si="4"/>
        <v>5268.1</v>
      </c>
      <c r="U34" s="116">
        <f t="shared" si="2"/>
        <v>0</v>
      </c>
      <c r="V34" s="116">
        <f t="shared" si="5"/>
        <v>0</v>
      </c>
      <c r="W34" s="116">
        <f t="shared" si="6"/>
        <v>0</v>
      </c>
      <c r="X34" s="116">
        <f t="shared" si="7"/>
        <v>0</v>
      </c>
      <c r="Y34" s="116">
        <f t="shared" si="8"/>
        <v>0</v>
      </c>
      <c r="Z34" s="116">
        <f t="shared" si="9"/>
        <v>0</v>
      </c>
      <c r="AA34" s="116">
        <f t="shared" si="10"/>
        <v>0</v>
      </c>
      <c r="AB34" s="116">
        <f t="shared" si="11"/>
        <v>0</v>
      </c>
      <c r="AC34" s="116">
        <f t="shared" si="12"/>
        <v>0</v>
      </c>
      <c r="AD34" s="116">
        <f t="shared" si="13"/>
        <v>0</v>
      </c>
      <c r="AE34" s="116">
        <f t="shared" si="14"/>
        <v>0</v>
      </c>
    </row>
    <row r="35" spans="1:31" ht="15.75" thickBot="1">
      <c r="A35" s="131">
        <v>41978</v>
      </c>
      <c r="B35" s="131">
        <v>42016</v>
      </c>
      <c r="C35" s="123">
        <f t="shared" si="1"/>
        <v>38</v>
      </c>
      <c r="D35" s="110">
        <v>82.71</v>
      </c>
      <c r="E35" s="110"/>
      <c r="F35" s="123">
        <f t="shared" si="3"/>
        <v>11</v>
      </c>
      <c r="G35" s="123"/>
      <c r="H35" s="123"/>
      <c r="I35" s="123"/>
      <c r="J35" s="123"/>
      <c r="K35" s="123"/>
      <c r="L35" s="123"/>
      <c r="M35" s="123"/>
      <c r="N35" s="123"/>
      <c r="O35" s="123"/>
      <c r="P35" s="123"/>
      <c r="Q35" s="123"/>
      <c r="R35" s="133"/>
      <c r="S35" s="133"/>
      <c r="T35" s="116">
        <f t="shared" si="4"/>
        <v>431.47</v>
      </c>
      <c r="U35" s="116">
        <f t="shared" si="2"/>
        <v>0</v>
      </c>
      <c r="V35" s="116">
        <f t="shared" si="5"/>
        <v>0</v>
      </c>
      <c r="W35" s="116">
        <f t="shared" si="6"/>
        <v>0</v>
      </c>
      <c r="X35" s="116">
        <f t="shared" si="7"/>
        <v>0</v>
      </c>
      <c r="Y35" s="116">
        <f t="shared" si="8"/>
        <v>0</v>
      </c>
      <c r="Z35" s="116">
        <f t="shared" si="9"/>
        <v>0</v>
      </c>
      <c r="AA35" s="116">
        <f t="shared" si="10"/>
        <v>0</v>
      </c>
      <c r="AB35" s="116">
        <f t="shared" si="11"/>
        <v>0</v>
      </c>
      <c r="AC35" s="116">
        <f t="shared" si="12"/>
        <v>0</v>
      </c>
      <c r="AD35" s="116">
        <f t="shared" si="13"/>
        <v>0</v>
      </c>
      <c r="AE35" s="116">
        <f t="shared" si="14"/>
        <v>0</v>
      </c>
    </row>
    <row r="36" spans="1:31" ht="15.75" thickBot="1">
      <c r="A36" s="194" t="s">
        <v>36</v>
      </c>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6"/>
    </row>
    <row r="37" spans="1:31">
      <c r="A37" s="131">
        <v>41957</v>
      </c>
      <c r="B37" s="131">
        <v>42023</v>
      </c>
      <c r="C37" s="123">
        <f t="shared" si="1"/>
        <v>66</v>
      </c>
      <c r="D37" s="110">
        <v>4034.23</v>
      </c>
      <c r="E37" s="110"/>
      <c r="F37" s="123">
        <f>MAX(0,$B37-$A$6)</f>
        <v>18</v>
      </c>
      <c r="G37" s="123"/>
      <c r="H37" s="123"/>
      <c r="I37" s="123"/>
      <c r="J37" s="123"/>
      <c r="K37" s="123"/>
      <c r="L37" s="123"/>
      <c r="M37" s="123"/>
      <c r="N37" s="123"/>
      <c r="O37" s="123"/>
      <c r="P37" s="123"/>
      <c r="Q37" s="123"/>
      <c r="R37" s="133"/>
      <c r="S37" s="133"/>
      <c r="T37" s="116">
        <f>ROUND((D37*F37/C37)/$C$6,2)</f>
        <v>19827.8</v>
      </c>
      <c r="U37" s="116">
        <f t="shared" si="2"/>
        <v>0</v>
      </c>
      <c r="V37" s="116">
        <f t="shared" ref="V37:V39" si="15">ROUND(($D37*$H37/$C37)/$C$8,2)</f>
        <v>0</v>
      </c>
      <c r="W37" s="116">
        <f>ROUND(($D37*$I37/$C37)/$C$9,2)</f>
        <v>0</v>
      </c>
      <c r="X37" s="116">
        <f>ROUND(($D37*$J37/$C37)/$C$10,2)</f>
        <v>0</v>
      </c>
      <c r="Y37" s="116">
        <f>ROUND(($D37*$K37/$C37)/$C$11,2)</f>
        <v>0</v>
      </c>
      <c r="Z37" s="116">
        <f>ROUND(($D37*$L37/$C37)/$C$12,2)</f>
        <v>0</v>
      </c>
      <c r="AA37" s="116">
        <f>ROUND(($D37*$M37/$C37)/$C$13,2)</f>
        <v>0</v>
      </c>
      <c r="AB37" s="116">
        <f>ROUND(($D37*$N37/$C37)/$C$14,2)</f>
        <v>0</v>
      </c>
      <c r="AC37" s="116">
        <f>ROUND(($D37*$O37/$C37)/$C$15,2)</f>
        <v>0</v>
      </c>
      <c r="AD37" s="116">
        <f>ROUND(($D37*$P37/$C37)/$C$16,2)</f>
        <v>0</v>
      </c>
      <c r="AE37" s="116">
        <f>ROUND(($D37*$Q37/$C37)/$C$17,2)</f>
        <v>0</v>
      </c>
    </row>
    <row r="38" spans="1:31">
      <c r="A38" s="131">
        <v>41957</v>
      </c>
      <c r="B38" s="131">
        <v>42023</v>
      </c>
      <c r="C38" s="123">
        <f t="shared" si="1"/>
        <v>66</v>
      </c>
      <c r="D38" s="110">
        <v>605.16</v>
      </c>
      <c r="E38" s="110"/>
      <c r="F38" s="123">
        <f>MAX(0,$B38-$A$6)</f>
        <v>18</v>
      </c>
      <c r="G38" s="123"/>
      <c r="H38" s="123"/>
      <c r="I38" s="123"/>
      <c r="J38" s="123"/>
      <c r="K38" s="123"/>
      <c r="L38" s="123"/>
      <c r="M38" s="123"/>
      <c r="N38" s="123"/>
      <c r="O38" s="123"/>
      <c r="P38" s="123"/>
      <c r="Q38" s="123"/>
      <c r="R38" s="133"/>
      <c r="S38" s="133"/>
      <c r="T38" s="116">
        <f>ROUND((D38*F38/C38)/$C$6,2)</f>
        <v>2974.3</v>
      </c>
      <c r="U38" s="116">
        <f t="shared" si="2"/>
        <v>0</v>
      </c>
      <c r="V38" s="116">
        <f t="shared" si="15"/>
        <v>0</v>
      </c>
      <c r="W38" s="116">
        <f>ROUND(($D38*$I38/$C38)/$C$9,2)</f>
        <v>0</v>
      </c>
      <c r="X38" s="116">
        <f>ROUND(($D38*$J38/$C38)/$C$10,2)</f>
        <v>0</v>
      </c>
      <c r="Y38" s="116">
        <f>ROUND(($D38*$K38/$C38)/$C$11,2)</f>
        <v>0</v>
      </c>
      <c r="Z38" s="116">
        <f>ROUND(($D38*$L38/$C38)/$C$12,2)</f>
        <v>0</v>
      </c>
      <c r="AA38" s="116">
        <f>ROUND(($D38*$M38/$C38)/$C$13,2)</f>
        <v>0</v>
      </c>
      <c r="AB38" s="116">
        <f>ROUND(($D38*$N38/$C38)/$C$14,2)</f>
        <v>0</v>
      </c>
      <c r="AC38" s="116">
        <f>ROUND(($D38*$O38/$C38)/$C$15,2)</f>
        <v>0</v>
      </c>
      <c r="AD38" s="116">
        <f>ROUND(($D38*$P38/$C38)/$C$16,2)</f>
        <v>0</v>
      </c>
      <c r="AE38" s="116">
        <f>ROUND(($D38*$Q38/$C38)/$C$17,2)</f>
        <v>0</v>
      </c>
    </row>
    <row r="39" spans="1:31">
      <c r="A39" s="131">
        <v>41957</v>
      </c>
      <c r="B39" s="131">
        <v>42023</v>
      </c>
      <c r="C39" s="123">
        <f t="shared" si="1"/>
        <v>66</v>
      </c>
      <c r="D39" s="110">
        <v>1412.52</v>
      </c>
      <c r="E39" s="110"/>
      <c r="F39" s="123">
        <f>MAX(0,$B39-$A$6)</f>
        <v>18</v>
      </c>
      <c r="G39" s="123"/>
      <c r="H39" s="123"/>
      <c r="I39" s="123"/>
      <c r="J39" s="123"/>
      <c r="K39" s="123"/>
      <c r="L39" s="123"/>
      <c r="M39" s="123"/>
      <c r="N39" s="123"/>
      <c r="O39" s="123"/>
      <c r="P39" s="123"/>
      <c r="Q39" s="123"/>
      <c r="R39" s="133"/>
      <c r="S39" s="133"/>
      <c r="T39" s="116">
        <f>ROUND((D39*F39/C39)/$C$6,2)</f>
        <v>6942.38</v>
      </c>
      <c r="U39" s="116">
        <f t="shared" si="2"/>
        <v>0</v>
      </c>
      <c r="V39" s="116">
        <f t="shared" si="15"/>
        <v>0</v>
      </c>
      <c r="W39" s="116">
        <f>ROUND(($D39*$I39/$C39)/$C$9,2)</f>
        <v>0</v>
      </c>
      <c r="X39" s="116">
        <f>ROUND(($D39*$J39/$C39)/$C$10,2)</f>
        <v>0</v>
      </c>
      <c r="Y39" s="116">
        <f>ROUND(($D39*$K39/$C39)/$C$11,2)</f>
        <v>0</v>
      </c>
      <c r="Z39" s="116">
        <f>ROUND(($D39*$L39/$C39)/$C$12,2)</f>
        <v>0</v>
      </c>
      <c r="AA39" s="116">
        <f>ROUND(($D39*$M39/$C39)/$C$13,2)</f>
        <v>0</v>
      </c>
      <c r="AB39" s="116">
        <f>ROUND(($D39*$N39/$C39)/$C$14,2)</f>
        <v>0</v>
      </c>
      <c r="AC39" s="116">
        <f>ROUND(($D39*$O39/$C39)/$C$15,2)</f>
        <v>0</v>
      </c>
      <c r="AD39" s="116">
        <f>ROUND(($D39*$P39/$C39)/$C$16,2)</f>
        <v>0</v>
      </c>
      <c r="AE39" s="116">
        <f>ROUND(($D39*$Q39/$C39)/$C$17,2)</f>
        <v>0</v>
      </c>
    </row>
    <row r="40" spans="1:31">
      <c r="A40" s="131">
        <v>41988</v>
      </c>
      <c r="B40" s="131">
        <v>42019</v>
      </c>
      <c r="C40" s="123">
        <f t="shared" si="1"/>
        <v>31</v>
      </c>
      <c r="D40" s="110">
        <v>31494.92</v>
      </c>
      <c r="E40" s="110"/>
      <c r="F40" s="123">
        <f t="shared" ref="F40:F46" si="16">MAX(0,$B40-$A$6)</f>
        <v>14</v>
      </c>
      <c r="G40" s="123"/>
      <c r="H40" s="123"/>
      <c r="I40" s="123"/>
      <c r="J40" s="123"/>
      <c r="K40" s="123"/>
      <c r="L40" s="123"/>
      <c r="M40" s="123"/>
      <c r="N40" s="123"/>
      <c r="O40" s="123"/>
      <c r="P40" s="123"/>
      <c r="Q40" s="123"/>
      <c r="R40" s="133"/>
      <c r="S40" s="133"/>
      <c r="T40" s="116">
        <f>ROUND((D40*F40/C40)/$C$6,2)</f>
        <v>256325.68</v>
      </c>
      <c r="U40" s="116">
        <f t="shared" si="2"/>
        <v>0</v>
      </c>
      <c r="V40" s="116">
        <f t="shared" ref="V40:V67" si="17">ROUND(($D40*$H40/$C40)/$C$8,2)</f>
        <v>0</v>
      </c>
      <c r="W40" s="116">
        <f t="shared" ref="W40:W67" si="18">ROUND(($D40*$I40/$C40)/$C$9,2)</f>
        <v>0</v>
      </c>
      <c r="X40" s="116">
        <f t="shared" ref="X40:X67" si="19">ROUND(($D40*$J40/$C40)/$C$10,2)</f>
        <v>0</v>
      </c>
      <c r="Y40" s="116">
        <f t="shared" ref="Y40:Y67" si="20">ROUND(($D40*$K40/$C40)/$C$11,2)</f>
        <v>0</v>
      </c>
      <c r="Z40" s="116">
        <f t="shared" ref="Z40:Z67" si="21">ROUND(($D40*$L40/$C40)/$C$12,2)</f>
        <v>0</v>
      </c>
      <c r="AA40" s="116">
        <f t="shared" ref="AA40:AA67" si="22">ROUND(($D40*$M40/$C40)/$C$13,2)</f>
        <v>0</v>
      </c>
      <c r="AB40" s="116">
        <f t="shared" ref="AB40:AB67" si="23">ROUND(($D40*$N40/$C40)/$C$14,2)</f>
        <v>0</v>
      </c>
      <c r="AC40" s="116">
        <f t="shared" ref="AC40:AC67" si="24">ROUND(($D40*$O40/$C40)/$C$15,2)</f>
        <v>0</v>
      </c>
      <c r="AD40" s="116">
        <f t="shared" ref="AD40:AD67" si="25">ROUND(($D40*$P40/$C40)/$C$16,2)</f>
        <v>0</v>
      </c>
      <c r="AE40" s="116">
        <f t="shared" ref="AE40:AE67" si="26">ROUND(($D40*$Q40/$C40)/$C$17,2)</f>
        <v>0</v>
      </c>
    </row>
    <row r="41" spans="1:31">
      <c r="A41" s="131">
        <v>41988</v>
      </c>
      <c r="B41" s="131">
        <v>42019</v>
      </c>
      <c r="C41" s="123">
        <f t="shared" si="1"/>
        <v>31</v>
      </c>
      <c r="D41" s="110">
        <v>7727.83</v>
      </c>
      <c r="E41" s="110"/>
      <c r="F41" s="123">
        <f t="shared" si="16"/>
        <v>14</v>
      </c>
      <c r="G41" s="123"/>
      <c r="H41" s="123"/>
      <c r="I41" s="123"/>
      <c r="J41" s="123"/>
      <c r="K41" s="123"/>
      <c r="L41" s="123"/>
      <c r="M41" s="123"/>
      <c r="N41" s="123"/>
      <c r="O41" s="123"/>
      <c r="P41" s="123"/>
      <c r="Q41" s="123"/>
      <c r="R41" s="133"/>
      <c r="S41" s="133"/>
      <c r="T41" s="116">
        <f>ROUND((D41*F41/C41)/$C$6,2)</f>
        <v>62893.99</v>
      </c>
      <c r="U41" s="116">
        <f t="shared" si="2"/>
        <v>0</v>
      </c>
      <c r="V41" s="116">
        <f t="shared" si="17"/>
        <v>0</v>
      </c>
      <c r="W41" s="116">
        <f t="shared" si="18"/>
        <v>0</v>
      </c>
      <c r="X41" s="116">
        <f t="shared" si="19"/>
        <v>0</v>
      </c>
      <c r="Y41" s="116">
        <f t="shared" si="20"/>
        <v>0</v>
      </c>
      <c r="Z41" s="116">
        <f t="shared" si="21"/>
        <v>0</v>
      </c>
      <c r="AA41" s="116">
        <f t="shared" si="22"/>
        <v>0</v>
      </c>
      <c r="AB41" s="116">
        <f t="shared" si="23"/>
        <v>0</v>
      </c>
      <c r="AC41" s="116">
        <f t="shared" si="24"/>
        <v>0</v>
      </c>
      <c r="AD41" s="116">
        <f t="shared" si="25"/>
        <v>0</v>
      </c>
      <c r="AE41" s="116">
        <f t="shared" si="26"/>
        <v>0</v>
      </c>
    </row>
    <row r="42" spans="1:31">
      <c r="A42" s="131">
        <v>41998</v>
      </c>
      <c r="B42" s="131">
        <v>42026</v>
      </c>
      <c r="C42" s="123">
        <f t="shared" si="1"/>
        <v>28</v>
      </c>
      <c r="D42" s="110">
        <v>154986.93</v>
      </c>
      <c r="E42" s="110"/>
      <c r="F42" s="123">
        <f t="shared" si="16"/>
        <v>21</v>
      </c>
      <c r="G42" s="123"/>
      <c r="H42" s="123"/>
      <c r="I42" s="123"/>
      <c r="J42" s="123"/>
      <c r="K42" s="123"/>
      <c r="L42" s="123"/>
      <c r="M42" s="123"/>
      <c r="N42" s="123"/>
      <c r="O42" s="123"/>
      <c r="P42" s="123"/>
      <c r="Q42" s="123"/>
      <c r="R42" s="133"/>
      <c r="S42" s="133"/>
      <c r="T42" s="116">
        <v>2003737.65</v>
      </c>
      <c r="U42" s="116">
        <f t="shared" si="2"/>
        <v>0</v>
      </c>
      <c r="V42" s="116">
        <f t="shared" si="17"/>
        <v>0</v>
      </c>
      <c r="W42" s="116">
        <f t="shared" si="18"/>
        <v>0</v>
      </c>
      <c r="X42" s="116">
        <f t="shared" si="19"/>
        <v>0</v>
      </c>
      <c r="Y42" s="116">
        <f t="shared" si="20"/>
        <v>0</v>
      </c>
      <c r="Z42" s="116">
        <f t="shared" si="21"/>
        <v>0</v>
      </c>
      <c r="AA42" s="116">
        <f t="shared" si="22"/>
        <v>0</v>
      </c>
      <c r="AB42" s="116">
        <f t="shared" si="23"/>
        <v>0</v>
      </c>
      <c r="AC42" s="116">
        <f t="shared" si="24"/>
        <v>0</v>
      </c>
      <c r="AD42" s="116">
        <f t="shared" si="25"/>
        <v>0</v>
      </c>
      <c r="AE42" s="116">
        <f t="shared" si="26"/>
        <v>0</v>
      </c>
    </row>
    <row r="43" spans="1:31">
      <c r="A43" s="131">
        <v>42001</v>
      </c>
      <c r="B43" s="131">
        <v>42030</v>
      </c>
      <c r="C43" s="123">
        <f t="shared" si="1"/>
        <v>29</v>
      </c>
      <c r="D43" s="110">
        <v>1950.65</v>
      </c>
      <c r="E43" s="110"/>
      <c r="F43" s="123">
        <f t="shared" si="16"/>
        <v>25</v>
      </c>
      <c r="G43" s="123"/>
      <c r="H43" s="123"/>
      <c r="I43" s="123"/>
      <c r="J43" s="123"/>
      <c r="K43" s="123"/>
      <c r="L43" s="123"/>
      <c r="M43" s="123"/>
      <c r="N43" s="123"/>
      <c r="O43" s="123"/>
      <c r="P43" s="123"/>
      <c r="Q43" s="123"/>
      <c r="R43" s="133"/>
      <c r="S43" s="133"/>
      <c r="T43" s="116">
        <f>ROUND((D43*F43/C43)/$C$6,2)</f>
        <v>30304.47</v>
      </c>
      <c r="U43" s="116">
        <f t="shared" si="2"/>
        <v>0</v>
      </c>
      <c r="V43" s="116">
        <f t="shared" si="17"/>
        <v>0</v>
      </c>
      <c r="W43" s="116">
        <f t="shared" si="18"/>
        <v>0</v>
      </c>
      <c r="X43" s="116">
        <f t="shared" si="19"/>
        <v>0</v>
      </c>
      <c r="Y43" s="116">
        <f t="shared" si="20"/>
        <v>0</v>
      </c>
      <c r="Z43" s="116">
        <f t="shared" si="21"/>
        <v>0</v>
      </c>
      <c r="AA43" s="116">
        <f t="shared" si="22"/>
        <v>0</v>
      </c>
      <c r="AB43" s="116">
        <f t="shared" si="23"/>
        <v>0</v>
      </c>
      <c r="AC43" s="116">
        <f t="shared" si="24"/>
        <v>0</v>
      </c>
      <c r="AD43" s="116">
        <f t="shared" si="25"/>
        <v>0</v>
      </c>
      <c r="AE43" s="116">
        <f t="shared" si="26"/>
        <v>0</v>
      </c>
    </row>
    <row r="44" spans="1:31">
      <c r="A44" s="131">
        <v>42001</v>
      </c>
      <c r="B44" s="131">
        <v>42030</v>
      </c>
      <c r="C44" s="123">
        <f t="shared" si="1"/>
        <v>29</v>
      </c>
      <c r="D44" s="110">
        <v>785.18</v>
      </c>
      <c r="E44" s="110"/>
      <c r="F44" s="123">
        <f t="shared" si="16"/>
        <v>25</v>
      </c>
      <c r="G44" s="123"/>
      <c r="H44" s="123"/>
      <c r="I44" s="123"/>
      <c r="J44" s="123"/>
      <c r="K44" s="123"/>
      <c r="L44" s="123"/>
      <c r="M44" s="123"/>
      <c r="N44" s="123"/>
      <c r="O44" s="123"/>
      <c r="P44" s="123"/>
      <c r="Q44" s="123"/>
      <c r="R44" s="133"/>
      <c r="S44" s="133"/>
      <c r="T44" s="116">
        <f>ROUND((D44*F44/C44)/$C$6,2)</f>
        <v>12198.22</v>
      </c>
      <c r="U44" s="116">
        <f t="shared" si="2"/>
        <v>0</v>
      </c>
      <c r="V44" s="116">
        <f t="shared" si="17"/>
        <v>0</v>
      </c>
      <c r="W44" s="116">
        <f t="shared" si="18"/>
        <v>0</v>
      </c>
      <c r="X44" s="116">
        <f t="shared" si="19"/>
        <v>0</v>
      </c>
      <c r="Y44" s="116">
        <f t="shared" si="20"/>
        <v>0</v>
      </c>
      <c r="Z44" s="116">
        <f t="shared" si="21"/>
        <v>0</v>
      </c>
      <c r="AA44" s="116">
        <f t="shared" si="22"/>
        <v>0</v>
      </c>
      <c r="AB44" s="116">
        <f t="shared" si="23"/>
        <v>0</v>
      </c>
      <c r="AC44" s="116">
        <f t="shared" si="24"/>
        <v>0</v>
      </c>
      <c r="AD44" s="116">
        <f t="shared" si="25"/>
        <v>0</v>
      </c>
      <c r="AE44" s="116">
        <f t="shared" si="26"/>
        <v>0</v>
      </c>
    </row>
    <row r="45" spans="1:31">
      <c r="A45" s="131">
        <v>42001</v>
      </c>
      <c r="B45" s="131">
        <v>42032</v>
      </c>
      <c r="C45" s="123">
        <f t="shared" si="1"/>
        <v>31</v>
      </c>
      <c r="D45" s="110">
        <v>332.7</v>
      </c>
      <c r="E45" s="110"/>
      <c r="F45" s="123">
        <f t="shared" si="16"/>
        <v>27</v>
      </c>
      <c r="G45" s="123"/>
      <c r="H45" s="123"/>
      <c r="I45" s="123"/>
      <c r="J45" s="123"/>
      <c r="K45" s="123"/>
      <c r="L45" s="123"/>
      <c r="M45" s="123"/>
      <c r="N45" s="123"/>
      <c r="O45" s="123"/>
      <c r="P45" s="123"/>
      <c r="Q45" s="123"/>
      <c r="R45" s="133"/>
      <c r="S45" s="133"/>
      <c r="T45" s="116">
        <f>ROUND((D45*F45/C45)/$C$6,2)</f>
        <v>5222.04</v>
      </c>
      <c r="U45" s="116">
        <f t="shared" si="2"/>
        <v>0</v>
      </c>
      <c r="V45" s="116">
        <f t="shared" si="17"/>
        <v>0</v>
      </c>
      <c r="W45" s="116">
        <f t="shared" si="18"/>
        <v>0</v>
      </c>
      <c r="X45" s="116">
        <f t="shared" si="19"/>
        <v>0</v>
      </c>
      <c r="Y45" s="116">
        <f t="shared" si="20"/>
        <v>0</v>
      </c>
      <c r="Z45" s="116">
        <f t="shared" si="21"/>
        <v>0</v>
      </c>
      <c r="AA45" s="116">
        <f t="shared" si="22"/>
        <v>0</v>
      </c>
      <c r="AB45" s="116">
        <f t="shared" si="23"/>
        <v>0</v>
      </c>
      <c r="AC45" s="116">
        <f t="shared" si="24"/>
        <v>0</v>
      </c>
      <c r="AD45" s="116">
        <f t="shared" si="25"/>
        <v>0</v>
      </c>
      <c r="AE45" s="116">
        <f t="shared" si="26"/>
        <v>0</v>
      </c>
    </row>
    <row r="46" spans="1:31">
      <c r="A46" s="131">
        <v>42001</v>
      </c>
      <c r="B46" s="131">
        <v>42032</v>
      </c>
      <c r="C46" s="123">
        <f t="shared" si="1"/>
        <v>31</v>
      </c>
      <c r="D46" s="110">
        <v>981.86</v>
      </c>
      <c r="E46" s="110"/>
      <c r="F46" s="123">
        <f t="shared" si="16"/>
        <v>27</v>
      </c>
      <c r="G46" s="123"/>
      <c r="H46" s="123"/>
      <c r="I46" s="123"/>
      <c r="J46" s="123"/>
      <c r="K46" s="123"/>
      <c r="L46" s="123"/>
      <c r="M46" s="123"/>
      <c r="N46" s="123"/>
      <c r="O46" s="123"/>
      <c r="P46" s="123"/>
      <c r="Q46" s="123"/>
      <c r="R46" s="133"/>
      <c r="S46" s="133"/>
      <c r="T46" s="116">
        <f>ROUND((D46*F46/C46)/$C$6,2)</f>
        <v>15411.22</v>
      </c>
      <c r="U46" s="116">
        <f t="shared" si="2"/>
        <v>0</v>
      </c>
      <c r="V46" s="116">
        <f t="shared" si="17"/>
        <v>0</v>
      </c>
      <c r="W46" s="116">
        <f t="shared" si="18"/>
        <v>0</v>
      </c>
      <c r="X46" s="116">
        <f t="shared" si="19"/>
        <v>0</v>
      </c>
      <c r="Y46" s="116">
        <f t="shared" si="20"/>
        <v>0</v>
      </c>
      <c r="Z46" s="116">
        <f t="shared" si="21"/>
        <v>0</v>
      </c>
      <c r="AA46" s="116">
        <f t="shared" si="22"/>
        <v>0</v>
      </c>
      <c r="AB46" s="116">
        <f t="shared" si="23"/>
        <v>0</v>
      </c>
      <c r="AC46" s="116">
        <f t="shared" si="24"/>
        <v>0</v>
      </c>
      <c r="AD46" s="116">
        <f t="shared" si="25"/>
        <v>0</v>
      </c>
      <c r="AE46" s="116">
        <f t="shared" si="26"/>
        <v>0</v>
      </c>
    </row>
    <row r="47" spans="1:31">
      <c r="A47" s="131">
        <v>42004</v>
      </c>
      <c r="B47" s="131">
        <v>42035</v>
      </c>
      <c r="C47" s="123">
        <f t="shared" si="1"/>
        <v>31</v>
      </c>
      <c r="D47" s="110">
        <v>18246.310000000001</v>
      </c>
      <c r="E47" s="110"/>
      <c r="F47" s="123">
        <v>31</v>
      </c>
      <c r="G47" s="123"/>
      <c r="H47" s="123"/>
      <c r="I47" s="123"/>
      <c r="J47" s="123"/>
      <c r="K47" s="123"/>
      <c r="L47" s="123"/>
      <c r="M47" s="123"/>
      <c r="N47" s="123"/>
      <c r="O47" s="123"/>
      <c r="P47" s="123"/>
      <c r="Q47" s="123"/>
      <c r="R47" s="133"/>
      <c r="S47" s="133"/>
      <c r="T47" s="116">
        <v>353468.25</v>
      </c>
      <c r="U47" s="116">
        <f t="shared" si="2"/>
        <v>0</v>
      </c>
      <c r="V47" s="116">
        <f t="shared" si="17"/>
        <v>0</v>
      </c>
      <c r="W47" s="116">
        <f t="shared" si="18"/>
        <v>0</v>
      </c>
      <c r="X47" s="116">
        <f t="shared" si="19"/>
        <v>0</v>
      </c>
      <c r="Y47" s="116">
        <f t="shared" si="20"/>
        <v>0</v>
      </c>
      <c r="Z47" s="116">
        <f t="shared" si="21"/>
        <v>0</v>
      </c>
      <c r="AA47" s="116">
        <f t="shared" si="22"/>
        <v>0</v>
      </c>
      <c r="AB47" s="116">
        <f t="shared" si="23"/>
        <v>0</v>
      </c>
      <c r="AC47" s="116">
        <f t="shared" si="24"/>
        <v>0</v>
      </c>
      <c r="AD47" s="116">
        <f t="shared" si="25"/>
        <v>0</v>
      </c>
      <c r="AE47" s="116">
        <f t="shared" si="26"/>
        <v>0</v>
      </c>
    </row>
    <row r="48" spans="1:31">
      <c r="A48" s="131">
        <v>42005</v>
      </c>
      <c r="B48" s="131">
        <v>42036</v>
      </c>
      <c r="C48" s="123">
        <f t="shared" si="1"/>
        <v>31</v>
      </c>
      <c r="D48" s="110">
        <v>11068.31</v>
      </c>
      <c r="E48" s="110"/>
      <c r="F48" s="123">
        <f t="shared" ref="F48:F55" si="27">MAX(0,$B48-$A$6)</f>
        <v>31</v>
      </c>
      <c r="G48" s="123"/>
      <c r="H48" s="123"/>
      <c r="I48" s="123"/>
      <c r="J48" s="123"/>
      <c r="K48" s="123"/>
      <c r="L48" s="123"/>
      <c r="M48" s="123"/>
      <c r="N48" s="123"/>
      <c r="O48" s="123"/>
      <c r="P48" s="123"/>
      <c r="Q48" s="123"/>
      <c r="R48" s="133">
        <f t="shared" ref="R48:R54" si="28">C48-SUM(F48:Q48)</f>
        <v>0</v>
      </c>
      <c r="S48" s="133"/>
      <c r="T48" s="116">
        <f t="shared" ref="T48:T67" si="29">ROUND((D48*F48/C48)/$C$6,2)</f>
        <v>199464.95</v>
      </c>
      <c r="U48" s="116">
        <f t="shared" si="2"/>
        <v>0</v>
      </c>
      <c r="V48" s="116">
        <f t="shared" si="17"/>
        <v>0</v>
      </c>
      <c r="W48" s="116">
        <f t="shared" si="18"/>
        <v>0</v>
      </c>
      <c r="X48" s="116">
        <f t="shared" si="19"/>
        <v>0</v>
      </c>
      <c r="Y48" s="116">
        <f t="shared" si="20"/>
        <v>0</v>
      </c>
      <c r="Z48" s="116">
        <f t="shared" si="21"/>
        <v>0</v>
      </c>
      <c r="AA48" s="116">
        <f t="shared" si="22"/>
        <v>0</v>
      </c>
      <c r="AB48" s="116">
        <f t="shared" si="23"/>
        <v>0</v>
      </c>
      <c r="AC48" s="116">
        <f t="shared" si="24"/>
        <v>0</v>
      </c>
      <c r="AD48" s="116">
        <f t="shared" si="25"/>
        <v>0</v>
      </c>
      <c r="AE48" s="116">
        <f t="shared" si="26"/>
        <v>0</v>
      </c>
    </row>
    <row r="49" spans="1:31">
      <c r="A49" s="131">
        <v>42005</v>
      </c>
      <c r="B49" s="131">
        <v>42036</v>
      </c>
      <c r="C49" s="123">
        <f t="shared" si="1"/>
        <v>31</v>
      </c>
      <c r="D49" s="110">
        <v>99392.21</v>
      </c>
      <c r="E49" s="110"/>
      <c r="F49" s="123">
        <f t="shared" si="27"/>
        <v>31</v>
      </c>
      <c r="G49" s="123"/>
      <c r="H49" s="123"/>
      <c r="I49" s="123"/>
      <c r="J49" s="123"/>
      <c r="K49" s="123"/>
      <c r="L49" s="123"/>
      <c r="M49" s="123"/>
      <c r="N49" s="123"/>
      <c r="O49" s="123"/>
      <c r="P49" s="123"/>
      <c r="Q49" s="123"/>
      <c r="R49" s="133">
        <f t="shared" si="28"/>
        <v>0</v>
      </c>
      <c r="S49" s="133"/>
      <c r="T49" s="116">
        <f t="shared" si="29"/>
        <v>1791173.36</v>
      </c>
      <c r="U49" s="116">
        <f t="shared" si="2"/>
        <v>0</v>
      </c>
      <c r="V49" s="116">
        <f t="shared" si="17"/>
        <v>0</v>
      </c>
      <c r="W49" s="116">
        <f t="shared" si="18"/>
        <v>0</v>
      </c>
      <c r="X49" s="116">
        <f t="shared" si="19"/>
        <v>0</v>
      </c>
      <c r="Y49" s="116">
        <f t="shared" si="20"/>
        <v>0</v>
      </c>
      <c r="Z49" s="116">
        <f t="shared" si="21"/>
        <v>0</v>
      </c>
      <c r="AA49" s="116">
        <f t="shared" si="22"/>
        <v>0</v>
      </c>
      <c r="AB49" s="116">
        <f t="shared" si="23"/>
        <v>0</v>
      </c>
      <c r="AC49" s="116">
        <f t="shared" si="24"/>
        <v>0</v>
      </c>
      <c r="AD49" s="116">
        <f t="shared" si="25"/>
        <v>0</v>
      </c>
      <c r="AE49" s="116">
        <f t="shared" si="26"/>
        <v>0</v>
      </c>
    </row>
    <row r="50" spans="1:31">
      <c r="A50" s="131">
        <v>42005</v>
      </c>
      <c r="B50" s="131">
        <v>42036</v>
      </c>
      <c r="C50" s="123">
        <f t="shared" si="1"/>
        <v>31</v>
      </c>
      <c r="D50" s="110">
        <v>1447.82</v>
      </c>
      <c r="E50" s="110"/>
      <c r="F50" s="123">
        <f t="shared" si="27"/>
        <v>31</v>
      </c>
      <c r="G50" s="123"/>
      <c r="H50" s="123"/>
      <c r="I50" s="123"/>
      <c r="J50" s="123"/>
      <c r="K50" s="123"/>
      <c r="L50" s="123"/>
      <c r="M50" s="123"/>
      <c r="N50" s="123"/>
      <c r="O50" s="123"/>
      <c r="P50" s="123"/>
      <c r="Q50" s="123"/>
      <c r="R50" s="133">
        <f t="shared" si="28"/>
        <v>0</v>
      </c>
      <c r="S50" s="133"/>
      <c r="T50" s="116">
        <f t="shared" si="29"/>
        <v>26091.55</v>
      </c>
      <c r="U50" s="116">
        <f t="shared" si="2"/>
        <v>0</v>
      </c>
      <c r="V50" s="116">
        <f t="shared" si="17"/>
        <v>0</v>
      </c>
      <c r="W50" s="116">
        <f t="shared" si="18"/>
        <v>0</v>
      </c>
      <c r="X50" s="116">
        <f t="shared" si="19"/>
        <v>0</v>
      </c>
      <c r="Y50" s="116">
        <f t="shared" si="20"/>
        <v>0</v>
      </c>
      <c r="Z50" s="116">
        <f t="shared" si="21"/>
        <v>0</v>
      </c>
      <c r="AA50" s="116">
        <f t="shared" si="22"/>
        <v>0</v>
      </c>
      <c r="AB50" s="116">
        <f t="shared" si="23"/>
        <v>0</v>
      </c>
      <c r="AC50" s="116">
        <f t="shared" si="24"/>
        <v>0</v>
      </c>
      <c r="AD50" s="116">
        <f t="shared" si="25"/>
        <v>0</v>
      </c>
      <c r="AE50" s="116">
        <f t="shared" si="26"/>
        <v>0</v>
      </c>
    </row>
    <row r="51" spans="1:31">
      <c r="A51" s="131">
        <v>42005</v>
      </c>
      <c r="B51" s="131">
        <v>42036</v>
      </c>
      <c r="C51" s="123">
        <f>B51-A51</f>
        <v>31</v>
      </c>
      <c r="D51" s="110">
        <v>201.76</v>
      </c>
      <c r="E51" s="110"/>
      <c r="F51" s="123">
        <f t="shared" si="27"/>
        <v>31</v>
      </c>
      <c r="G51" s="123"/>
      <c r="H51" s="123"/>
      <c r="I51" s="123"/>
      <c r="J51" s="123"/>
      <c r="K51" s="123"/>
      <c r="L51" s="123"/>
      <c r="M51" s="123"/>
      <c r="N51" s="123"/>
      <c r="O51" s="123"/>
      <c r="P51" s="123"/>
      <c r="Q51" s="123"/>
      <c r="R51" s="133">
        <f t="shared" si="28"/>
        <v>0</v>
      </c>
      <c r="S51" s="133"/>
      <c r="T51" s="116">
        <f t="shared" si="29"/>
        <v>3635.97</v>
      </c>
      <c r="U51" s="116">
        <f t="shared" si="2"/>
        <v>0</v>
      </c>
      <c r="V51" s="116">
        <f t="shared" si="17"/>
        <v>0</v>
      </c>
      <c r="W51" s="116">
        <f t="shared" si="18"/>
        <v>0</v>
      </c>
      <c r="X51" s="116">
        <f t="shared" si="19"/>
        <v>0</v>
      </c>
      <c r="Y51" s="116">
        <f t="shared" si="20"/>
        <v>0</v>
      </c>
      <c r="Z51" s="116">
        <f t="shared" si="21"/>
        <v>0</v>
      </c>
      <c r="AA51" s="116">
        <f t="shared" si="22"/>
        <v>0</v>
      </c>
      <c r="AB51" s="116">
        <f t="shared" si="23"/>
        <v>0</v>
      </c>
      <c r="AC51" s="116">
        <f t="shared" si="24"/>
        <v>0</v>
      </c>
      <c r="AD51" s="116">
        <f t="shared" si="25"/>
        <v>0</v>
      </c>
      <c r="AE51" s="116">
        <f t="shared" si="26"/>
        <v>0</v>
      </c>
    </row>
    <row r="52" spans="1:31">
      <c r="A52" s="131">
        <v>42005</v>
      </c>
      <c r="B52" s="131">
        <v>42036</v>
      </c>
      <c r="C52" s="123">
        <f t="shared" si="1"/>
        <v>31</v>
      </c>
      <c r="D52" s="110">
        <v>28887.33</v>
      </c>
      <c r="E52" s="110"/>
      <c r="F52" s="123">
        <f t="shared" si="27"/>
        <v>31</v>
      </c>
      <c r="G52" s="123"/>
      <c r="H52" s="123"/>
      <c r="I52" s="123"/>
      <c r="J52" s="123"/>
      <c r="K52" s="123"/>
      <c r="L52" s="123"/>
      <c r="M52" s="123"/>
      <c r="N52" s="123"/>
      <c r="O52" s="123"/>
      <c r="P52" s="123"/>
      <c r="Q52" s="123"/>
      <c r="R52" s="133">
        <f t="shared" si="28"/>
        <v>0</v>
      </c>
      <c r="S52" s="133"/>
      <c r="T52" s="116">
        <f t="shared" si="29"/>
        <v>520586.23</v>
      </c>
      <c r="U52" s="116">
        <f t="shared" si="2"/>
        <v>0</v>
      </c>
      <c r="V52" s="116">
        <f t="shared" si="17"/>
        <v>0</v>
      </c>
      <c r="W52" s="116">
        <f t="shared" si="18"/>
        <v>0</v>
      </c>
      <c r="X52" s="116">
        <f t="shared" si="19"/>
        <v>0</v>
      </c>
      <c r="Y52" s="116">
        <f t="shared" si="20"/>
        <v>0</v>
      </c>
      <c r="Z52" s="116">
        <f t="shared" si="21"/>
        <v>0</v>
      </c>
      <c r="AA52" s="116">
        <f t="shared" si="22"/>
        <v>0</v>
      </c>
      <c r="AB52" s="116">
        <f t="shared" si="23"/>
        <v>0</v>
      </c>
      <c r="AC52" s="116">
        <f t="shared" si="24"/>
        <v>0</v>
      </c>
      <c r="AD52" s="116">
        <f t="shared" si="25"/>
        <v>0</v>
      </c>
      <c r="AE52" s="116">
        <f t="shared" si="26"/>
        <v>0</v>
      </c>
    </row>
    <row r="53" spans="1:31">
      <c r="A53" s="131">
        <v>42005</v>
      </c>
      <c r="B53" s="131">
        <v>42036</v>
      </c>
      <c r="C53" s="123">
        <f t="shared" si="1"/>
        <v>31</v>
      </c>
      <c r="D53" s="110">
        <v>2023.4</v>
      </c>
      <c r="E53" s="110"/>
      <c r="F53" s="123">
        <f t="shared" si="27"/>
        <v>31</v>
      </c>
      <c r="G53" s="123"/>
      <c r="H53" s="123"/>
      <c r="I53" s="123"/>
      <c r="J53" s="123"/>
      <c r="K53" s="123"/>
      <c r="L53" s="123"/>
      <c r="M53" s="123"/>
      <c r="N53" s="123"/>
      <c r="O53" s="123"/>
      <c r="P53" s="123"/>
      <c r="Q53" s="123"/>
      <c r="R53" s="133">
        <f t="shared" si="28"/>
        <v>0</v>
      </c>
      <c r="S53" s="133"/>
      <c r="T53" s="116">
        <f t="shared" si="29"/>
        <v>36464.230000000003</v>
      </c>
      <c r="U53" s="116">
        <f t="shared" si="2"/>
        <v>0</v>
      </c>
      <c r="V53" s="116">
        <f t="shared" si="17"/>
        <v>0</v>
      </c>
      <c r="W53" s="116">
        <f t="shared" si="18"/>
        <v>0</v>
      </c>
      <c r="X53" s="116">
        <f t="shared" si="19"/>
        <v>0</v>
      </c>
      <c r="Y53" s="116">
        <f t="shared" si="20"/>
        <v>0</v>
      </c>
      <c r="Z53" s="116">
        <f t="shared" si="21"/>
        <v>0</v>
      </c>
      <c r="AA53" s="116">
        <f t="shared" si="22"/>
        <v>0</v>
      </c>
      <c r="AB53" s="116">
        <f t="shared" si="23"/>
        <v>0</v>
      </c>
      <c r="AC53" s="116">
        <f t="shared" si="24"/>
        <v>0</v>
      </c>
      <c r="AD53" s="116">
        <f t="shared" si="25"/>
        <v>0</v>
      </c>
      <c r="AE53" s="116">
        <f t="shared" si="26"/>
        <v>0</v>
      </c>
    </row>
    <row r="54" spans="1:31">
      <c r="A54" s="131">
        <v>42005</v>
      </c>
      <c r="B54" s="131">
        <v>42036</v>
      </c>
      <c r="C54" s="123">
        <f t="shared" si="1"/>
        <v>31</v>
      </c>
      <c r="D54" s="110">
        <v>751.59</v>
      </c>
      <c r="E54" s="110"/>
      <c r="F54" s="123">
        <f t="shared" si="27"/>
        <v>31</v>
      </c>
      <c r="G54" s="123"/>
      <c r="H54" s="123"/>
      <c r="I54" s="123"/>
      <c r="J54" s="123"/>
      <c r="K54" s="123"/>
      <c r="L54" s="123"/>
      <c r="M54" s="123"/>
      <c r="N54" s="123"/>
      <c r="O54" s="123"/>
      <c r="P54" s="123"/>
      <c r="Q54" s="123"/>
      <c r="R54" s="133">
        <f t="shared" si="28"/>
        <v>0</v>
      </c>
      <c r="S54" s="133"/>
      <c r="T54" s="116">
        <f t="shared" si="29"/>
        <v>13544.6</v>
      </c>
      <c r="U54" s="116">
        <f t="shared" si="2"/>
        <v>0</v>
      </c>
      <c r="V54" s="116">
        <f t="shared" si="17"/>
        <v>0</v>
      </c>
      <c r="W54" s="116">
        <f t="shared" si="18"/>
        <v>0</v>
      </c>
      <c r="X54" s="116">
        <f t="shared" si="19"/>
        <v>0</v>
      </c>
      <c r="Y54" s="116">
        <f t="shared" si="20"/>
        <v>0</v>
      </c>
      <c r="Z54" s="116">
        <f t="shared" si="21"/>
        <v>0</v>
      </c>
      <c r="AA54" s="116">
        <f t="shared" si="22"/>
        <v>0</v>
      </c>
      <c r="AB54" s="116">
        <f t="shared" si="23"/>
        <v>0</v>
      </c>
      <c r="AC54" s="116">
        <f t="shared" si="24"/>
        <v>0</v>
      </c>
      <c r="AD54" s="116">
        <f t="shared" si="25"/>
        <v>0</v>
      </c>
      <c r="AE54" s="116">
        <f t="shared" si="26"/>
        <v>0</v>
      </c>
    </row>
    <row r="55" spans="1:31">
      <c r="A55" s="131">
        <v>41988</v>
      </c>
      <c r="B55" s="131">
        <v>42036</v>
      </c>
      <c r="C55" s="123">
        <f t="shared" si="1"/>
        <v>48</v>
      </c>
      <c r="D55" s="110">
        <v>5670.61</v>
      </c>
      <c r="E55" s="110"/>
      <c r="F55" s="123">
        <f t="shared" si="27"/>
        <v>31</v>
      </c>
      <c r="G55" s="123"/>
      <c r="H55" s="123"/>
      <c r="I55" s="123"/>
      <c r="J55" s="123"/>
      <c r="K55" s="123"/>
      <c r="L55" s="123"/>
      <c r="M55" s="123"/>
      <c r="N55" s="123"/>
      <c r="O55" s="123"/>
      <c r="P55" s="123"/>
      <c r="Q55" s="123"/>
      <c r="R55" s="133"/>
      <c r="S55" s="133"/>
      <c r="T55" s="116">
        <f t="shared" si="29"/>
        <v>65998.720000000001</v>
      </c>
      <c r="U55" s="116">
        <f t="shared" si="2"/>
        <v>0</v>
      </c>
      <c r="V55" s="116">
        <f t="shared" si="17"/>
        <v>0</v>
      </c>
      <c r="W55" s="116">
        <f t="shared" si="18"/>
        <v>0</v>
      </c>
      <c r="X55" s="116">
        <f t="shared" si="19"/>
        <v>0</v>
      </c>
      <c r="Y55" s="116">
        <f t="shared" si="20"/>
        <v>0</v>
      </c>
      <c r="Z55" s="116">
        <f t="shared" si="21"/>
        <v>0</v>
      </c>
      <c r="AA55" s="116">
        <f t="shared" si="22"/>
        <v>0</v>
      </c>
      <c r="AB55" s="116">
        <f t="shared" si="23"/>
        <v>0</v>
      </c>
      <c r="AC55" s="116">
        <f t="shared" si="24"/>
        <v>0</v>
      </c>
      <c r="AD55" s="116">
        <f t="shared" si="25"/>
        <v>0</v>
      </c>
      <c r="AE55" s="116">
        <f t="shared" si="26"/>
        <v>0</v>
      </c>
    </row>
    <row r="56" spans="1:31">
      <c r="A56" s="131">
        <v>42009</v>
      </c>
      <c r="B56" s="131">
        <v>42040</v>
      </c>
      <c r="C56" s="123">
        <f t="shared" si="1"/>
        <v>31</v>
      </c>
      <c r="D56" s="110">
        <v>343.96</v>
      </c>
      <c r="E56" s="110"/>
      <c r="F56" s="123">
        <v>27</v>
      </c>
      <c r="G56" s="123">
        <f t="shared" ref="G56:G63" si="30">MAX(0,$B56-$A$7)</f>
        <v>4</v>
      </c>
      <c r="H56" s="123"/>
      <c r="I56" s="123"/>
      <c r="J56" s="123"/>
      <c r="K56" s="123"/>
      <c r="L56" s="123"/>
      <c r="M56" s="123"/>
      <c r="N56" s="123"/>
      <c r="O56" s="123"/>
      <c r="P56" s="123"/>
      <c r="Q56" s="123"/>
      <c r="R56" s="133">
        <f t="shared" ref="R56:R63" si="31">C56-SUM(F56:Q56)</f>
        <v>0</v>
      </c>
      <c r="S56" s="133"/>
      <c r="T56" s="116">
        <f t="shared" si="29"/>
        <v>5398.78</v>
      </c>
      <c r="U56" s="116">
        <f t="shared" ref="U56:U67" si="32">ROUND(($D56*$G56/$C56)/$C$7,2)</f>
        <v>635.75</v>
      </c>
      <c r="V56" s="116">
        <f t="shared" si="17"/>
        <v>0</v>
      </c>
      <c r="W56" s="116">
        <f t="shared" si="18"/>
        <v>0</v>
      </c>
      <c r="X56" s="116">
        <f t="shared" si="19"/>
        <v>0</v>
      </c>
      <c r="Y56" s="116">
        <f t="shared" si="20"/>
        <v>0</v>
      </c>
      <c r="Z56" s="116">
        <f t="shared" si="21"/>
        <v>0</v>
      </c>
      <c r="AA56" s="116">
        <f t="shared" si="22"/>
        <v>0</v>
      </c>
      <c r="AB56" s="116">
        <f t="shared" si="23"/>
        <v>0</v>
      </c>
      <c r="AC56" s="116">
        <f t="shared" si="24"/>
        <v>0</v>
      </c>
      <c r="AD56" s="116">
        <f t="shared" si="25"/>
        <v>0</v>
      </c>
      <c r="AE56" s="116">
        <f t="shared" si="26"/>
        <v>0</v>
      </c>
    </row>
    <row r="57" spans="1:31">
      <c r="A57" s="131">
        <v>42009</v>
      </c>
      <c r="B57" s="131">
        <v>42040</v>
      </c>
      <c r="C57" s="123">
        <f t="shared" si="1"/>
        <v>31</v>
      </c>
      <c r="D57" s="110">
        <v>863.94</v>
      </c>
      <c r="E57" s="110"/>
      <c r="F57" s="123">
        <v>27</v>
      </c>
      <c r="G57" s="123">
        <f t="shared" si="30"/>
        <v>4</v>
      </c>
      <c r="H57" s="123"/>
      <c r="I57" s="123"/>
      <c r="J57" s="123"/>
      <c r="K57" s="123"/>
      <c r="L57" s="123"/>
      <c r="M57" s="123"/>
      <c r="N57" s="123"/>
      <c r="O57" s="123"/>
      <c r="P57" s="123"/>
      <c r="Q57" s="123"/>
      <c r="R57" s="133">
        <f t="shared" si="31"/>
        <v>0</v>
      </c>
      <c r="S57" s="133"/>
      <c r="T57" s="116">
        <f t="shared" si="29"/>
        <v>13560.35</v>
      </c>
      <c r="U57" s="116">
        <f t="shared" si="32"/>
        <v>1596.85</v>
      </c>
      <c r="V57" s="116">
        <f t="shared" si="17"/>
        <v>0</v>
      </c>
      <c r="W57" s="116">
        <f t="shared" si="18"/>
        <v>0</v>
      </c>
      <c r="X57" s="116">
        <f t="shared" si="19"/>
        <v>0</v>
      </c>
      <c r="Y57" s="116">
        <f t="shared" si="20"/>
        <v>0</v>
      </c>
      <c r="Z57" s="116">
        <f t="shared" si="21"/>
        <v>0</v>
      </c>
      <c r="AA57" s="116">
        <f t="shared" si="22"/>
        <v>0</v>
      </c>
      <c r="AB57" s="116">
        <f t="shared" si="23"/>
        <v>0</v>
      </c>
      <c r="AC57" s="116">
        <f t="shared" si="24"/>
        <v>0</v>
      </c>
      <c r="AD57" s="116">
        <f t="shared" si="25"/>
        <v>0</v>
      </c>
      <c r="AE57" s="116">
        <f t="shared" si="26"/>
        <v>0</v>
      </c>
    </row>
    <row r="58" spans="1:31">
      <c r="A58" s="131">
        <v>42009</v>
      </c>
      <c r="B58" s="131">
        <v>42040</v>
      </c>
      <c r="C58" s="123">
        <f t="shared" si="1"/>
        <v>31</v>
      </c>
      <c r="D58" s="110">
        <v>1139.52</v>
      </c>
      <c r="E58" s="110"/>
      <c r="F58" s="123">
        <v>27</v>
      </c>
      <c r="G58" s="123">
        <f t="shared" si="30"/>
        <v>4</v>
      </c>
      <c r="H58" s="123"/>
      <c r="I58" s="123"/>
      <c r="J58" s="123"/>
      <c r="K58" s="123"/>
      <c r="L58" s="123"/>
      <c r="M58" s="123"/>
      <c r="N58" s="123"/>
      <c r="O58" s="123"/>
      <c r="P58" s="123"/>
      <c r="Q58" s="123"/>
      <c r="R58" s="133">
        <f t="shared" si="31"/>
        <v>0</v>
      </c>
      <c r="S58" s="133"/>
      <c r="T58" s="116">
        <f t="shared" si="29"/>
        <v>17885.84</v>
      </c>
      <c r="U58" s="116">
        <f t="shared" si="32"/>
        <v>2106.21</v>
      </c>
      <c r="V58" s="116">
        <f t="shared" si="17"/>
        <v>0</v>
      </c>
      <c r="W58" s="116">
        <f t="shared" si="18"/>
        <v>0</v>
      </c>
      <c r="X58" s="116">
        <f t="shared" si="19"/>
        <v>0</v>
      </c>
      <c r="Y58" s="116">
        <f t="shared" si="20"/>
        <v>0</v>
      </c>
      <c r="Z58" s="116">
        <f t="shared" si="21"/>
        <v>0</v>
      </c>
      <c r="AA58" s="116">
        <f t="shared" si="22"/>
        <v>0</v>
      </c>
      <c r="AB58" s="116">
        <f t="shared" si="23"/>
        <v>0</v>
      </c>
      <c r="AC58" s="116">
        <f t="shared" si="24"/>
        <v>0</v>
      </c>
      <c r="AD58" s="116">
        <f t="shared" si="25"/>
        <v>0</v>
      </c>
      <c r="AE58" s="116">
        <f t="shared" si="26"/>
        <v>0</v>
      </c>
    </row>
    <row r="59" spans="1:31">
      <c r="A59" s="131">
        <v>42012</v>
      </c>
      <c r="B59" s="131">
        <v>42043</v>
      </c>
      <c r="C59" s="123">
        <f t="shared" si="1"/>
        <v>31</v>
      </c>
      <c r="D59" s="110">
        <v>356.04</v>
      </c>
      <c r="E59" s="110"/>
      <c r="F59" s="123">
        <v>24</v>
      </c>
      <c r="G59" s="123">
        <f t="shared" si="30"/>
        <v>7</v>
      </c>
      <c r="H59" s="123"/>
      <c r="I59" s="123"/>
      <c r="J59" s="123"/>
      <c r="K59" s="123"/>
      <c r="L59" s="123"/>
      <c r="M59" s="123"/>
      <c r="N59" s="123"/>
      <c r="O59" s="123"/>
      <c r="P59" s="123"/>
      <c r="Q59" s="123"/>
      <c r="R59" s="133">
        <f t="shared" si="31"/>
        <v>0</v>
      </c>
      <c r="S59" s="133"/>
      <c r="T59" s="116">
        <f t="shared" si="29"/>
        <v>4967.45</v>
      </c>
      <c r="U59" s="116">
        <f t="shared" si="32"/>
        <v>1151.6400000000001</v>
      </c>
      <c r="V59" s="116">
        <f t="shared" si="17"/>
        <v>0</v>
      </c>
      <c r="W59" s="116">
        <f t="shared" si="18"/>
        <v>0</v>
      </c>
      <c r="X59" s="116">
        <f t="shared" si="19"/>
        <v>0</v>
      </c>
      <c r="Y59" s="116">
        <f t="shared" si="20"/>
        <v>0</v>
      </c>
      <c r="Z59" s="116">
        <f t="shared" si="21"/>
        <v>0</v>
      </c>
      <c r="AA59" s="116">
        <f t="shared" si="22"/>
        <v>0</v>
      </c>
      <c r="AB59" s="116">
        <f t="shared" si="23"/>
        <v>0</v>
      </c>
      <c r="AC59" s="116">
        <f t="shared" si="24"/>
        <v>0</v>
      </c>
      <c r="AD59" s="116">
        <f t="shared" si="25"/>
        <v>0</v>
      </c>
      <c r="AE59" s="116">
        <f t="shared" si="26"/>
        <v>0</v>
      </c>
    </row>
    <row r="60" spans="1:31">
      <c r="A60" s="131">
        <v>42012</v>
      </c>
      <c r="B60" s="131">
        <v>42043</v>
      </c>
      <c r="C60" s="123">
        <f t="shared" si="1"/>
        <v>31</v>
      </c>
      <c r="D60" s="110">
        <v>269.60000000000002</v>
      </c>
      <c r="E60" s="110"/>
      <c r="F60" s="123">
        <v>24</v>
      </c>
      <c r="G60" s="123">
        <f t="shared" si="30"/>
        <v>7</v>
      </c>
      <c r="H60" s="123"/>
      <c r="I60" s="123"/>
      <c r="J60" s="123"/>
      <c r="K60" s="123"/>
      <c r="L60" s="123"/>
      <c r="M60" s="123"/>
      <c r="N60" s="123"/>
      <c r="O60" s="123"/>
      <c r="P60" s="123"/>
      <c r="Q60" s="123"/>
      <c r="R60" s="133">
        <f t="shared" si="31"/>
        <v>0</v>
      </c>
      <c r="S60" s="133"/>
      <c r="T60" s="116">
        <f t="shared" si="29"/>
        <v>3761.44</v>
      </c>
      <c r="U60" s="116">
        <f t="shared" si="32"/>
        <v>872.04</v>
      </c>
      <c r="V60" s="116">
        <f t="shared" si="17"/>
        <v>0</v>
      </c>
      <c r="W60" s="116">
        <f t="shared" si="18"/>
        <v>0</v>
      </c>
      <c r="X60" s="116">
        <f t="shared" si="19"/>
        <v>0</v>
      </c>
      <c r="Y60" s="116">
        <f t="shared" si="20"/>
        <v>0</v>
      </c>
      <c r="Z60" s="116">
        <f t="shared" si="21"/>
        <v>0</v>
      </c>
      <c r="AA60" s="116">
        <f t="shared" si="22"/>
        <v>0</v>
      </c>
      <c r="AB60" s="116">
        <f t="shared" si="23"/>
        <v>0</v>
      </c>
      <c r="AC60" s="116">
        <f t="shared" si="24"/>
        <v>0</v>
      </c>
      <c r="AD60" s="116">
        <f t="shared" si="25"/>
        <v>0</v>
      </c>
      <c r="AE60" s="116">
        <f t="shared" si="26"/>
        <v>0</v>
      </c>
    </row>
    <row r="61" spans="1:31">
      <c r="A61" s="131">
        <v>42012</v>
      </c>
      <c r="B61" s="131">
        <v>42043</v>
      </c>
      <c r="C61" s="123">
        <f t="shared" si="1"/>
        <v>31</v>
      </c>
      <c r="D61" s="110">
        <v>53.48</v>
      </c>
      <c r="E61" s="110"/>
      <c r="F61" s="123">
        <v>24</v>
      </c>
      <c r="G61" s="123">
        <f t="shared" si="30"/>
        <v>7</v>
      </c>
      <c r="H61" s="123"/>
      <c r="I61" s="123"/>
      <c r="J61" s="123"/>
      <c r="K61" s="123"/>
      <c r="L61" s="123"/>
      <c r="M61" s="123"/>
      <c r="N61" s="123"/>
      <c r="O61" s="123"/>
      <c r="P61" s="123"/>
      <c r="Q61" s="123"/>
      <c r="R61" s="133">
        <f t="shared" si="31"/>
        <v>0</v>
      </c>
      <c r="S61" s="133"/>
      <c r="T61" s="116">
        <f t="shared" si="29"/>
        <v>746.15</v>
      </c>
      <c r="U61" s="116">
        <f t="shared" si="32"/>
        <v>172.99</v>
      </c>
      <c r="V61" s="116">
        <f t="shared" si="17"/>
        <v>0</v>
      </c>
      <c r="W61" s="116">
        <f t="shared" si="18"/>
        <v>0</v>
      </c>
      <c r="X61" s="116">
        <f t="shared" si="19"/>
        <v>0</v>
      </c>
      <c r="Y61" s="116">
        <f t="shared" si="20"/>
        <v>0</v>
      </c>
      <c r="Z61" s="116">
        <f t="shared" si="21"/>
        <v>0</v>
      </c>
      <c r="AA61" s="116">
        <f t="shared" si="22"/>
        <v>0</v>
      </c>
      <c r="AB61" s="116">
        <f t="shared" si="23"/>
        <v>0</v>
      </c>
      <c r="AC61" s="116">
        <f t="shared" si="24"/>
        <v>0</v>
      </c>
      <c r="AD61" s="116">
        <f t="shared" si="25"/>
        <v>0</v>
      </c>
      <c r="AE61" s="116">
        <f t="shared" si="26"/>
        <v>0</v>
      </c>
    </row>
    <row r="62" spans="1:31">
      <c r="A62" s="131">
        <v>42012</v>
      </c>
      <c r="B62" s="131">
        <v>42043</v>
      </c>
      <c r="C62" s="123">
        <f t="shared" si="1"/>
        <v>31</v>
      </c>
      <c r="D62" s="110">
        <v>752.35</v>
      </c>
      <c r="E62" s="110"/>
      <c r="F62" s="123">
        <v>24</v>
      </c>
      <c r="G62" s="123">
        <f t="shared" si="30"/>
        <v>7</v>
      </c>
      <c r="H62" s="123"/>
      <c r="I62" s="123"/>
      <c r="J62" s="123"/>
      <c r="K62" s="123"/>
      <c r="L62" s="123"/>
      <c r="M62" s="123"/>
      <c r="N62" s="123"/>
      <c r="O62" s="123"/>
      <c r="P62" s="123"/>
      <c r="Q62" s="123"/>
      <c r="R62" s="133">
        <f t="shared" si="31"/>
        <v>0</v>
      </c>
      <c r="S62" s="133"/>
      <c r="T62" s="116">
        <f t="shared" si="29"/>
        <v>10496.75</v>
      </c>
      <c r="U62" s="116">
        <f t="shared" si="32"/>
        <v>2433.54</v>
      </c>
      <c r="V62" s="116">
        <f t="shared" si="17"/>
        <v>0</v>
      </c>
      <c r="W62" s="116">
        <f t="shared" si="18"/>
        <v>0</v>
      </c>
      <c r="X62" s="116">
        <f t="shared" si="19"/>
        <v>0</v>
      </c>
      <c r="Y62" s="116">
        <f t="shared" si="20"/>
        <v>0</v>
      </c>
      <c r="Z62" s="116">
        <f t="shared" si="21"/>
        <v>0</v>
      </c>
      <c r="AA62" s="116">
        <f t="shared" si="22"/>
        <v>0</v>
      </c>
      <c r="AB62" s="116">
        <f t="shared" si="23"/>
        <v>0</v>
      </c>
      <c r="AC62" s="116">
        <f t="shared" si="24"/>
        <v>0</v>
      </c>
      <c r="AD62" s="116">
        <f t="shared" si="25"/>
        <v>0</v>
      </c>
      <c r="AE62" s="116">
        <f t="shared" si="26"/>
        <v>0</v>
      </c>
    </row>
    <row r="63" spans="1:31">
      <c r="A63" s="131">
        <v>42009</v>
      </c>
      <c r="B63" s="131">
        <v>42040</v>
      </c>
      <c r="C63" s="123">
        <f t="shared" si="1"/>
        <v>31</v>
      </c>
      <c r="D63" s="110">
        <v>29.83</v>
      </c>
      <c r="E63" s="110"/>
      <c r="F63" s="123">
        <v>27</v>
      </c>
      <c r="G63" s="123">
        <f t="shared" si="30"/>
        <v>4</v>
      </c>
      <c r="H63" s="123"/>
      <c r="I63" s="123"/>
      <c r="J63" s="123"/>
      <c r="K63" s="123"/>
      <c r="L63" s="123"/>
      <c r="M63" s="123"/>
      <c r="N63" s="123"/>
      <c r="O63" s="123"/>
      <c r="P63" s="123"/>
      <c r="Q63" s="123"/>
      <c r="R63" s="133">
        <f t="shared" si="31"/>
        <v>0</v>
      </c>
      <c r="S63" s="133"/>
      <c r="T63" s="116">
        <f t="shared" si="29"/>
        <v>468.21</v>
      </c>
      <c r="U63" s="116">
        <f t="shared" si="32"/>
        <v>55.14</v>
      </c>
      <c r="V63" s="116">
        <f t="shared" si="17"/>
        <v>0</v>
      </c>
      <c r="W63" s="116">
        <f t="shared" si="18"/>
        <v>0</v>
      </c>
      <c r="X63" s="116">
        <f t="shared" si="19"/>
        <v>0</v>
      </c>
      <c r="Y63" s="116">
        <f t="shared" si="20"/>
        <v>0</v>
      </c>
      <c r="Z63" s="116">
        <f t="shared" si="21"/>
        <v>0</v>
      </c>
      <c r="AA63" s="116">
        <f t="shared" si="22"/>
        <v>0</v>
      </c>
      <c r="AB63" s="116">
        <f t="shared" si="23"/>
        <v>0</v>
      </c>
      <c r="AC63" s="116">
        <f t="shared" si="24"/>
        <v>0</v>
      </c>
      <c r="AD63" s="116">
        <f t="shared" si="25"/>
        <v>0</v>
      </c>
      <c r="AE63" s="116">
        <f t="shared" si="26"/>
        <v>0</v>
      </c>
    </row>
    <row r="64" spans="1:31">
      <c r="A64" s="131">
        <v>41958</v>
      </c>
      <c r="B64" s="131">
        <v>42019</v>
      </c>
      <c r="C64" s="123">
        <f t="shared" si="1"/>
        <v>61</v>
      </c>
      <c r="D64" s="110">
        <v>121.91</v>
      </c>
      <c r="E64" s="110"/>
      <c r="F64" s="123">
        <v>14</v>
      </c>
      <c r="G64" s="123"/>
      <c r="H64" s="123"/>
      <c r="I64" s="123"/>
      <c r="J64" s="123"/>
      <c r="K64" s="123"/>
      <c r="L64" s="123"/>
      <c r="M64" s="123"/>
      <c r="N64" s="123"/>
      <c r="O64" s="123"/>
      <c r="P64" s="123"/>
      <c r="Q64" s="123"/>
      <c r="R64" s="133"/>
      <c r="S64" s="133"/>
      <c r="T64" s="116">
        <f t="shared" si="29"/>
        <v>504.22</v>
      </c>
      <c r="U64" s="116">
        <f t="shared" si="32"/>
        <v>0</v>
      </c>
      <c r="V64" s="116">
        <f t="shared" si="17"/>
        <v>0</v>
      </c>
      <c r="W64" s="116">
        <f t="shared" si="18"/>
        <v>0</v>
      </c>
      <c r="X64" s="116">
        <f t="shared" si="19"/>
        <v>0</v>
      </c>
      <c r="Y64" s="116">
        <f t="shared" si="20"/>
        <v>0</v>
      </c>
      <c r="Z64" s="116">
        <f t="shared" si="21"/>
        <v>0</v>
      </c>
      <c r="AA64" s="116">
        <f t="shared" si="22"/>
        <v>0</v>
      </c>
      <c r="AB64" s="116">
        <f t="shared" si="23"/>
        <v>0</v>
      </c>
      <c r="AC64" s="116">
        <f t="shared" si="24"/>
        <v>0</v>
      </c>
      <c r="AD64" s="116">
        <f t="shared" si="25"/>
        <v>0</v>
      </c>
      <c r="AE64" s="116">
        <f t="shared" si="26"/>
        <v>0</v>
      </c>
    </row>
    <row r="65" spans="1:31">
      <c r="A65" s="131">
        <v>42005</v>
      </c>
      <c r="B65" s="131">
        <v>42036</v>
      </c>
      <c r="C65" s="123">
        <f t="shared" si="1"/>
        <v>31</v>
      </c>
      <c r="D65" s="110">
        <v>1807.23</v>
      </c>
      <c r="E65" s="110"/>
      <c r="F65" s="123">
        <v>31</v>
      </c>
      <c r="G65" s="123"/>
      <c r="H65" s="123"/>
      <c r="I65" s="123"/>
      <c r="J65" s="123"/>
      <c r="K65" s="123"/>
      <c r="L65" s="123"/>
      <c r="M65" s="123"/>
      <c r="N65" s="123"/>
      <c r="O65" s="123"/>
      <c r="P65" s="123"/>
      <c r="Q65" s="123"/>
      <c r="R65" s="133">
        <f t="shared" ref="R65:R121" si="33">C65-SUM(F65:Q65)</f>
        <v>0</v>
      </c>
      <c r="S65" s="133"/>
      <c r="T65" s="116">
        <f t="shared" si="29"/>
        <v>32568.57</v>
      </c>
      <c r="U65" s="116">
        <f t="shared" si="32"/>
        <v>0</v>
      </c>
      <c r="V65" s="116">
        <f t="shared" si="17"/>
        <v>0</v>
      </c>
      <c r="W65" s="116">
        <f t="shared" si="18"/>
        <v>0</v>
      </c>
      <c r="X65" s="116">
        <f t="shared" si="19"/>
        <v>0</v>
      </c>
      <c r="Y65" s="116">
        <f t="shared" si="20"/>
        <v>0</v>
      </c>
      <c r="Z65" s="116">
        <f t="shared" si="21"/>
        <v>0</v>
      </c>
      <c r="AA65" s="116">
        <f t="shared" si="22"/>
        <v>0</v>
      </c>
      <c r="AB65" s="116">
        <f t="shared" si="23"/>
        <v>0</v>
      </c>
      <c r="AC65" s="116">
        <f t="shared" si="24"/>
        <v>0</v>
      </c>
      <c r="AD65" s="116">
        <f t="shared" si="25"/>
        <v>0</v>
      </c>
      <c r="AE65" s="116">
        <f t="shared" si="26"/>
        <v>0</v>
      </c>
    </row>
    <row r="66" spans="1:31">
      <c r="A66" s="131">
        <v>42005</v>
      </c>
      <c r="B66" s="131">
        <v>42036</v>
      </c>
      <c r="C66" s="123">
        <f t="shared" si="1"/>
        <v>31</v>
      </c>
      <c r="D66" s="110">
        <v>145.07</v>
      </c>
      <c r="E66" s="110"/>
      <c r="F66" s="123">
        <v>31</v>
      </c>
      <c r="G66" s="123"/>
      <c r="H66" s="123"/>
      <c r="I66" s="123"/>
      <c r="J66" s="123"/>
      <c r="K66" s="123"/>
      <c r="L66" s="123"/>
      <c r="M66" s="123"/>
      <c r="N66" s="123"/>
      <c r="O66" s="123"/>
      <c r="P66" s="123"/>
      <c r="Q66" s="123"/>
      <c r="R66" s="133">
        <f t="shared" si="33"/>
        <v>0</v>
      </c>
      <c r="S66" s="133"/>
      <c r="T66" s="116">
        <f t="shared" si="29"/>
        <v>2614.34</v>
      </c>
      <c r="U66" s="116">
        <f t="shared" si="32"/>
        <v>0</v>
      </c>
      <c r="V66" s="116">
        <f t="shared" si="17"/>
        <v>0</v>
      </c>
      <c r="W66" s="116">
        <f t="shared" si="18"/>
        <v>0</v>
      </c>
      <c r="X66" s="116">
        <f t="shared" si="19"/>
        <v>0</v>
      </c>
      <c r="Y66" s="116">
        <f t="shared" si="20"/>
        <v>0</v>
      </c>
      <c r="Z66" s="116">
        <f t="shared" si="21"/>
        <v>0</v>
      </c>
      <c r="AA66" s="116">
        <f t="shared" si="22"/>
        <v>0</v>
      </c>
      <c r="AB66" s="116">
        <f t="shared" si="23"/>
        <v>0</v>
      </c>
      <c r="AC66" s="116">
        <f t="shared" si="24"/>
        <v>0</v>
      </c>
      <c r="AD66" s="116">
        <f t="shared" si="25"/>
        <v>0</v>
      </c>
      <c r="AE66" s="116">
        <f t="shared" si="26"/>
        <v>0</v>
      </c>
    </row>
    <row r="67" spans="1:31" ht="15.75" thickBot="1">
      <c r="A67" s="131">
        <v>42012</v>
      </c>
      <c r="B67" s="131">
        <v>42043</v>
      </c>
      <c r="C67" s="123">
        <f t="shared" si="1"/>
        <v>31</v>
      </c>
      <c r="D67" s="110">
        <v>65.98</v>
      </c>
      <c r="E67" s="110"/>
      <c r="F67" s="123">
        <v>24</v>
      </c>
      <c r="G67" s="123">
        <f>MAX(0,$B67-$A$7)</f>
        <v>7</v>
      </c>
      <c r="H67" s="123"/>
      <c r="I67" s="123"/>
      <c r="J67" s="123"/>
      <c r="K67" s="123"/>
      <c r="L67" s="123"/>
      <c r="M67" s="123"/>
      <c r="N67" s="123"/>
      <c r="O67" s="123"/>
      <c r="P67" s="123"/>
      <c r="Q67" s="123"/>
      <c r="R67" s="133">
        <f t="shared" si="33"/>
        <v>0</v>
      </c>
      <c r="S67" s="133"/>
      <c r="T67" s="116">
        <f t="shared" si="29"/>
        <v>920.55</v>
      </c>
      <c r="U67" s="116">
        <f t="shared" si="32"/>
        <v>213.42</v>
      </c>
      <c r="V67" s="116">
        <f t="shared" si="17"/>
        <v>0</v>
      </c>
      <c r="W67" s="116">
        <f t="shared" si="18"/>
        <v>0</v>
      </c>
      <c r="X67" s="116">
        <f t="shared" si="19"/>
        <v>0</v>
      </c>
      <c r="Y67" s="116">
        <f t="shared" si="20"/>
        <v>0</v>
      </c>
      <c r="Z67" s="116">
        <f t="shared" si="21"/>
        <v>0</v>
      </c>
      <c r="AA67" s="116">
        <f t="shared" si="22"/>
        <v>0</v>
      </c>
      <c r="AB67" s="116">
        <f t="shared" si="23"/>
        <v>0</v>
      </c>
      <c r="AC67" s="116">
        <f t="shared" si="24"/>
        <v>0</v>
      </c>
      <c r="AD67" s="116">
        <f t="shared" si="25"/>
        <v>0</v>
      </c>
      <c r="AE67" s="116">
        <f t="shared" si="26"/>
        <v>0</v>
      </c>
    </row>
    <row r="68" spans="1:31" ht="15.75" thickBot="1">
      <c r="A68" s="194" t="s">
        <v>37</v>
      </c>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6"/>
    </row>
    <row r="69" spans="1:31">
      <c r="A69" s="131">
        <v>42016</v>
      </c>
      <c r="B69" s="131">
        <v>42047</v>
      </c>
      <c r="C69" s="123">
        <f t="shared" si="1"/>
        <v>31</v>
      </c>
      <c r="D69" s="110">
        <v>1204.92</v>
      </c>
      <c r="E69" s="110"/>
      <c r="F69" s="123">
        <v>20</v>
      </c>
      <c r="G69" s="123">
        <v>11</v>
      </c>
      <c r="H69" s="123"/>
      <c r="I69" s="123"/>
      <c r="J69" s="123"/>
      <c r="K69" s="123"/>
      <c r="L69" s="123"/>
      <c r="M69" s="123"/>
      <c r="N69" s="123"/>
      <c r="O69" s="123"/>
      <c r="P69" s="123"/>
      <c r="Q69" s="123"/>
      <c r="R69" s="133">
        <f t="shared" si="33"/>
        <v>0</v>
      </c>
      <c r="S69" s="133"/>
      <c r="T69" s="116">
        <f>ROUND((D69*F69/C69)/$C$6,2)</f>
        <v>14009.15</v>
      </c>
      <c r="U69" s="116">
        <f>ROUND(($D69*$G69/$C69)/$C$7,2)</f>
        <v>6124.51</v>
      </c>
      <c r="V69" s="116">
        <f t="shared" ref="V69:V105" si="34">ROUND(($D69*$H69/$C69)/$C$8,2)</f>
        <v>0</v>
      </c>
      <c r="W69" s="116">
        <f t="shared" ref="W69:W105" si="35">ROUND(($D69*$I69/$C69)/$C$9,2)</f>
        <v>0</v>
      </c>
      <c r="X69" s="116">
        <f t="shared" ref="X69:X105" si="36">ROUND(($D69*$J69/$C69)/$C$10,2)</f>
        <v>0</v>
      </c>
      <c r="Y69" s="116">
        <f t="shared" ref="Y69:Y105" si="37">ROUND(($D69*$K69/$C69)/$C$11,2)</f>
        <v>0</v>
      </c>
      <c r="Z69" s="116">
        <f t="shared" ref="Z69:Z105" si="38">ROUND(($D69*$L69/$C69)/$C$12,2)</f>
        <v>0</v>
      </c>
      <c r="AA69" s="116">
        <f t="shared" ref="AA69:AA105" si="39">ROUND(($D69*$M69/$C69)/$C$13,2)</f>
        <v>0</v>
      </c>
      <c r="AB69" s="116">
        <f t="shared" ref="AB69:AB105" si="40">ROUND(($D69*$N69/$C69)/$C$14,2)</f>
        <v>0</v>
      </c>
      <c r="AC69" s="116">
        <f t="shared" ref="AC69:AC105" si="41">ROUND(($D69*$O69/$C69)/$C$15,2)</f>
        <v>0</v>
      </c>
      <c r="AD69" s="116">
        <f t="shared" ref="AD69:AD105" si="42">ROUND(($D69*$P69/$C69)/$C$16,2)</f>
        <v>0</v>
      </c>
      <c r="AE69" s="116">
        <f t="shared" ref="AE69:AE105" si="43">ROUND(($D69*$Q69/$C69)/$C$17,2)</f>
        <v>0</v>
      </c>
    </row>
    <row r="70" spans="1:31">
      <c r="A70" s="131">
        <v>42016</v>
      </c>
      <c r="B70" s="131">
        <v>42047</v>
      </c>
      <c r="C70" s="123">
        <f t="shared" si="1"/>
        <v>31</v>
      </c>
      <c r="D70" s="110">
        <v>1015.29</v>
      </c>
      <c r="E70" s="110"/>
      <c r="F70" s="123">
        <v>20</v>
      </c>
      <c r="G70" s="123">
        <v>11</v>
      </c>
      <c r="H70" s="123"/>
      <c r="I70" s="123"/>
      <c r="J70" s="123"/>
      <c r="K70" s="123"/>
      <c r="L70" s="123"/>
      <c r="M70" s="123"/>
      <c r="N70" s="123"/>
      <c r="O70" s="123"/>
      <c r="P70" s="123"/>
      <c r="Q70" s="123"/>
      <c r="R70" s="133">
        <f t="shared" si="33"/>
        <v>0</v>
      </c>
      <c r="S70" s="133"/>
      <c r="T70" s="116">
        <f>ROUND((D70*F70/C70)/$C$6,2)</f>
        <v>11804.39</v>
      </c>
      <c r="U70" s="116">
        <f>ROUND(($D70*$G70/$C70)/$C$7,2)</f>
        <v>5160.6400000000003</v>
      </c>
      <c r="V70" s="116">
        <f t="shared" si="34"/>
        <v>0</v>
      </c>
      <c r="W70" s="116">
        <f t="shared" si="35"/>
        <v>0</v>
      </c>
      <c r="X70" s="116">
        <f t="shared" si="36"/>
        <v>0</v>
      </c>
      <c r="Y70" s="116">
        <f t="shared" si="37"/>
        <v>0</v>
      </c>
      <c r="Z70" s="116">
        <f t="shared" si="38"/>
        <v>0</v>
      </c>
      <c r="AA70" s="116">
        <f t="shared" si="39"/>
        <v>0</v>
      </c>
      <c r="AB70" s="116">
        <f t="shared" si="40"/>
        <v>0</v>
      </c>
      <c r="AC70" s="116">
        <f t="shared" si="41"/>
        <v>0</v>
      </c>
      <c r="AD70" s="116">
        <f t="shared" si="42"/>
        <v>0</v>
      </c>
      <c r="AE70" s="116">
        <f t="shared" si="43"/>
        <v>0</v>
      </c>
    </row>
    <row r="71" spans="1:31">
      <c r="A71" s="131">
        <v>42016</v>
      </c>
      <c r="B71" s="131">
        <v>42047</v>
      </c>
      <c r="C71" s="123">
        <f t="shared" si="1"/>
        <v>31</v>
      </c>
      <c r="D71" s="110">
        <v>216.97</v>
      </c>
      <c r="E71" s="110"/>
      <c r="F71" s="123">
        <v>20</v>
      </c>
      <c r="G71" s="123">
        <v>11</v>
      </c>
      <c r="H71" s="123"/>
      <c r="I71" s="123"/>
      <c r="J71" s="123"/>
      <c r="K71" s="123"/>
      <c r="L71" s="123"/>
      <c r="M71" s="123"/>
      <c r="N71" s="123"/>
      <c r="O71" s="123"/>
      <c r="P71" s="123"/>
      <c r="Q71" s="123"/>
      <c r="R71" s="133">
        <f t="shared" si="33"/>
        <v>0</v>
      </c>
      <c r="S71" s="133"/>
      <c r="T71" s="116">
        <f>ROUND((D71*F71/C71)/$C$6,2)</f>
        <v>2522.63</v>
      </c>
      <c r="U71" s="116">
        <f>ROUND(($D71*$G71/$C71)/$C$7,2)</f>
        <v>1102.8399999999999</v>
      </c>
      <c r="V71" s="116">
        <f t="shared" si="34"/>
        <v>0</v>
      </c>
      <c r="W71" s="116">
        <f t="shared" si="35"/>
        <v>0</v>
      </c>
      <c r="X71" s="116">
        <f t="shared" si="36"/>
        <v>0</v>
      </c>
      <c r="Y71" s="116">
        <f t="shared" si="37"/>
        <v>0</v>
      </c>
      <c r="Z71" s="116">
        <f t="shared" si="38"/>
        <v>0</v>
      </c>
      <c r="AA71" s="116">
        <f t="shared" si="39"/>
        <v>0</v>
      </c>
      <c r="AB71" s="116">
        <f t="shared" si="40"/>
        <v>0</v>
      </c>
      <c r="AC71" s="116">
        <f t="shared" si="41"/>
        <v>0</v>
      </c>
      <c r="AD71" s="116">
        <f t="shared" si="42"/>
        <v>0</v>
      </c>
      <c r="AE71" s="116">
        <f t="shared" si="43"/>
        <v>0</v>
      </c>
    </row>
    <row r="72" spans="1:31">
      <c r="A72" s="131">
        <v>42019</v>
      </c>
      <c r="B72" s="131">
        <v>42050</v>
      </c>
      <c r="C72" s="123">
        <f t="shared" si="1"/>
        <v>31</v>
      </c>
      <c r="D72" s="110">
        <v>34335.99</v>
      </c>
      <c r="E72" s="110"/>
      <c r="F72" s="123">
        <v>17</v>
      </c>
      <c r="G72" s="123">
        <v>14</v>
      </c>
      <c r="H72" s="123"/>
      <c r="I72" s="123"/>
      <c r="J72" s="123"/>
      <c r="K72" s="123"/>
      <c r="L72" s="123"/>
      <c r="M72" s="123"/>
      <c r="N72" s="123"/>
      <c r="O72" s="123"/>
      <c r="P72" s="123"/>
      <c r="Q72" s="123"/>
      <c r="R72" s="133">
        <f t="shared" si="33"/>
        <v>0</v>
      </c>
      <c r="S72" s="133"/>
      <c r="T72" s="116">
        <v>313662.28999999998</v>
      </c>
      <c r="U72" s="116">
        <v>239859.4</v>
      </c>
      <c r="V72" s="116">
        <f t="shared" si="34"/>
        <v>0</v>
      </c>
      <c r="W72" s="116">
        <f t="shared" si="35"/>
        <v>0</v>
      </c>
      <c r="X72" s="116">
        <f t="shared" si="36"/>
        <v>0</v>
      </c>
      <c r="Y72" s="116">
        <f t="shared" si="37"/>
        <v>0</v>
      </c>
      <c r="Z72" s="116">
        <f t="shared" si="38"/>
        <v>0</v>
      </c>
      <c r="AA72" s="116">
        <f t="shared" si="39"/>
        <v>0</v>
      </c>
      <c r="AB72" s="116">
        <f t="shared" si="40"/>
        <v>0</v>
      </c>
      <c r="AC72" s="116">
        <f t="shared" si="41"/>
        <v>0</v>
      </c>
      <c r="AD72" s="116">
        <f t="shared" si="42"/>
        <v>0</v>
      </c>
      <c r="AE72" s="116">
        <f t="shared" si="43"/>
        <v>0</v>
      </c>
    </row>
    <row r="73" spans="1:31">
      <c r="A73" s="131">
        <v>42019</v>
      </c>
      <c r="B73" s="131">
        <v>42050</v>
      </c>
      <c r="C73" s="123">
        <f t="shared" si="1"/>
        <v>31</v>
      </c>
      <c r="D73" s="110">
        <v>3686.22</v>
      </c>
      <c r="E73" s="110"/>
      <c r="F73" s="123">
        <v>17</v>
      </c>
      <c r="G73" s="123">
        <v>14</v>
      </c>
      <c r="H73" s="123"/>
      <c r="I73" s="123"/>
      <c r="J73" s="123"/>
      <c r="K73" s="123"/>
      <c r="L73" s="123"/>
      <c r="M73" s="123"/>
      <c r="N73" s="123"/>
      <c r="O73" s="123"/>
      <c r="P73" s="123"/>
      <c r="Q73" s="123"/>
      <c r="R73" s="133">
        <f t="shared" si="33"/>
        <v>0</v>
      </c>
      <c r="S73" s="133"/>
      <c r="T73" s="116">
        <v>33673.94</v>
      </c>
      <c r="U73" s="116">
        <v>25750.66</v>
      </c>
      <c r="V73" s="116">
        <f t="shared" si="34"/>
        <v>0</v>
      </c>
      <c r="W73" s="116">
        <f t="shared" si="35"/>
        <v>0</v>
      </c>
      <c r="X73" s="116">
        <f t="shared" si="36"/>
        <v>0</v>
      </c>
      <c r="Y73" s="116">
        <f t="shared" si="37"/>
        <v>0</v>
      </c>
      <c r="Z73" s="116">
        <f t="shared" si="38"/>
        <v>0</v>
      </c>
      <c r="AA73" s="116">
        <f t="shared" si="39"/>
        <v>0</v>
      </c>
      <c r="AB73" s="116">
        <f t="shared" si="40"/>
        <v>0</v>
      </c>
      <c r="AC73" s="116">
        <f t="shared" si="41"/>
        <v>0</v>
      </c>
      <c r="AD73" s="116">
        <f t="shared" si="42"/>
        <v>0</v>
      </c>
      <c r="AE73" s="116">
        <f t="shared" si="43"/>
        <v>0</v>
      </c>
    </row>
    <row r="74" spans="1:31">
      <c r="A74" s="131">
        <v>42023</v>
      </c>
      <c r="B74" s="131">
        <v>42054</v>
      </c>
      <c r="C74" s="123">
        <f t="shared" si="1"/>
        <v>31</v>
      </c>
      <c r="D74" s="110">
        <v>1820.8</v>
      </c>
      <c r="E74" s="110"/>
      <c r="F74" s="123">
        <v>13</v>
      </c>
      <c r="G74" s="123">
        <v>18</v>
      </c>
      <c r="H74" s="123"/>
      <c r="I74" s="123"/>
      <c r="J74" s="123"/>
      <c r="K74" s="123"/>
      <c r="L74" s="123"/>
      <c r="M74" s="123"/>
      <c r="N74" s="123"/>
      <c r="O74" s="123"/>
      <c r="P74" s="123"/>
      <c r="Q74" s="123"/>
      <c r="R74" s="133">
        <f t="shared" si="33"/>
        <v>0</v>
      </c>
      <c r="S74" s="133"/>
      <c r="T74" s="116">
        <f>ROUND((D74*F74/C74)/$C$6,2)</f>
        <v>13760.34</v>
      </c>
      <c r="U74" s="116">
        <f>ROUND(($D74*$G74/$C74)/$C$7,2)</f>
        <v>15144.52</v>
      </c>
      <c r="V74" s="116">
        <f t="shared" si="34"/>
        <v>0</v>
      </c>
      <c r="W74" s="116">
        <f t="shared" si="35"/>
        <v>0</v>
      </c>
      <c r="X74" s="116">
        <f t="shared" si="36"/>
        <v>0</v>
      </c>
      <c r="Y74" s="116">
        <f t="shared" si="37"/>
        <v>0</v>
      </c>
      <c r="Z74" s="116">
        <f t="shared" si="38"/>
        <v>0</v>
      </c>
      <c r="AA74" s="116">
        <f t="shared" si="39"/>
        <v>0</v>
      </c>
      <c r="AB74" s="116">
        <f t="shared" si="40"/>
        <v>0</v>
      </c>
      <c r="AC74" s="116">
        <f t="shared" si="41"/>
        <v>0</v>
      </c>
      <c r="AD74" s="116">
        <f t="shared" si="42"/>
        <v>0</v>
      </c>
      <c r="AE74" s="116">
        <f t="shared" si="43"/>
        <v>0</v>
      </c>
    </row>
    <row r="75" spans="1:31">
      <c r="A75" s="131">
        <v>42023</v>
      </c>
      <c r="B75" s="131">
        <v>42054</v>
      </c>
      <c r="C75" s="123">
        <f t="shared" si="1"/>
        <v>31</v>
      </c>
      <c r="D75" s="110">
        <v>606.71</v>
      </c>
      <c r="E75" s="110"/>
      <c r="F75" s="123">
        <v>13</v>
      </c>
      <c r="G75" s="123">
        <v>18</v>
      </c>
      <c r="H75" s="123"/>
      <c r="I75" s="123"/>
      <c r="J75" s="123"/>
      <c r="K75" s="123"/>
      <c r="L75" s="123"/>
      <c r="M75" s="123"/>
      <c r="N75" s="123"/>
      <c r="O75" s="123"/>
      <c r="P75" s="123"/>
      <c r="Q75" s="123"/>
      <c r="R75" s="133">
        <f t="shared" si="33"/>
        <v>0</v>
      </c>
      <c r="S75" s="133"/>
      <c r="T75" s="116">
        <f>ROUND((D75*F75/C75)/$C$6,2)</f>
        <v>4585.09</v>
      </c>
      <c r="U75" s="116">
        <f>ROUND(($D75*$G75/$C75)/$C$7,2)</f>
        <v>5046.3100000000004</v>
      </c>
      <c r="V75" s="116">
        <f t="shared" si="34"/>
        <v>0</v>
      </c>
      <c r="W75" s="116">
        <f t="shared" si="35"/>
        <v>0</v>
      </c>
      <c r="X75" s="116">
        <f t="shared" si="36"/>
        <v>0</v>
      </c>
      <c r="Y75" s="116">
        <f t="shared" si="37"/>
        <v>0</v>
      </c>
      <c r="Z75" s="116">
        <f t="shared" si="38"/>
        <v>0</v>
      </c>
      <c r="AA75" s="116">
        <f t="shared" si="39"/>
        <v>0</v>
      </c>
      <c r="AB75" s="116">
        <f t="shared" si="40"/>
        <v>0</v>
      </c>
      <c r="AC75" s="116">
        <f t="shared" si="41"/>
        <v>0</v>
      </c>
      <c r="AD75" s="116">
        <f t="shared" si="42"/>
        <v>0</v>
      </c>
      <c r="AE75" s="116">
        <f t="shared" si="43"/>
        <v>0</v>
      </c>
    </row>
    <row r="76" spans="1:31">
      <c r="A76" s="131">
        <v>42040</v>
      </c>
      <c r="B76" s="131">
        <v>42052</v>
      </c>
      <c r="C76" s="123">
        <f t="shared" si="1"/>
        <v>12</v>
      </c>
      <c r="D76" s="110">
        <v>12.24</v>
      </c>
      <c r="E76" s="110"/>
      <c r="F76" s="123"/>
      <c r="G76" s="123">
        <v>12</v>
      </c>
      <c r="H76" s="123"/>
      <c r="I76" s="123"/>
      <c r="J76" s="123"/>
      <c r="K76" s="123"/>
      <c r="L76" s="123"/>
      <c r="M76" s="123"/>
      <c r="N76" s="123"/>
      <c r="O76" s="123"/>
      <c r="P76" s="123"/>
      <c r="Q76" s="123"/>
      <c r="R76" s="133">
        <f t="shared" si="33"/>
        <v>0</v>
      </c>
      <c r="S76" s="133"/>
      <c r="T76" s="116">
        <f>ROUND((D76*F76/C76)/$C$6,2)</f>
        <v>0</v>
      </c>
      <c r="U76" s="116">
        <f>ROUND(($D76*$G76/$C76)/$C$7,2)</f>
        <v>175.33</v>
      </c>
      <c r="V76" s="116">
        <f t="shared" si="34"/>
        <v>0</v>
      </c>
      <c r="W76" s="116">
        <f t="shared" si="35"/>
        <v>0</v>
      </c>
      <c r="X76" s="116">
        <f t="shared" si="36"/>
        <v>0</v>
      </c>
      <c r="Y76" s="116">
        <f t="shared" si="37"/>
        <v>0</v>
      </c>
      <c r="Z76" s="116">
        <f t="shared" si="38"/>
        <v>0</v>
      </c>
      <c r="AA76" s="116">
        <f t="shared" si="39"/>
        <v>0</v>
      </c>
      <c r="AB76" s="116">
        <f t="shared" si="40"/>
        <v>0</v>
      </c>
      <c r="AC76" s="116">
        <f t="shared" si="41"/>
        <v>0</v>
      </c>
      <c r="AD76" s="116">
        <f t="shared" si="42"/>
        <v>0</v>
      </c>
      <c r="AE76" s="116">
        <f t="shared" si="43"/>
        <v>0</v>
      </c>
    </row>
    <row r="77" spans="1:31">
      <c r="A77" s="131">
        <v>42023</v>
      </c>
      <c r="B77" s="131">
        <v>42054</v>
      </c>
      <c r="C77" s="123">
        <f t="shared" si="1"/>
        <v>31</v>
      </c>
      <c r="D77" s="110">
        <v>261.3</v>
      </c>
      <c r="E77" s="110"/>
      <c r="F77" s="123">
        <v>13</v>
      </c>
      <c r="G77" s="123">
        <v>18</v>
      </c>
      <c r="H77" s="123"/>
      <c r="I77" s="123"/>
      <c r="J77" s="123"/>
      <c r="K77" s="123"/>
      <c r="L77" s="123"/>
      <c r="M77" s="123"/>
      <c r="N77" s="123"/>
      <c r="O77" s="123"/>
      <c r="P77" s="123"/>
      <c r="Q77" s="123"/>
      <c r="R77" s="133">
        <f t="shared" si="33"/>
        <v>0</v>
      </c>
      <c r="S77" s="133"/>
      <c r="T77" s="116">
        <f>ROUND((D77*F77/C77)/$C$6,2)</f>
        <v>1974.72</v>
      </c>
      <c r="U77" s="116">
        <f>ROUND(($D77*$G77/$C77)/$C$7,2)</f>
        <v>2173.36</v>
      </c>
      <c r="V77" s="116">
        <f t="shared" si="34"/>
        <v>0</v>
      </c>
      <c r="W77" s="116">
        <f t="shared" si="35"/>
        <v>0</v>
      </c>
      <c r="X77" s="116">
        <f t="shared" si="36"/>
        <v>0</v>
      </c>
      <c r="Y77" s="116">
        <f t="shared" si="37"/>
        <v>0</v>
      </c>
      <c r="Z77" s="116">
        <f t="shared" si="38"/>
        <v>0</v>
      </c>
      <c r="AA77" s="116">
        <f t="shared" si="39"/>
        <v>0</v>
      </c>
      <c r="AB77" s="116">
        <f t="shared" si="40"/>
        <v>0</v>
      </c>
      <c r="AC77" s="116">
        <f t="shared" si="41"/>
        <v>0</v>
      </c>
      <c r="AD77" s="116">
        <f t="shared" si="42"/>
        <v>0</v>
      </c>
      <c r="AE77" s="116">
        <f t="shared" si="43"/>
        <v>0</v>
      </c>
    </row>
    <row r="78" spans="1:31">
      <c r="A78" s="131">
        <v>42026</v>
      </c>
      <c r="B78" s="131">
        <v>42057</v>
      </c>
      <c r="C78" s="123">
        <f t="shared" si="1"/>
        <v>31</v>
      </c>
      <c r="D78" s="110">
        <v>200929.7</v>
      </c>
      <c r="E78" s="110"/>
      <c r="F78" s="123">
        <v>9.4</v>
      </c>
      <c r="G78" s="123">
        <v>20.6</v>
      </c>
      <c r="H78" s="123"/>
      <c r="I78" s="123"/>
      <c r="J78" s="123"/>
      <c r="K78" s="123"/>
      <c r="L78" s="123"/>
      <c r="M78" s="123"/>
      <c r="N78" s="123"/>
      <c r="O78" s="123"/>
      <c r="P78" s="123"/>
      <c r="Q78" s="123"/>
      <c r="R78" s="133">
        <f>C78-SUM(F78:Q78)</f>
        <v>1</v>
      </c>
      <c r="S78" s="133"/>
      <c r="T78" s="116">
        <v>1025502.34</v>
      </c>
      <c r="U78" s="116">
        <v>2051004.68</v>
      </c>
      <c r="V78" s="116">
        <f t="shared" si="34"/>
        <v>0</v>
      </c>
      <c r="W78" s="116">
        <f t="shared" si="35"/>
        <v>0</v>
      </c>
      <c r="X78" s="116">
        <f t="shared" si="36"/>
        <v>0</v>
      </c>
      <c r="Y78" s="116">
        <f t="shared" si="37"/>
        <v>0</v>
      </c>
      <c r="Z78" s="116">
        <f t="shared" si="38"/>
        <v>0</v>
      </c>
      <c r="AA78" s="116">
        <f t="shared" si="39"/>
        <v>0</v>
      </c>
      <c r="AB78" s="116">
        <f t="shared" si="40"/>
        <v>0</v>
      </c>
      <c r="AC78" s="116">
        <f t="shared" si="41"/>
        <v>0</v>
      </c>
      <c r="AD78" s="116">
        <f t="shared" si="42"/>
        <v>0</v>
      </c>
      <c r="AE78" s="116">
        <f t="shared" si="43"/>
        <v>0</v>
      </c>
    </row>
    <row r="79" spans="1:31">
      <c r="A79" s="131">
        <v>42035</v>
      </c>
      <c r="B79" s="131">
        <v>42063</v>
      </c>
      <c r="C79" s="123">
        <f t="shared" si="1"/>
        <v>28</v>
      </c>
      <c r="D79" s="110">
        <v>19873.61</v>
      </c>
      <c r="E79" s="110"/>
      <c r="F79" s="123">
        <v>1</v>
      </c>
      <c r="G79" s="123">
        <v>27</v>
      </c>
      <c r="H79" s="123"/>
      <c r="I79" s="123"/>
      <c r="J79" s="123"/>
      <c r="K79" s="123"/>
      <c r="L79" s="123"/>
      <c r="M79" s="123"/>
      <c r="N79" s="123"/>
      <c r="O79" s="123"/>
      <c r="P79" s="123"/>
      <c r="Q79" s="123"/>
      <c r="R79" s="133">
        <f t="shared" si="33"/>
        <v>0</v>
      </c>
      <c r="S79" s="133"/>
      <c r="T79" s="116">
        <v>9558.2000000000007</v>
      </c>
      <c r="U79" s="116">
        <v>277187.71999999997</v>
      </c>
      <c r="V79" s="116">
        <f t="shared" si="34"/>
        <v>0</v>
      </c>
      <c r="W79" s="116">
        <f t="shared" si="35"/>
        <v>0</v>
      </c>
      <c r="X79" s="116">
        <f t="shared" si="36"/>
        <v>0</v>
      </c>
      <c r="Y79" s="116">
        <f t="shared" si="37"/>
        <v>0</v>
      </c>
      <c r="Z79" s="116">
        <f t="shared" si="38"/>
        <v>0</v>
      </c>
      <c r="AA79" s="116">
        <f t="shared" si="39"/>
        <v>0</v>
      </c>
      <c r="AB79" s="116">
        <f t="shared" si="40"/>
        <v>0</v>
      </c>
      <c r="AC79" s="116">
        <f t="shared" si="41"/>
        <v>0</v>
      </c>
      <c r="AD79" s="116">
        <f t="shared" si="42"/>
        <v>0</v>
      </c>
      <c r="AE79" s="116">
        <f t="shared" si="43"/>
        <v>0</v>
      </c>
    </row>
    <row r="80" spans="1:31">
      <c r="A80" s="131">
        <v>42030</v>
      </c>
      <c r="B80" s="131">
        <v>42061</v>
      </c>
      <c r="C80" s="123">
        <f t="shared" si="1"/>
        <v>31</v>
      </c>
      <c r="D80" s="110">
        <v>2280.48</v>
      </c>
      <c r="E80" s="110"/>
      <c r="F80" s="123">
        <v>6</v>
      </c>
      <c r="G80" s="123">
        <v>25</v>
      </c>
      <c r="H80" s="123"/>
      <c r="I80" s="123"/>
      <c r="J80" s="123"/>
      <c r="K80" s="123"/>
      <c r="L80" s="123"/>
      <c r="M80" s="123"/>
      <c r="N80" s="123"/>
      <c r="O80" s="123"/>
      <c r="P80" s="123"/>
      <c r="Q80" s="123"/>
      <c r="R80" s="133">
        <f t="shared" si="33"/>
        <v>0</v>
      </c>
      <c r="S80" s="133"/>
      <c r="T80" s="116">
        <f t="shared" ref="T80:T105" si="44">ROUND((D80*F80/C80)/$C$6,2)</f>
        <v>7954.28</v>
      </c>
      <c r="U80" s="116">
        <f t="shared" ref="U80:U105" si="45">ROUND(($D80*$G80/$C80)/$C$7,2)</f>
        <v>26344.32</v>
      </c>
      <c r="V80" s="116">
        <f t="shared" si="34"/>
        <v>0</v>
      </c>
      <c r="W80" s="116">
        <f t="shared" si="35"/>
        <v>0</v>
      </c>
      <c r="X80" s="116">
        <f t="shared" si="36"/>
        <v>0</v>
      </c>
      <c r="Y80" s="116">
        <f t="shared" si="37"/>
        <v>0</v>
      </c>
      <c r="Z80" s="116">
        <f t="shared" si="38"/>
        <v>0</v>
      </c>
      <c r="AA80" s="116">
        <f t="shared" si="39"/>
        <v>0</v>
      </c>
      <c r="AB80" s="116">
        <f t="shared" si="40"/>
        <v>0</v>
      </c>
      <c r="AC80" s="116">
        <f t="shared" si="41"/>
        <v>0</v>
      </c>
      <c r="AD80" s="116">
        <f t="shared" si="42"/>
        <v>0</v>
      </c>
      <c r="AE80" s="116">
        <f t="shared" si="43"/>
        <v>0</v>
      </c>
    </row>
    <row r="81" spans="1:31">
      <c r="A81" s="131">
        <v>42032</v>
      </c>
      <c r="B81" s="131">
        <v>42063</v>
      </c>
      <c r="C81" s="123">
        <f t="shared" si="1"/>
        <v>31</v>
      </c>
      <c r="D81" s="110">
        <v>391.04</v>
      </c>
      <c r="E81" s="110"/>
      <c r="F81" s="123">
        <v>4</v>
      </c>
      <c r="G81" s="123">
        <v>27</v>
      </c>
      <c r="H81" s="123"/>
      <c r="I81" s="123"/>
      <c r="J81" s="123"/>
      <c r="K81" s="123"/>
      <c r="L81" s="123"/>
      <c r="M81" s="123"/>
      <c r="N81" s="123"/>
      <c r="O81" s="123"/>
      <c r="P81" s="123"/>
      <c r="Q81" s="123"/>
      <c r="R81" s="133">
        <f t="shared" si="33"/>
        <v>0</v>
      </c>
      <c r="S81" s="133"/>
      <c r="T81" s="116">
        <f t="shared" si="44"/>
        <v>909.29</v>
      </c>
      <c r="U81" s="116">
        <f t="shared" si="45"/>
        <v>4878.72</v>
      </c>
      <c r="V81" s="116">
        <f t="shared" si="34"/>
        <v>0</v>
      </c>
      <c r="W81" s="116">
        <f t="shared" si="35"/>
        <v>0</v>
      </c>
      <c r="X81" s="116">
        <f t="shared" si="36"/>
        <v>0</v>
      </c>
      <c r="Y81" s="116">
        <f t="shared" si="37"/>
        <v>0</v>
      </c>
      <c r="Z81" s="116">
        <f t="shared" si="38"/>
        <v>0</v>
      </c>
      <c r="AA81" s="116">
        <f t="shared" si="39"/>
        <v>0</v>
      </c>
      <c r="AB81" s="116">
        <f t="shared" si="40"/>
        <v>0</v>
      </c>
      <c r="AC81" s="116">
        <f t="shared" si="41"/>
        <v>0</v>
      </c>
      <c r="AD81" s="116">
        <f t="shared" si="42"/>
        <v>0</v>
      </c>
      <c r="AE81" s="116">
        <f t="shared" si="43"/>
        <v>0</v>
      </c>
    </row>
    <row r="82" spans="1:31">
      <c r="A82" s="131">
        <v>42036</v>
      </c>
      <c r="B82" s="131">
        <v>42064</v>
      </c>
      <c r="C82" s="123">
        <f t="shared" si="1"/>
        <v>28</v>
      </c>
      <c r="D82" s="110">
        <v>116210.9</v>
      </c>
      <c r="E82" s="110"/>
      <c r="F82" s="123"/>
      <c r="G82" s="123">
        <v>28</v>
      </c>
      <c r="H82" s="123"/>
      <c r="I82" s="123"/>
      <c r="J82" s="123"/>
      <c r="K82" s="123"/>
      <c r="L82" s="123"/>
      <c r="M82" s="123"/>
      <c r="N82" s="123"/>
      <c r="O82" s="123"/>
      <c r="P82" s="123"/>
      <c r="Q82" s="123"/>
      <c r="R82" s="133">
        <f t="shared" si="33"/>
        <v>0</v>
      </c>
      <c r="S82" s="133"/>
      <c r="T82" s="116">
        <f t="shared" si="44"/>
        <v>0</v>
      </c>
      <c r="U82" s="116">
        <f t="shared" si="45"/>
        <v>1664674.12</v>
      </c>
      <c r="V82" s="116">
        <f t="shared" si="34"/>
        <v>0</v>
      </c>
      <c r="W82" s="116">
        <f t="shared" si="35"/>
        <v>0</v>
      </c>
      <c r="X82" s="116">
        <f t="shared" si="36"/>
        <v>0</v>
      </c>
      <c r="Y82" s="116">
        <f t="shared" si="37"/>
        <v>0</v>
      </c>
      <c r="Z82" s="116">
        <f t="shared" si="38"/>
        <v>0</v>
      </c>
      <c r="AA82" s="116">
        <f t="shared" si="39"/>
        <v>0</v>
      </c>
      <c r="AB82" s="116">
        <f t="shared" si="40"/>
        <v>0</v>
      </c>
      <c r="AC82" s="116">
        <f t="shared" si="41"/>
        <v>0</v>
      </c>
      <c r="AD82" s="116">
        <f t="shared" si="42"/>
        <v>0</v>
      </c>
      <c r="AE82" s="116">
        <f t="shared" si="43"/>
        <v>0</v>
      </c>
    </row>
    <row r="83" spans="1:31">
      <c r="A83" s="131">
        <v>42032</v>
      </c>
      <c r="B83" s="131">
        <v>42063</v>
      </c>
      <c r="C83" s="123">
        <f t="shared" si="1"/>
        <v>31</v>
      </c>
      <c r="D83" s="151">
        <v>3158.65</v>
      </c>
      <c r="E83" s="110"/>
      <c r="F83" s="123">
        <v>4</v>
      </c>
      <c r="G83" s="123">
        <v>27</v>
      </c>
      <c r="H83" s="123"/>
      <c r="I83" s="123"/>
      <c r="J83" s="123"/>
      <c r="K83" s="123"/>
      <c r="L83" s="123"/>
      <c r="M83" s="123"/>
      <c r="N83" s="123"/>
      <c r="O83" s="123"/>
      <c r="P83" s="123"/>
      <c r="Q83" s="123"/>
      <c r="R83" s="133">
        <f t="shared" si="33"/>
        <v>0</v>
      </c>
      <c r="S83" s="133"/>
      <c r="T83" s="116">
        <f t="shared" si="44"/>
        <v>7344.89</v>
      </c>
      <c r="U83" s="116">
        <f t="shared" si="45"/>
        <v>39408.14</v>
      </c>
      <c r="V83" s="116">
        <f t="shared" si="34"/>
        <v>0</v>
      </c>
      <c r="W83" s="116">
        <f t="shared" si="35"/>
        <v>0</v>
      </c>
      <c r="X83" s="116">
        <f t="shared" si="36"/>
        <v>0</v>
      </c>
      <c r="Y83" s="116">
        <f t="shared" si="37"/>
        <v>0</v>
      </c>
      <c r="Z83" s="116">
        <f t="shared" si="38"/>
        <v>0</v>
      </c>
      <c r="AA83" s="116">
        <f t="shared" si="39"/>
        <v>0</v>
      </c>
      <c r="AB83" s="116">
        <f t="shared" si="40"/>
        <v>0</v>
      </c>
      <c r="AC83" s="116">
        <f t="shared" si="41"/>
        <v>0</v>
      </c>
      <c r="AD83" s="116">
        <f t="shared" si="42"/>
        <v>0</v>
      </c>
      <c r="AE83" s="116">
        <f t="shared" si="43"/>
        <v>0</v>
      </c>
    </row>
    <row r="84" spans="1:31">
      <c r="A84" s="131">
        <v>42036</v>
      </c>
      <c r="B84" s="131">
        <v>42064</v>
      </c>
      <c r="C84" s="123">
        <f t="shared" si="1"/>
        <v>28</v>
      </c>
      <c r="D84" s="151">
        <v>11593.19</v>
      </c>
      <c r="E84" s="110"/>
      <c r="F84" s="123"/>
      <c r="G84" s="123">
        <v>28</v>
      </c>
      <c r="H84" s="123"/>
      <c r="I84" s="123"/>
      <c r="J84" s="123"/>
      <c r="K84" s="123"/>
      <c r="L84" s="123"/>
      <c r="M84" s="123"/>
      <c r="N84" s="123"/>
      <c r="O84" s="123"/>
      <c r="P84" s="123"/>
      <c r="Q84" s="123"/>
      <c r="R84" s="133">
        <f t="shared" si="33"/>
        <v>0</v>
      </c>
      <c r="S84" s="133"/>
      <c r="T84" s="116">
        <f t="shared" si="44"/>
        <v>0</v>
      </c>
      <c r="U84" s="116">
        <f t="shared" si="45"/>
        <v>166067.76</v>
      </c>
      <c r="V84" s="116">
        <f t="shared" si="34"/>
        <v>0</v>
      </c>
      <c r="W84" s="116">
        <f t="shared" si="35"/>
        <v>0</v>
      </c>
      <c r="X84" s="116">
        <f t="shared" si="36"/>
        <v>0</v>
      </c>
      <c r="Y84" s="116">
        <f t="shared" si="37"/>
        <v>0</v>
      </c>
      <c r="Z84" s="116">
        <f t="shared" si="38"/>
        <v>0</v>
      </c>
      <c r="AA84" s="116">
        <f t="shared" si="39"/>
        <v>0</v>
      </c>
      <c r="AB84" s="116">
        <f t="shared" si="40"/>
        <v>0</v>
      </c>
      <c r="AC84" s="116">
        <f t="shared" si="41"/>
        <v>0</v>
      </c>
      <c r="AD84" s="116">
        <f t="shared" si="42"/>
        <v>0</v>
      </c>
      <c r="AE84" s="116">
        <f t="shared" si="43"/>
        <v>0</v>
      </c>
    </row>
    <row r="85" spans="1:31">
      <c r="A85" s="131">
        <v>42036</v>
      </c>
      <c r="B85" s="131">
        <v>42064</v>
      </c>
      <c r="C85" s="123">
        <f t="shared" si="1"/>
        <v>28</v>
      </c>
      <c r="D85" s="151">
        <v>33225.480000000003</v>
      </c>
      <c r="E85" s="110"/>
      <c r="F85" s="123"/>
      <c r="G85" s="123">
        <v>28</v>
      </c>
      <c r="H85" s="123"/>
      <c r="I85" s="123"/>
      <c r="J85" s="123"/>
      <c r="K85" s="123"/>
      <c r="L85" s="123"/>
      <c r="M85" s="123"/>
      <c r="N85" s="123"/>
      <c r="O85" s="123"/>
      <c r="P85" s="123"/>
      <c r="Q85" s="123"/>
      <c r="R85" s="133">
        <f t="shared" si="33"/>
        <v>0</v>
      </c>
      <c r="S85" s="133"/>
      <c r="T85" s="116">
        <f t="shared" si="44"/>
        <v>0</v>
      </c>
      <c r="U85" s="116">
        <f t="shared" si="45"/>
        <v>475941.56</v>
      </c>
      <c r="V85" s="116">
        <f t="shared" si="34"/>
        <v>0</v>
      </c>
      <c r="W85" s="116">
        <f t="shared" si="35"/>
        <v>0</v>
      </c>
      <c r="X85" s="116">
        <f t="shared" si="36"/>
        <v>0</v>
      </c>
      <c r="Y85" s="116">
        <f t="shared" si="37"/>
        <v>0</v>
      </c>
      <c r="Z85" s="116">
        <f t="shared" si="38"/>
        <v>0</v>
      </c>
      <c r="AA85" s="116">
        <f t="shared" si="39"/>
        <v>0</v>
      </c>
      <c r="AB85" s="116">
        <f t="shared" si="40"/>
        <v>0</v>
      </c>
      <c r="AC85" s="116">
        <f t="shared" si="41"/>
        <v>0</v>
      </c>
      <c r="AD85" s="116">
        <f t="shared" si="42"/>
        <v>0</v>
      </c>
      <c r="AE85" s="116">
        <f t="shared" si="43"/>
        <v>0</v>
      </c>
    </row>
    <row r="86" spans="1:31">
      <c r="A86" s="131">
        <v>42030</v>
      </c>
      <c r="B86" s="131">
        <v>42061</v>
      </c>
      <c r="C86" s="123">
        <f t="shared" si="1"/>
        <v>31</v>
      </c>
      <c r="D86" s="151">
        <v>1051.6600000000001</v>
      </c>
      <c r="E86" s="110"/>
      <c r="F86" s="123">
        <v>6</v>
      </c>
      <c r="G86" s="123">
        <v>25</v>
      </c>
      <c r="H86" s="123"/>
      <c r="I86" s="123"/>
      <c r="J86" s="123"/>
      <c r="K86" s="123"/>
      <c r="L86" s="123"/>
      <c r="M86" s="123"/>
      <c r="N86" s="123"/>
      <c r="O86" s="123"/>
      <c r="P86" s="123"/>
      <c r="Q86" s="123"/>
      <c r="R86" s="133">
        <f t="shared" si="33"/>
        <v>0</v>
      </c>
      <c r="S86" s="133"/>
      <c r="T86" s="116">
        <f t="shared" si="44"/>
        <v>3668.18</v>
      </c>
      <c r="U86" s="116">
        <f t="shared" si="45"/>
        <v>12148.87</v>
      </c>
      <c r="V86" s="116">
        <f t="shared" si="34"/>
        <v>0</v>
      </c>
      <c r="W86" s="116">
        <f t="shared" si="35"/>
        <v>0</v>
      </c>
      <c r="X86" s="116">
        <f t="shared" si="36"/>
        <v>0</v>
      </c>
      <c r="Y86" s="116">
        <f t="shared" si="37"/>
        <v>0</v>
      </c>
      <c r="Z86" s="116">
        <f t="shared" si="38"/>
        <v>0</v>
      </c>
      <c r="AA86" s="116">
        <f t="shared" si="39"/>
        <v>0</v>
      </c>
      <c r="AB86" s="116">
        <f t="shared" si="40"/>
        <v>0</v>
      </c>
      <c r="AC86" s="116">
        <f t="shared" si="41"/>
        <v>0</v>
      </c>
      <c r="AD86" s="116">
        <f t="shared" si="42"/>
        <v>0</v>
      </c>
      <c r="AE86" s="116">
        <f t="shared" si="43"/>
        <v>0</v>
      </c>
    </row>
    <row r="87" spans="1:31">
      <c r="A87" s="131">
        <v>42036</v>
      </c>
      <c r="B87" s="131">
        <v>42064</v>
      </c>
      <c r="C87" s="123">
        <f t="shared" ref="C87:C152" si="46">B87-A87</f>
        <v>28</v>
      </c>
      <c r="D87" s="151">
        <v>863.05</v>
      </c>
      <c r="E87" s="110"/>
      <c r="F87" s="123"/>
      <c r="G87" s="123">
        <v>28</v>
      </c>
      <c r="H87" s="123"/>
      <c r="I87" s="123"/>
      <c r="J87" s="123"/>
      <c r="K87" s="123"/>
      <c r="L87" s="123"/>
      <c r="M87" s="123"/>
      <c r="N87" s="123"/>
      <c r="O87" s="123"/>
      <c r="P87" s="123"/>
      <c r="Q87" s="123"/>
      <c r="R87" s="133">
        <f t="shared" si="33"/>
        <v>0</v>
      </c>
      <c r="S87" s="133"/>
      <c r="T87" s="116">
        <f t="shared" si="44"/>
        <v>0</v>
      </c>
      <c r="U87" s="116">
        <f t="shared" si="45"/>
        <v>12362.84</v>
      </c>
      <c r="V87" s="116">
        <f t="shared" si="34"/>
        <v>0</v>
      </c>
      <c r="W87" s="116">
        <f t="shared" si="35"/>
        <v>0</v>
      </c>
      <c r="X87" s="116">
        <f t="shared" si="36"/>
        <v>0</v>
      </c>
      <c r="Y87" s="116">
        <f t="shared" si="37"/>
        <v>0</v>
      </c>
      <c r="Z87" s="116">
        <f t="shared" si="38"/>
        <v>0</v>
      </c>
      <c r="AA87" s="116">
        <f t="shared" si="39"/>
        <v>0</v>
      </c>
      <c r="AB87" s="116">
        <f t="shared" si="40"/>
        <v>0</v>
      </c>
      <c r="AC87" s="116">
        <f t="shared" si="41"/>
        <v>0</v>
      </c>
      <c r="AD87" s="116">
        <f t="shared" si="42"/>
        <v>0</v>
      </c>
      <c r="AE87" s="116">
        <f t="shared" si="43"/>
        <v>0</v>
      </c>
    </row>
    <row r="88" spans="1:31">
      <c r="A88" s="131">
        <v>42019</v>
      </c>
      <c r="B88" s="131">
        <v>42063</v>
      </c>
      <c r="C88" s="123">
        <f t="shared" si="46"/>
        <v>44</v>
      </c>
      <c r="D88" s="151">
        <v>28.3</v>
      </c>
      <c r="E88" s="110"/>
      <c r="F88" s="123">
        <v>17</v>
      </c>
      <c r="G88" s="123">
        <v>27</v>
      </c>
      <c r="H88" s="123"/>
      <c r="I88" s="123"/>
      <c r="J88" s="123"/>
      <c r="K88" s="123"/>
      <c r="L88" s="123"/>
      <c r="M88" s="123"/>
      <c r="N88" s="123"/>
      <c r="O88" s="123"/>
      <c r="P88" s="123"/>
      <c r="Q88" s="123"/>
      <c r="R88" s="133">
        <f t="shared" si="33"/>
        <v>0</v>
      </c>
      <c r="S88" s="133"/>
      <c r="T88" s="116">
        <f t="shared" si="44"/>
        <v>197.05</v>
      </c>
      <c r="U88" s="116">
        <f t="shared" si="45"/>
        <v>248.76</v>
      </c>
      <c r="V88" s="116">
        <f t="shared" si="34"/>
        <v>0</v>
      </c>
      <c r="W88" s="116">
        <f t="shared" si="35"/>
        <v>0</v>
      </c>
      <c r="X88" s="116">
        <f t="shared" si="36"/>
        <v>0</v>
      </c>
      <c r="Y88" s="116">
        <f t="shared" si="37"/>
        <v>0</v>
      </c>
      <c r="Z88" s="116">
        <f t="shared" si="38"/>
        <v>0</v>
      </c>
      <c r="AA88" s="116">
        <f t="shared" si="39"/>
        <v>0</v>
      </c>
      <c r="AB88" s="116">
        <f t="shared" si="40"/>
        <v>0</v>
      </c>
      <c r="AC88" s="116">
        <f t="shared" si="41"/>
        <v>0</v>
      </c>
      <c r="AD88" s="116">
        <f t="shared" si="42"/>
        <v>0</v>
      </c>
      <c r="AE88" s="116">
        <f t="shared" si="43"/>
        <v>0</v>
      </c>
    </row>
    <row r="89" spans="1:31">
      <c r="A89" s="131">
        <v>42036</v>
      </c>
      <c r="B89" s="131">
        <v>42064</v>
      </c>
      <c r="C89" s="123">
        <f t="shared" si="46"/>
        <v>28</v>
      </c>
      <c r="D89" s="151">
        <v>228.35</v>
      </c>
      <c r="E89" s="110"/>
      <c r="F89" s="123"/>
      <c r="G89" s="123">
        <v>28</v>
      </c>
      <c r="H89" s="123"/>
      <c r="I89" s="123"/>
      <c r="J89" s="123"/>
      <c r="K89" s="123"/>
      <c r="L89" s="123"/>
      <c r="M89" s="123"/>
      <c r="N89" s="123"/>
      <c r="O89" s="123"/>
      <c r="P89" s="123"/>
      <c r="Q89" s="123"/>
      <c r="R89" s="133">
        <f t="shared" si="33"/>
        <v>0</v>
      </c>
      <c r="S89" s="133"/>
      <c r="T89" s="116">
        <f t="shared" si="44"/>
        <v>0</v>
      </c>
      <c r="U89" s="116">
        <f t="shared" si="45"/>
        <v>3271.02</v>
      </c>
      <c r="V89" s="116">
        <f t="shared" si="34"/>
        <v>0</v>
      </c>
      <c r="W89" s="116">
        <f t="shared" si="35"/>
        <v>0</v>
      </c>
      <c r="X89" s="116">
        <f t="shared" si="36"/>
        <v>0</v>
      </c>
      <c r="Y89" s="116">
        <f t="shared" si="37"/>
        <v>0</v>
      </c>
      <c r="Z89" s="116">
        <f t="shared" si="38"/>
        <v>0</v>
      </c>
      <c r="AA89" s="116">
        <f t="shared" si="39"/>
        <v>0</v>
      </c>
      <c r="AB89" s="116">
        <f t="shared" si="40"/>
        <v>0</v>
      </c>
      <c r="AC89" s="116">
        <f t="shared" si="41"/>
        <v>0</v>
      </c>
      <c r="AD89" s="116">
        <f t="shared" si="42"/>
        <v>0</v>
      </c>
      <c r="AE89" s="116">
        <f t="shared" si="43"/>
        <v>0</v>
      </c>
    </row>
    <row r="90" spans="1:31">
      <c r="A90" s="131">
        <v>42036</v>
      </c>
      <c r="B90" s="131">
        <v>42064</v>
      </c>
      <c r="C90" s="123">
        <f t="shared" si="46"/>
        <v>28</v>
      </c>
      <c r="D90" s="151">
        <v>2540.91</v>
      </c>
      <c r="E90" s="110"/>
      <c r="F90" s="123"/>
      <c r="G90" s="123">
        <v>28</v>
      </c>
      <c r="H90" s="123"/>
      <c r="I90" s="123"/>
      <c r="J90" s="123"/>
      <c r="K90" s="123"/>
      <c r="L90" s="123"/>
      <c r="M90" s="123"/>
      <c r="N90" s="123"/>
      <c r="O90" s="123"/>
      <c r="P90" s="123"/>
      <c r="Q90" s="123"/>
      <c r="R90" s="133">
        <f t="shared" si="33"/>
        <v>0</v>
      </c>
      <c r="S90" s="133"/>
      <c r="T90" s="116">
        <f t="shared" si="44"/>
        <v>0</v>
      </c>
      <c r="U90" s="116">
        <f t="shared" si="45"/>
        <v>36397.51</v>
      </c>
      <c r="V90" s="116">
        <f t="shared" si="34"/>
        <v>0</v>
      </c>
      <c r="W90" s="116">
        <f t="shared" si="35"/>
        <v>0</v>
      </c>
      <c r="X90" s="116">
        <f t="shared" si="36"/>
        <v>0</v>
      </c>
      <c r="Y90" s="116">
        <f t="shared" si="37"/>
        <v>0</v>
      </c>
      <c r="Z90" s="116">
        <f t="shared" si="38"/>
        <v>0</v>
      </c>
      <c r="AA90" s="116">
        <f t="shared" si="39"/>
        <v>0</v>
      </c>
      <c r="AB90" s="116">
        <f t="shared" si="40"/>
        <v>0</v>
      </c>
      <c r="AC90" s="116">
        <f t="shared" si="41"/>
        <v>0</v>
      </c>
      <c r="AD90" s="116">
        <f t="shared" si="42"/>
        <v>0</v>
      </c>
      <c r="AE90" s="116">
        <f t="shared" si="43"/>
        <v>0</v>
      </c>
    </row>
    <row r="91" spans="1:31">
      <c r="A91" s="131">
        <v>42036</v>
      </c>
      <c r="B91" s="131">
        <v>42064</v>
      </c>
      <c r="C91" s="123">
        <f t="shared" si="46"/>
        <v>28</v>
      </c>
      <c r="D91" s="151">
        <v>1588.98</v>
      </c>
      <c r="E91" s="110"/>
      <c r="F91" s="123"/>
      <c r="G91" s="123">
        <v>28</v>
      </c>
      <c r="H91" s="123"/>
      <c r="I91" s="123"/>
      <c r="J91" s="123"/>
      <c r="K91" s="123"/>
      <c r="L91" s="123"/>
      <c r="M91" s="123"/>
      <c r="N91" s="123"/>
      <c r="O91" s="123"/>
      <c r="P91" s="123"/>
      <c r="Q91" s="123"/>
      <c r="R91" s="133">
        <f t="shared" si="33"/>
        <v>0</v>
      </c>
      <c r="S91" s="133"/>
      <c r="T91" s="116">
        <f t="shared" si="44"/>
        <v>0</v>
      </c>
      <c r="U91" s="116">
        <f t="shared" si="45"/>
        <v>22761.5</v>
      </c>
      <c r="V91" s="116">
        <f t="shared" si="34"/>
        <v>0</v>
      </c>
      <c r="W91" s="116">
        <f t="shared" si="35"/>
        <v>0</v>
      </c>
      <c r="X91" s="116">
        <f t="shared" si="36"/>
        <v>0</v>
      </c>
      <c r="Y91" s="116">
        <f t="shared" si="37"/>
        <v>0</v>
      </c>
      <c r="Z91" s="116">
        <f t="shared" si="38"/>
        <v>0</v>
      </c>
      <c r="AA91" s="116">
        <f t="shared" si="39"/>
        <v>0</v>
      </c>
      <c r="AB91" s="116">
        <f t="shared" si="40"/>
        <v>0</v>
      </c>
      <c r="AC91" s="116">
        <f t="shared" si="41"/>
        <v>0</v>
      </c>
      <c r="AD91" s="116">
        <f t="shared" si="42"/>
        <v>0</v>
      </c>
      <c r="AE91" s="116">
        <f t="shared" si="43"/>
        <v>0</v>
      </c>
    </row>
    <row r="92" spans="1:31">
      <c r="A92" s="131">
        <v>42030</v>
      </c>
      <c r="B92" s="131">
        <v>42059</v>
      </c>
      <c r="C92" s="123">
        <f t="shared" si="46"/>
        <v>29</v>
      </c>
      <c r="D92" s="151">
        <v>296.95999999999998</v>
      </c>
      <c r="E92" s="110"/>
      <c r="F92" s="123">
        <v>6</v>
      </c>
      <c r="G92" s="123">
        <v>23</v>
      </c>
      <c r="H92" s="123"/>
      <c r="I92" s="123"/>
      <c r="J92" s="123"/>
      <c r="K92" s="123"/>
      <c r="L92" s="123"/>
      <c r="M92" s="123"/>
      <c r="N92" s="123"/>
      <c r="O92" s="123"/>
      <c r="P92" s="123"/>
      <c r="Q92" s="123"/>
      <c r="R92" s="133">
        <f t="shared" si="33"/>
        <v>0</v>
      </c>
      <c r="S92" s="133"/>
      <c r="T92" s="116">
        <f t="shared" si="44"/>
        <v>1107.23</v>
      </c>
      <c r="U92" s="116">
        <f t="shared" si="45"/>
        <v>3373.73</v>
      </c>
      <c r="V92" s="116">
        <f t="shared" si="34"/>
        <v>0</v>
      </c>
      <c r="W92" s="116">
        <f t="shared" si="35"/>
        <v>0</v>
      </c>
      <c r="X92" s="116">
        <f t="shared" si="36"/>
        <v>0</v>
      </c>
      <c r="Y92" s="116">
        <f t="shared" si="37"/>
        <v>0</v>
      </c>
      <c r="Z92" s="116">
        <f t="shared" si="38"/>
        <v>0</v>
      </c>
      <c r="AA92" s="116">
        <f t="shared" si="39"/>
        <v>0</v>
      </c>
      <c r="AB92" s="116">
        <f t="shared" si="40"/>
        <v>0</v>
      </c>
      <c r="AC92" s="116">
        <f t="shared" si="41"/>
        <v>0</v>
      </c>
      <c r="AD92" s="116">
        <f t="shared" si="42"/>
        <v>0</v>
      </c>
      <c r="AE92" s="116">
        <f t="shared" si="43"/>
        <v>0</v>
      </c>
    </row>
    <row r="93" spans="1:31">
      <c r="A93" s="131">
        <v>42036</v>
      </c>
      <c r="B93" s="131">
        <v>42064</v>
      </c>
      <c r="C93" s="123">
        <f t="shared" si="46"/>
        <v>28</v>
      </c>
      <c r="D93" s="151">
        <v>4295.21</v>
      </c>
      <c r="E93" s="110"/>
      <c r="F93" s="123"/>
      <c r="G93" s="123">
        <v>28</v>
      </c>
      <c r="H93" s="123"/>
      <c r="I93" s="123"/>
      <c r="J93" s="123"/>
      <c r="K93" s="123"/>
      <c r="L93" s="123"/>
      <c r="M93" s="123"/>
      <c r="N93" s="123"/>
      <c r="O93" s="123"/>
      <c r="P93" s="123"/>
      <c r="Q93" s="123"/>
      <c r="R93" s="133">
        <f t="shared" si="33"/>
        <v>0</v>
      </c>
      <c r="S93" s="133"/>
      <c r="T93" s="116">
        <f t="shared" si="44"/>
        <v>0</v>
      </c>
      <c r="U93" s="116">
        <f t="shared" si="45"/>
        <v>61527.15</v>
      </c>
      <c r="V93" s="116">
        <f t="shared" si="34"/>
        <v>0</v>
      </c>
      <c r="W93" s="116">
        <f t="shared" si="35"/>
        <v>0</v>
      </c>
      <c r="X93" s="116">
        <f t="shared" si="36"/>
        <v>0</v>
      </c>
      <c r="Y93" s="116">
        <f t="shared" si="37"/>
        <v>0</v>
      </c>
      <c r="Z93" s="116">
        <f t="shared" si="38"/>
        <v>0</v>
      </c>
      <c r="AA93" s="116">
        <f t="shared" si="39"/>
        <v>0</v>
      </c>
      <c r="AB93" s="116">
        <f t="shared" si="40"/>
        <v>0</v>
      </c>
      <c r="AC93" s="116">
        <f t="shared" si="41"/>
        <v>0</v>
      </c>
      <c r="AD93" s="116">
        <f t="shared" si="42"/>
        <v>0</v>
      </c>
      <c r="AE93" s="116">
        <f t="shared" si="43"/>
        <v>0</v>
      </c>
    </row>
    <row r="94" spans="1:31">
      <c r="A94" s="131">
        <v>42036</v>
      </c>
      <c r="B94" s="131">
        <v>42064</v>
      </c>
      <c r="C94" s="123">
        <f t="shared" si="46"/>
        <v>28</v>
      </c>
      <c r="D94" s="151">
        <v>182.5</v>
      </c>
      <c r="E94" s="110"/>
      <c r="F94" s="123"/>
      <c r="G94" s="123">
        <v>28</v>
      </c>
      <c r="H94" s="123"/>
      <c r="I94" s="123"/>
      <c r="J94" s="123"/>
      <c r="K94" s="123"/>
      <c r="L94" s="123"/>
      <c r="M94" s="123"/>
      <c r="N94" s="123"/>
      <c r="O94" s="123"/>
      <c r="P94" s="123"/>
      <c r="Q94" s="123"/>
      <c r="R94" s="133">
        <f t="shared" si="33"/>
        <v>0</v>
      </c>
      <c r="S94" s="133"/>
      <c r="T94" s="116">
        <f t="shared" si="44"/>
        <v>0</v>
      </c>
      <c r="U94" s="116">
        <f t="shared" si="45"/>
        <v>2614.2399999999998</v>
      </c>
      <c r="V94" s="116">
        <f t="shared" si="34"/>
        <v>0</v>
      </c>
      <c r="W94" s="116">
        <f t="shared" si="35"/>
        <v>0</v>
      </c>
      <c r="X94" s="116">
        <f t="shared" si="36"/>
        <v>0</v>
      </c>
      <c r="Y94" s="116">
        <f t="shared" si="37"/>
        <v>0</v>
      </c>
      <c r="Z94" s="116">
        <f t="shared" si="38"/>
        <v>0</v>
      </c>
      <c r="AA94" s="116">
        <f t="shared" si="39"/>
        <v>0</v>
      </c>
      <c r="AB94" s="116">
        <f t="shared" si="40"/>
        <v>0</v>
      </c>
      <c r="AC94" s="116">
        <f t="shared" si="41"/>
        <v>0</v>
      </c>
      <c r="AD94" s="116">
        <f t="shared" si="42"/>
        <v>0</v>
      </c>
      <c r="AE94" s="116">
        <f t="shared" si="43"/>
        <v>0</v>
      </c>
    </row>
    <row r="95" spans="1:31">
      <c r="A95" s="131">
        <v>42036</v>
      </c>
      <c r="B95" s="131">
        <v>42064</v>
      </c>
      <c r="C95" s="123">
        <f t="shared" si="46"/>
        <v>28</v>
      </c>
      <c r="D95" s="151">
        <v>1939.01</v>
      </c>
      <c r="E95" s="110"/>
      <c r="F95" s="123"/>
      <c r="G95" s="123">
        <v>28</v>
      </c>
      <c r="H95" s="123"/>
      <c r="I95" s="123"/>
      <c r="J95" s="123"/>
      <c r="K95" s="123"/>
      <c r="L95" s="123"/>
      <c r="M95" s="123"/>
      <c r="N95" s="123"/>
      <c r="O95" s="123"/>
      <c r="P95" s="123"/>
      <c r="Q95" s="123"/>
      <c r="R95" s="133">
        <f t="shared" si="33"/>
        <v>0</v>
      </c>
      <c r="S95" s="133"/>
      <c r="T95" s="116">
        <f t="shared" si="44"/>
        <v>0</v>
      </c>
      <c r="U95" s="116">
        <f t="shared" si="45"/>
        <v>27775.53</v>
      </c>
      <c r="V95" s="116">
        <f t="shared" si="34"/>
        <v>0</v>
      </c>
      <c r="W95" s="116">
        <f t="shared" si="35"/>
        <v>0</v>
      </c>
      <c r="X95" s="116">
        <f t="shared" si="36"/>
        <v>0</v>
      </c>
      <c r="Y95" s="116">
        <f t="shared" si="37"/>
        <v>0</v>
      </c>
      <c r="Z95" s="116">
        <f t="shared" si="38"/>
        <v>0</v>
      </c>
      <c r="AA95" s="116">
        <f t="shared" si="39"/>
        <v>0</v>
      </c>
      <c r="AB95" s="116">
        <f t="shared" si="40"/>
        <v>0</v>
      </c>
      <c r="AC95" s="116">
        <f t="shared" si="41"/>
        <v>0</v>
      </c>
      <c r="AD95" s="116">
        <f t="shared" si="42"/>
        <v>0</v>
      </c>
      <c r="AE95" s="116">
        <f t="shared" si="43"/>
        <v>0</v>
      </c>
    </row>
    <row r="96" spans="1:31">
      <c r="A96" s="131">
        <v>42043</v>
      </c>
      <c r="B96" s="131">
        <v>42071</v>
      </c>
      <c r="C96" s="123">
        <f t="shared" si="46"/>
        <v>28</v>
      </c>
      <c r="D96" s="151">
        <v>276.93</v>
      </c>
      <c r="E96" s="110"/>
      <c r="F96" s="123"/>
      <c r="G96" s="123">
        <v>21</v>
      </c>
      <c r="H96" s="123">
        <v>7</v>
      </c>
      <c r="I96" s="123"/>
      <c r="J96" s="123"/>
      <c r="K96" s="123"/>
      <c r="L96" s="123"/>
      <c r="M96" s="123"/>
      <c r="N96" s="123"/>
      <c r="O96" s="123"/>
      <c r="P96" s="123"/>
      <c r="Q96" s="123"/>
      <c r="R96" s="133">
        <f t="shared" si="33"/>
        <v>0</v>
      </c>
      <c r="S96" s="133"/>
      <c r="T96" s="116">
        <f t="shared" si="44"/>
        <v>0</v>
      </c>
      <c r="U96" s="116">
        <f t="shared" si="45"/>
        <v>2975.18</v>
      </c>
      <c r="V96" s="116">
        <f t="shared" si="34"/>
        <v>1920.99</v>
      </c>
      <c r="W96" s="116">
        <f t="shared" si="35"/>
        <v>0</v>
      </c>
      <c r="X96" s="116">
        <f t="shared" si="36"/>
        <v>0</v>
      </c>
      <c r="Y96" s="116">
        <f t="shared" si="37"/>
        <v>0</v>
      </c>
      <c r="Z96" s="116">
        <f t="shared" si="38"/>
        <v>0</v>
      </c>
      <c r="AA96" s="116">
        <f t="shared" si="39"/>
        <v>0</v>
      </c>
      <c r="AB96" s="116">
        <f t="shared" si="40"/>
        <v>0</v>
      </c>
      <c r="AC96" s="116">
        <f t="shared" si="41"/>
        <v>0</v>
      </c>
      <c r="AD96" s="116">
        <f t="shared" si="42"/>
        <v>0</v>
      </c>
      <c r="AE96" s="116">
        <f t="shared" si="43"/>
        <v>0</v>
      </c>
    </row>
    <row r="97" spans="1:31">
      <c r="A97" s="131">
        <v>42040</v>
      </c>
      <c r="B97" s="131">
        <v>42068</v>
      </c>
      <c r="C97" s="123">
        <f t="shared" si="46"/>
        <v>28</v>
      </c>
      <c r="D97" s="151">
        <v>1032.26</v>
      </c>
      <c r="E97" s="110"/>
      <c r="F97" s="123"/>
      <c r="G97" s="123">
        <v>24</v>
      </c>
      <c r="H97" s="123">
        <v>4</v>
      </c>
      <c r="I97" s="123"/>
      <c r="J97" s="123"/>
      <c r="K97" s="123"/>
      <c r="L97" s="123"/>
      <c r="M97" s="123"/>
      <c r="N97" s="123"/>
      <c r="O97" s="123"/>
      <c r="P97" s="123"/>
      <c r="Q97" s="123"/>
      <c r="R97" s="133">
        <f t="shared" si="33"/>
        <v>0</v>
      </c>
      <c r="S97" s="133"/>
      <c r="T97" s="116">
        <f t="shared" si="44"/>
        <v>0</v>
      </c>
      <c r="U97" s="116">
        <f t="shared" si="45"/>
        <v>12674.32</v>
      </c>
      <c r="V97" s="116">
        <f t="shared" si="34"/>
        <v>4091.72</v>
      </c>
      <c r="W97" s="116">
        <f t="shared" si="35"/>
        <v>0</v>
      </c>
      <c r="X97" s="116">
        <f t="shared" si="36"/>
        <v>0</v>
      </c>
      <c r="Y97" s="116">
        <f t="shared" si="37"/>
        <v>0</v>
      </c>
      <c r="Z97" s="116">
        <f t="shared" si="38"/>
        <v>0</v>
      </c>
      <c r="AA97" s="116">
        <f t="shared" si="39"/>
        <v>0</v>
      </c>
      <c r="AB97" s="116">
        <f t="shared" si="40"/>
        <v>0</v>
      </c>
      <c r="AC97" s="116">
        <f t="shared" si="41"/>
        <v>0</v>
      </c>
      <c r="AD97" s="116">
        <f t="shared" si="42"/>
        <v>0</v>
      </c>
      <c r="AE97" s="116">
        <f t="shared" si="43"/>
        <v>0</v>
      </c>
    </row>
    <row r="98" spans="1:31">
      <c r="A98" s="131">
        <v>42040</v>
      </c>
      <c r="B98" s="131">
        <v>42068</v>
      </c>
      <c r="C98" s="123">
        <f t="shared" si="46"/>
        <v>28</v>
      </c>
      <c r="D98" s="151">
        <v>1154.69</v>
      </c>
      <c r="E98" s="110"/>
      <c r="F98" s="123"/>
      <c r="G98" s="123">
        <v>24</v>
      </c>
      <c r="H98" s="123">
        <v>4</v>
      </c>
      <c r="I98" s="123"/>
      <c r="J98" s="123"/>
      <c r="K98" s="123"/>
      <c r="L98" s="123"/>
      <c r="M98" s="123"/>
      <c r="N98" s="123"/>
      <c r="O98" s="123"/>
      <c r="P98" s="123"/>
      <c r="Q98" s="123"/>
      <c r="R98" s="133">
        <f t="shared" si="33"/>
        <v>0</v>
      </c>
      <c r="S98" s="133"/>
      <c r="T98" s="116">
        <f t="shared" si="44"/>
        <v>0</v>
      </c>
      <c r="U98" s="116">
        <f t="shared" si="45"/>
        <v>14177.54</v>
      </c>
      <c r="V98" s="116">
        <f t="shared" si="34"/>
        <v>4577.0200000000004</v>
      </c>
      <c r="W98" s="116">
        <f t="shared" si="35"/>
        <v>0</v>
      </c>
      <c r="X98" s="116">
        <f t="shared" si="36"/>
        <v>0</v>
      </c>
      <c r="Y98" s="116">
        <f t="shared" si="37"/>
        <v>0</v>
      </c>
      <c r="Z98" s="116">
        <f t="shared" si="38"/>
        <v>0</v>
      </c>
      <c r="AA98" s="116">
        <f t="shared" si="39"/>
        <v>0</v>
      </c>
      <c r="AB98" s="116">
        <f t="shared" si="40"/>
        <v>0</v>
      </c>
      <c r="AC98" s="116">
        <f t="shared" si="41"/>
        <v>0</v>
      </c>
      <c r="AD98" s="116">
        <f t="shared" si="42"/>
        <v>0</v>
      </c>
      <c r="AE98" s="116">
        <f t="shared" si="43"/>
        <v>0</v>
      </c>
    </row>
    <row r="99" spans="1:31">
      <c r="A99" s="131">
        <v>42043</v>
      </c>
      <c r="B99" s="131">
        <v>42071</v>
      </c>
      <c r="C99" s="123">
        <f t="shared" si="46"/>
        <v>28</v>
      </c>
      <c r="D99" s="151">
        <v>310.31</v>
      </c>
      <c r="E99" s="110"/>
      <c r="F99" s="123"/>
      <c r="G99" s="123">
        <v>21</v>
      </c>
      <c r="H99" s="123">
        <v>7</v>
      </c>
      <c r="I99" s="123"/>
      <c r="J99" s="123"/>
      <c r="K99" s="123"/>
      <c r="L99" s="123"/>
      <c r="M99" s="123"/>
      <c r="N99" s="123"/>
      <c r="O99" s="123"/>
      <c r="P99" s="123"/>
      <c r="Q99" s="123"/>
      <c r="R99" s="133">
        <f t="shared" si="33"/>
        <v>0</v>
      </c>
      <c r="S99" s="133"/>
      <c r="T99" s="116">
        <f t="shared" si="44"/>
        <v>0</v>
      </c>
      <c r="U99" s="116">
        <f t="shared" si="45"/>
        <v>3333.8</v>
      </c>
      <c r="V99" s="116">
        <f t="shared" si="34"/>
        <v>2152.54</v>
      </c>
      <c r="W99" s="116">
        <f t="shared" si="35"/>
        <v>0</v>
      </c>
      <c r="X99" s="116">
        <f t="shared" si="36"/>
        <v>0</v>
      </c>
      <c r="Y99" s="116">
        <f t="shared" si="37"/>
        <v>0</v>
      </c>
      <c r="Z99" s="116">
        <f t="shared" si="38"/>
        <v>0</v>
      </c>
      <c r="AA99" s="116">
        <f t="shared" si="39"/>
        <v>0</v>
      </c>
      <c r="AB99" s="116">
        <f t="shared" si="40"/>
        <v>0</v>
      </c>
      <c r="AC99" s="116">
        <f t="shared" si="41"/>
        <v>0</v>
      </c>
      <c r="AD99" s="116">
        <f t="shared" si="42"/>
        <v>0</v>
      </c>
      <c r="AE99" s="116">
        <f t="shared" si="43"/>
        <v>0</v>
      </c>
    </row>
    <row r="100" spans="1:31">
      <c r="A100" s="131">
        <v>42043</v>
      </c>
      <c r="B100" s="131">
        <v>42071</v>
      </c>
      <c r="C100" s="123">
        <f t="shared" si="46"/>
        <v>28</v>
      </c>
      <c r="D100" s="151">
        <v>128.86000000000001</v>
      </c>
      <c r="E100" s="110"/>
      <c r="F100" s="123"/>
      <c r="G100" s="123">
        <v>21</v>
      </c>
      <c r="H100" s="123">
        <v>7</v>
      </c>
      <c r="I100" s="123"/>
      <c r="J100" s="123"/>
      <c r="K100" s="123"/>
      <c r="L100" s="123"/>
      <c r="M100" s="123"/>
      <c r="N100" s="123"/>
      <c r="O100" s="123"/>
      <c r="P100" s="123"/>
      <c r="Q100" s="123"/>
      <c r="R100" s="133">
        <f t="shared" si="33"/>
        <v>0</v>
      </c>
      <c r="S100" s="133"/>
      <c r="T100" s="116">
        <f t="shared" si="44"/>
        <v>0</v>
      </c>
      <c r="U100" s="116">
        <f t="shared" si="45"/>
        <v>1384.4</v>
      </c>
      <c r="V100" s="116">
        <f t="shared" si="34"/>
        <v>893.87</v>
      </c>
      <c r="W100" s="116">
        <f t="shared" si="35"/>
        <v>0</v>
      </c>
      <c r="X100" s="116">
        <f t="shared" si="36"/>
        <v>0</v>
      </c>
      <c r="Y100" s="116">
        <f t="shared" si="37"/>
        <v>0</v>
      </c>
      <c r="Z100" s="116">
        <f t="shared" si="38"/>
        <v>0</v>
      </c>
      <c r="AA100" s="116">
        <f t="shared" si="39"/>
        <v>0</v>
      </c>
      <c r="AB100" s="116">
        <f t="shared" si="40"/>
        <v>0</v>
      </c>
      <c r="AC100" s="116">
        <f t="shared" si="41"/>
        <v>0</v>
      </c>
      <c r="AD100" s="116">
        <f t="shared" si="42"/>
        <v>0</v>
      </c>
      <c r="AE100" s="116">
        <f t="shared" si="43"/>
        <v>0</v>
      </c>
    </row>
    <row r="101" spans="1:31">
      <c r="A101" s="131">
        <v>42040</v>
      </c>
      <c r="B101" s="131">
        <v>42068</v>
      </c>
      <c r="C101" s="123">
        <f t="shared" si="46"/>
        <v>28</v>
      </c>
      <c r="D101" s="151">
        <v>357.58</v>
      </c>
      <c r="E101" s="110"/>
      <c r="F101" s="123"/>
      <c r="G101" s="123">
        <v>24</v>
      </c>
      <c r="H101" s="123">
        <v>4</v>
      </c>
      <c r="I101" s="123"/>
      <c r="J101" s="123"/>
      <c r="K101" s="123"/>
      <c r="L101" s="123"/>
      <c r="M101" s="123"/>
      <c r="N101" s="123"/>
      <c r="O101" s="123"/>
      <c r="P101" s="123"/>
      <c r="Q101" s="123"/>
      <c r="R101" s="133">
        <f t="shared" si="33"/>
        <v>0</v>
      </c>
      <c r="S101" s="133"/>
      <c r="T101" s="116">
        <f t="shared" si="44"/>
        <v>0</v>
      </c>
      <c r="U101" s="116">
        <f t="shared" si="45"/>
        <v>4390.45</v>
      </c>
      <c r="V101" s="116">
        <f t="shared" si="34"/>
        <v>1417.39</v>
      </c>
      <c r="W101" s="116">
        <f t="shared" si="35"/>
        <v>0</v>
      </c>
      <c r="X101" s="116">
        <f t="shared" si="36"/>
        <v>0</v>
      </c>
      <c r="Y101" s="116">
        <f t="shared" si="37"/>
        <v>0</v>
      </c>
      <c r="Z101" s="116">
        <f t="shared" si="38"/>
        <v>0</v>
      </c>
      <c r="AA101" s="116">
        <f t="shared" si="39"/>
        <v>0</v>
      </c>
      <c r="AB101" s="116">
        <f t="shared" si="40"/>
        <v>0</v>
      </c>
      <c r="AC101" s="116">
        <f t="shared" si="41"/>
        <v>0</v>
      </c>
      <c r="AD101" s="116">
        <f t="shared" si="42"/>
        <v>0</v>
      </c>
      <c r="AE101" s="116">
        <f t="shared" si="43"/>
        <v>0</v>
      </c>
    </row>
    <row r="102" spans="1:31">
      <c r="A102" s="131">
        <v>42043</v>
      </c>
      <c r="B102" s="131">
        <v>42071</v>
      </c>
      <c r="C102" s="123">
        <f t="shared" si="46"/>
        <v>28</v>
      </c>
      <c r="D102" s="151">
        <v>694.89</v>
      </c>
      <c r="E102" s="110"/>
      <c r="F102" s="123"/>
      <c r="G102" s="123">
        <v>21</v>
      </c>
      <c r="H102" s="123">
        <v>7</v>
      </c>
      <c r="I102" s="123"/>
      <c r="J102" s="123"/>
      <c r="K102" s="123"/>
      <c r="L102" s="123"/>
      <c r="M102" s="123"/>
      <c r="N102" s="123"/>
      <c r="O102" s="123"/>
      <c r="P102" s="123"/>
      <c r="Q102" s="123"/>
      <c r="R102" s="133">
        <f t="shared" si="33"/>
        <v>0</v>
      </c>
      <c r="S102" s="133"/>
      <c r="T102" s="116">
        <f t="shared" si="44"/>
        <v>0</v>
      </c>
      <c r="U102" s="116">
        <f t="shared" si="45"/>
        <v>7465.51</v>
      </c>
      <c r="V102" s="116">
        <f t="shared" si="34"/>
        <v>4820.2700000000004</v>
      </c>
      <c r="W102" s="116">
        <f t="shared" si="35"/>
        <v>0</v>
      </c>
      <c r="X102" s="116">
        <f t="shared" si="36"/>
        <v>0</v>
      </c>
      <c r="Y102" s="116">
        <f t="shared" si="37"/>
        <v>0</v>
      </c>
      <c r="Z102" s="116">
        <f t="shared" si="38"/>
        <v>0</v>
      </c>
      <c r="AA102" s="116">
        <f t="shared" si="39"/>
        <v>0</v>
      </c>
      <c r="AB102" s="116">
        <f t="shared" si="40"/>
        <v>0</v>
      </c>
      <c r="AC102" s="116">
        <f t="shared" si="41"/>
        <v>0</v>
      </c>
      <c r="AD102" s="116">
        <f t="shared" si="42"/>
        <v>0</v>
      </c>
      <c r="AE102" s="116">
        <f t="shared" si="43"/>
        <v>0</v>
      </c>
    </row>
    <row r="103" spans="1:31">
      <c r="A103" s="131">
        <v>42047</v>
      </c>
      <c r="B103" s="131">
        <v>42075</v>
      </c>
      <c r="C103" s="123">
        <f t="shared" si="46"/>
        <v>28</v>
      </c>
      <c r="D103" s="151">
        <v>1018.3</v>
      </c>
      <c r="E103" s="110"/>
      <c r="F103" s="123"/>
      <c r="G103" s="123">
        <v>17</v>
      </c>
      <c r="H103" s="123">
        <v>11</v>
      </c>
      <c r="I103" s="123"/>
      <c r="J103" s="123"/>
      <c r="K103" s="123"/>
      <c r="L103" s="123"/>
      <c r="M103" s="123"/>
      <c r="N103" s="123"/>
      <c r="O103" s="123"/>
      <c r="P103" s="123"/>
      <c r="Q103" s="123"/>
      <c r="R103" s="133">
        <f t="shared" si="33"/>
        <v>0</v>
      </c>
      <c r="S103" s="133"/>
      <c r="T103" s="116">
        <f t="shared" si="44"/>
        <v>0</v>
      </c>
      <c r="U103" s="116">
        <f t="shared" si="45"/>
        <v>8856.23</v>
      </c>
      <c r="V103" s="116">
        <f t="shared" si="34"/>
        <v>11100.07</v>
      </c>
      <c r="W103" s="116">
        <f t="shared" si="35"/>
        <v>0</v>
      </c>
      <c r="X103" s="116">
        <f t="shared" si="36"/>
        <v>0</v>
      </c>
      <c r="Y103" s="116">
        <f t="shared" si="37"/>
        <v>0</v>
      </c>
      <c r="Z103" s="116">
        <f t="shared" si="38"/>
        <v>0</v>
      </c>
      <c r="AA103" s="116">
        <f t="shared" si="39"/>
        <v>0</v>
      </c>
      <c r="AB103" s="116">
        <f t="shared" si="40"/>
        <v>0</v>
      </c>
      <c r="AC103" s="116">
        <f t="shared" si="41"/>
        <v>0</v>
      </c>
      <c r="AD103" s="116">
        <f t="shared" si="42"/>
        <v>0</v>
      </c>
      <c r="AE103" s="116">
        <f t="shared" si="43"/>
        <v>0</v>
      </c>
    </row>
    <row r="104" spans="1:31">
      <c r="A104" s="131">
        <v>42047</v>
      </c>
      <c r="B104" s="131">
        <v>42075</v>
      </c>
      <c r="C104" s="123">
        <f t="shared" si="46"/>
        <v>28</v>
      </c>
      <c r="D104" s="151">
        <v>847.37</v>
      </c>
      <c r="E104" s="110"/>
      <c r="F104" s="123"/>
      <c r="G104" s="123">
        <v>17</v>
      </c>
      <c r="H104" s="123">
        <v>11</v>
      </c>
      <c r="I104" s="123"/>
      <c r="J104" s="123"/>
      <c r="K104" s="123"/>
      <c r="L104" s="123"/>
      <c r="M104" s="123"/>
      <c r="N104" s="123"/>
      <c r="O104" s="123"/>
      <c r="P104" s="123"/>
      <c r="Q104" s="123"/>
      <c r="R104" s="133">
        <f t="shared" si="33"/>
        <v>0</v>
      </c>
      <c r="S104" s="133"/>
      <c r="T104" s="116">
        <f t="shared" si="44"/>
        <v>0</v>
      </c>
      <c r="U104" s="116">
        <f t="shared" si="45"/>
        <v>7369.64</v>
      </c>
      <c r="V104" s="116">
        <f t="shared" si="34"/>
        <v>9236.83</v>
      </c>
      <c r="W104" s="116">
        <f t="shared" si="35"/>
        <v>0</v>
      </c>
      <c r="X104" s="116">
        <f t="shared" si="36"/>
        <v>0</v>
      </c>
      <c r="Y104" s="116">
        <f t="shared" si="37"/>
        <v>0</v>
      </c>
      <c r="Z104" s="116">
        <f t="shared" si="38"/>
        <v>0</v>
      </c>
      <c r="AA104" s="116">
        <f t="shared" si="39"/>
        <v>0</v>
      </c>
      <c r="AB104" s="116">
        <f t="shared" si="40"/>
        <v>0</v>
      </c>
      <c r="AC104" s="116">
        <f t="shared" si="41"/>
        <v>0</v>
      </c>
      <c r="AD104" s="116">
        <f t="shared" si="42"/>
        <v>0</v>
      </c>
      <c r="AE104" s="116">
        <f t="shared" si="43"/>
        <v>0</v>
      </c>
    </row>
    <row r="105" spans="1:31" ht="15.75" thickBot="1">
      <c r="A105" s="131">
        <v>42047</v>
      </c>
      <c r="B105" s="131">
        <v>42075</v>
      </c>
      <c r="C105" s="123">
        <f t="shared" si="46"/>
        <v>28</v>
      </c>
      <c r="D105" s="151">
        <v>192.78</v>
      </c>
      <c r="E105" s="110"/>
      <c r="F105" s="123"/>
      <c r="G105" s="123">
        <v>17</v>
      </c>
      <c r="H105" s="123">
        <v>11</v>
      </c>
      <c r="I105" s="123"/>
      <c r="J105" s="123"/>
      <c r="K105" s="123"/>
      <c r="L105" s="123"/>
      <c r="M105" s="123"/>
      <c r="N105" s="123"/>
      <c r="O105" s="123"/>
      <c r="P105" s="123"/>
      <c r="Q105" s="123"/>
      <c r="R105" s="133">
        <f t="shared" si="33"/>
        <v>0</v>
      </c>
      <c r="S105" s="133"/>
      <c r="T105" s="116">
        <f t="shared" si="44"/>
        <v>0</v>
      </c>
      <c r="U105" s="116">
        <f t="shared" si="45"/>
        <v>1676.62</v>
      </c>
      <c r="V105" s="116">
        <f t="shared" si="34"/>
        <v>2101.42</v>
      </c>
      <c r="W105" s="116">
        <f t="shared" si="35"/>
        <v>0</v>
      </c>
      <c r="X105" s="116">
        <f t="shared" si="36"/>
        <v>0</v>
      </c>
      <c r="Y105" s="116">
        <f t="shared" si="37"/>
        <v>0</v>
      </c>
      <c r="Z105" s="116">
        <f t="shared" si="38"/>
        <v>0</v>
      </c>
      <c r="AA105" s="116">
        <f t="shared" si="39"/>
        <v>0</v>
      </c>
      <c r="AB105" s="116">
        <f t="shared" si="40"/>
        <v>0</v>
      </c>
      <c r="AC105" s="116">
        <f t="shared" si="41"/>
        <v>0</v>
      </c>
      <c r="AD105" s="116">
        <f t="shared" si="42"/>
        <v>0</v>
      </c>
      <c r="AE105" s="116">
        <f t="shared" si="43"/>
        <v>0</v>
      </c>
    </row>
    <row r="106" spans="1:31" ht="15.75" thickBot="1">
      <c r="A106" s="194" t="s">
        <v>38</v>
      </c>
      <c r="B106" s="195"/>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6"/>
    </row>
    <row r="107" spans="1:31">
      <c r="A107" s="131">
        <v>42050</v>
      </c>
      <c r="B107" s="131">
        <v>42078</v>
      </c>
      <c r="C107" s="123">
        <f t="shared" si="46"/>
        <v>28</v>
      </c>
      <c r="D107" s="151">
        <v>4280.6000000000004</v>
      </c>
      <c r="E107" s="110"/>
      <c r="F107" s="123"/>
      <c r="G107" s="123">
        <v>14</v>
      </c>
      <c r="H107" s="123">
        <v>14</v>
      </c>
      <c r="I107" s="123"/>
      <c r="J107" s="123"/>
      <c r="K107" s="123"/>
      <c r="L107" s="123"/>
      <c r="M107" s="123"/>
      <c r="N107" s="123"/>
      <c r="O107" s="123"/>
      <c r="P107" s="123"/>
      <c r="Q107" s="123"/>
      <c r="R107" s="133">
        <f t="shared" si="33"/>
        <v>0</v>
      </c>
      <c r="S107" s="133"/>
      <c r="T107" s="116">
        <f t="shared" ref="T107:T146" si="47">ROUND((D107*F107/C107)/$C$6,2)</f>
        <v>0</v>
      </c>
      <c r="U107" s="116">
        <v>36767.800000000003</v>
      </c>
      <c r="V107" s="116">
        <v>42020.35</v>
      </c>
      <c r="W107" s="116">
        <f t="shared" ref="W107:W146" si="48">ROUND(($D107*$I107/$C107)/$C$9,2)</f>
        <v>0</v>
      </c>
      <c r="X107" s="116">
        <f t="shared" ref="X107:X146" si="49">ROUND(($D107*$J107/$C107)/$C$10,2)</f>
        <v>0</v>
      </c>
      <c r="Y107" s="116">
        <f t="shared" ref="Y107:Y146" si="50">ROUND(($D107*$K107/$C107)/$C$11,2)</f>
        <v>0</v>
      </c>
      <c r="Z107" s="116">
        <f t="shared" ref="Z107:Z146" si="51">ROUND(($D107*$L107/$C107)/$C$12,2)</f>
        <v>0</v>
      </c>
      <c r="AA107" s="116">
        <f t="shared" ref="AA107:AA146" si="52">ROUND(($D107*$M107/$C107)/$C$13,2)</f>
        <v>0</v>
      </c>
      <c r="AB107" s="116">
        <f t="shared" ref="AB107:AB146" si="53">ROUND(($D107*$N107/$C107)/$C$14,2)</f>
        <v>0</v>
      </c>
      <c r="AC107" s="116">
        <f t="shared" ref="AC107:AC146" si="54">ROUND(($D107*$O107/$C107)/$C$15,2)</f>
        <v>0</v>
      </c>
      <c r="AD107" s="116">
        <f t="shared" ref="AD107:AD146" si="55">ROUND(($D107*$P107/$C107)/$C$16,2)</f>
        <v>0</v>
      </c>
      <c r="AE107" s="116">
        <f t="shared" ref="AE107:AE146" si="56">ROUND(($D107*$Q107/$C107)/$C$17,2)</f>
        <v>0</v>
      </c>
    </row>
    <row r="108" spans="1:31">
      <c r="A108" s="131">
        <v>42050</v>
      </c>
      <c r="B108" s="131">
        <v>42078</v>
      </c>
      <c r="C108" s="123">
        <f t="shared" si="46"/>
        <v>28</v>
      </c>
      <c r="D108" s="151">
        <v>21799.57</v>
      </c>
      <c r="E108" s="110"/>
      <c r="F108" s="123"/>
      <c r="G108" s="123">
        <v>14</v>
      </c>
      <c r="H108" s="123">
        <v>14</v>
      </c>
      <c r="I108" s="123"/>
      <c r="J108" s="123"/>
      <c r="K108" s="123"/>
      <c r="L108" s="123"/>
      <c r="M108" s="123"/>
      <c r="N108" s="123"/>
      <c r="O108" s="123"/>
      <c r="P108" s="123"/>
      <c r="Q108" s="123"/>
      <c r="R108" s="133">
        <f t="shared" si="33"/>
        <v>0</v>
      </c>
      <c r="S108" s="133"/>
      <c r="T108" s="116">
        <f t="shared" si="47"/>
        <v>0</v>
      </c>
      <c r="U108" s="116">
        <v>187245.32</v>
      </c>
      <c r="V108" s="116">
        <v>213994.65</v>
      </c>
      <c r="W108" s="116">
        <f t="shared" si="48"/>
        <v>0</v>
      </c>
      <c r="X108" s="116">
        <f t="shared" si="49"/>
        <v>0</v>
      </c>
      <c r="Y108" s="116">
        <f t="shared" si="50"/>
        <v>0</v>
      </c>
      <c r="Z108" s="116">
        <f t="shared" si="51"/>
        <v>0</v>
      </c>
      <c r="AA108" s="116">
        <f t="shared" si="52"/>
        <v>0</v>
      </c>
      <c r="AB108" s="116">
        <f t="shared" si="53"/>
        <v>0</v>
      </c>
      <c r="AC108" s="116">
        <f t="shared" si="54"/>
        <v>0</v>
      </c>
      <c r="AD108" s="116">
        <f t="shared" si="55"/>
        <v>0</v>
      </c>
      <c r="AE108" s="116">
        <f t="shared" si="56"/>
        <v>0</v>
      </c>
    </row>
    <row r="109" spans="1:31">
      <c r="A109" s="131">
        <v>42050</v>
      </c>
      <c r="B109" s="131">
        <v>42078</v>
      </c>
      <c r="C109" s="123">
        <f t="shared" si="46"/>
        <v>28</v>
      </c>
      <c r="D109" s="151">
        <v>1983.82</v>
      </c>
      <c r="E109" s="110"/>
      <c r="F109" s="123"/>
      <c r="G109" s="123">
        <v>14</v>
      </c>
      <c r="H109" s="123">
        <v>14</v>
      </c>
      <c r="I109" s="123"/>
      <c r="J109" s="123"/>
      <c r="K109" s="123"/>
      <c r="L109" s="123"/>
      <c r="M109" s="123"/>
      <c r="N109" s="123"/>
      <c r="O109" s="123"/>
      <c r="P109" s="123"/>
      <c r="Q109" s="123"/>
      <c r="R109" s="133">
        <f t="shared" si="33"/>
        <v>0</v>
      </c>
      <c r="S109" s="133"/>
      <c r="T109" s="116">
        <f t="shared" si="47"/>
        <v>0</v>
      </c>
      <c r="U109" s="116">
        <v>17039.830000000002</v>
      </c>
      <c r="V109" s="116">
        <v>19474.09</v>
      </c>
      <c r="W109" s="116">
        <f t="shared" si="48"/>
        <v>0</v>
      </c>
      <c r="X109" s="116">
        <f t="shared" si="49"/>
        <v>0</v>
      </c>
      <c r="Y109" s="116">
        <f t="shared" si="50"/>
        <v>0</v>
      </c>
      <c r="Z109" s="116">
        <f t="shared" si="51"/>
        <v>0</v>
      </c>
      <c r="AA109" s="116">
        <f t="shared" si="52"/>
        <v>0</v>
      </c>
      <c r="AB109" s="116">
        <f t="shared" si="53"/>
        <v>0</v>
      </c>
      <c r="AC109" s="116">
        <f t="shared" si="54"/>
        <v>0</v>
      </c>
      <c r="AD109" s="116">
        <f t="shared" si="55"/>
        <v>0</v>
      </c>
      <c r="AE109" s="116">
        <f t="shared" si="56"/>
        <v>0</v>
      </c>
    </row>
    <row r="110" spans="1:31">
      <c r="A110" s="131">
        <v>42050</v>
      </c>
      <c r="B110" s="131">
        <v>42078</v>
      </c>
      <c r="C110" s="123">
        <f t="shared" si="46"/>
        <v>28</v>
      </c>
      <c r="D110" s="151">
        <v>830.48</v>
      </c>
      <c r="E110" s="110"/>
      <c r="F110" s="123"/>
      <c r="G110" s="123">
        <v>14</v>
      </c>
      <c r="H110" s="123">
        <v>14</v>
      </c>
      <c r="I110" s="123"/>
      <c r="J110" s="123"/>
      <c r="K110" s="123"/>
      <c r="L110" s="123"/>
      <c r="M110" s="123"/>
      <c r="N110" s="123"/>
      <c r="O110" s="123"/>
      <c r="P110" s="123"/>
      <c r="Q110" s="123"/>
      <c r="R110" s="133">
        <f t="shared" si="33"/>
        <v>0</v>
      </c>
      <c r="S110" s="133"/>
      <c r="T110" s="116">
        <f t="shared" si="47"/>
        <v>0</v>
      </c>
      <c r="U110" s="116">
        <v>7133.33</v>
      </c>
      <c r="V110" s="116">
        <v>8152.38</v>
      </c>
      <c r="W110" s="116">
        <f t="shared" si="48"/>
        <v>0</v>
      </c>
      <c r="X110" s="116">
        <f t="shared" si="49"/>
        <v>0</v>
      </c>
      <c r="Y110" s="116">
        <f t="shared" si="50"/>
        <v>0</v>
      </c>
      <c r="Z110" s="116">
        <f t="shared" si="51"/>
        <v>0</v>
      </c>
      <c r="AA110" s="116">
        <f t="shared" si="52"/>
        <v>0</v>
      </c>
      <c r="AB110" s="116">
        <f t="shared" si="53"/>
        <v>0</v>
      </c>
      <c r="AC110" s="116">
        <f t="shared" si="54"/>
        <v>0</v>
      </c>
      <c r="AD110" s="116">
        <f t="shared" si="55"/>
        <v>0</v>
      </c>
      <c r="AE110" s="116">
        <f t="shared" si="56"/>
        <v>0</v>
      </c>
    </row>
    <row r="111" spans="1:31">
      <c r="A111" s="131">
        <v>42054</v>
      </c>
      <c r="B111" s="131">
        <v>42082</v>
      </c>
      <c r="C111" s="123">
        <f t="shared" si="46"/>
        <v>28</v>
      </c>
      <c r="D111" s="151">
        <v>354.38</v>
      </c>
      <c r="E111" s="110"/>
      <c r="F111" s="123"/>
      <c r="G111" s="123">
        <v>10</v>
      </c>
      <c r="H111" s="123">
        <v>18</v>
      </c>
      <c r="I111" s="123"/>
      <c r="J111" s="123"/>
      <c r="K111" s="123"/>
      <c r="L111" s="123"/>
      <c r="M111" s="123"/>
      <c r="N111" s="123"/>
      <c r="O111" s="123"/>
      <c r="P111" s="123"/>
      <c r="Q111" s="123"/>
      <c r="R111" s="133">
        <f t="shared" si="33"/>
        <v>0</v>
      </c>
      <c r="S111" s="133"/>
      <c r="T111" s="116">
        <f t="shared" si="47"/>
        <v>0</v>
      </c>
      <c r="U111" s="116">
        <f>ROUND(($D111*$G111/$C111)/$C$7,2)</f>
        <v>1812.98</v>
      </c>
      <c r="V111" s="116">
        <f>ROUND(($D111*$H111/$C111)/$C$8,2)</f>
        <v>6321.19</v>
      </c>
      <c r="W111" s="116">
        <f t="shared" si="48"/>
        <v>0</v>
      </c>
      <c r="X111" s="116">
        <f t="shared" si="49"/>
        <v>0</v>
      </c>
      <c r="Y111" s="116">
        <f t="shared" si="50"/>
        <v>0</v>
      </c>
      <c r="Z111" s="116">
        <f t="shared" si="51"/>
        <v>0</v>
      </c>
      <c r="AA111" s="116">
        <f t="shared" si="52"/>
        <v>0</v>
      </c>
      <c r="AB111" s="116">
        <f t="shared" si="53"/>
        <v>0</v>
      </c>
      <c r="AC111" s="116">
        <f t="shared" si="54"/>
        <v>0</v>
      </c>
      <c r="AD111" s="116">
        <f t="shared" si="55"/>
        <v>0</v>
      </c>
      <c r="AE111" s="116">
        <f t="shared" si="56"/>
        <v>0</v>
      </c>
    </row>
    <row r="112" spans="1:31">
      <c r="A112" s="131">
        <v>42054</v>
      </c>
      <c r="B112" s="131">
        <v>42082</v>
      </c>
      <c r="C112" s="123">
        <f t="shared" si="46"/>
        <v>28</v>
      </c>
      <c r="D112" s="151">
        <v>166.22</v>
      </c>
      <c r="E112" s="110"/>
      <c r="F112" s="123"/>
      <c r="G112" s="123">
        <v>10</v>
      </c>
      <c r="H112" s="123">
        <v>18</v>
      </c>
      <c r="I112" s="123"/>
      <c r="J112" s="123"/>
      <c r="K112" s="123"/>
      <c r="L112" s="123"/>
      <c r="M112" s="123"/>
      <c r="N112" s="123"/>
      <c r="O112" s="123"/>
      <c r="P112" s="123"/>
      <c r="Q112" s="123"/>
      <c r="R112" s="133">
        <f t="shared" si="33"/>
        <v>0</v>
      </c>
      <c r="S112" s="133"/>
      <c r="T112" s="116">
        <f t="shared" si="47"/>
        <v>0</v>
      </c>
      <c r="U112" s="116">
        <f>ROUND(($D112*$G112/$C112)/$C$7,2)</f>
        <v>850.37</v>
      </c>
      <c r="V112" s="116">
        <f>ROUND(($D112*$H112/$C112)/$C$8,2)</f>
        <v>2964.92</v>
      </c>
      <c r="W112" s="116">
        <f t="shared" si="48"/>
        <v>0</v>
      </c>
      <c r="X112" s="116">
        <f t="shared" si="49"/>
        <v>0</v>
      </c>
      <c r="Y112" s="116">
        <f t="shared" si="50"/>
        <v>0</v>
      </c>
      <c r="Z112" s="116">
        <f t="shared" si="51"/>
        <v>0</v>
      </c>
      <c r="AA112" s="116">
        <f t="shared" si="52"/>
        <v>0</v>
      </c>
      <c r="AB112" s="116">
        <f t="shared" si="53"/>
        <v>0</v>
      </c>
      <c r="AC112" s="116">
        <f t="shared" si="54"/>
        <v>0</v>
      </c>
      <c r="AD112" s="116">
        <f t="shared" si="55"/>
        <v>0</v>
      </c>
      <c r="AE112" s="116">
        <f t="shared" si="56"/>
        <v>0</v>
      </c>
    </row>
    <row r="113" spans="1:31">
      <c r="A113" s="131">
        <v>42054</v>
      </c>
      <c r="B113" s="131">
        <v>42082</v>
      </c>
      <c r="C113" s="123">
        <f t="shared" si="46"/>
        <v>28</v>
      </c>
      <c r="D113" s="151">
        <v>1142.44</v>
      </c>
      <c r="E113" s="110"/>
      <c r="F113" s="123"/>
      <c r="G113" s="123">
        <v>10</v>
      </c>
      <c r="H113" s="123">
        <v>18</v>
      </c>
      <c r="I113" s="123"/>
      <c r="J113" s="123"/>
      <c r="K113" s="123"/>
      <c r="L113" s="123"/>
      <c r="M113" s="123"/>
      <c r="N113" s="123"/>
      <c r="O113" s="123"/>
      <c r="P113" s="123"/>
      <c r="Q113" s="123"/>
      <c r="R113" s="133">
        <f t="shared" si="33"/>
        <v>0</v>
      </c>
      <c r="S113" s="133"/>
      <c r="T113" s="116">
        <f t="shared" si="47"/>
        <v>0</v>
      </c>
      <c r="U113" s="116">
        <f>ROUND(($D113*$G113/$C113)/$C$7,2)</f>
        <v>5844.64</v>
      </c>
      <c r="V113" s="116">
        <f>ROUND(($D113*$H113/$C113)/$C$8,2)</f>
        <v>20378.07</v>
      </c>
      <c r="W113" s="116">
        <f t="shared" si="48"/>
        <v>0</v>
      </c>
      <c r="X113" s="116">
        <f t="shared" si="49"/>
        <v>0</v>
      </c>
      <c r="Y113" s="116">
        <f t="shared" si="50"/>
        <v>0</v>
      </c>
      <c r="Z113" s="116">
        <f t="shared" si="51"/>
        <v>0</v>
      </c>
      <c r="AA113" s="116">
        <f t="shared" si="52"/>
        <v>0</v>
      </c>
      <c r="AB113" s="116">
        <f t="shared" si="53"/>
        <v>0</v>
      </c>
      <c r="AC113" s="116">
        <f t="shared" si="54"/>
        <v>0</v>
      </c>
      <c r="AD113" s="116">
        <f t="shared" si="55"/>
        <v>0</v>
      </c>
      <c r="AE113" s="116">
        <f t="shared" si="56"/>
        <v>0</v>
      </c>
    </row>
    <row r="114" spans="1:31">
      <c r="A114" s="131">
        <v>42036</v>
      </c>
      <c r="B114" s="131">
        <v>42064</v>
      </c>
      <c r="C114" s="123">
        <f t="shared" si="46"/>
        <v>28</v>
      </c>
      <c r="D114" s="151">
        <v>68.47</v>
      </c>
      <c r="E114" s="110"/>
      <c r="F114" s="123"/>
      <c r="G114" s="123">
        <v>28</v>
      </c>
      <c r="H114" s="123"/>
      <c r="I114" s="123"/>
      <c r="J114" s="123"/>
      <c r="K114" s="123"/>
      <c r="L114" s="123"/>
      <c r="M114" s="123"/>
      <c r="N114" s="123"/>
      <c r="O114" s="123"/>
      <c r="P114" s="123"/>
      <c r="Q114" s="123"/>
      <c r="R114" s="133">
        <f t="shared" si="33"/>
        <v>0</v>
      </c>
      <c r="S114" s="133"/>
      <c r="T114" s="116">
        <f t="shared" si="47"/>
        <v>0</v>
      </c>
      <c r="U114" s="116">
        <f>ROUND(($D114*$G114/$C114)/$C$7,2)</f>
        <v>980.81</v>
      </c>
      <c r="V114" s="116">
        <f>ROUND(($D114*$H114/$C114)/$C$8,2)</f>
        <v>0</v>
      </c>
      <c r="W114" s="116">
        <f t="shared" si="48"/>
        <v>0</v>
      </c>
      <c r="X114" s="116">
        <f t="shared" si="49"/>
        <v>0</v>
      </c>
      <c r="Y114" s="116">
        <f t="shared" si="50"/>
        <v>0</v>
      </c>
      <c r="Z114" s="116">
        <f t="shared" si="51"/>
        <v>0</v>
      </c>
      <c r="AA114" s="116">
        <f t="shared" si="52"/>
        <v>0</v>
      </c>
      <c r="AB114" s="116">
        <f t="shared" si="53"/>
        <v>0</v>
      </c>
      <c r="AC114" s="116">
        <f t="shared" si="54"/>
        <v>0</v>
      </c>
      <c r="AD114" s="116">
        <f t="shared" si="55"/>
        <v>0</v>
      </c>
      <c r="AE114" s="116">
        <f t="shared" si="56"/>
        <v>0</v>
      </c>
    </row>
    <row r="115" spans="1:31">
      <c r="A115" s="131">
        <v>42057</v>
      </c>
      <c r="B115" s="131">
        <v>42085</v>
      </c>
      <c r="C115" s="123">
        <f t="shared" si="46"/>
        <v>28</v>
      </c>
      <c r="D115" s="151">
        <v>118428.3</v>
      </c>
      <c r="E115" s="110"/>
      <c r="F115" s="123"/>
      <c r="G115" s="123">
        <v>7</v>
      </c>
      <c r="H115" s="123">
        <v>21</v>
      </c>
      <c r="I115" s="123"/>
      <c r="J115" s="123"/>
      <c r="K115" s="123"/>
      <c r="L115" s="123"/>
      <c r="M115" s="123"/>
      <c r="N115" s="123"/>
      <c r="O115" s="123"/>
      <c r="P115" s="123"/>
      <c r="Q115" s="123"/>
      <c r="R115" s="133">
        <v>118428.3</v>
      </c>
      <c r="S115" s="133"/>
      <c r="T115" s="116">
        <f t="shared" si="47"/>
        <v>0</v>
      </c>
      <c r="U115" s="116">
        <v>596110.34</v>
      </c>
      <c r="V115" s="116">
        <v>1958648.28</v>
      </c>
      <c r="W115" s="116">
        <f t="shared" si="48"/>
        <v>0</v>
      </c>
      <c r="X115" s="116">
        <f t="shared" si="49"/>
        <v>0</v>
      </c>
      <c r="Y115" s="116">
        <f t="shared" si="50"/>
        <v>0</v>
      </c>
      <c r="Z115" s="116">
        <f t="shared" si="51"/>
        <v>0</v>
      </c>
      <c r="AA115" s="116">
        <f t="shared" si="52"/>
        <v>0</v>
      </c>
      <c r="AB115" s="116">
        <f t="shared" si="53"/>
        <v>0</v>
      </c>
      <c r="AC115" s="116">
        <f t="shared" si="54"/>
        <v>0</v>
      </c>
      <c r="AD115" s="116">
        <f t="shared" si="55"/>
        <v>0</v>
      </c>
      <c r="AE115" s="116">
        <f t="shared" si="56"/>
        <v>0</v>
      </c>
    </row>
    <row r="116" spans="1:31">
      <c r="A116" s="131">
        <v>42057</v>
      </c>
      <c r="B116" s="131">
        <v>42083</v>
      </c>
      <c r="C116" s="123">
        <f t="shared" si="46"/>
        <v>26</v>
      </c>
      <c r="D116" s="151">
        <v>621.29999999999995</v>
      </c>
      <c r="E116" s="110"/>
      <c r="F116" s="123"/>
      <c r="G116" s="123">
        <v>7</v>
      </c>
      <c r="H116" s="123">
        <v>19</v>
      </c>
      <c r="I116" s="123"/>
      <c r="J116" s="123"/>
      <c r="K116" s="123"/>
      <c r="L116" s="123"/>
      <c r="M116" s="123"/>
      <c r="N116" s="123"/>
      <c r="O116" s="123"/>
      <c r="P116" s="123"/>
      <c r="Q116" s="123"/>
      <c r="R116" s="133">
        <v>621.29999999999995</v>
      </c>
      <c r="S116" s="133"/>
      <c r="T116" s="116">
        <f t="shared" si="47"/>
        <v>0</v>
      </c>
      <c r="U116" s="116">
        <f>13583.95-V116</f>
        <v>3657.2200000000012</v>
      </c>
      <c r="V116" s="116">
        <v>9926.73</v>
      </c>
      <c r="W116" s="116">
        <f t="shared" si="48"/>
        <v>0</v>
      </c>
      <c r="X116" s="116">
        <f t="shared" si="49"/>
        <v>0</v>
      </c>
      <c r="Y116" s="116">
        <f t="shared" si="50"/>
        <v>0</v>
      </c>
      <c r="Z116" s="116">
        <f t="shared" si="51"/>
        <v>0</v>
      </c>
      <c r="AA116" s="116">
        <f t="shared" si="52"/>
        <v>0</v>
      </c>
      <c r="AB116" s="116">
        <f t="shared" si="53"/>
        <v>0</v>
      </c>
      <c r="AC116" s="116">
        <f t="shared" si="54"/>
        <v>0</v>
      </c>
      <c r="AD116" s="116">
        <f t="shared" si="55"/>
        <v>0</v>
      </c>
      <c r="AE116" s="116">
        <f t="shared" si="56"/>
        <v>0</v>
      </c>
    </row>
    <row r="117" spans="1:31">
      <c r="A117" s="131">
        <v>42061</v>
      </c>
      <c r="B117" s="131">
        <v>42089</v>
      </c>
      <c r="C117" s="123">
        <f t="shared" si="46"/>
        <v>28</v>
      </c>
      <c r="D117" s="151">
        <v>995.59</v>
      </c>
      <c r="E117" s="110"/>
      <c r="F117" s="123"/>
      <c r="G117" s="123">
        <v>3</v>
      </c>
      <c r="H117" s="123">
        <v>25</v>
      </c>
      <c r="I117" s="123"/>
      <c r="J117" s="123"/>
      <c r="K117" s="123"/>
      <c r="L117" s="123"/>
      <c r="M117" s="123"/>
      <c r="N117" s="123"/>
      <c r="O117" s="123"/>
      <c r="P117" s="123"/>
      <c r="Q117" s="123"/>
      <c r="R117" s="133">
        <f t="shared" si="33"/>
        <v>0</v>
      </c>
      <c r="S117" s="133"/>
      <c r="T117" s="116">
        <f t="shared" si="47"/>
        <v>0</v>
      </c>
      <c r="U117" s="116">
        <f>ROUND(($D117*$G117/$C117)/$C$7,2)</f>
        <v>1528.01</v>
      </c>
      <c r="V117" s="116">
        <f>ROUND(($D117*$H117/$C117)/$C$8,2)</f>
        <v>24664.81</v>
      </c>
      <c r="W117" s="116">
        <f t="shared" si="48"/>
        <v>0</v>
      </c>
      <c r="X117" s="116">
        <f t="shared" si="49"/>
        <v>0</v>
      </c>
      <c r="Y117" s="116">
        <f t="shared" si="50"/>
        <v>0</v>
      </c>
      <c r="Z117" s="116">
        <f t="shared" si="51"/>
        <v>0</v>
      </c>
      <c r="AA117" s="116">
        <f t="shared" si="52"/>
        <v>0</v>
      </c>
      <c r="AB117" s="116">
        <f t="shared" si="53"/>
        <v>0</v>
      </c>
      <c r="AC117" s="116">
        <f t="shared" si="54"/>
        <v>0</v>
      </c>
      <c r="AD117" s="116">
        <f t="shared" si="55"/>
        <v>0</v>
      </c>
      <c r="AE117" s="116">
        <f t="shared" si="56"/>
        <v>0</v>
      </c>
    </row>
    <row r="118" spans="1:31">
      <c r="A118" s="131">
        <v>42061</v>
      </c>
      <c r="B118" s="131">
        <v>42089</v>
      </c>
      <c r="C118" s="123">
        <f t="shared" si="46"/>
        <v>28</v>
      </c>
      <c r="D118" s="151">
        <v>509.32</v>
      </c>
      <c r="E118" s="110"/>
      <c r="F118" s="123"/>
      <c r="G118" s="123">
        <v>3</v>
      </c>
      <c r="H118" s="123">
        <v>25</v>
      </c>
      <c r="I118" s="123"/>
      <c r="J118" s="123"/>
      <c r="K118" s="123"/>
      <c r="L118" s="123"/>
      <c r="M118" s="123"/>
      <c r="N118" s="123"/>
      <c r="O118" s="123"/>
      <c r="P118" s="123"/>
      <c r="Q118" s="123"/>
      <c r="R118" s="133">
        <f t="shared" si="33"/>
        <v>0</v>
      </c>
      <c r="S118" s="133"/>
      <c r="T118" s="116">
        <f t="shared" si="47"/>
        <v>0</v>
      </c>
      <c r="U118" s="116">
        <f>ROUND(($D118*$G118/$C118)/$C$7,2)</f>
        <v>781.69</v>
      </c>
      <c r="V118" s="116">
        <f>ROUND(($D118*$H118/$C118)/$C$8,2)</f>
        <v>12617.92</v>
      </c>
      <c r="W118" s="116">
        <f t="shared" si="48"/>
        <v>0</v>
      </c>
      <c r="X118" s="116">
        <f t="shared" si="49"/>
        <v>0</v>
      </c>
      <c r="Y118" s="116">
        <f t="shared" si="50"/>
        <v>0</v>
      </c>
      <c r="Z118" s="116">
        <f t="shared" si="51"/>
        <v>0</v>
      </c>
      <c r="AA118" s="116">
        <f t="shared" si="52"/>
        <v>0</v>
      </c>
      <c r="AB118" s="116">
        <f t="shared" si="53"/>
        <v>0</v>
      </c>
      <c r="AC118" s="116">
        <f t="shared" si="54"/>
        <v>0</v>
      </c>
      <c r="AD118" s="116">
        <f t="shared" si="55"/>
        <v>0</v>
      </c>
      <c r="AE118" s="116">
        <f t="shared" si="56"/>
        <v>0</v>
      </c>
    </row>
    <row r="119" spans="1:31">
      <c r="A119" s="131">
        <v>42057</v>
      </c>
      <c r="B119" s="131">
        <v>42081</v>
      </c>
      <c r="C119" s="123">
        <f t="shared" si="46"/>
        <v>24</v>
      </c>
      <c r="D119" s="151">
        <v>1165.8499999999999</v>
      </c>
      <c r="E119" s="110"/>
      <c r="F119" s="123"/>
      <c r="G119" s="123">
        <v>7</v>
      </c>
      <c r="H119" s="123">
        <v>17</v>
      </c>
      <c r="I119" s="123"/>
      <c r="J119" s="123"/>
      <c r="K119" s="123"/>
      <c r="L119" s="123"/>
      <c r="M119" s="123"/>
      <c r="N119" s="123"/>
      <c r="O119" s="123"/>
      <c r="P119" s="123"/>
      <c r="Q119" s="123"/>
      <c r="R119" s="133">
        <f t="shared" si="33"/>
        <v>0</v>
      </c>
      <c r="S119" s="133"/>
      <c r="T119" s="116">
        <f t="shared" si="47"/>
        <v>0</v>
      </c>
      <c r="U119" s="116">
        <f>25117.67-V119</f>
        <v>7325.989999999998</v>
      </c>
      <c r="V119" s="116">
        <v>17791.68</v>
      </c>
      <c r="W119" s="116">
        <f t="shared" si="48"/>
        <v>0</v>
      </c>
      <c r="X119" s="116">
        <f t="shared" si="49"/>
        <v>0</v>
      </c>
      <c r="Y119" s="116">
        <f t="shared" si="50"/>
        <v>0</v>
      </c>
      <c r="Z119" s="116">
        <f t="shared" si="51"/>
        <v>0</v>
      </c>
      <c r="AA119" s="116">
        <f t="shared" si="52"/>
        <v>0</v>
      </c>
      <c r="AB119" s="116">
        <f t="shared" si="53"/>
        <v>0</v>
      </c>
      <c r="AC119" s="116">
        <f t="shared" si="54"/>
        <v>0</v>
      </c>
      <c r="AD119" s="116">
        <f t="shared" si="55"/>
        <v>0</v>
      </c>
      <c r="AE119" s="116">
        <f t="shared" si="56"/>
        <v>0</v>
      </c>
    </row>
    <row r="120" spans="1:31">
      <c r="A120" s="131">
        <v>42061</v>
      </c>
      <c r="B120" s="131">
        <v>42087</v>
      </c>
      <c r="C120" s="123">
        <f t="shared" si="46"/>
        <v>26</v>
      </c>
      <c r="D120" s="151">
        <v>12.15</v>
      </c>
      <c r="E120" s="110"/>
      <c r="F120" s="123"/>
      <c r="G120" s="123">
        <v>3</v>
      </c>
      <c r="H120" s="123">
        <v>23</v>
      </c>
      <c r="I120" s="123"/>
      <c r="J120" s="123"/>
      <c r="K120" s="123"/>
      <c r="L120" s="123"/>
      <c r="M120" s="123"/>
      <c r="N120" s="123"/>
      <c r="O120" s="123"/>
      <c r="P120" s="123"/>
      <c r="Q120" s="123"/>
      <c r="R120" s="133">
        <f t="shared" si="33"/>
        <v>0</v>
      </c>
      <c r="S120" s="133"/>
      <c r="T120" s="116">
        <f t="shared" si="47"/>
        <v>0</v>
      </c>
      <c r="U120" s="116">
        <f>ROUND(($D120*$G120/$C120)/$C$7,2)</f>
        <v>20.079999999999998</v>
      </c>
      <c r="V120" s="116">
        <f>ROUND(($D120*$H120/$C120)/$C$8,2)</f>
        <v>298.23</v>
      </c>
      <c r="W120" s="116">
        <f t="shared" si="48"/>
        <v>0</v>
      </c>
      <c r="X120" s="116">
        <f t="shared" si="49"/>
        <v>0</v>
      </c>
      <c r="Y120" s="116">
        <f t="shared" si="50"/>
        <v>0</v>
      </c>
      <c r="Z120" s="116">
        <f t="shared" si="51"/>
        <v>0</v>
      </c>
      <c r="AA120" s="116">
        <f t="shared" si="52"/>
        <v>0</v>
      </c>
      <c r="AB120" s="116">
        <f t="shared" si="53"/>
        <v>0</v>
      </c>
      <c r="AC120" s="116">
        <f t="shared" si="54"/>
        <v>0</v>
      </c>
      <c r="AD120" s="116">
        <f t="shared" si="55"/>
        <v>0</v>
      </c>
      <c r="AE120" s="116">
        <f t="shared" si="56"/>
        <v>0</v>
      </c>
    </row>
    <row r="121" spans="1:31">
      <c r="A121" s="131">
        <v>42063</v>
      </c>
      <c r="B121" s="131">
        <v>42091</v>
      </c>
      <c r="C121" s="123">
        <f t="shared" si="46"/>
        <v>28</v>
      </c>
      <c r="D121" s="151">
        <v>167.12</v>
      </c>
      <c r="E121" s="110"/>
      <c r="F121" s="123"/>
      <c r="G121" s="123">
        <v>1</v>
      </c>
      <c r="H121" s="123">
        <v>27</v>
      </c>
      <c r="I121" s="123"/>
      <c r="J121" s="123"/>
      <c r="K121" s="123"/>
      <c r="L121" s="123"/>
      <c r="M121" s="123"/>
      <c r="N121" s="123"/>
      <c r="O121" s="123"/>
      <c r="P121" s="123"/>
      <c r="Q121" s="123"/>
      <c r="R121" s="133">
        <f t="shared" si="33"/>
        <v>0</v>
      </c>
      <c r="S121" s="133"/>
      <c r="T121" s="116">
        <f t="shared" si="47"/>
        <v>0</v>
      </c>
      <c r="U121" s="116">
        <f>ROUND(($D121*$G121/$C121)/$C$7,2)</f>
        <v>85.5</v>
      </c>
      <c r="V121" s="116">
        <f>ROUND(($D121*$H121/$C121)/$C$8,2)</f>
        <v>4471.46</v>
      </c>
      <c r="W121" s="116">
        <f t="shared" si="48"/>
        <v>0</v>
      </c>
      <c r="X121" s="116">
        <f t="shared" si="49"/>
        <v>0</v>
      </c>
      <c r="Y121" s="116">
        <f t="shared" si="50"/>
        <v>0</v>
      </c>
      <c r="Z121" s="116">
        <f t="shared" si="51"/>
        <v>0</v>
      </c>
      <c r="AA121" s="116">
        <f t="shared" si="52"/>
        <v>0</v>
      </c>
      <c r="AB121" s="116">
        <f t="shared" si="53"/>
        <v>0</v>
      </c>
      <c r="AC121" s="116">
        <f t="shared" si="54"/>
        <v>0</v>
      </c>
      <c r="AD121" s="116">
        <f t="shared" si="55"/>
        <v>0</v>
      </c>
      <c r="AE121" s="116">
        <f t="shared" si="56"/>
        <v>0</v>
      </c>
    </row>
    <row r="122" spans="1:31">
      <c r="A122" s="131">
        <v>42063</v>
      </c>
      <c r="B122" s="131">
        <v>42091</v>
      </c>
      <c r="C122" s="123">
        <f t="shared" si="46"/>
        <v>28</v>
      </c>
      <c r="D122" s="151">
        <v>1265.5</v>
      </c>
      <c r="E122" s="110"/>
      <c r="F122" s="123"/>
      <c r="G122" s="123">
        <v>1</v>
      </c>
      <c r="H122" s="123">
        <v>27</v>
      </c>
      <c r="I122" s="123"/>
      <c r="J122" s="123"/>
      <c r="K122" s="123"/>
      <c r="L122" s="123"/>
      <c r="M122" s="123"/>
      <c r="N122" s="123"/>
      <c r="O122" s="123"/>
      <c r="P122" s="123"/>
      <c r="Q122" s="123"/>
      <c r="R122" s="133">
        <f t="shared" ref="R122:R186" si="57">C122-SUM(F122:Q122)</f>
        <v>0</v>
      </c>
      <c r="S122" s="133"/>
      <c r="T122" s="116">
        <f t="shared" si="47"/>
        <v>0</v>
      </c>
      <c r="U122" s="116">
        <f>ROUND(($D122*$G122/$C122)/$C$7,2)</f>
        <v>647.41999999999996</v>
      </c>
      <c r="V122" s="116">
        <f>ROUND(($D122*$H122/$C122)/$C$8,2)</f>
        <v>33859.699999999997</v>
      </c>
      <c r="W122" s="116">
        <f t="shared" si="48"/>
        <v>0</v>
      </c>
      <c r="X122" s="116">
        <f t="shared" si="49"/>
        <v>0</v>
      </c>
      <c r="Y122" s="116">
        <f t="shared" si="50"/>
        <v>0</v>
      </c>
      <c r="Z122" s="116">
        <f t="shared" si="51"/>
        <v>0</v>
      </c>
      <c r="AA122" s="116">
        <f t="shared" si="52"/>
        <v>0</v>
      </c>
      <c r="AB122" s="116">
        <f t="shared" si="53"/>
        <v>0</v>
      </c>
      <c r="AC122" s="116">
        <f t="shared" si="54"/>
        <v>0</v>
      </c>
      <c r="AD122" s="116">
        <f t="shared" si="55"/>
        <v>0</v>
      </c>
      <c r="AE122" s="116">
        <f t="shared" si="56"/>
        <v>0</v>
      </c>
    </row>
    <row r="123" spans="1:31">
      <c r="A123" s="131">
        <v>42064</v>
      </c>
      <c r="B123" s="131">
        <v>42095</v>
      </c>
      <c r="C123" s="123">
        <f t="shared" si="46"/>
        <v>31</v>
      </c>
      <c r="D123" s="151">
        <v>5924.17</v>
      </c>
      <c r="E123" s="110"/>
      <c r="F123" s="123"/>
      <c r="G123" s="123"/>
      <c r="H123" s="123">
        <v>31</v>
      </c>
      <c r="I123" s="123"/>
      <c r="J123" s="123"/>
      <c r="K123" s="123"/>
      <c r="L123" s="123"/>
      <c r="M123" s="123"/>
      <c r="N123" s="123"/>
      <c r="O123" s="123"/>
      <c r="P123" s="123"/>
      <c r="Q123" s="123"/>
      <c r="R123" s="133" t="s">
        <v>230</v>
      </c>
      <c r="S123" s="133"/>
      <c r="T123" s="116">
        <f t="shared" si="47"/>
        <v>0</v>
      </c>
      <c r="U123" s="116">
        <f>ROUND(($D123*$G123/$C123)/$C$7,2)</f>
        <v>0</v>
      </c>
      <c r="V123" s="116">
        <f>ROUND(($D123*$H123/$C123)/$C$8,2)</f>
        <v>164377.64000000001</v>
      </c>
      <c r="W123" s="116">
        <f t="shared" si="48"/>
        <v>0</v>
      </c>
      <c r="X123" s="116">
        <f t="shared" si="49"/>
        <v>0</v>
      </c>
      <c r="Y123" s="116">
        <f t="shared" si="50"/>
        <v>0</v>
      </c>
      <c r="Z123" s="116">
        <f t="shared" si="51"/>
        <v>0</v>
      </c>
      <c r="AA123" s="116">
        <f t="shared" si="52"/>
        <v>0</v>
      </c>
      <c r="AB123" s="116">
        <f t="shared" si="53"/>
        <v>0</v>
      </c>
      <c r="AC123" s="116">
        <f t="shared" si="54"/>
        <v>0</v>
      </c>
      <c r="AD123" s="116">
        <f t="shared" si="55"/>
        <v>0</v>
      </c>
      <c r="AE123" s="116">
        <f t="shared" si="56"/>
        <v>0</v>
      </c>
    </row>
    <row r="124" spans="1:31">
      <c r="A124" s="131">
        <v>42063</v>
      </c>
      <c r="B124" s="131">
        <v>42094</v>
      </c>
      <c r="C124" s="123">
        <f t="shared" si="46"/>
        <v>31</v>
      </c>
      <c r="D124" s="151">
        <v>5986.07</v>
      </c>
      <c r="E124" s="110"/>
      <c r="F124" s="123"/>
      <c r="G124" s="123">
        <v>1</v>
      </c>
      <c r="H124" s="123">
        <v>30</v>
      </c>
      <c r="I124" s="123"/>
      <c r="J124" s="123"/>
      <c r="K124" s="123"/>
      <c r="L124" s="123"/>
      <c r="M124" s="123"/>
      <c r="N124" s="123"/>
      <c r="O124" s="123"/>
      <c r="P124" s="123"/>
      <c r="Q124" s="123"/>
      <c r="R124" s="133">
        <v>5986.07</v>
      </c>
      <c r="S124" s="133"/>
      <c r="T124" s="116">
        <f t="shared" si="47"/>
        <v>0</v>
      </c>
      <c r="U124" s="116">
        <v>6084.73</v>
      </c>
      <c r="V124" s="116">
        <f>188626.76-U124</f>
        <v>182542.03</v>
      </c>
      <c r="W124" s="116">
        <f t="shared" si="48"/>
        <v>0</v>
      </c>
      <c r="X124" s="116">
        <f t="shared" si="49"/>
        <v>0</v>
      </c>
      <c r="Y124" s="116">
        <f t="shared" si="50"/>
        <v>0</v>
      </c>
      <c r="Z124" s="116">
        <f t="shared" si="51"/>
        <v>0</v>
      </c>
      <c r="AA124" s="116">
        <f t="shared" si="52"/>
        <v>0</v>
      </c>
      <c r="AB124" s="116">
        <f t="shared" si="53"/>
        <v>0</v>
      </c>
      <c r="AC124" s="116">
        <f t="shared" si="54"/>
        <v>0</v>
      </c>
      <c r="AD124" s="116">
        <f t="shared" si="55"/>
        <v>0</v>
      </c>
      <c r="AE124" s="116">
        <f t="shared" si="56"/>
        <v>0</v>
      </c>
    </row>
    <row r="125" spans="1:31">
      <c r="A125" s="131">
        <v>42064</v>
      </c>
      <c r="B125" s="131">
        <v>42095</v>
      </c>
      <c r="C125" s="123">
        <f t="shared" si="46"/>
        <v>31</v>
      </c>
      <c r="D125" s="151">
        <v>62740.91</v>
      </c>
      <c r="E125" s="110"/>
      <c r="F125" s="123"/>
      <c r="G125" s="123"/>
      <c r="H125" s="123">
        <v>31</v>
      </c>
      <c r="I125" s="123"/>
      <c r="J125" s="123"/>
      <c r="K125" s="123"/>
      <c r="L125" s="123"/>
      <c r="M125" s="123"/>
      <c r="N125" s="123"/>
      <c r="O125" s="123"/>
      <c r="P125" s="123"/>
      <c r="Q125" s="123"/>
      <c r="R125" s="133">
        <v>62740.91</v>
      </c>
      <c r="S125" s="133"/>
      <c r="T125" s="116">
        <f t="shared" si="47"/>
        <v>0</v>
      </c>
      <c r="U125" s="116">
        <f t="shared" ref="U125:U146" si="58">ROUND(($D125*$G125/$C125)/$C$7,2)</f>
        <v>0</v>
      </c>
      <c r="V125" s="116">
        <f t="shared" ref="V125:V146" si="59">ROUND(($D125*$H125/$C125)/$C$8,2)</f>
        <v>1740868.76</v>
      </c>
      <c r="W125" s="116">
        <f t="shared" si="48"/>
        <v>0</v>
      </c>
      <c r="X125" s="116">
        <f t="shared" si="49"/>
        <v>0</v>
      </c>
      <c r="Y125" s="116">
        <f t="shared" si="50"/>
        <v>0</v>
      </c>
      <c r="Z125" s="116">
        <f t="shared" si="51"/>
        <v>0</v>
      </c>
      <c r="AA125" s="116">
        <f t="shared" si="52"/>
        <v>0</v>
      </c>
      <c r="AB125" s="116">
        <f t="shared" si="53"/>
        <v>0</v>
      </c>
      <c r="AC125" s="116">
        <f t="shared" si="54"/>
        <v>0</v>
      </c>
      <c r="AD125" s="116">
        <f t="shared" si="55"/>
        <v>0</v>
      </c>
      <c r="AE125" s="116">
        <f t="shared" si="56"/>
        <v>0</v>
      </c>
    </row>
    <row r="126" spans="1:31">
      <c r="A126" s="131">
        <v>42068</v>
      </c>
      <c r="B126" s="131">
        <v>42095</v>
      </c>
      <c r="C126" s="123">
        <f t="shared" si="46"/>
        <v>27</v>
      </c>
      <c r="D126" s="151">
        <v>43.7</v>
      </c>
      <c r="E126" s="110"/>
      <c r="F126" s="123"/>
      <c r="G126" s="123"/>
      <c r="H126" s="123">
        <v>27</v>
      </c>
      <c r="I126" s="123"/>
      <c r="J126" s="123"/>
      <c r="K126" s="123"/>
      <c r="L126" s="123"/>
      <c r="M126" s="123"/>
      <c r="N126" s="123"/>
      <c r="O126" s="123"/>
      <c r="P126" s="123"/>
      <c r="Q126" s="123"/>
      <c r="R126" s="133">
        <f t="shared" si="57"/>
        <v>0</v>
      </c>
      <c r="S126" s="133"/>
      <c r="T126" s="116">
        <f t="shared" si="47"/>
        <v>0</v>
      </c>
      <c r="U126" s="116">
        <f t="shared" si="58"/>
        <v>0</v>
      </c>
      <c r="V126" s="116">
        <f t="shared" si="59"/>
        <v>1212.54</v>
      </c>
      <c r="W126" s="116">
        <f t="shared" si="48"/>
        <v>0</v>
      </c>
      <c r="X126" s="116">
        <f t="shared" si="49"/>
        <v>0</v>
      </c>
      <c r="Y126" s="116">
        <f t="shared" si="50"/>
        <v>0</v>
      </c>
      <c r="Z126" s="116">
        <f t="shared" si="51"/>
        <v>0</v>
      </c>
      <c r="AA126" s="116">
        <f t="shared" si="52"/>
        <v>0</v>
      </c>
      <c r="AB126" s="116">
        <f t="shared" si="53"/>
        <v>0</v>
      </c>
      <c r="AC126" s="116">
        <f t="shared" si="54"/>
        <v>0</v>
      </c>
      <c r="AD126" s="116">
        <f t="shared" si="55"/>
        <v>0</v>
      </c>
      <c r="AE126" s="116">
        <f t="shared" si="56"/>
        <v>0</v>
      </c>
    </row>
    <row r="127" spans="1:31">
      <c r="A127" s="131">
        <v>42064</v>
      </c>
      <c r="B127" s="131">
        <v>42095</v>
      </c>
      <c r="C127" s="123">
        <f t="shared" si="46"/>
        <v>31</v>
      </c>
      <c r="D127" s="151">
        <v>723.89</v>
      </c>
      <c r="E127" s="110"/>
      <c r="F127" s="123"/>
      <c r="G127" s="123"/>
      <c r="H127" s="123">
        <v>31</v>
      </c>
      <c r="I127" s="123"/>
      <c r="J127" s="123"/>
      <c r="K127" s="123"/>
      <c r="L127" s="123"/>
      <c r="M127" s="123"/>
      <c r="N127" s="123"/>
      <c r="O127" s="123"/>
      <c r="P127" s="123"/>
      <c r="Q127" s="123"/>
      <c r="R127" s="133">
        <f t="shared" si="57"/>
        <v>0</v>
      </c>
      <c r="S127" s="133"/>
      <c r="T127" s="116">
        <f t="shared" si="47"/>
        <v>0</v>
      </c>
      <c r="U127" s="116">
        <f t="shared" si="58"/>
        <v>0</v>
      </c>
      <c r="V127" s="116">
        <f t="shared" si="59"/>
        <v>20085.740000000002</v>
      </c>
      <c r="W127" s="116">
        <f t="shared" si="48"/>
        <v>0</v>
      </c>
      <c r="X127" s="116">
        <f t="shared" si="49"/>
        <v>0</v>
      </c>
      <c r="Y127" s="116">
        <f t="shared" si="50"/>
        <v>0</v>
      </c>
      <c r="Z127" s="116">
        <f t="shared" si="51"/>
        <v>0</v>
      </c>
      <c r="AA127" s="116">
        <f t="shared" si="52"/>
        <v>0</v>
      </c>
      <c r="AB127" s="116">
        <f t="shared" si="53"/>
        <v>0</v>
      </c>
      <c r="AC127" s="116">
        <f t="shared" si="54"/>
        <v>0</v>
      </c>
      <c r="AD127" s="116">
        <f t="shared" si="55"/>
        <v>0</v>
      </c>
      <c r="AE127" s="116">
        <f t="shared" si="56"/>
        <v>0</v>
      </c>
    </row>
    <row r="128" spans="1:31">
      <c r="A128" s="131">
        <v>42064</v>
      </c>
      <c r="B128" s="131">
        <v>42095</v>
      </c>
      <c r="C128" s="123">
        <f t="shared" si="46"/>
        <v>31</v>
      </c>
      <c r="D128" s="151">
        <v>19040.54</v>
      </c>
      <c r="E128" s="110"/>
      <c r="F128" s="123"/>
      <c r="G128" s="123"/>
      <c r="H128" s="123">
        <v>31</v>
      </c>
      <c r="I128" s="123"/>
      <c r="J128" s="123"/>
      <c r="K128" s="123"/>
      <c r="L128" s="123"/>
      <c r="M128" s="123"/>
      <c r="N128" s="123"/>
      <c r="O128" s="123"/>
      <c r="P128" s="123"/>
      <c r="Q128" s="123"/>
      <c r="R128" s="133">
        <v>19040.54</v>
      </c>
      <c r="S128" s="133"/>
      <c r="T128" s="116">
        <f t="shared" si="47"/>
        <v>0</v>
      </c>
      <c r="U128" s="116">
        <f t="shared" si="58"/>
        <v>0</v>
      </c>
      <c r="V128" s="116">
        <f t="shared" si="59"/>
        <v>528316.87</v>
      </c>
      <c r="W128" s="116">
        <f t="shared" si="48"/>
        <v>0</v>
      </c>
      <c r="X128" s="116">
        <f t="shared" si="49"/>
        <v>0</v>
      </c>
      <c r="Y128" s="116">
        <f t="shared" si="50"/>
        <v>0</v>
      </c>
      <c r="Z128" s="116">
        <f t="shared" si="51"/>
        <v>0</v>
      </c>
      <c r="AA128" s="116">
        <f t="shared" si="52"/>
        <v>0</v>
      </c>
      <c r="AB128" s="116">
        <f t="shared" si="53"/>
        <v>0</v>
      </c>
      <c r="AC128" s="116">
        <f t="shared" si="54"/>
        <v>0</v>
      </c>
      <c r="AD128" s="116">
        <f t="shared" si="55"/>
        <v>0</v>
      </c>
      <c r="AE128" s="116">
        <f t="shared" si="56"/>
        <v>0</v>
      </c>
    </row>
    <row r="129" spans="1:31">
      <c r="A129" s="131">
        <v>42064</v>
      </c>
      <c r="B129" s="131">
        <v>42095</v>
      </c>
      <c r="C129" s="123">
        <f t="shared" si="46"/>
        <v>31</v>
      </c>
      <c r="D129" s="151">
        <v>94.22</v>
      </c>
      <c r="E129" s="110"/>
      <c r="F129" s="123"/>
      <c r="G129" s="123"/>
      <c r="H129" s="123">
        <v>31</v>
      </c>
      <c r="I129" s="123"/>
      <c r="J129" s="123"/>
      <c r="K129" s="123"/>
      <c r="L129" s="123"/>
      <c r="M129" s="123"/>
      <c r="N129" s="123"/>
      <c r="O129" s="123"/>
      <c r="P129" s="123"/>
      <c r="Q129" s="123"/>
      <c r="R129" s="133">
        <f t="shared" si="57"/>
        <v>0</v>
      </c>
      <c r="S129" s="133"/>
      <c r="T129" s="116">
        <f t="shared" si="47"/>
        <v>0</v>
      </c>
      <c r="U129" s="116">
        <f t="shared" si="58"/>
        <v>0</v>
      </c>
      <c r="V129" s="116">
        <f t="shared" si="59"/>
        <v>2614.3200000000002</v>
      </c>
      <c r="W129" s="116">
        <f t="shared" si="48"/>
        <v>0</v>
      </c>
      <c r="X129" s="116">
        <f t="shared" si="49"/>
        <v>0</v>
      </c>
      <c r="Y129" s="116">
        <f t="shared" si="50"/>
        <v>0</v>
      </c>
      <c r="Z129" s="116">
        <f t="shared" si="51"/>
        <v>0</v>
      </c>
      <c r="AA129" s="116">
        <f t="shared" si="52"/>
        <v>0</v>
      </c>
      <c r="AB129" s="116">
        <f t="shared" si="53"/>
        <v>0</v>
      </c>
      <c r="AC129" s="116">
        <f t="shared" si="54"/>
        <v>0</v>
      </c>
      <c r="AD129" s="116">
        <f t="shared" si="55"/>
        <v>0</v>
      </c>
      <c r="AE129" s="116">
        <f t="shared" si="56"/>
        <v>0</v>
      </c>
    </row>
    <row r="130" spans="1:31">
      <c r="A130" s="131">
        <v>42064</v>
      </c>
      <c r="B130" s="131">
        <v>42095</v>
      </c>
      <c r="C130" s="123">
        <f t="shared" si="46"/>
        <v>31</v>
      </c>
      <c r="D130" s="151">
        <v>406.81</v>
      </c>
      <c r="E130" s="110"/>
      <c r="F130" s="123"/>
      <c r="G130" s="123"/>
      <c r="H130" s="123">
        <v>31</v>
      </c>
      <c r="I130" s="123"/>
      <c r="J130" s="123"/>
      <c r="K130" s="123"/>
      <c r="L130" s="123"/>
      <c r="M130" s="123"/>
      <c r="N130" s="123"/>
      <c r="O130" s="123"/>
      <c r="P130" s="123"/>
      <c r="Q130" s="123"/>
      <c r="R130" s="133">
        <f t="shared" si="57"/>
        <v>0</v>
      </c>
      <c r="S130" s="133"/>
      <c r="T130" s="116">
        <f t="shared" si="47"/>
        <v>0</v>
      </c>
      <c r="U130" s="116">
        <f t="shared" si="58"/>
        <v>0</v>
      </c>
      <c r="V130" s="116">
        <f t="shared" si="59"/>
        <v>11287.74</v>
      </c>
      <c r="W130" s="116">
        <f t="shared" si="48"/>
        <v>0</v>
      </c>
      <c r="X130" s="116">
        <f t="shared" si="49"/>
        <v>0</v>
      </c>
      <c r="Y130" s="116">
        <f t="shared" si="50"/>
        <v>0</v>
      </c>
      <c r="Z130" s="116">
        <f t="shared" si="51"/>
        <v>0</v>
      </c>
      <c r="AA130" s="116">
        <f t="shared" si="52"/>
        <v>0</v>
      </c>
      <c r="AB130" s="116">
        <f t="shared" si="53"/>
        <v>0</v>
      </c>
      <c r="AC130" s="116">
        <f t="shared" si="54"/>
        <v>0</v>
      </c>
      <c r="AD130" s="116">
        <f t="shared" si="55"/>
        <v>0</v>
      </c>
      <c r="AE130" s="116">
        <f t="shared" si="56"/>
        <v>0</v>
      </c>
    </row>
    <row r="131" spans="1:31">
      <c r="A131" s="131">
        <v>42064</v>
      </c>
      <c r="B131" s="131">
        <v>42095</v>
      </c>
      <c r="C131" s="123">
        <f t="shared" si="46"/>
        <v>31</v>
      </c>
      <c r="D131" s="151">
        <v>119.21</v>
      </c>
      <c r="E131" s="110"/>
      <c r="F131" s="123"/>
      <c r="G131" s="123"/>
      <c r="H131" s="123">
        <v>31</v>
      </c>
      <c r="I131" s="123"/>
      <c r="J131" s="123"/>
      <c r="K131" s="123"/>
      <c r="L131" s="123"/>
      <c r="M131" s="123"/>
      <c r="N131" s="123"/>
      <c r="O131" s="123"/>
      <c r="P131" s="123"/>
      <c r="Q131" s="123"/>
      <c r="R131" s="133">
        <f t="shared" si="57"/>
        <v>0</v>
      </c>
      <c r="S131" s="133"/>
      <c r="T131" s="116">
        <f t="shared" si="47"/>
        <v>0</v>
      </c>
      <c r="U131" s="116">
        <f t="shared" si="58"/>
        <v>0</v>
      </c>
      <c r="V131" s="116">
        <f t="shared" si="59"/>
        <v>3307.71</v>
      </c>
      <c r="W131" s="116">
        <f t="shared" si="48"/>
        <v>0</v>
      </c>
      <c r="X131" s="116">
        <f t="shared" si="49"/>
        <v>0</v>
      </c>
      <c r="Y131" s="116">
        <f t="shared" si="50"/>
        <v>0</v>
      </c>
      <c r="Z131" s="116">
        <f t="shared" si="51"/>
        <v>0</v>
      </c>
      <c r="AA131" s="116">
        <f t="shared" si="52"/>
        <v>0</v>
      </c>
      <c r="AB131" s="116">
        <f t="shared" si="53"/>
        <v>0</v>
      </c>
      <c r="AC131" s="116">
        <f t="shared" si="54"/>
        <v>0</v>
      </c>
      <c r="AD131" s="116">
        <f t="shared" si="55"/>
        <v>0</v>
      </c>
      <c r="AE131" s="116">
        <f t="shared" si="56"/>
        <v>0</v>
      </c>
    </row>
    <row r="132" spans="1:31">
      <c r="A132" s="131">
        <v>42064</v>
      </c>
      <c r="B132" s="131">
        <v>42095</v>
      </c>
      <c r="C132" s="123">
        <f t="shared" si="46"/>
        <v>31</v>
      </c>
      <c r="D132" s="151">
        <v>1160.45</v>
      </c>
      <c r="E132" s="110"/>
      <c r="F132" s="123"/>
      <c r="G132" s="123"/>
      <c r="H132" s="123">
        <v>31</v>
      </c>
      <c r="I132" s="123"/>
      <c r="J132" s="123"/>
      <c r="K132" s="123"/>
      <c r="L132" s="123"/>
      <c r="M132" s="123"/>
      <c r="N132" s="123"/>
      <c r="O132" s="123"/>
      <c r="P132" s="123"/>
      <c r="Q132" s="123"/>
      <c r="R132" s="133">
        <f t="shared" si="57"/>
        <v>0</v>
      </c>
      <c r="S132" s="133"/>
      <c r="T132" s="116">
        <f t="shared" si="47"/>
        <v>0</v>
      </c>
      <c r="U132" s="116">
        <f t="shared" si="58"/>
        <v>0</v>
      </c>
      <c r="V132" s="116">
        <f t="shared" si="59"/>
        <v>32198.95</v>
      </c>
      <c r="W132" s="116">
        <f t="shared" si="48"/>
        <v>0</v>
      </c>
      <c r="X132" s="116">
        <f t="shared" si="49"/>
        <v>0</v>
      </c>
      <c r="Y132" s="116">
        <f t="shared" si="50"/>
        <v>0</v>
      </c>
      <c r="Z132" s="116">
        <f t="shared" si="51"/>
        <v>0</v>
      </c>
      <c r="AA132" s="116">
        <f t="shared" si="52"/>
        <v>0</v>
      </c>
      <c r="AB132" s="116">
        <f t="shared" si="53"/>
        <v>0</v>
      </c>
      <c r="AC132" s="116">
        <f t="shared" si="54"/>
        <v>0</v>
      </c>
      <c r="AD132" s="116">
        <f t="shared" si="55"/>
        <v>0</v>
      </c>
      <c r="AE132" s="116">
        <f t="shared" si="56"/>
        <v>0</v>
      </c>
    </row>
    <row r="133" spans="1:31">
      <c r="A133" s="131">
        <v>42064</v>
      </c>
      <c r="B133" s="131">
        <v>42095</v>
      </c>
      <c r="C133" s="123">
        <f t="shared" si="46"/>
        <v>31</v>
      </c>
      <c r="D133" s="151">
        <v>1997.19</v>
      </c>
      <c r="E133" s="110"/>
      <c r="F133" s="123"/>
      <c r="G133" s="123"/>
      <c r="H133" s="123">
        <v>31</v>
      </c>
      <c r="I133" s="123"/>
      <c r="J133" s="123"/>
      <c r="K133" s="123"/>
      <c r="L133" s="123"/>
      <c r="M133" s="123"/>
      <c r="N133" s="123"/>
      <c r="O133" s="123"/>
      <c r="P133" s="123"/>
      <c r="Q133" s="123"/>
      <c r="R133" s="133">
        <f t="shared" si="57"/>
        <v>0</v>
      </c>
      <c r="S133" s="133"/>
      <c r="T133" s="116">
        <f t="shared" si="47"/>
        <v>0</v>
      </c>
      <c r="U133" s="116">
        <f t="shared" si="58"/>
        <v>0</v>
      </c>
      <c r="V133" s="116">
        <f t="shared" si="59"/>
        <v>55415.93</v>
      </c>
      <c r="W133" s="116">
        <f t="shared" si="48"/>
        <v>0</v>
      </c>
      <c r="X133" s="116">
        <f t="shared" si="49"/>
        <v>0</v>
      </c>
      <c r="Y133" s="116">
        <f t="shared" si="50"/>
        <v>0</v>
      </c>
      <c r="Z133" s="116">
        <f t="shared" si="51"/>
        <v>0</v>
      </c>
      <c r="AA133" s="116">
        <f t="shared" si="52"/>
        <v>0</v>
      </c>
      <c r="AB133" s="116">
        <f t="shared" si="53"/>
        <v>0</v>
      </c>
      <c r="AC133" s="116">
        <f t="shared" si="54"/>
        <v>0</v>
      </c>
      <c r="AD133" s="116">
        <f t="shared" si="55"/>
        <v>0</v>
      </c>
      <c r="AE133" s="116">
        <f t="shared" si="56"/>
        <v>0</v>
      </c>
    </row>
    <row r="134" spans="1:31">
      <c r="A134" s="131">
        <v>42064</v>
      </c>
      <c r="B134" s="131">
        <v>42095</v>
      </c>
      <c r="C134" s="123">
        <f t="shared" si="46"/>
        <v>31</v>
      </c>
      <c r="D134" s="151">
        <v>33.520000000000003</v>
      </c>
      <c r="E134" s="110"/>
      <c r="F134" s="123"/>
      <c r="G134" s="123"/>
      <c r="H134" s="123">
        <v>31</v>
      </c>
      <c r="I134" s="123"/>
      <c r="J134" s="123"/>
      <c r="K134" s="123"/>
      <c r="L134" s="123"/>
      <c r="M134" s="123"/>
      <c r="N134" s="123"/>
      <c r="O134" s="123"/>
      <c r="P134" s="123"/>
      <c r="Q134" s="123"/>
      <c r="R134" s="133">
        <f t="shared" si="57"/>
        <v>0</v>
      </c>
      <c r="S134" s="133"/>
      <c r="T134" s="116">
        <f t="shared" si="47"/>
        <v>0</v>
      </c>
      <c r="U134" s="116">
        <f t="shared" si="58"/>
        <v>0</v>
      </c>
      <c r="V134" s="116">
        <f t="shared" si="59"/>
        <v>930.08</v>
      </c>
      <c r="W134" s="116">
        <f t="shared" si="48"/>
        <v>0</v>
      </c>
      <c r="X134" s="116">
        <f t="shared" si="49"/>
        <v>0</v>
      </c>
      <c r="Y134" s="116">
        <f t="shared" si="50"/>
        <v>0</v>
      </c>
      <c r="Z134" s="116">
        <f t="shared" si="51"/>
        <v>0</v>
      </c>
      <c r="AA134" s="116">
        <f t="shared" si="52"/>
        <v>0</v>
      </c>
      <c r="AB134" s="116">
        <f t="shared" si="53"/>
        <v>0</v>
      </c>
      <c r="AC134" s="116">
        <f t="shared" si="54"/>
        <v>0</v>
      </c>
      <c r="AD134" s="116">
        <f t="shared" si="55"/>
        <v>0</v>
      </c>
      <c r="AE134" s="116">
        <f t="shared" si="56"/>
        <v>0</v>
      </c>
    </row>
    <row r="135" spans="1:31">
      <c r="A135" s="131">
        <v>42068</v>
      </c>
      <c r="B135" s="131">
        <v>42099</v>
      </c>
      <c r="C135" s="123">
        <f t="shared" si="46"/>
        <v>31</v>
      </c>
      <c r="D135" s="151">
        <v>513.65</v>
      </c>
      <c r="E135" s="110"/>
      <c r="F135" s="123"/>
      <c r="G135" s="123"/>
      <c r="H135" s="123">
        <v>27</v>
      </c>
      <c r="I135" s="123">
        <v>4</v>
      </c>
      <c r="J135" s="123"/>
      <c r="K135" s="123"/>
      <c r="L135" s="123"/>
      <c r="M135" s="123"/>
      <c r="N135" s="123"/>
      <c r="O135" s="123"/>
      <c r="P135" s="123"/>
      <c r="Q135" s="123"/>
      <c r="R135" s="133">
        <f t="shared" si="57"/>
        <v>0</v>
      </c>
      <c r="S135" s="133"/>
      <c r="T135" s="116">
        <f t="shared" si="47"/>
        <v>0</v>
      </c>
      <c r="U135" s="116">
        <f t="shared" si="58"/>
        <v>0</v>
      </c>
      <c r="V135" s="116">
        <f t="shared" si="59"/>
        <v>12413.22</v>
      </c>
      <c r="W135" s="116">
        <f t="shared" si="48"/>
        <v>988.48</v>
      </c>
      <c r="X135" s="116">
        <f t="shared" si="49"/>
        <v>0</v>
      </c>
      <c r="Y135" s="116">
        <f t="shared" si="50"/>
        <v>0</v>
      </c>
      <c r="Z135" s="116">
        <f t="shared" si="51"/>
        <v>0</v>
      </c>
      <c r="AA135" s="116">
        <f t="shared" si="52"/>
        <v>0</v>
      </c>
      <c r="AB135" s="116">
        <f t="shared" si="53"/>
        <v>0</v>
      </c>
      <c r="AC135" s="116">
        <f t="shared" si="54"/>
        <v>0</v>
      </c>
      <c r="AD135" s="116">
        <f t="shared" si="55"/>
        <v>0</v>
      </c>
      <c r="AE135" s="116">
        <f t="shared" si="56"/>
        <v>0</v>
      </c>
    </row>
    <row r="136" spans="1:31">
      <c r="A136" s="131">
        <v>42068</v>
      </c>
      <c r="B136" s="131">
        <v>42099</v>
      </c>
      <c r="C136" s="123">
        <f t="shared" si="46"/>
        <v>31</v>
      </c>
      <c r="D136" s="151">
        <v>620.36</v>
      </c>
      <c r="E136" s="110"/>
      <c r="F136" s="123"/>
      <c r="G136" s="123"/>
      <c r="H136" s="123">
        <v>27</v>
      </c>
      <c r="I136" s="123">
        <v>4</v>
      </c>
      <c r="J136" s="123"/>
      <c r="K136" s="123"/>
      <c r="L136" s="123"/>
      <c r="M136" s="123"/>
      <c r="N136" s="123"/>
      <c r="O136" s="123"/>
      <c r="P136" s="123"/>
      <c r="Q136" s="123"/>
      <c r="R136" s="133">
        <f t="shared" si="57"/>
        <v>0</v>
      </c>
      <c r="S136" s="133"/>
      <c r="T136" s="116">
        <f t="shared" si="47"/>
        <v>0</v>
      </c>
      <c r="U136" s="116">
        <f t="shared" si="58"/>
        <v>0</v>
      </c>
      <c r="V136" s="116">
        <f t="shared" si="59"/>
        <v>14992.05</v>
      </c>
      <c r="W136" s="116">
        <f t="shared" si="48"/>
        <v>1193.83</v>
      </c>
      <c r="X136" s="116">
        <f t="shared" si="49"/>
        <v>0</v>
      </c>
      <c r="Y136" s="116">
        <f t="shared" si="50"/>
        <v>0</v>
      </c>
      <c r="Z136" s="116">
        <f t="shared" si="51"/>
        <v>0</v>
      </c>
      <c r="AA136" s="116">
        <f t="shared" si="52"/>
        <v>0</v>
      </c>
      <c r="AB136" s="116">
        <f t="shared" si="53"/>
        <v>0</v>
      </c>
      <c r="AC136" s="116">
        <f t="shared" si="54"/>
        <v>0</v>
      </c>
      <c r="AD136" s="116">
        <f t="shared" si="55"/>
        <v>0</v>
      </c>
      <c r="AE136" s="116">
        <f t="shared" si="56"/>
        <v>0</v>
      </c>
    </row>
    <row r="137" spans="1:31">
      <c r="A137" s="131">
        <v>42068</v>
      </c>
      <c r="B137" s="131">
        <v>42099</v>
      </c>
      <c r="C137" s="123">
        <f t="shared" si="46"/>
        <v>31</v>
      </c>
      <c r="D137" s="151">
        <v>163.35</v>
      </c>
      <c r="E137" s="110"/>
      <c r="F137" s="123"/>
      <c r="G137" s="123"/>
      <c r="H137" s="123">
        <v>27</v>
      </c>
      <c r="I137" s="123">
        <v>4</v>
      </c>
      <c r="J137" s="123"/>
      <c r="K137" s="123"/>
      <c r="L137" s="123"/>
      <c r="M137" s="123"/>
      <c r="N137" s="123"/>
      <c r="O137" s="123"/>
      <c r="P137" s="123"/>
      <c r="Q137" s="123"/>
      <c r="R137" s="133">
        <f t="shared" si="57"/>
        <v>0</v>
      </c>
      <c r="S137" s="133"/>
      <c r="T137" s="116">
        <f t="shared" si="47"/>
        <v>0</v>
      </c>
      <c r="U137" s="116">
        <f t="shared" si="58"/>
        <v>0</v>
      </c>
      <c r="V137" s="116">
        <f t="shared" si="59"/>
        <v>3947.63</v>
      </c>
      <c r="W137" s="116">
        <f t="shared" si="48"/>
        <v>314.35000000000002</v>
      </c>
      <c r="X137" s="116">
        <f t="shared" si="49"/>
        <v>0</v>
      </c>
      <c r="Y137" s="116">
        <f t="shared" si="50"/>
        <v>0</v>
      </c>
      <c r="Z137" s="116">
        <f t="shared" si="51"/>
        <v>0</v>
      </c>
      <c r="AA137" s="116">
        <f t="shared" si="52"/>
        <v>0</v>
      </c>
      <c r="AB137" s="116">
        <f t="shared" si="53"/>
        <v>0</v>
      </c>
      <c r="AC137" s="116">
        <f t="shared" si="54"/>
        <v>0</v>
      </c>
      <c r="AD137" s="116">
        <f t="shared" si="55"/>
        <v>0</v>
      </c>
      <c r="AE137" s="116">
        <f t="shared" si="56"/>
        <v>0</v>
      </c>
    </row>
    <row r="138" spans="1:31">
      <c r="A138" s="131">
        <v>42064</v>
      </c>
      <c r="B138" s="131">
        <v>42095</v>
      </c>
      <c r="C138" s="123">
        <f t="shared" si="46"/>
        <v>31</v>
      </c>
      <c r="D138" s="151">
        <v>1284.5899999999999</v>
      </c>
      <c r="E138" s="110"/>
      <c r="F138" s="123"/>
      <c r="G138" s="123"/>
      <c r="H138" s="123">
        <v>31</v>
      </c>
      <c r="I138" s="123"/>
      <c r="J138" s="123"/>
      <c r="K138" s="123"/>
      <c r="L138" s="123"/>
      <c r="M138" s="123"/>
      <c r="N138" s="123"/>
      <c r="O138" s="123"/>
      <c r="P138" s="123"/>
      <c r="Q138" s="123"/>
      <c r="R138" s="133">
        <f t="shared" si="57"/>
        <v>0</v>
      </c>
      <c r="S138" s="133"/>
      <c r="T138" s="116">
        <f t="shared" si="47"/>
        <v>0</v>
      </c>
      <c r="U138" s="116">
        <f t="shared" si="58"/>
        <v>0</v>
      </c>
      <c r="V138" s="116">
        <f t="shared" si="59"/>
        <v>35643.449999999997</v>
      </c>
      <c r="W138" s="116">
        <f t="shared" si="48"/>
        <v>0</v>
      </c>
      <c r="X138" s="116">
        <f t="shared" si="49"/>
        <v>0</v>
      </c>
      <c r="Y138" s="116">
        <f t="shared" si="50"/>
        <v>0</v>
      </c>
      <c r="Z138" s="116">
        <f t="shared" si="51"/>
        <v>0</v>
      </c>
      <c r="AA138" s="116">
        <f t="shared" si="52"/>
        <v>0</v>
      </c>
      <c r="AB138" s="116">
        <f t="shared" si="53"/>
        <v>0</v>
      </c>
      <c r="AC138" s="116">
        <f t="shared" si="54"/>
        <v>0</v>
      </c>
      <c r="AD138" s="116">
        <f t="shared" si="55"/>
        <v>0</v>
      </c>
      <c r="AE138" s="116">
        <f t="shared" si="56"/>
        <v>0</v>
      </c>
    </row>
    <row r="139" spans="1:31">
      <c r="A139" s="131">
        <v>42071</v>
      </c>
      <c r="B139" s="131">
        <v>42102</v>
      </c>
      <c r="C139" s="123">
        <f t="shared" si="46"/>
        <v>31</v>
      </c>
      <c r="D139" s="151">
        <v>151.09</v>
      </c>
      <c r="E139" s="110"/>
      <c r="F139" s="123"/>
      <c r="G139" s="123"/>
      <c r="H139" s="123">
        <v>24</v>
      </c>
      <c r="I139" s="123">
        <v>7</v>
      </c>
      <c r="J139" s="123"/>
      <c r="K139" s="123"/>
      <c r="L139" s="123"/>
      <c r="M139" s="123"/>
      <c r="N139" s="123"/>
      <c r="O139" s="123"/>
      <c r="P139" s="123"/>
      <c r="Q139" s="123"/>
      <c r="R139" s="133">
        <f t="shared" si="57"/>
        <v>0</v>
      </c>
      <c r="S139" s="133"/>
      <c r="T139" s="116">
        <f t="shared" si="47"/>
        <v>0</v>
      </c>
      <c r="U139" s="116">
        <f t="shared" si="58"/>
        <v>0</v>
      </c>
      <c r="V139" s="116">
        <f t="shared" si="59"/>
        <v>3245.64</v>
      </c>
      <c r="W139" s="116">
        <f t="shared" si="48"/>
        <v>508.83</v>
      </c>
      <c r="X139" s="116">
        <f t="shared" si="49"/>
        <v>0</v>
      </c>
      <c r="Y139" s="116">
        <f t="shared" si="50"/>
        <v>0</v>
      </c>
      <c r="Z139" s="116">
        <f t="shared" si="51"/>
        <v>0</v>
      </c>
      <c r="AA139" s="116">
        <f t="shared" si="52"/>
        <v>0</v>
      </c>
      <c r="AB139" s="116">
        <f t="shared" si="53"/>
        <v>0</v>
      </c>
      <c r="AC139" s="116">
        <f t="shared" si="54"/>
        <v>0</v>
      </c>
      <c r="AD139" s="116">
        <f t="shared" si="55"/>
        <v>0</v>
      </c>
      <c r="AE139" s="116">
        <f t="shared" si="56"/>
        <v>0</v>
      </c>
    </row>
    <row r="140" spans="1:31">
      <c r="A140" s="131">
        <v>42071</v>
      </c>
      <c r="B140" s="131">
        <v>42102</v>
      </c>
      <c r="C140" s="123">
        <f t="shared" si="46"/>
        <v>31</v>
      </c>
      <c r="D140" s="151">
        <v>415.81</v>
      </c>
      <c r="E140" s="110"/>
      <c r="F140" s="123"/>
      <c r="G140" s="123"/>
      <c r="H140" s="123">
        <v>24</v>
      </c>
      <c r="I140" s="123">
        <v>7</v>
      </c>
      <c r="J140" s="123"/>
      <c r="K140" s="123"/>
      <c r="L140" s="123"/>
      <c r="M140" s="123"/>
      <c r="N140" s="123"/>
      <c r="O140" s="123"/>
      <c r="P140" s="123"/>
      <c r="Q140" s="123"/>
      <c r="R140" s="133">
        <f t="shared" si="57"/>
        <v>0</v>
      </c>
      <c r="S140" s="133"/>
      <c r="T140" s="116">
        <f t="shared" si="47"/>
        <v>0</v>
      </c>
      <c r="U140" s="116">
        <f t="shared" si="58"/>
        <v>0</v>
      </c>
      <c r="V140" s="116">
        <f t="shared" si="59"/>
        <v>8932.23</v>
      </c>
      <c r="W140" s="116">
        <f t="shared" si="48"/>
        <v>1400.34</v>
      </c>
      <c r="X140" s="116">
        <f t="shared" si="49"/>
        <v>0</v>
      </c>
      <c r="Y140" s="116">
        <f t="shared" si="50"/>
        <v>0</v>
      </c>
      <c r="Z140" s="116">
        <f t="shared" si="51"/>
        <v>0</v>
      </c>
      <c r="AA140" s="116">
        <f t="shared" si="52"/>
        <v>0</v>
      </c>
      <c r="AB140" s="116">
        <f t="shared" si="53"/>
        <v>0</v>
      </c>
      <c r="AC140" s="116">
        <f t="shared" si="54"/>
        <v>0</v>
      </c>
      <c r="AD140" s="116">
        <f t="shared" si="55"/>
        <v>0</v>
      </c>
      <c r="AE140" s="116">
        <f t="shared" si="56"/>
        <v>0</v>
      </c>
    </row>
    <row r="141" spans="1:31">
      <c r="A141" s="131">
        <v>42071</v>
      </c>
      <c r="B141" s="131">
        <v>42102</v>
      </c>
      <c r="C141" s="123">
        <f t="shared" si="46"/>
        <v>31</v>
      </c>
      <c r="D141" s="151">
        <v>136.13999999999999</v>
      </c>
      <c r="E141" s="110"/>
      <c r="F141" s="123"/>
      <c r="G141" s="123"/>
      <c r="H141" s="123">
        <v>24</v>
      </c>
      <c r="I141" s="123">
        <v>7</v>
      </c>
      <c r="J141" s="123"/>
      <c r="K141" s="123"/>
      <c r="L141" s="123"/>
      <c r="M141" s="123"/>
      <c r="N141" s="123"/>
      <c r="O141" s="123"/>
      <c r="P141" s="123"/>
      <c r="Q141" s="123"/>
      <c r="R141" s="133">
        <f t="shared" si="57"/>
        <v>0</v>
      </c>
      <c r="S141" s="133"/>
      <c r="T141" s="116">
        <f t="shared" si="47"/>
        <v>0</v>
      </c>
      <c r="U141" s="116">
        <f t="shared" si="58"/>
        <v>0</v>
      </c>
      <c r="V141" s="116">
        <f t="shared" si="59"/>
        <v>2924.49</v>
      </c>
      <c r="W141" s="116">
        <f t="shared" si="48"/>
        <v>458.48</v>
      </c>
      <c r="X141" s="116">
        <f t="shared" si="49"/>
        <v>0</v>
      </c>
      <c r="Y141" s="116">
        <f t="shared" si="50"/>
        <v>0</v>
      </c>
      <c r="Z141" s="116">
        <f t="shared" si="51"/>
        <v>0</v>
      </c>
      <c r="AA141" s="116">
        <f t="shared" si="52"/>
        <v>0</v>
      </c>
      <c r="AB141" s="116">
        <f t="shared" si="53"/>
        <v>0</v>
      </c>
      <c r="AC141" s="116">
        <f t="shared" si="54"/>
        <v>0</v>
      </c>
      <c r="AD141" s="116">
        <f t="shared" si="55"/>
        <v>0</v>
      </c>
      <c r="AE141" s="116">
        <f t="shared" si="56"/>
        <v>0</v>
      </c>
    </row>
    <row r="142" spans="1:31">
      <c r="A142" s="131">
        <v>42075</v>
      </c>
      <c r="B142" s="131">
        <v>42106</v>
      </c>
      <c r="C142" s="123">
        <f t="shared" si="46"/>
        <v>31</v>
      </c>
      <c r="D142" s="151">
        <v>686.7</v>
      </c>
      <c r="E142" s="110"/>
      <c r="F142" s="123"/>
      <c r="G142" s="123"/>
      <c r="H142" s="123">
        <v>20</v>
      </c>
      <c r="I142" s="123">
        <v>11</v>
      </c>
      <c r="J142" s="123"/>
      <c r="K142" s="123"/>
      <c r="L142" s="123"/>
      <c r="M142" s="123"/>
      <c r="N142" s="123"/>
      <c r="O142" s="123"/>
      <c r="P142" s="123"/>
      <c r="Q142" s="123"/>
      <c r="R142" s="133">
        <f t="shared" si="57"/>
        <v>0</v>
      </c>
      <c r="S142" s="133"/>
      <c r="T142" s="116">
        <f t="shared" si="47"/>
        <v>0</v>
      </c>
      <c r="U142" s="116">
        <f t="shared" si="58"/>
        <v>0</v>
      </c>
      <c r="V142" s="116">
        <f t="shared" si="59"/>
        <v>12292.79</v>
      </c>
      <c r="W142" s="116">
        <f t="shared" si="48"/>
        <v>3634.12</v>
      </c>
      <c r="X142" s="116">
        <f t="shared" si="49"/>
        <v>0</v>
      </c>
      <c r="Y142" s="116">
        <f t="shared" si="50"/>
        <v>0</v>
      </c>
      <c r="Z142" s="116">
        <f t="shared" si="51"/>
        <v>0</v>
      </c>
      <c r="AA142" s="116">
        <f t="shared" si="52"/>
        <v>0</v>
      </c>
      <c r="AB142" s="116">
        <f t="shared" si="53"/>
        <v>0</v>
      </c>
      <c r="AC142" s="116">
        <f t="shared" si="54"/>
        <v>0</v>
      </c>
      <c r="AD142" s="116">
        <f t="shared" si="55"/>
        <v>0</v>
      </c>
      <c r="AE142" s="116">
        <f t="shared" si="56"/>
        <v>0</v>
      </c>
    </row>
    <row r="143" spans="1:31">
      <c r="A143" s="131">
        <v>42075</v>
      </c>
      <c r="B143" s="131">
        <v>42106</v>
      </c>
      <c r="C143" s="123">
        <f t="shared" si="46"/>
        <v>31</v>
      </c>
      <c r="D143" s="151">
        <v>717.25</v>
      </c>
      <c r="E143" s="110"/>
      <c r="F143" s="123"/>
      <c r="G143" s="123"/>
      <c r="H143" s="123">
        <v>20</v>
      </c>
      <c r="I143" s="123">
        <v>11</v>
      </c>
      <c r="J143" s="123"/>
      <c r="K143" s="123"/>
      <c r="L143" s="123"/>
      <c r="M143" s="123"/>
      <c r="N143" s="123"/>
      <c r="O143" s="123"/>
      <c r="P143" s="123"/>
      <c r="Q143" s="123"/>
      <c r="R143" s="133">
        <f t="shared" si="57"/>
        <v>0</v>
      </c>
      <c r="S143" s="133"/>
      <c r="T143" s="116">
        <f t="shared" si="47"/>
        <v>0</v>
      </c>
      <c r="U143" s="116">
        <f t="shared" si="58"/>
        <v>0</v>
      </c>
      <c r="V143" s="116">
        <f t="shared" si="59"/>
        <v>12839.68</v>
      </c>
      <c r="W143" s="116">
        <f t="shared" si="48"/>
        <v>3795.8</v>
      </c>
      <c r="X143" s="116">
        <f t="shared" si="49"/>
        <v>0</v>
      </c>
      <c r="Y143" s="116">
        <f t="shared" si="50"/>
        <v>0</v>
      </c>
      <c r="Z143" s="116">
        <f t="shared" si="51"/>
        <v>0</v>
      </c>
      <c r="AA143" s="116">
        <f t="shared" si="52"/>
        <v>0</v>
      </c>
      <c r="AB143" s="116">
        <f t="shared" si="53"/>
        <v>0</v>
      </c>
      <c r="AC143" s="116">
        <f t="shared" si="54"/>
        <v>0</v>
      </c>
      <c r="AD143" s="116">
        <f t="shared" si="55"/>
        <v>0</v>
      </c>
      <c r="AE143" s="116">
        <f t="shared" si="56"/>
        <v>0</v>
      </c>
    </row>
    <row r="144" spans="1:31">
      <c r="A144" s="131">
        <v>42075</v>
      </c>
      <c r="B144" s="131">
        <v>42106</v>
      </c>
      <c r="C144" s="123">
        <f t="shared" si="46"/>
        <v>31</v>
      </c>
      <c r="D144" s="151">
        <v>140.59</v>
      </c>
      <c r="E144" s="110"/>
      <c r="F144" s="123"/>
      <c r="G144" s="123"/>
      <c r="H144" s="123">
        <v>20</v>
      </c>
      <c r="I144" s="123">
        <v>11</v>
      </c>
      <c r="J144" s="123"/>
      <c r="K144" s="123"/>
      <c r="L144" s="123"/>
      <c r="M144" s="123"/>
      <c r="N144" s="123"/>
      <c r="O144" s="123"/>
      <c r="P144" s="123"/>
      <c r="Q144" s="123"/>
      <c r="R144" s="133">
        <f t="shared" si="57"/>
        <v>0</v>
      </c>
      <c r="S144" s="133"/>
      <c r="T144" s="116">
        <f t="shared" si="47"/>
        <v>0</v>
      </c>
      <c r="U144" s="116">
        <f t="shared" si="58"/>
        <v>0</v>
      </c>
      <c r="V144" s="116">
        <f t="shared" si="59"/>
        <v>2516.7399999999998</v>
      </c>
      <c r="W144" s="116">
        <f t="shared" si="48"/>
        <v>744.02</v>
      </c>
      <c r="X144" s="116">
        <f t="shared" si="49"/>
        <v>0</v>
      </c>
      <c r="Y144" s="116">
        <f t="shared" si="50"/>
        <v>0</v>
      </c>
      <c r="Z144" s="116">
        <f t="shared" si="51"/>
        <v>0</v>
      </c>
      <c r="AA144" s="116">
        <f t="shared" si="52"/>
        <v>0</v>
      </c>
      <c r="AB144" s="116">
        <f t="shared" si="53"/>
        <v>0</v>
      </c>
      <c r="AC144" s="116">
        <f t="shared" si="54"/>
        <v>0</v>
      </c>
      <c r="AD144" s="116">
        <f t="shared" si="55"/>
        <v>0</v>
      </c>
      <c r="AE144" s="116">
        <f t="shared" si="56"/>
        <v>0</v>
      </c>
    </row>
    <row r="145" spans="1:31">
      <c r="A145" s="131">
        <v>42071</v>
      </c>
      <c r="B145" s="131">
        <v>42101</v>
      </c>
      <c r="C145" s="123">
        <f t="shared" si="46"/>
        <v>30</v>
      </c>
      <c r="D145" s="151">
        <v>94.63</v>
      </c>
      <c r="E145" s="110"/>
      <c r="F145" s="123"/>
      <c r="G145" s="123"/>
      <c r="H145" s="123">
        <v>24</v>
      </c>
      <c r="I145" s="123">
        <v>6</v>
      </c>
      <c r="J145" s="123"/>
      <c r="K145" s="123"/>
      <c r="L145" s="123"/>
      <c r="M145" s="123"/>
      <c r="N145" s="123"/>
      <c r="O145" s="123"/>
      <c r="P145" s="123"/>
      <c r="Q145" s="123"/>
      <c r="R145" s="133">
        <f t="shared" si="57"/>
        <v>0</v>
      </c>
      <c r="S145" s="133"/>
      <c r="T145" s="116">
        <f t="shared" si="47"/>
        <v>0</v>
      </c>
      <c r="U145" s="116">
        <f t="shared" si="58"/>
        <v>0</v>
      </c>
      <c r="V145" s="116">
        <f t="shared" si="59"/>
        <v>2100.5500000000002</v>
      </c>
      <c r="W145" s="116">
        <f t="shared" si="48"/>
        <v>282.27</v>
      </c>
      <c r="X145" s="116">
        <f t="shared" si="49"/>
        <v>0</v>
      </c>
      <c r="Y145" s="116">
        <f t="shared" si="50"/>
        <v>0</v>
      </c>
      <c r="Z145" s="116">
        <f t="shared" si="51"/>
        <v>0</v>
      </c>
      <c r="AA145" s="116">
        <f t="shared" si="52"/>
        <v>0</v>
      </c>
      <c r="AB145" s="116">
        <f t="shared" si="53"/>
        <v>0</v>
      </c>
      <c r="AC145" s="116">
        <f t="shared" si="54"/>
        <v>0</v>
      </c>
      <c r="AD145" s="116">
        <f t="shared" si="55"/>
        <v>0</v>
      </c>
      <c r="AE145" s="116">
        <f t="shared" si="56"/>
        <v>0</v>
      </c>
    </row>
    <row r="146" spans="1:31" ht="15.75" thickBot="1">
      <c r="A146" s="131">
        <v>42075</v>
      </c>
      <c r="B146" s="131">
        <v>42103</v>
      </c>
      <c r="C146" s="123">
        <f t="shared" si="46"/>
        <v>28</v>
      </c>
      <c r="D146" s="151">
        <v>18.72</v>
      </c>
      <c r="E146" s="110"/>
      <c r="F146" s="123"/>
      <c r="G146" s="123"/>
      <c r="H146" s="123">
        <v>20</v>
      </c>
      <c r="I146" s="123">
        <v>8</v>
      </c>
      <c r="J146" s="123"/>
      <c r="K146" s="123"/>
      <c r="L146" s="123"/>
      <c r="M146" s="123"/>
      <c r="N146" s="123"/>
      <c r="O146" s="123"/>
      <c r="P146" s="123"/>
      <c r="Q146" s="123"/>
      <c r="R146" s="133">
        <f t="shared" si="57"/>
        <v>0</v>
      </c>
      <c r="S146" s="133"/>
      <c r="T146" s="116">
        <f t="shared" si="47"/>
        <v>0</v>
      </c>
      <c r="U146" s="116">
        <f t="shared" si="58"/>
        <v>0</v>
      </c>
      <c r="V146" s="116">
        <f t="shared" si="59"/>
        <v>371.02</v>
      </c>
      <c r="W146" s="116">
        <f t="shared" si="48"/>
        <v>79.77</v>
      </c>
      <c r="X146" s="116">
        <f t="shared" si="49"/>
        <v>0</v>
      </c>
      <c r="Y146" s="116">
        <f t="shared" si="50"/>
        <v>0</v>
      </c>
      <c r="Z146" s="116">
        <f t="shared" si="51"/>
        <v>0</v>
      </c>
      <c r="AA146" s="116">
        <f t="shared" si="52"/>
        <v>0</v>
      </c>
      <c r="AB146" s="116">
        <f t="shared" si="53"/>
        <v>0</v>
      </c>
      <c r="AC146" s="116">
        <f t="shared" si="54"/>
        <v>0</v>
      </c>
      <c r="AD146" s="116">
        <f t="shared" si="55"/>
        <v>0</v>
      </c>
      <c r="AE146" s="116">
        <f t="shared" si="56"/>
        <v>0</v>
      </c>
    </row>
    <row r="147" spans="1:31" ht="15.75" thickBot="1">
      <c r="A147" s="194" t="s">
        <v>39</v>
      </c>
      <c r="B147" s="195"/>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5"/>
      <c r="AD147" s="195"/>
      <c r="AE147" s="196"/>
    </row>
    <row r="148" spans="1:31">
      <c r="A148" s="131">
        <v>42078</v>
      </c>
      <c r="B148" s="131">
        <v>42109</v>
      </c>
      <c r="C148" s="123">
        <f t="shared" si="46"/>
        <v>31</v>
      </c>
      <c r="D148" s="132">
        <v>16671.650000000001</v>
      </c>
      <c r="E148" s="134"/>
      <c r="F148" s="135"/>
      <c r="G148" s="123"/>
      <c r="H148" s="123">
        <v>17</v>
      </c>
      <c r="I148" s="123">
        <v>14</v>
      </c>
      <c r="J148" s="123"/>
      <c r="K148" s="123"/>
      <c r="L148" s="123"/>
      <c r="M148" s="123"/>
      <c r="N148" s="123"/>
      <c r="O148" s="123"/>
      <c r="P148" s="123"/>
      <c r="Q148" s="123"/>
      <c r="R148" s="133">
        <f t="shared" si="57"/>
        <v>0</v>
      </c>
      <c r="S148" s="133"/>
      <c r="T148" s="116">
        <f t="shared" ref="T148:T177" si="60">ROUND((D148*F148/C148)/$C$6,2)</f>
        <v>0</v>
      </c>
      <c r="U148" s="116">
        <f t="shared" ref="U148:U177" si="61">ROUND(($D148*$G148/$C148)/$C$7,2)</f>
        <v>0</v>
      </c>
      <c r="V148" s="116">
        <v>192452.08</v>
      </c>
      <c r="W148" s="116">
        <v>147169.24</v>
      </c>
      <c r="X148" s="116">
        <f t="shared" ref="X148:X177" si="62">ROUND(($D148*$J148/$C148)/$C$10,2)</f>
        <v>0</v>
      </c>
      <c r="Y148" s="116">
        <f t="shared" ref="Y148:Y177" si="63">ROUND(($D148*$K148/$C148)/$C$11,2)</f>
        <v>0</v>
      </c>
      <c r="Z148" s="116">
        <f t="shared" ref="Z148:Z177" si="64">ROUND(($D148*$L148/$C148)/$C$12,2)</f>
        <v>0</v>
      </c>
      <c r="AA148" s="116">
        <f t="shared" ref="AA148:AA177" si="65">ROUND(($D148*$M148/$C148)/$C$13,2)</f>
        <v>0</v>
      </c>
      <c r="AB148" s="116">
        <f t="shared" ref="AB148:AB177" si="66">ROUND(($D148*$N148/$C148)/$C$14,2)</f>
        <v>0</v>
      </c>
      <c r="AC148" s="116">
        <f t="shared" ref="AC148:AC177" si="67">ROUND(($D148*$O148/$C148)/$C$15,2)</f>
        <v>0</v>
      </c>
      <c r="AD148" s="116">
        <f t="shared" ref="AD148:AD177" si="68">ROUND(($D148*$P148/$C148)/$C$16,2)</f>
        <v>0</v>
      </c>
      <c r="AE148" s="116">
        <f t="shared" ref="AE148:AE177" si="69">ROUND(($D148*$Q148/$C148)/$C$17,2)</f>
        <v>0</v>
      </c>
    </row>
    <row r="149" spans="1:31">
      <c r="A149" s="131">
        <v>42078</v>
      </c>
      <c r="B149" s="131">
        <v>42109</v>
      </c>
      <c r="C149" s="123">
        <f t="shared" si="46"/>
        <v>31</v>
      </c>
      <c r="D149" s="132">
        <v>3340.58</v>
      </c>
      <c r="E149" s="134"/>
      <c r="F149" s="135"/>
      <c r="G149" s="123"/>
      <c r="H149" s="123">
        <v>17</v>
      </c>
      <c r="I149" s="123">
        <v>14</v>
      </c>
      <c r="J149" s="123"/>
      <c r="K149" s="123"/>
      <c r="L149" s="123"/>
      <c r="M149" s="123"/>
      <c r="N149" s="123"/>
      <c r="O149" s="123"/>
      <c r="P149" s="123"/>
      <c r="Q149" s="123"/>
      <c r="R149" s="133">
        <f t="shared" si="57"/>
        <v>0</v>
      </c>
      <c r="S149" s="133"/>
      <c r="T149" s="116">
        <f t="shared" si="60"/>
        <v>0</v>
      </c>
      <c r="U149" s="116">
        <f t="shared" si="61"/>
        <v>0</v>
      </c>
      <c r="V149" s="116">
        <v>38562.559999999998</v>
      </c>
      <c r="W149" s="116">
        <v>29489.02</v>
      </c>
      <c r="X149" s="116">
        <f t="shared" si="62"/>
        <v>0</v>
      </c>
      <c r="Y149" s="116">
        <f t="shared" si="63"/>
        <v>0</v>
      </c>
      <c r="Z149" s="116">
        <f t="shared" si="64"/>
        <v>0</v>
      </c>
      <c r="AA149" s="116">
        <f t="shared" si="65"/>
        <v>0</v>
      </c>
      <c r="AB149" s="116">
        <f t="shared" si="66"/>
        <v>0</v>
      </c>
      <c r="AC149" s="116">
        <f t="shared" si="67"/>
        <v>0</v>
      </c>
      <c r="AD149" s="116">
        <f t="shared" si="68"/>
        <v>0</v>
      </c>
      <c r="AE149" s="116">
        <f t="shared" si="69"/>
        <v>0</v>
      </c>
    </row>
    <row r="150" spans="1:31">
      <c r="A150" s="131">
        <v>42078</v>
      </c>
      <c r="B150" s="131">
        <v>42109</v>
      </c>
      <c r="C150" s="123">
        <f t="shared" si="46"/>
        <v>31</v>
      </c>
      <c r="D150" s="132">
        <v>2082.0100000000002</v>
      </c>
      <c r="E150" s="134"/>
      <c r="F150" s="135"/>
      <c r="G150" s="123"/>
      <c r="H150" s="123">
        <v>17</v>
      </c>
      <c r="I150" s="123">
        <v>14</v>
      </c>
      <c r="J150" s="123"/>
      <c r="K150" s="123"/>
      <c r="L150" s="123"/>
      <c r="M150" s="123"/>
      <c r="N150" s="123"/>
      <c r="O150" s="123"/>
      <c r="P150" s="123"/>
      <c r="Q150" s="123"/>
      <c r="R150" s="133">
        <f t="shared" si="57"/>
        <v>0</v>
      </c>
      <c r="S150" s="133"/>
      <c r="T150" s="116">
        <f t="shared" si="60"/>
        <v>0</v>
      </c>
      <c r="U150" s="116">
        <f t="shared" si="61"/>
        <v>0</v>
      </c>
      <c r="V150" s="116">
        <v>24034.04</v>
      </c>
      <c r="W150" s="116">
        <v>18378.98</v>
      </c>
      <c r="X150" s="116">
        <f t="shared" si="62"/>
        <v>0</v>
      </c>
      <c r="Y150" s="116">
        <f t="shared" si="63"/>
        <v>0</v>
      </c>
      <c r="Z150" s="116">
        <f t="shared" si="64"/>
        <v>0</v>
      </c>
      <c r="AA150" s="116">
        <f t="shared" si="65"/>
        <v>0</v>
      </c>
      <c r="AB150" s="116">
        <f t="shared" si="66"/>
        <v>0</v>
      </c>
      <c r="AC150" s="116">
        <f t="shared" si="67"/>
        <v>0</v>
      </c>
      <c r="AD150" s="116">
        <f t="shared" si="68"/>
        <v>0</v>
      </c>
      <c r="AE150" s="116">
        <f t="shared" si="69"/>
        <v>0</v>
      </c>
    </row>
    <row r="151" spans="1:31">
      <c r="A151" s="131">
        <v>42082</v>
      </c>
      <c r="B151" s="131">
        <v>42113</v>
      </c>
      <c r="C151" s="123">
        <f t="shared" si="46"/>
        <v>31</v>
      </c>
      <c r="D151" s="132">
        <v>325.15000000000003</v>
      </c>
      <c r="E151" s="134"/>
      <c r="F151" s="135"/>
      <c r="G151" s="123"/>
      <c r="H151" s="123">
        <v>13</v>
      </c>
      <c r="I151" s="123">
        <v>18</v>
      </c>
      <c r="J151" s="123"/>
      <c r="K151" s="123"/>
      <c r="L151" s="123"/>
      <c r="M151" s="123"/>
      <c r="N151" s="123"/>
      <c r="O151" s="123"/>
      <c r="P151" s="123"/>
      <c r="Q151" s="123"/>
      <c r="R151" s="133">
        <f t="shared" si="57"/>
        <v>0</v>
      </c>
      <c r="S151" s="133"/>
      <c r="T151" s="116">
        <f t="shared" si="60"/>
        <v>0</v>
      </c>
      <c r="U151" s="116">
        <f t="shared" si="61"/>
        <v>0</v>
      </c>
      <c r="V151" s="116">
        <f>ROUND(($D151*$H151/$C151)/$C$8,2)</f>
        <v>3783.39</v>
      </c>
      <c r="W151" s="116">
        <f>ROUND(($D151*$I151/$C151)/$C$9,2)</f>
        <v>2815.76</v>
      </c>
      <c r="X151" s="116">
        <f t="shared" si="62"/>
        <v>0</v>
      </c>
      <c r="Y151" s="116">
        <f t="shared" si="63"/>
        <v>0</v>
      </c>
      <c r="Z151" s="116">
        <f t="shared" si="64"/>
        <v>0</v>
      </c>
      <c r="AA151" s="116">
        <f t="shared" si="65"/>
        <v>0</v>
      </c>
      <c r="AB151" s="116">
        <f t="shared" si="66"/>
        <v>0</v>
      </c>
      <c r="AC151" s="116">
        <f t="shared" si="67"/>
        <v>0</v>
      </c>
      <c r="AD151" s="116">
        <f t="shared" si="68"/>
        <v>0</v>
      </c>
      <c r="AE151" s="116">
        <f t="shared" si="69"/>
        <v>0</v>
      </c>
    </row>
    <row r="152" spans="1:31">
      <c r="A152" s="131">
        <v>42082</v>
      </c>
      <c r="B152" s="131">
        <v>42113</v>
      </c>
      <c r="C152" s="123">
        <f t="shared" si="46"/>
        <v>31</v>
      </c>
      <c r="D152" s="132">
        <v>1071.96</v>
      </c>
      <c r="E152" s="134"/>
      <c r="F152" s="135"/>
      <c r="G152" s="123"/>
      <c r="H152" s="123">
        <v>13</v>
      </c>
      <c r="I152" s="123">
        <v>18</v>
      </c>
      <c r="J152" s="123"/>
      <c r="K152" s="123"/>
      <c r="L152" s="123"/>
      <c r="M152" s="123"/>
      <c r="N152" s="123"/>
      <c r="O152" s="123"/>
      <c r="P152" s="123"/>
      <c r="Q152" s="123"/>
      <c r="R152" s="133">
        <f t="shared" si="57"/>
        <v>0</v>
      </c>
      <c r="S152" s="133"/>
      <c r="T152" s="116">
        <f t="shared" si="60"/>
        <v>0</v>
      </c>
      <c r="U152" s="116">
        <f t="shared" si="61"/>
        <v>0</v>
      </c>
      <c r="V152" s="116">
        <f>ROUND(($D152*$H152/$C152)/$C$8,2)</f>
        <v>12473.13</v>
      </c>
      <c r="W152" s="116">
        <f>ROUND(($D152*$I152/$C152)/$C$9,2)</f>
        <v>9283.0499999999993</v>
      </c>
      <c r="X152" s="116">
        <f t="shared" si="62"/>
        <v>0</v>
      </c>
      <c r="Y152" s="116">
        <f t="shared" si="63"/>
        <v>0</v>
      </c>
      <c r="Z152" s="116">
        <f t="shared" si="64"/>
        <v>0</v>
      </c>
      <c r="AA152" s="116">
        <f t="shared" si="65"/>
        <v>0</v>
      </c>
      <c r="AB152" s="116">
        <f t="shared" si="66"/>
        <v>0</v>
      </c>
      <c r="AC152" s="116">
        <f t="shared" si="67"/>
        <v>0</v>
      </c>
      <c r="AD152" s="116">
        <f t="shared" si="68"/>
        <v>0</v>
      </c>
      <c r="AE152" s="116">
        <f t="shared" si="69"/>
        <v>0</v>
      </c>
    </row>
    <row r="153" spans="1:31">
      <c r="A153" s="131">
        <v>42078</v>
      </c>
      <c r="B153" s="131">
        <v>42109</v>
      </c>
      <c r="C153" s="123">
        <f t="shared" ref="C153:C217" si="70">B153-A153</f>
        <v>31</v>
      </c>
      <c r="D153" s="132">
        <v>8.9</v>
      </c>
      <c r="E153" s="134"/>
      <c r="F153" s="135"/>
      <c r="G153" s="123"/>
      <c r="H153" s="123">
        <v>17</v>
      </c>
      <c r="I153" s="123">
        <v>14</v>
      </c>
      <c r="J153" s="123"/>
      <c r="K153" s="123"/>
      <c r="L153" s="123"/>
      <c r="M153" s="123"/>
      <c r="N153" s="123"/>
      <c r="O153" s="123"/>
      <c r="P153" s="123"/>
      <c r="Q153" s="123"/>
      <c r="R153" s="133">
        <f t="shared" si="57"/>
        <v>0</v>
      </c>
      <c r="S153" s="133"/>
      <c r="T153" s="116">
        <f t="shared" si="60"/>
        <v>0</v>
      </c>
      <c r="U153" s="116">
        <f t="shared" si="61"/>
        <v>0</v>
      </c>
      <c r="V153" s="116">
        <f>ROUND(($D153*$H153/$C153)/$C$8,2)</f>
        <v>135.41999999999999</v>
      </c>
      <c r="W153" s="116">
        <f>ROUND(($D153*$I153/$C153)/$C$9,2)</f>
        <v>59.95</v>
      </c>
      <c r="X153" s="116">
        <f t="shared" si="62"/>
        <v>0</v>
      </c>
      <c r="Y153" s="116">
        <f t="shared" si="63"/>
        <v>0</v>
      </c>
      <c r="Z153" s="116">
        <f t="shared" si="64"/>
        <v>0</v>
      </c>
      <c r="AA153" s="116">
        <f t="shared" si="65"/>
        <v>0</v>
      </c>
      <c r="AB153" s="116">
        <f t="shared" si="66"/>
        <v>0</v>
      </c>
      <c r="AC153" s="116">
        <f t="shared" si="67"/>
        <v>0</v>
      </c>
      <c r="AD153" s="116">
        <f t="shared" si="68"/>
        <v>0</v>
      </c>
      <c r="AE153" s="116">
        <f t="shared" si="69"/>
        <v>0</v>
      </c>
    </row>
    <row r="154" spans="1:31">
      <c r="A154" s="131">
        <v>42082</v>
      </c>
      <c r="B154" s="131">
        <v>42113</v>
      </c>
      <c r="C154" s="123">
        <f t="shared" si="70"/>
        <v>31</v>
      </c>
      <c r="D154" s="132">
        <v>170.23</v>
      </c>
      <c r="E154" s="134"/>
      <c r="F154" s="135"/>
      <c r="G154" s="123"/>
      <c r="H154" s="123">
        <v>13</v>
      </c>
      <c r="I154" s="123">
        <v>18</v>
      </c>
      <c r="J154" s="123"/>
      <c r="K154" s="123"/>
      <c r="L154" s="123"/>
      <c r="M154" s="123"/>
      <c r="N154" s="123"/>
      <c r="O154" s="123"/>
      <c r="P154" s="123"/>
      <c r="Q154" s="123"/>
      <c r="R154" s="133">
        <f t="shared" si="57"/>
        <v>0</v>
      </c>
      <c r="S154" s="133"/>
      <c r="T154" s="116">
        <f t="shared" si="60"/>
        <v>0</v>
      </c>
      <c r="U154" s="116">
        <f t="shared" si="61"/>
        <v>0</v>
      </c>
      <c r="V154" s="116">
        <f>ROUND(($D154*$H154/$C154)/$C$8,2)</f>
        <v>1980.77</v>
      </c>
      <c r="W154" s="116">
        <f>ROUND(($D154*$I154/$C154)/$C$9,2)</f>
        <v>1474.17</v>
      </c>
      <c r="X154" s="116">
        <f t="shared" si="62"/>
        <v>0</v>
      </c>
      <c r="Y154" s="116">
        <f t="shared" si="63"/>
        <v>0</v>
      </c>
      <c r="Z154" s="116">
        <f t="shared" si="64"/>
        <v>0</v>
      </c>
      <c r="AA154" s="116">
        <f t="shared" si="65"/>
        <v>0</v>
      </c>
      <c r="AB154" s="116">
        <f t="shared" si="66"/>
        <v>0</v>
      </c>
      <c r="AC154" s="116">
        <f t="shared" si="67"/>
        <v>0</v>
      </c>
      <c r="AD154" s="116">
        <f t="shared" si="68"/>
        <v>0</v>
      </c>
      <c r="AE154" s="116">
        <f t="shared" si="69"/>
        <v>0</v>
      </c>
    </row>
    <row r="155" spans="1:31">
      <c r="A155" s="131">
        <v>42085</v>
      </c>
      <c r="B155" s="131">
        <v>42116</v>
      </c>
      <c r="C155" s="123">
        <f t="shared" si="70"/>
        <v>31</v>
      </c>
      <c r="D155" s="132">
        <v>136304.71</v>
      </c>
      <c r="E155" s="134"/>
      <c r="F155" s="135"/>
      <c r="G155" s="123"/>
      <c r="H155" s="123">
        <v>10</v>
      </c>
      <c r="I155" s="123">
        <v>21</v>
      </c>
      <c r="J155" s="123"/>
      <c r="K155" s="123"/>
      <c r="L155" s="123"/>
      <c r="M155" s="123"/>
      <c r="N155" s="123"/>
      <c r="O155" s="123"/>
      <c r="P155" s="123"/>
      <c r="Q155" s="123"/>
      <c r="R155" s="133">
        <f t="shared" si="57"/>
        <v>0</v>
      </c>
      <c r="S155" s="133"/>
      <c r="T155" s="116">
        <f t="shared" si="60"/>
        <v>0</v>
      </c>
      <c r="U155" s="116">
        <f t="shared" si="61"/>
        <v>0</v>
      </c>
      <c r="V155" s="116">
        <v>730569</v>
      </c>
      <c r="W155" s="116">
        <v>1704661</v>
      </c>
      <c r="X155" s="116">
        <f t="shared" si="62"/>
        <v>0</v>
      </c>
      <c r="Y155" s="116">
        <f t="shared" si="63"/>
        <v>0</v>
      </c>
      <c r="Z155" s="116">
        <f t="shared" si="64"/>
        <v>0</v>
      </c>
      <c r="AA155" s="116">
        <f t="shared" si="65"/>
        <v>0</v>
      </c>
      <c r="AB155" s="116">
        <f t="shared" si="66"/>
        <v>0</v>
      </c>
      <c r="AC155" s="116">
        <f t="shared" si="67"/>
        <v>0</v>
      </c>
      <c r="AD155" s="116">
        <f t="shared" si="68"/>
        <v>0</v>
      </c>
      <c r="AE155" s="116">
        <f t="shared" si="69"/>
        <v>0</v>
      </c>
    </row>
    <row r="156" spans="1:31">
      <c r="A156" s="131">
        <v>42089</v>
      </c>
      <c r="B156" s="131">
        <v>42120</v>
      </c>
      <c r="C156" s="123">
        <f t="shared" si="70"/>
        <v>31</v>
      </c>
      <c r="D156" s="132">
        <v>1082.04</v>
      </c>
      <c r="E156" s="134"/>
      <c r="F156" s="135"/>
      <c r="G156" s="123"/>
      <c r="H156" s="123">
        <v>6</v>
      </c>
      <c r="I156" s="123">
        <v>25</v>
      </c>
      <c r="J156" s="123"/>
      <c r="K156" s="123"/>
      <c r="L156" s="123"/>
      <c r="M156" s="123"/>
      <c r="N156" s="123"/>
      <c r="O156" s="123"/>
      <c r="P156" s="123"/>
      <c r="Q156" s="123"/>
      <c r="R156" s="133">
        <f t="shared" si="57"/>
        <v>0</v>
      </c>
      <c r="S156" s="133"/>
      <c r="T156" s="116">
        <f t="shared" si="60"/>
        <v>0</v>
      </c>
      <c r="U156" s="116">
        <f t="shared" si="61"/>
        <v>0</v>
      </c>
      <c r="V156" s="116">
        <f>ROUND(($D156*$H156/$C156)/$C$8,2)</f>
        <v>5810.96</v>
      </c>
      <c r="W156" s="116">
        <f>ROUND(($D156*$I156/$C156)/$C$9,2)</f>
        <v>13014.36</v>
      </c>
      <c r="X156" s="116">
        <f t="shared" si="62"/>
        <v>0</v>
      </c>
      <c r="Y156" s="116">
        <f t="shared" si="63"/>
        <v>0</v>
      </c>
      <c r="Z156" s="116">
        <f t="shared" si="64"/>
        <v>0</v>
      </c>
      <c r="AA156" s="116">
        <f t="shared" si="65"/>
        <v>0</v>
      </c>
      <c r="AB156" s="116">
        <f t="shared" si="66"/>
        <v>0</v>
      </c>
      <c r="AC156" s="116">
        <f t="shared" si="67"/>
        <v>0</v>
      </c>
      <c r="AD156" s="116">
        <f t="shared" si="68"/>
        <v>0</v>
      </c>
      <c r="AE156" s="116">
        <f t="shared" si="69"/>
        <v>0</v>
      </c>
    </row>
    <row r="157" spans="1:31">
      <c r="A157" s="131">
        <v>42091</v>
      </c>
      <c r="B157" s="131">
        <v>42122</v>
      </c>
      <c r="C157" s="123">
        <f t="shared" si="70"/>
        <v>31</v>
      </c>
      <c r="D157" s="132">
        <v>612.09</v>
      </c>
      <c r="E157" s="134"/>
      <c r="F157" s="135"/>
      <c r="G157" s="123"/>
      <c r="H157" s="123">
        <v>4</v>
      </c>
      <c r="I157" s="123">
        <v>27</v>
      </c>
      <c r="J157" s="123"/>
      <c r="K157" s="123"/>
      <c r="L157" s="123"/>
      <c r="M157" s="123"/>
      <c r="N157" s="123"/>
      <c r="O157" s="123"/>
      <c r="P157" s="123"/>
      <c r="Q157" s="123"/>
      <c r="R157" s="133">
        <f t="shared" si="57"/>
        <v>0</v>
      </c>
      <c r="S157" s="133"/>
      <c r="T157" s="116">
        <f t="shared" si="60"/>
        <v>0</v>
      </c>
      <c r="U157" s="116">
        <f t="shared" si="61"/>
        <v>0</v>
      </c>
      <c r="V157" s="116">
        <f>ROUND(($D157*$H157/$C157)/$C$8,2)</f>
        <v>2191.44</v>
      </c>
      <c r="W157" s="116">
        <f>ROUND(($D157*$I157/$C157)/$C$9,2)</f>
        <v>7950.94</v>
      </c>
      <c r="X157" s="116">
        <f t="shared" si="62"/>
        <v>0</v>
      </c>
      <c r="Y157" s="116">
        <f t="shared" si="63"/>
        <v>0</v>
      </c>
      <c r="Z157" s="116">
        <f t="shared" si="64"/>
        <v>0</v>
      </c>
      <c r="AA157" s="116">
        <f t="shared" si="65"/>
        <v>0</v>
      </c>
      <c r="AB157" s="116">
        <f t="shared" si="66"/>
        <v>0</v>
      </c>
      <c r="AC157" s="116">
        <f t="shared" si="67"/>
        <v>0</v>
      </c>
      <c r="AD157" s="116">
        <f t="shared" si="68"/>
        <v>0</v>
      </c>
      <c r="AE157" s="116">
        <f t="shared" si="69"/>
        <v>0</v>
      </c>
    </row>
    <row r="158" spans="1:31">
      <c r="A158" s="131">
        <v>42089</v>
      </c>
      <c r="B158" s="131">
        <v>42120</v>
      </c>
      <c r="C158" s="123">
        <f t="shared" si="70"/>
        <v>31</v>
      </c>
      <c r="D158" s="132">
        <v>707.14</v>
      </c>
      <c r="E158" s="134"/>
      <c r="F158" s="135"/>
      <c r="G158" s="123"/>
      <c r="H158" s="123">
        <v>6</v>
      </c>
      <c r="I158" s="123">
        <v>25</v>
      </c>
      <c r="J158" s="123"/>
      <c r="K158" s="123"/>
      <c r="L158" s="123"/>
      <c r="M158" s="123"/>
      <c r="N158" s="123"/>
      <c r="O158" s="123"/>
      <c r="P158" s="123"/>
      <c r="Q158" s="123"/>
      <c r="R158" s="133">
        <f t="shared" si="57"/>
        <v>0</v>
      </c>
      <c r="S158" s="133"/>
      <c r="T158" s="116">
        <f t="shared" si="60"/>
        <v>0</v>
      </c>
      <c r="U158" s="116">
        <f t="shared" si="61"/>
        <v>0</v>
      </c>
      <c r="V158" s="116">
        <f>ROUND(($D158*$H158/$C158)/$C$8,2)</f>
        <v>3797.61</v>
      </c>
      <c r="W158" s="116">
        <f>ROUND(($D158*$I158/$C158)/$C$9,2)</f>
        <v>8505.2099999999991</v>
      </c>
      <c r="X158" s="116">
        <f t="shared" si="62"/>
        <v>0</v>
      </c>
      <c r="Y158" s="116">
        <f t="shared" si="63"/>
        <v>0</v>
      </c>
      <c r="Z158" s="116">
        <f t="shared" si="64"/>
        <v>0</v>
      </c>
      <c r="AA158" s="116">
        <f t="shared" si="65"/>
        <v>0</v>
      </c>
      <c r="AB158" s="116">
        <f t="shared" si="66"/>
        <v>0</v>
      </c>
      <c r="AC158" s="116">
        <f t="shared" si="67"/>
        <v>0</v>
      </c>
      <c r="AD158" s="116">
        <f t="shared" si="68"/>
        <v>0</v>
      </c>
      <c r="AE158" s="116">
        <f t="shared" si="69"/>
        <v>0</v>
      </c>
    </row>
    <row r="159" spans="1:31">
      <c r="A159" s="131">
        <v>42095</v>
      </c>
      <c r="B159" s="131">
        <v>42125</v>
      </c>
      <c r="C159" s="123">
        <f t="shared" si="70"/>
        <v>30</v>
      </c>
      <c r="D159" s="132">
        <v>175.28</v>
      </c>
      <c r="E159" s="134"/>
      <c r="F159" s="135"/>
      <c r="G159" s="123"/>
      <c r="H159" s="123"/>
      <c r="I159" s="123">
        <v>30</v>
      </c>
      <c r="J159" s="123"/>
      <c r="K159" s="123"/>
      <c r="L159" s="123"/>
      <c r="M159" s="123"/>
      <c r="N159" s="123"/>
      <c r="O159" s="123"/>
      <c r="P159" s="123"/>
      <c r="Q159" s="123"/>
      <c r="R159" s="133">
        <f t="shared" si="57"/>
        <v>0</v>
      </c>
      <c r="S159" s="133"/>
      <c r="T159" s="116">
        <f t="shared" si="60"/>
        <v>0</v>
      </c>
      <c r="U159" s="116">
        <f t="shared" si="61"/>
        <v>0</v>
      </c>
      <c r="V159" s="116">
        <f>ROUND(($D159*$H159/$C159)/$C$8,2)</f>
        <v>0</v>
      </c>
      <c r="W159" s="116">
        <f>ROUND(($D159*$I159/$C159)/$C$9,2)</f>
        <v>2614.17</v>
      </c>
      <c r="X159" s="116">
        <f t="shared" si="62"/>
        <v>0</v>
      </c>
      <c r="Y159" s="116">
        <f t="shared" si="63"/>
        <v>0</v>
      </c>
      <c r="Z159" s="116">
        <f t="shared" si="64"/>
        <v>0</v>
      </c>
      <c r="AA159" s="116">
        <f t="shared" si="65"/>
        <v>0</v>
      </c>
      <c r="AB159" s="116">
        <f t="shared" si="66"/>
        <v>0</v>
      </c>
      <c r="AC159" s="116">
        <f t="shared" si="67"/>
        <v>0</v>
      </c>
      <c r="AD159" s="116">
        <f t="shared" si="68"/>
        <v>0</v>
      </c>
      <c r="AE159" s="116">
        <f t="shared" si="69"/>
        <v>0</v>
      </c>
    </row>
    <row r="160" spans="1:31">
      <c r="A160" s="131">
        <v>42094</v>
      </c>
      <c r="B160" s="131">
        <v>42124</v>
      </c>
      <c r="C160" s="123">
        <f t="shared" si="70"/>
        <v>30</v>
      </c>
      <c r="D160" s="132">
        <v>4313.04</v>
      </c>
      <c r="E160" s="134"/>
      <c r="F160" s="135"/>
      <c r="G160" s="123"/>
      <c r="H160" s="123">
        <v>1</v>
      </c>
      <c r="I160" s="123">
        <v>29</v>
      </c>
      <c r="J160" s="123"/>
      <c r="K160" s="123"/>
      <c r="L160" s="123"/>
      <c r="M160" s="123"/>
      <c r="N160" s="123"/>
      <c r="O160" s="123"/>
      <c r="P160" s="123"/>
      <c r="Q160" s="123"/>
      <c r="R160" s="133">
        <f t="shared" si="57"/>
        <v>0</v>
      </c>
      <c r="S160" s="133"/>
      <c r="T160" s="116">
        <f t="shared" si="60"/>
        <v>0</v>
      </c>
      <c r="U160" s="116">
        <f t="shared" si="61"/>
        <v>0</v>
      </c>
      <c r="V160" s="116">
        <v>2622.8</v>
      </c>
      <c r="W160" s="116">
        <f>78683.94-V160</f>
        <v>76061.14</v>
      </c>
      <c r="X160" s="116">
        <f t="shared" si="62"/>
        <v>0</v>
      </c>
      <c r="Y160" s="116">
        <f t="shared" si="63"/>
        <v>0</v>
      </c>
      <c r="Z160" s="116">
        <f t="shared" si="64"/>
        <v>0</v>
      </c>
      <c r="AA160" s="116">
        <f t="shared" si="65"/>
        <v>0</v>
      </c>
      <c r="AB160" s="116">
        <f t="shared" si="66"/>
        <v>0</v>
      </c>
      <c r="AC160" s="116">
        <f t="shared" si="67"/>
        <v>0</v>
      </c>
      <c r="AD160" s="116">
        <f t="shared" si="68"/>
        <v>0</v>
      </c>
      <c r="AE160" s="116">
        <f t="shared" si="69"/>
        <v>0</v>
      </c>
    </row>
    <row r="161" spans="1:31">
      <c r="A161" s="131">
        <v>42095</v>
      </c>
      <c r="B161" s="131">
        <v>42125</v>
      </c>
      <c r="C161" s="123">
        <f t="shared" si="70"/>
        <v>30</v>
      </c>
      <c r="D161" s="132">
        <v>9343.94</v>
      </c>
      <c r="E161" s="134"/>
      <c r="F161" s="135"/>
      <c r="G161" s="123"/>
      <c r="H161" s="123"/>
      <c r="I161" s="123">
        <v>30</v>
      </c>
      <c r="J161" s="123"/>
      <c r="K161" s="123"/>
      <c r="L161" s="123"/>
      <c r="M161" s="123"/>
      <c r="N161" s="123"/>
      <c r="O161" s="123"/>
      <c r="P161" s="123"/>
      <c r="Q161" s="123"/>
      <c r="R161" s="133">
        <f t="shared" si="57"/>
        <v>0</v>
      </c>
      <c r="S161" s="133"/>
      <c r="T161" s="116">
        <f t="shared" si="60"/>
        <v>0</v>
      </c>
      <c r="U161" s="116">
        <f t="shared" si="61"/>
        <v>0</v>
      </c>
      <c r="V161" s="116">
        <f t="shared" ref="V161:V177" si="71">ROUND(($D161*$H161/$C161)/$C$8,2)</f>
        <v>0</v>
      </c>
      <c r="W161" s="116">
        <f t="shared" ref="W161:W177" si="72">ROUND(($D161*$I161/$C161)/$C$9,2)</f>
        <v>139357.79</v>
      </c>
      <c r="X161" s="116">
        <f t="shared" si="62"/>
        <v>0</v>
      </c>
      <c r="Y161" s="116">
        <f t="shared" si="63"/>
        <v>0</v>
      </c>
      <c r="Z161" s="116">
        <f t="shared" si="64"/>
        <v>0</v>
      </c>
      <c r="AA161" s="116">
        <f t="shared" si="65"/>
        <v>0</v>
      </c>
      <c r="AB161" s="116">
        <f t="shared" si="66"/>
        <v>0</v>
      </c>
      <c r="AC161" s="116">
        <f t="shared" si="67"/>
        <v>0</v>
      </c>
      <c r="AD161" s="116">
        <f t="shared" si="68"/>
        <v>0</v>
      </c>
      <c r="AE161" s="116">
        <f t="shared" si="69"/>
        <v>0</v>
      </c>
    </row>
    <row r="162" spans="1:31">
      <c r="A162" s="131">
        <v>42095</v>
      </c>
      <c r="B162" s="131">
        <v>42125</v>
      </c>
      <c r="C162" s="123">
        <f t="shared" si="70"/>
        <v>30</v>
      </c>
      <c r="D162" s="132">
        <v>109676.07</v>
      </c>
      <c r="E162" s="134"/>
      <c r="F162" s="135"/>
      <c r="G162" s="123"/>
      <c r="H162" s="123"/>
      <c r="I162" s="123">
        <v>30</v>
      </c>
      <c r="J162" s="123"/>
      <c r="K162" s="123"/>
      <c r="L162" s="123"/>
      <c r="M162" s="123"/>
      <c r="N162" s="123"/>
      <c r="O162" s="123"/>
      <c r="P162" s="123"/>
      <c r="Q162" s="123"/>
      <c r="R162" s="133">
        <f t="shared" si="57"/>
        <v>0</v>
      </c>
      <c r="S162" s="133"/>
      <c r="T162" s="116">
        <f t="shared" si="60"/>
        <v>0</v>
      </c>
      <c r="U162" s="116">
        <f t="shared" si="61"/>
        <v>0</v>
      </c>
      <c r="V162" s="116">
        <f t="shared" si="71"/>
        <v>0</v>
      </c>
      <c r="W162" s="116">
        <f t="shared" si="72"/>
        <v>1635735.57</v>
      </c>
      <c r="X162" s="116">
        <f t="shared" si="62"/>
        <v>0</v>
      </c>
      <c r="Y162" s="116">
        <f t="shared" si="63"/>
        <v>0</v>
      </c>
      <c r="Z162" s="116">
        <f t="shared" si="64"/>
        <v>0</v>
      </c>
      <c r="AA162" s="116">
        <f t="shared" si="65"/>
        <v>0</v>
      </c>
      <c r="AB162" s="116">
        <f t="shared" si="66"/>
        <v>0</v>
      </c>
      <c r="AC162" s="116">
        <f t="shared" si="67"/>
        <v>0</v>
      </c>
      <c r="AD162" s="116">
        <f t="shared" si="68"/>
        <v>0</v>
      </c>
      <c r="AE162" s="116">
        <f t="shared" si="69"/>
        <v>0</v>
      </c>
    </row>
    <row r="163" spans="1:31">
      <c r="A163" s="131">
        <v>42095</v>
      </c>
      <c r="B163" s="131">
        <v>42125</v>
      </c>
      <c r="C163" s="123">
        <f t="shared" si="70"/>
        <v>30</v>
      </c>
      <c r="D163" s="132">
        <v>2026.61</v>
      </c>
      <c r="E163" s="134"/>
      <c r="F163" s="135"/>
      <c r="G163" s="123"/>
      <c r="H163" s="123"/>
      <c r="I163" s="123">
        <v>30</v>
      </c>
      <c r="J163" s="123"/>
      <c r="K163" s="123"/>
      <c r="L163" s="123"/>
      <c r="M163" s="123"/>
      <c r="N163" s="123"/>
      <c r="O163" s="123"/>
      <c r="P163" s="123"/>
      <c r="Q163" s="123"/>
      <c r="R163" s="133">
        <f t="shared" si="57"/>
        <v>0</v>
      </c>
      <c r="S163" s="133"/>
      <c r="T163" s="116">
        <f t="shared" si="60"/>
        <v>0</v>
      </c>
      <c r="U163" s="116">
        <f t="shared" si="61"/>
        <v>0</v>
      </c>
      <c r="V163" s="116">
        <f t="shared" si="71"/>
        <v>0</v>
      </c>
      <c r="W163" s="116">
        <f t="shared" si="72"/>
        <v>30225.35</v>
      </c>
      <c r="X163" s="116">
        <f t="shared" si="62"/>
        <v>0</v>
      </c>
      <c r="Y163" s="116">
        <f t="shared" si="63"/>
        <v>0</v>
      </c>
      <c r="Z163" s="116">
        <f t="shared" si="64"/>
        <v>0</v>
      </c>
      <c r="AA163" s="116">
        <f t="shared" si="65"/>
        <v>0</v>
      </c>
      <c r="AB163" s="116">
        <f t="shared" si="66"/>
        <v>0</v>
      </c>
      <c r="AC163" s="116">
        <f t="shared" si="67"/>
        <v>0</v>
      </c>
      <c r="AD163" s="116">
        <f t="shared" si="68"/>
        <v>0</v>
      </c>
      <c r="AE163" s="116">
        <f t="shared" si="69"/>
        <v>0</v>
      </c>
    </row>
    <row r="164" spans="1:31">
      <c r="A164" s="131">
        <v>42095</v>
      </c>
      <c r="B164" s="131">
        <v>42125</v>
      </c>
      <c r="C164" s="123">
        <f t="shared" si="70"/>
        <v>30</v>
      </c>
      <c r="D164" s="132">
        <v>33359.1</v>
      </c>
      <c r="E164" s="134"/>
      <c r="F164" s="135"/>
      <c r="G164" s="123"/>
      <c r="H164" s="123"/>
      <c r="I164" s="123">
        <v>30</v>
      </c>
      <c r="J164" s="123"/>
      <c r="K164" s="123"/>
      <c r="L164" s="123"/>
      <c r="M164" s="123"/>
      <c r="N164" s="123"/>
      <c r="O164" s="123"/>
      <c r="P164" s="123"/>
      <c r="Q164" s="123"/>
      <c r="R164" s="133">
        <f t="shared" si="57"/>
        <v>0</v>
      </c>
      <c r="S164" s="133"/>
      <c r="T164" s="116">
        <f t="shared" si="60"/>
        <v>0</v>
      </c>
      <c r="U164" s="116">
        <f t="shared" si="61"/>
        <v>0</v>
      </c>
      <c r="V164" s="116">
        <f t="shared" si="71"/>
        <v>0</v>
      </c>
      <c r="W164" s="116">
        <f t="shared" si="72"/>
        <v>497525.73</v>
      </c>
      <c r="X164" s="116">
        <f t="shared" si="62"/>
        <v>0</v>
      </c>
      <c r="Y164" s="116">
        <f t="shared" si="63"/>
        <v>0</v>
      </c>
      <c r="Z164" s="116">
        <f t="shared" si="64"/>
        <v>0</v>
      </c>
      <c r="AA164" s="116">
        <f t="shared" si="65"/>
        <v>0</v>
      </c>
      <c r="AB164" s="116">
        <f t="shared" si="66"/>
        <v>0</v>
      </c>
      <c r="AC164" s="116">
        <f t="shared" si="67"/>
        <v>0</v>
      </c>
      <c r="AD164" s="116">
        <f t="shared" si="68"/>
        <v>0</v>
      </c>
      <c r="AE164" s="116">
        <f t="shared" si="69"/>
        <v>0</v>
      </c>
    </row>
    <row r="165" spans="1:31">
      <c r="A165" s="131">
        <v>42095</v>
      </c>
      <c r="B165" s="131">
        <v>42125</v>
      </c>
      <c r="C165" s="123">
        <f t="shared" si="70"/>
        <v>30</v>
      </c>
      <c r="D165" s="132">
        <v>192.13</v>
      </c>
      <c r="E165" s="134"/>
      <c r="F165" s="135"/>
      <c r="G165" s="123"/>
      <c r="H165" s="123"/>
      <c r="I165" s="123">
        <v>30</v>
      </c>
      <c r="J165" s="123"/>
      <c r="K165" s="123"/>
      <c r="L165" s="123"/>
      <c r="M165" s="123"/>
      <c r="N165" s="123"/>
      <c r="O165" s="123"/>
      <c r="P165" s="123"/>
      <c r="Q165" s="123"/>
      <c r="R165" s="133">
        <f t="shared" si="57"/>
        <v>0</v>
      </c>
      <c r="S165" s="133"/>
      <c r="T165" s="116">
        <f t="shared" si="60"/>
        <v>0</v>
      </c>
      <c r="U165" s="116">
        <f t="shared" si="61"/>
        <v>0</v>
      </c>
      <c r="V165" s="116">
        <f t="shared" si="71"/>
        <v>0</v>
      </c>
      <c r="W165" s="116">
        <f t="shared" si="72"/>
        <v>2865.47</v>
      </c>
      <c r="X165" s="116">
        <f t="shared" si="62"/>
        <v>0</v>
      </c>
      <c r="Y165" s="116">
        <f t="shared" si="63"/>
        <v>0</v>
      </c>
      <c r="Z165" s="116">
        <f t="shared" si="64"/>
        <v>0</v>
      </c>
      <c r="AA165" s="116">
        <f t="shared" si="65"/>
        <v>0</v>
      </c>
      <c r="AB165" s="116">
        <f t="shared" si="66"/>
        <v>0</v>
      </c>
      <c r="AC165" s="116">
        <f t="shared" si="67"/>
        <v>0</v>
      </c>
      <c r="AD165" s="116">
        <f t="shared" si="68"/>
        <v>0</v>
      </c>
      <c r="AE165" s="116">
        <f t="shared" si="69"/>
        <v>0</v>
      </c>
    </row>
    <row r="166" spans="1:31">
      <c r="A166" s="131">
        <v>42095</v>
      </c>
      <c r="B166" s="131">
        <v>42125</v>
      </c>
      <c r="C166" s="123">
        <f t="shared" si="70"/>
        <v>30</v>
      </c>
      <c r="D166" s="132">
        <v>1150.6500000000001</v>
      </c>
      <c r="E166" s="134"/>
      <c r="F166" s="135"/>
      <c r="G166" s="123"/>
      <c r="H166" s="123"/>
      <c r="I166" s="123">
        <v>30</v>
      </c>
      <c r="J166" s="123"/>
      <c r="K166" s="123"/>
      <c r="L166" s="123"/>
      <c r="M166" s="123"/>
      <c r="N166" s="123"/>
      <c r="O166" s="123"/>
      <c r="P166" s="123"/>
      <c r="Q166" s="123"/>
      <c r="R166" s="133">
        <f t="shared" si="57"/>
        <v>0</v>
      </c>
      <c r="S166" s="133"/>
      <c r="T166" s="116">
        <f t="shared" si="60"/>
        <v>0</v>
      </c>
      <c r="U166" s="116">
        <f t="shared" si="61"/>
        <v>0</v>
      </c>
      <c r="V166" s="116">
        <f t="shared" si="71"/>
        <v>0</v>
      </c>
      <c r="W166" s="116">
        <f t="shared" si="72"/>
        <v>17161.07</v>
      </c>
      <c r="X166" s="116">
        <f t="shared" si="62"/>
        <v>0</v>
      </c>
      <c r="Y166" s="116">
        <f t="shared" si="63"/>
        <v>0</v>
      </c>
      <c r="Z166" s="116">
        <f t="shared" si="64"/>
        <v>0</v>
      </c>
      <c r="AA166" s="116">
        <f t="shared" si="65"/>
        <v>0</v>
      </c>
      <c r="AB166" s="116">
        <f t="shared" si="66"/>
        <v>0</v>
      </c>
      <c r="AC166" s="116">
        <f t="shared" si="67"/>
        <v>0</v>
      </c>
      <c r="AD166" s="116">
        <f t="shared" si="68"/>
        <v>0</v>
      </c>
      <c r="AE166" s="116">
        <f t="shared" si="69"/>
        <v>0</v>
      </c>
    </row>
    <row r="167" spans="1:31">
      <c r="A167" s="131">
        <v>42095</v>
      </c>
      <c r="B167" s="131">
        <v>42125</v>
      </c>
      <c r="C167" s="123">
        <f t="shared" si="70"/>
        <v>30</v>
      </c>
      <c r="D167" s="132">
        <v>1498.37</v>
      </c>
      <c r="E167" s="134"/>
      <c r="F167" s="135"/>
      <c r="G167" s="123"/>
      <c r="H167" s="123"/>
      <c r="I167" s="123">
        <v>30</v>
      </c>
      <c r="J167" s="123"/>
      <c r="K167" s="123"/>
      <c r="L167" s="123"/>
      <c r="M167" s="123"/>
      <c r="N167" s="123"/>
      <c r="O167" s="123"/>
      <c r="P167" s="123"/>
      <c r="Q167" s="123"/>
      <c r="R167" s="133">
        <f t="shared" si="57"/>
        <v>0</v>
      </c>
      <c r="S167" s="133"/>
      <c r="T167" s="116">
        <f t="shared" si="60"/>
        <v>0</v>
      </c>
      <c r="U167" s="116">
        <f t="shared" si="61"/>
        <v>0</v>
      </c>
      <c r="V167" s="116">
        <f t="shared" si="71"/>
        <v>0</v>
      </c>
      <c r="W167" s="116">
        <f t="shared" si="72"/>
        <v>22347.05</v>
      </c>
      <c r="X167" s="116">
        <f t="shared" si="62"/>
        <v>0</v>
      </c>
      <c r="Y167" s="116">
        <f t="shared" si="63"/>
        <v>0</v>
      </c>
      <c r="Z167" s="116">
        <f t="shared" si="64"/>
        <v>0</v>
      </c>
      <c r="AA167" s="116">
        <f t="shared" si="65"/>
        <v>0</v>
      </c>
      <c r="AB167" s="116">
        <f t="shared" si="66"/>
        <v>0</v>
      </c>
      <c r="AC167" s="116">
        <f t="shared" si="67"/>
        <v>0</v>
      </c>
      <c r="AD167" s="116">
        <f t="shared" si="68"/>
        <v>0</v>
      </c>
      <c r="AE167" s="116">
        <f t="shared" si="69"/>
        <v>0</v>
      </c>
    </row>
    <row r="168" spans="1:31">
      <c r="A168" s="131">
        <v>42095</v>
      </c>
      <c r="B168" s="131">
        <v>42125</v>
      </c>
      <c r="C168" s="123">
        <f t="shared" si="70"/>
        <v>30</v>
      </c>
      <c r="D168" s="132">
        <v>592.86</v>
      </c>
      <c r="E168" s="134"/>
      <c r="F168" s="135"/>
      <c r="G168" s="123"/>
      <c r="H168" s="123"/>
      <c r="I168" s="123">
        <v>30</v>
      </c>
      <c r="J168" s="123"/>
      <c r="K168" s="123"/>
      <c r="L168" s="123"/>
      <c r="M168" s="123"/>
      <c r="N168" s="123"/>
      <c r="O168" s="123"/>
      <c r="P168" s="123"/>
      <c r="Q168" s="123"/>
      <c r="R168" s="133">
        <f t="shared" si="57"/>
        <v>0</v>
      </c>
      <c r="S168" s="133"/>
      <c r="T168" s="116">
        <f t="shared" si="60"/>
        <v>0</v>
      </c>
      <c r="U168" s="116">
        <f t="shared" si="61"/>
        <v>0</v>
      </c>
      <c r="V168" s="116">
        <f t="shared" si="71"/>
        <v>0</v>
      </c>
      <c r="W168" s="116">
        <f t="shared" si="72"/>
        <v>8842.06</v>
      </c>
      <c r="X168" s="116">
        <f t="shared" si="62"/>
        <v>0</v>
      </c>
      <c r="Y168" s="116">
        <f t="shared" si="63"/>
        <v>0</v>
      </c>
      <c r="Z168" s="116">
        <f t="shared" si="64"/>
        <v>0</v>
      </c>
      <c r="AA168" s="116">
        <f t="shared" si="65"/>
        <v>0</v>
      </c>
      <c r="AB168" s="116">
        <f t="shared" si="66"/>
        <v>0</v>
      </c>
      <c r="AC168" s="116">
        <f t="shared" si="67"/>
        <v>0</v>
      </c>
      <c r="AD168" s="116">
        <f t="shared" si="68"/>
        <v>0</v>
      </c>
      <c r="AE168" s="116">
        <f t="shared" si="69"/>
        <v>0</v>
      </c>
    </row>
    <row r="169" spans="1:31">
      <c r="A169" s="131">
        <v>42099</v>
      </c>
      <c r="B169" s="131">
        <v>42129</v>
      </c>
      <c r="C169" s="123">
        <f t="shared" si="70"/>
        <v>30</v>
      </c>
      <c r="D169" s="132">
        <v>676.91</v>
      </c>
      <c r="E169" s="134"/>
      <c r="F169" s="135"/>
      <c r="G169" s="123"/>
      <c r="H169" s="123"/>
      <c r="I169" s="123">
        <v>26</v>
      </c>
      <c r="J169" s="123">
        <v>4</v>
      </c>
      <c r="K169" s="123"/>
      <c r="L169" s="123"/>
      <c r="M169" s="123"/>
      <c r="N169" s="123"/>
      <c r="O169" s="123"/>
      <c r="P169" s="123"/>
      <c r="Q169" s="123"/>
      <c r="R169" s="133">
        <f t="shared" si="57"/>
        <v>0</v>
      </c>
      <c r="S169" s="133"/>
      <c r="T169" s="116">
        <f t="shared" si="60"/>
        <v>0</v>
      </c>
      <c r="U169" s="116">
        <f t="shared" si="61"/>
        <v>0</v>
      </c>
      <c r="V169" s="116">
        <f t="shared" si="71"/>
        <v>0</v>
      </c>
      <c r="W169" s="116">
        <f t="shared" si="72"/>
        <v>8749.52</v>
      </c>
      <c r="X169" s="116">
        <f t="shared" si="62"/>
        <v>958.52</v>
      </c>
      <c r="Y169" s="116">
        <f t="shared" si="63"/>
        <v>0</v>
      </c>
      <c r="Z169" s="116">
        <f t="shared" si="64"/>
        <v>0</v>
      </c>
      <c r="AA169" s="116">
        <f t="shared" si="65"/>
        <v>0</v>
      </c>
      <c r="AB169" s="116">
        <f t="shared" si="66"/>
        <v>0</v>
      </c>
      <c r="AC169" s="116">
        <f t="shared" si="67"/>
        <v>0</v>
      </c>
      <c r="AD169" s="116">
        <f t="shared" si="68"/>
        <v>0</v>
      </c>
      <c r="AE169" s="116">
        <f t="shared" si="69"/>
        <v>0</v>
      </c>
    </row>
    <row r="170" spans="1:31">
      <c r="A170" s="131">
        <v>42099</v>
      </c>
      <c r="B170" s="131">
        <v>42129</v>
      </c>
      <c r="C170" s="123">
        <f t="shared" si="70"/>
        <v>30</v>
      </c>
      <c r="D170" s="132">
        <v>1046.96</v>
      </c>
      <c r="E170" s="134"/>
      <c r="F170" s="135"/>
      <c r="G170" s="123"/>
      <c r="H170" s="123"/>
      <c r="I170" s="123">
        <v>26</v>
      </c>
      <c r="J170" s="123">
        <v>4</v>
      </c>
      <c r="K170" s="123"/>
      <c r="L170" s="123"/>
      <c r="M170" s="123"/>
      <c r="N170" s="123"/>
      <c r="O170" s="123"/>
      <c r="P170" s="123"/>
      <c r="Q170" s="123"/>
      <c r="R170" s="133">
        <f t="shared" si="57"/>
        <v>0</v>
      </c>
      <c r="S170" s="133"/>
      <c r="T170" s="116">
        <f t="shared" si="60"/>
        <v>0</v>
      </c>
      <c r="U170" s="116">
        <f t="shared" si="61"/>
        <v>0</v>
      </c>
      <c r="V170" s="116">
        <f t="shared" si="71"/>
        <v>0</v>
      </c>
      <c r="W170" s="116">
        <f t="shared" si="72"/>
        <v>13532.67</v>
      </c>
      <c r="X170" s="116">
        <f t="shared" si="62"/>
        <v>1482.53</v>
      </c>
      <c r="Y170" s="116">
        <f t="shared" si="63"/>
        <v>0</v>
      </c>
      <c r="Z170" s="116">
        <f t="shared" si="64"/>
        <v>0</v>
      </c>
      <c r="AA170" s="116">
        <f t="shared" si="65"/>
        <v>0</v>
      </c>
      <c r="AB170" s="116">
        <f t="shared" si="66"/>
        <v>0</v>
      </c>
      <c r="AC170" s="116">
        <f t="shared" si="67"/>
        <v>0</v>
      </c>
      <c r="AD170" s="116">
        <f t="shared" si="68"/>
        <v>0</v>
      </c>
      <c r="AE170" s="116">
        <f t="shared" si="69"/>
        <v>0</v>
      </c>
    </row>
    <row r="171" spans="1:31">
      <c r="A171" s="131">
        <v>42099</v>
      </c>
      <c r="B171" s="131">
        <v>42129</v>
      </c>
      <c r="C171" s="123">
        <f t="shared" si="70"/>
        <v>30</v>
      </c>
      <c r="D171" s="132">
        <v>210.68</v>
      </c>
      <c r="E171" s="134"/>
      <c r="F171" s="135"/>
      <c r="G171" s="123"/>
      <c r="H171" s="123"/>
      <c r="I171" s="123">
        <v>26</v>
      </c>
      <c r="J171" s="123">
        <v>4</v>
      </c>
      <c r="K171" s="123"/>
      <c r="L171" s="123"/>
      <c r="M171" s="123"/>
      <c r="N171" s="123"/>
      <c r="O171" s="123"/>
      <c r="P171" s="123"/>
      <c r="Q171" s="123"/>
      <c r="R171" s="133">
        <f t="shared" si="57"/>
        <v>0</v>
      </c>
      <c r="S171" s="133"/>
      <c r="T171" s="116">
        <f t="shared" si="60"/>
        <v>0</v>
      </c>
      <c r="U171" s="116">
        <f t="shared" si="61"/>
        <v>0</v>
      </c>
      <c r="V171" s="116">
        <f t="shared" si="71"/>
        <v>0</v>
      </c>
      <c r="W171" s="116">
        <f t="shared" si="72"/>
        <v>2723.18</v>
      </c>
      <c r="X171" s="116">
        <f t="shared" si="62"/>
        <v>298.33</v>
      </c>
      <c r="Y171" s="116">
        <f t="shared" si="63"/>
        <v>0</v>
      </c>
      <c r="Z171" s="116">
        <f t="shared" si="64"/>
        <v>0</v>
      </c>
      <c r="AA171" s="116">
        <f t="shared" si="65"/>
        <v>0</v>
      </c>
      <c r="AB171" s="116">
        <f t="shared" si="66"/>
        <v>0</v>
      </c>
      <c r="AC171" s="116">
        <f t="shared" si="67"/>
        <v>0</v>
      </c>
      <c r="AD171" s="116">
        <f t="shared" si="68"/>
        <v>0</v>
      </c>
      <c r="AE171" s="116">
        <f t="shared" si="69"/>
        <v>0</v>
      </c>
    </row>
    <row r="172" spans="1:31">
      <c r="A172" s="131">
        <v>42095</v>
      </c>
      <c r="B172" s="131">
        <v>42125</v>
      </c>
      <c r="C172" s="123">
        <f t="shared" si="70"/>
        <v>30</v>
      </c>
      <c r="D172" s="132">
        <v>3176.39</v>
      </c>
      <c r="E172" s="134"/>
      <c r="F172" s="135"/>
      <c r="G172" s="123"/>
      <c r="H172" s="123"/>
      <c r="I172" s="123">
        <v>30</v>
      </c>
      <c r="J172" s="123"/>
      <c r="K172" s="123"/>
      <c r="L172" s="123"/>
      <c r="M172" s="123"/>
      <c r="N172" s="123"/>
      <c r="O172" s="123"/>
      <c r="P172" s="123"/>
      <c r="Q172" s="123"/>
      <c r="R172" s="133">
        <f t="shared" si="57"/>
        <v>0</v>
      </c>
      <c r="S172" s="133"/>
      <c r="T172" s="116">
        <f t="shared" si="60"/>
        <v>0</v>
      </c>
      <c r="U172" s="116">
        <f t="shared" si="61"/>
        <v>0</v>
      </c>
      <c r="V172" s="116">
        <f t="shared" si="71"/>
        <v>0</v>
      </c>
      <c r="W172" s="116">
        <f t="shared" si="72"/>
        <v>47373.45</v>
      </c>
      <c r="X172" s="116">
        <f t="shared" si="62"/>
        <v>0</v>
      </c>
      <c r="Y172" s="116">
        <f t="shared" si="63"/>
        <v>0</v>
      </c>
      <c r="Z172" s="116">
        <f t="shared" si="64"/>
        <v>0</v>
      </c>
      <c r="AA172" s="116">
        <f t="shared" si="65"/>
        <v>0</v>
      </c>
      <c r="AB172" s="116">
        <f t="shared" si="66"/>
        <v>0</v>
      </c>
      <c r="AC172" s="116">
        <f t="shared" si="67"/>
        <v>0</v>
      </c>
      <c r="AD172" s="116">
        <f t="shared" si="68"/>
        <v>0</v>
      </c>
      <c r="AE172" s="116">
        <f t="shared" si="69"/>
        <v>0</v>
      </c>
    </row>
    <row r="173" spans="1:31">
      <c r="A173" s="131">
        <v>42091</v>
      </c>
      <c r="B173" s="131">
        <v>42122</v>
      </c>
      <c r="C173" s="123">
        <f t="shared" si="70"/>
        <v>31</v>
      </c>
      <c r="D173" s="132">
        <v>1907.34</v>
      </c>
      <c r="E173" s="134"/>
      <c r="F173" s="135"/>
      <c r="G173" s="123"/>
      <c r="H173" s="123">
        <v>4</v>
      </c>
      <c r="I173" s="123">
        <v>27</v>
      </c>
      <c r="J173" s="123"/>
      <c r="K173" s="123"/>
      <c r="L173" s="123"/>
      <c r="M173" s="123"/>
      <c r="N173" s="123"/>
      <c r="O173" s="123"/>
      <c r="P173" s="123"/>
      <c r="Q173" s="123"/>
      <c r="R173" s="133">
        <f t="shared" si="57"/>
        <v>0</v>
      </c>
      <c r="S173" s="133"/>
      <c r="T173" s="116">
        <f t="shared" si="60"/>
        <v>0</v>
      </c>
      <c r="U173" s="116">
        <f t="shared" si="61"/>
        <v>0</v>
      </c>
      <c r="V173" s="116">
        <f t="shared" si="71"/>
        <v>6828.76</v>
      </c>
      <c r="W173" s="116">
        <f t="shared" si="72"/>
        <v>24776.01</v>
      </c>
      <c r="X173" s="116">
        <f t="shared" si="62"/>
        <v>0</v>
      </c>
      <c r="Y173" s="116">
        <f t="shared" si="63"/>
        <v>0</v>
      </c>
      <c r="Z173" s="116">
        <f t="shared" si="64"/>
        <v>0</v>
      </c>
      <c r="AA173" s="116">
        <f t="shared" si="65"/>
        <v>0</v>
      </c>
      <c r="AB173" s="116">
        <f t="shared" si="66"/>
        <v>0</v>
      </c>
      <c r="AC173" s="116">
        <f t="shared" si="67"/>
        <v>0</v>
      </c>
      <c r="AD173" s="116">
        <f t="shared" si="68"/>
        <v>0</v>
      </c>
      <c r="AE173" s="116">
        <f t="shared" si="69"/>
        <v>0</v>
      </c>
    </row>
    <row r="174" spans="1:31">
      <c r="A174" s="131">
        <v>42102</v>
      </c>
      <c r="B174" s="131">
        <v>42132</v>
      </c>
      <c r="C174" s="123">
        <f t="shared" si="70"/>
        <v>30</v>
      </c>
      <c r="D174" s="132">
        <v>674.9</v>
      </c>
      <c r="E174" s="134"/>
      <c r="F174" s="135"/>
      <c r="G174" s="123"/>
      <c r="H174" s="123"/>
      <c r="I174" s="123">
        <v>23</v>
      </c>
      <c r="J174" s="123">
        <v>7</v>
      </c>
      <c r="K174" s="123"/>
      <c r="L174" s="123"/>
      <c r="M174" s="123"/>
      <c r="N174" s="123"/>
      <c r="O174" s="123"/>
      <c r="P174" s="123"/>
      <c r="Q174" s="123"/>
      <c r="R174" s="133">
        <f t="shared" si="57"/>
        <v>0</v>
      </c>
      <c r="S174" s="133"/>
      <c r="T174" s="116">
        <f t="shared" si="60"/>
        <v>0</v>
      </c>
      <c r="U174" s="116">
        <f t="shared" si="61"/>
        <v>0</v>
      </c>
      <c r="V174" s="116">
        <f t="shared" si="71"/>
        <v>0</v>
      </c>
      <c r="W174" s="116">
        <f t="shared" si="72"/>
        <v>7716.98</v>
      </c>
      <c r="X174" s="116">
        <f t="shared" si="62"/>
        <v>1672.44</v>
      </c>
      <c r="Y174" s="116">
        <f t="shared" si="63"/>
        <v>0</v>
      </c>
      <c r="Z174" s="116">
        <f t="shared" si="64"/>
        <v>0</v>
      </c>
      <c r="AA174" s="116">
        <f t="shared" si="65"/>
        <v>0</v>
      </c>
      <c r="AB174" s="116">
        <f t="shared" si="66"/>
        <v>0</v>
      </c>
      <c r="AC174" s="116">
        <f t="shared" si="67"/>
        <v>0</v>
      </c>
      <c r="AD174" s="116">
        <f t="shared" si="68"/>
        <v>0</v>
      </c>
      <c r="AE174" s="116">
        <f t="shared" si="69"/>
        <v>0</v>
      </c>
    </row>
    <row r="175" spans="1:31">
      <c r="A175" s="131">
        <v>42102</v>
      </c>
      <c r="B175" s="131">
        <v>42132</v>
      </c>
      <c r="C175" s="123">
        <f t="shared" si="70"/>
        <v>30</v>
      </c>
      <c r="D175" s="132">
        <v>123.06</v>
      </c>
      <c r="E175" s="134"/>
      <c r="F175" s="135"/>
      <c r="G175" s="123"/>
      <c r="H175" s="123"/>
      <c r="I175" s="123">
        <v>23</v>
      </c>
      <c r="J175" s="123">
        <v>7</v>
      </c>
      <c r="K175" s="123"/>
      <c r="L175" s="123"/>
      <c r="M175" s="123"/>
      <c r="N175" s="123"/>
      <c r="O175" s="123"/>
      <c r="P175" s="123"/>
      <c r="Q175" s="123"/>
      <c r="R175" s="133">
        <f t="shared" si="57"/>
        <v>0</v>
      </c>
      <c r="S175" s="133"/>
      <c r="T175" s="116">
        <f t="shared" si="60"/>
        <v>0</v>
      </c>
      <c r="U175" s="116">
        <f t="shared" si="61"/>
        <v>0</v>
      </c>
      <c r="V175" s="116">
        <f t="shared" si="71"/>
        <v>0</v>
      </c>
      <c r="W175" s="116">
        <f t="shared" si="72"/>
        <v>1407.1</v>
      </c>
      <c r="X175" s="116">
        <f t="shared" si="62"/>
        <v>304.95</v>
      </c>
      <c r="Y175" s="116">
        <f t="shared" si="63"/>
        <v>0</v>
      </c>
      <c r="Z175" s="116">
        <f t="shared" si="64"/>
        <v>0</v>
      </c>
      <c r="AA175" s="116">
        <f t="shared" si="65"/>
        <v>0</v>
      </c>
      <c r="AB175" s="116">
        <f t="shared" si="66"/>
        <v>0</v>
      </c>
      <c r="AC175" s="116">
        <f t="shared" si="67"/>
        <v>0</v>
      </c>
      <c r="AD175" s="116">
        <f t="shared" si="68"/>
        <v>0</v>
      </c>
      <c r="AE175" s="116">
        <f t="shared" si="69"/>
        <v>0</v>
      </c>
    </row>
    <row r="176" spans="1:31">
      <c r="A176" s="131">
        <v>42102</v>
      </c>
      <c r="B176" s="131">
        <v>42132</v>
      </c>
      <c r="C176" s="123">
        <f t="shared" si="70"/>
        <v>30</v>
      </c>
      <c r="D176" s="132">
        <v>192.11</v>
      </c>
      <c r="E176" s="134"/>
      <c r="F176" s="135"/>
      <c r="G176" s="123"/>
      <c r="H176" s="123"/>
      <c r="I176" s="123">
        <v>23</v>
      </c>
      <c r="J176" s="123">
        <v>7</v>
      </c>
      <c r="K176" s="123"/>
      <c r="L176" s="123"/>
      <c r="M176" s="123"/>
      <c r="N176" s="123"/>
      <c r="O176" s="123"/>
      <c r="P176" s="123"/>
      <c r="Q176" s="123"/>
      <c r="R176" s="133">
        <f t="shared" si="57"/>
        <v>0</v>
      </c>
      <c r="S176" s="133"/>
      <c r="T176" s="116">
        <f t="shared" si="60"/>
        <v>0</v>
      </c>
      <c r="U176" s="116">
        <f t="shared" si="61"/>
        <v>0</v>
      </c>
      <c r="V176" s="116">
        <f t="shared" si="71"/>
        <v>0</v>
      </c>
      <c r="W176" s="116">
        <f t="shared" si="72"/>
        <v>2196.63</v>
      </c>
      <c r="X176" s="116">
        <f t="shared" si="62"/>
        <v>476.06</v>
      </c>
      <c r="Y176" s="116">
        <f t="shared" si="63"/>
        <v>0</v>
      </c>
      <c r="Z176" s="116">
        <f t="shared" si="64"/>
        <v>0</v>
      </c>
      <c r="AA176" s="116">
        <f t="shared" si="65"/>
        <v>0</v>
      </c>
      <c r="AB176" s="116">
        <f t="shared" si="66"/>
        <v>0</v>
      </c>
      <c r="AC176" s="116">
        <f t="shared" si="67"/>
        <v>0</v>
      </c>
      <c r="AD176" s="116">
        <f t="shared" si="68"/>
        <v>0</v>
      </c>
      <c r="AE176" s="116">
        <f t="shared" si="69"/>
        <v>0</v>
      </c>
    </row>
    <row r="177" spans="1:31" ht="15.75" thickBot="1">
      <c r="A177" s="131">
        <v>42102</v>
      </c>
      <c r="B177" s="131">
        <v>42132</v>
      </c>
      <c r="C177" s="123">
        <f t="shared" si="70"/>
        <v>30</v>
      </c>
      <c r="D177" s="132">
        <v>79.09</v>
      </c>
      <c r="E177" s="134"/>
      <c r="F177" s="135"/>
      <c r="G177" s="123"/>
      <c r="H177" s="123"/>
      <c r="I177" s="123">
        <v>23</v>
      </c>
      <c r="J177" s="123">
        <v>7</v>
      </c>
      <c r="K177" s="123"/>
      <c r="L177" s="123"/>
      <c r="M177" s="123"/>
      <c r="N177" s="123"/>
      <c r="O177" s="123"/>
      <c r="P177" s="123"/>
      <c r="Q177" s="123"/>
      <c r="R177" s="133">
        <f t="shared" si="57"/>
        <v>0</v>
      </c>
      <c r="S177" s="133"/>
      <c r="T177" s="116">
        <f t="shared" si="60"/>
        <v>0</v>
      </c>
      <c r="U177" s="116">
        <f t="shared" si="61"/>
        <v>0</v>
      </c>
      <c r="V177" s="116">
        <f t="shared" si="71"/>
        <v>0</v>
      </c>
      <c r="W177" s="116">
        <f t="shared" si="72"/>
        <v>904.34</v>
      </c>
      <c r="X177" s="116">
        <f t="shared" si="62"/>
        <v>195.99</v>
      </c>
      <c r="Y177" s="116">
        <f t="shared" si="63"/>
        <v>0</v>
      </c>
      <c r="Z177" s="116">
        <f t="shared" si="64"/>
        <v>0</v>
      </c>
      <c r="AA177" s="116">
        <f t="shared" si="65"/>
        <v>0</v>
      </c>
      <c r="AB177" s="116">
        <f t="shared" si="66"/>
        <v>0</v>
      </c>
      <c r="AC177" s="116">
        <f t="shared" si="67"/>
        <v>0</v>
      </c>
      <c r="AD177" s="116">
        <f t="shared" si="68"/>
        <v>0</v>
      </c>
      <c r="AE177" s="116">
        <f t="shared" si="69"/>
        <v>0</v>
      </c>
    </row>
    <row r="178" spans="1:31" ht="15.75" thickBot="1">
      <c r="A178" s="194" t="s">
        <v>40</v>
      </c>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6"/>
    </row>
    <row r="179" spans="1:31">
      <c r="A179" s="131">
        <v>42106</v>
      </c>
      <c r="B179" s="131">
        <v>42136</v>
      </c>
      <c r="C179" s="123">
        <f t="shared" si="70"/>
        <v>30</v>
      </c>
      <c r="D179" s="132">
        <v>833.93</v>
      </c>
      <c r="E179" s="134"/>
      <c r="F179" s="135"/>
      <c r="G179" s="123"/>
      <c r="H179" s="123"/>
      <c r="I179" s="123">
        <v>19</v>
      </c>
      <c r="J179" s="123">
        <v>11</v>
      </c>
      <c r="K179" s="123"/>
      <c r="L179" s="123"/>
      <c r="M179" s="123"/>
      <c r="N179" s="123"/>
      <c r="O179" s="123"/>
      <c r="P179" s="123"/>
      <c r="Q179" s="123"/>
      <c r="R179" s="133">
        <f t="shared" si="57"/>
        <v>0</v>
      </c>
      <c r="S179" s="133"/>
      <c r="T179" s="116">
        <f t="shared" ref="T179:T219" si="73">ROUND((D179*F179/C179)/$C$6,2)</f>
        <v>0</v>
      </c>
      <c r="U179" s="116">
        <f t="shared" ref="U179:U219" si="74">ROUND(($D179*$G179/$C179)/$C$7,2)</f>
        <v>0</v>
      </c>
      <c r="V179" s="116">
        <f t="shared" ref="V179:V219" si="75">ROUND(($D179*$H179/$C179)/$C$8,2)</f>
        <v>0</v>
      </c>
      <c r="W179" s="116">
        <f t="shared" ref="W179:W188" si="76">ROUND(($D179*$I179/$C179)/$C$9,2)</f>
        <v>7877.04</v>
      </c>
      <c r="X179" s="116">
        <f t="shared" ref="X179:X188" si="77">ROUND(($D179*$J179/$C179)/$C$10,2)</f>
        <v>3247.39</v>
      </c>
      <c r="Y179" s="116">
        <f t="shared" ref="Y179:Y219" si="78">ROUND(($D179*$K179/$C179)/$C$11,2)</f>
        <v>0</v>
      </c>
      <c r="Z179" s="116">
        <f t="shared" ref="Z179:Z219" si="79">ROUND(($D179*$L179/$C179)/$C$12,2)</f>
        <v>0</v>
      </c>
      <c r="AA179" s="116">
        <f t="shared" ref="AA179:AA219" si="80">ROUND(($D179*$M179/$C179)/$C$13,2)</f>
        <v>0</v>
      </c>
      <c r="AB179" s="116">
        <f t="shared" ref="AB179:AB219" si="81">ROUND(($D179*$N179/$C179)/$C$14,2)</f>
        <v>0</v>
      </c>
      <c r="AC179" s="116">
        <f t="shared" ref="AC179:AC219" si="82">ROUND(($D179*$O179/$C179)/$C$15,2)</f>
        <v>0</v>
      </c>
      <c r="AD179" s="116">
        <f t="shared" ref="AD179:AD219" si="83">ROUND(($D179*$P179/$C179)/$C$16,2)</f>
        <v>0</v>
      </c>
      <c r="AE179" s="116">
        <f t="shared" ref="AE179:AE219" si="84">ROUND(($D179*$Q179/$C179)/$C$17,2)</f>
        <v>0</v>
      </c>
    </row>
    <row r="180" spans="1:31">
      <c r="A180" s="131">
        <v>42106</v>
      </c>
      <c r="B180" s="131">
        <v>42136</v>
      </c>
      <c r="C180" s="123">
        <f t="shared" si="70"/>
        <v>30</v>
      </c>
      <c r="D180" s="132">
        <v>194.42</v>
      </c>
      <c r="E180" s="134"/>
      <c r="F180" s="135"/>
      <c r="G180" s="123"/>
      <c r="H180" s="123"/>
      <c r="I180" s="123">
        <v>19</v>
      </c>
      <c r="J180" s="123">
        <v>11</v>
      </c>
      <c r="K180" s="123"/>
      <c r="L180" s="123"/>
      <c r="M180" s="123"/>
      <c r="N180" s="123"/>
      <c r="O180" s="123"/>
      <c r="P180" s="123"/>
      <c r="Q180" s="123"/>
      <c r="R180" s="133">
        <f t="shared" si="57"/>
        <v>0</v>
      </c>
      <c r="S180" s="133"/>
      <c r="T180" s="116">
        <f t="shared" si="73"/>
        <v>0</v>
      </c>
      <c r="U180" s="116">
        <f t="shared" si="74"/>
        <v>0</v>
      </c>
      <c r="V180" s="116">
        <f t="shared" si="75"/>
        <v>0</v>
      </c>
      <c r="W180" s="116">
        <f t="shared" si="76"/>
        <v>1836.43</v>
      </c>
      <c r="X180" s="116">
        <f t="shared" si="77"/>
        <v>757.09</v>
      </c>
      <c r="Y180" s="116">
        <f t="shared" si="78"/>
        <v>0</v>
      </c>
      <c r="Z180" s="116">
        <f t="shared" si="79"/>
        <v>0</v>
      </c>
      <c r="AA180" s="116">
        <f t="shared" si="80"/>
        <v>0</v>
      </c>
      <c r="AB180" s="116">
        <f t="shared" si="81"/>
        <v>0</v>
      </c>
      <c r="AC180" s="116">
        <f t="shared" si="82"/>
        <v>0</v>
      </c>
      <c r="AD180" s="116">
        <f t="shared" si="83"/>
        <v>0</v>
      </c>
      <c r="AE180" s="116">
        <f t="shared" si="84"/>
        <v>0</v>
      </c>
    </row>
    <row r="181" spans="1:31">
      <c r="A181" s="131">
        <v>42106</v>
      </c>
      <c r="B181" s="131">
        <v>42136</v>
      </c>
      <c r="C181" s="123">
        <f t="shared" si="70"/>
        <v>30</v>
      </c>
      <c r="D181" s="132">
        <v>912.67</v>
      </c>
      <c r="E181" s="134"/>
      <c r="F181" s="135"/>
      <c r="G181" s="123"/>
      <c r="H181" s="123"/>
      <c r="I181" s="123">
        <v>19</v>
      </c>
      <c r="J181" s="123">
        <v>11</v>
      </c>
      <c r="K181" s="123"/>
      <c r="L181" s="123"/>
      <c r="M181" s="123"/>
      <c r="N181" s="123"/>
      <c r="O181" s="123"/>
      <c r="P181" s="123"/>
      <c r="Q181" s="123"/>
      <c r="R181" s="133">
        <f t="shared" si="57"/>
        <v>0</v>
      </c>
      <c r="S181" s="133"/>
      <c r="T181" s="116">
        <f t="shared" si="73"/>
        <v>0</v>
      </c>
      <c r="U181" s="116">
        <f t="shared" si="74"/>
        <v>0</v>
      </c>
      <c r="V181" s="116">
        <f t="shared" si="75"/>
        <v>0</v>
      </c>
      <c r="W181" s="116">
        <f t="shared" si="76"/>
        <v>8620.7999999999993</v>
      </c>
      <c r="X181" s="116">
        <f t="shared" si="77"/>
        <v>3554.01</v>
      </c>
      <c r="Y181" s="116">
        <f t="shared" si="78"/>
        <v>0</v>
      </c>
      <c r="Z181" s="116">
        <f t="shared" si="79"/>
        <v>0</v>
      </c>
      <c r="AA181" s="116">
        <f t="shared" si="80"/>
        <v>0</v>
      </c>
      <c r="AB181" s="116">
        <f t="shared" si="81"/>
        <v>0</v>
      </c>
      <c r="AC181" s="116">
        <f t="shared" si="82"/>
        <v>0</v>
      </c>
      <c r="AD181" s="116">
        <f t="shared" si="83"/>
        <v>0</v>
      </c>
      <c r="AE181" s="116">
        <f t="shared" si="84"/>
        <v>0</v>
      </c>
    </row>
    <row r="182" spans="1:31">
      <c r="A182" s="131">
        <v>42109</v>
      </c>
      <c r="B182" s="131">
        <v>42139</v>
      </c>
      <c r="C182" s="123">
        <f t="shared" si="70"/>
        <v>30</v>
      </c>
      <c r="D182" s="132">
        <v>4506.87</v>
      </c>
      <c r="E182" s="134"/>
      <c r="F182" s="135"/>
      <c r="G182" s="123"/>
      <c r="H182" s="123"/>
      <c r="I182" s="123">
        <v>16</v>
      </c>
      <c r="J182" s="123">
        <v>14</v>
      </c>
      <c r="K182" s="123"/>
      <c r="L182" s="123"/>
      <c r="M182" s="123"/>
      <c r="N182" s="123"/>
      <c r="O182" s="123"/>
      <c r="P182" s="123"/>
      <c r="Q182" s="123"/>
      <c r="R182" s="133">
        <f t="shared" si="57"/>
        <v>0</v>
      </c>
      <c r="S182" s="133"/>
      <c r="T182" s="116">
        <f t="shared" si="73"/>
        <v>0</v>
      </c>
      <c r="U182" s="116">
        <f t="shared" si="74"/>
        <v>0</v>
      </c>
      <c r="V182" s="116">
        <f t="shared" si="75"/>
        <v>0</v>
      </c>
      <c r="W182" s="116">
        <f t="shared" si="76"/>
        <v>35848.83</v>
      </c>
      <c r="X182" s="116">
        <f t="shared" si="77"/>
        <v>22336.51</v>
      </c>
      <c r="Y182" s="116">
        <f t="shared" si="78"/>
        <v>0</v>
      </c>
      <c r="Z182" s="116">
        <f t="shared" si="79"/>
        <v>0</v>
      </c>
      <c r="AA182" s="116">
        <f t="shared" si="80"/>
        <v>0</v>
      </c>
      <c r="AB182" s="116">
        <f t="shared" si="81"/>
        <v>0</v>
      </c>
      <c r="AC182" s="116">
        <f t="shared" si="82"/>
        <v>0</v>
      </c>
      <c r="AD182" s="116">
        <f t="shared" si="83"/>
        <v>0</v>
      </c>
      <c r="AE182" s="116">
        <f t="shared" si="84"/>
        <v>0</v>
      </c>
    </row>
    <row r="183" spans="1:31">
      <c r="A183" s="131">
        <v>42109</v>
      </c>
      <c r="B183" s="131">
        <v>42139</v>
      </c>
      <c r="C183" s="123">
        <f t="shared" si="70"/>
        <v>30</v>
      </c>
      <c r="D183" s="132">
        <v>14293.49</v>
      </c>
      <c r="E183" s="134"/>
      <c r="F183" s="135"/>
      <c r="G183" s="123"/>
      <c r="H183" s="123"/>
      <c r="I183" s="123">
        <v>16</v>
      </c>
      <c r="J183" s="123">
        <v>14</v>
      </c>
      <c r="K183" s="123"/>
      <c r="L183" s="123"/>
      <c r="M183" s="123"/>
      <c r="N183" s="123"/>
      <c r="O183" s="123"/>
      <c r="P183" s="123"/>
      <c r="Q183" s="123"/>
      <c r="R183" s="133">
        <f t="shared" si="57"/>
        <v>0</v>
      </c>
      <c r="S183" s="133"/>
      <c r="T183" s="116">
        <f t="shared" si="73"/>
        <v>0</v>
      </c>
      <c r="U183" s="116">
        <f t="shared" si="74"/>
        <v>0</v>
      </c>
      <c r="V183" s="116">
        <f t="shared" si="75"/>
        <v>0</v>
      </c>
      <c r="W183" s="116">
        <f t="shared" si="76"/>
        <v>113694.18</v>
      </c>
      <c r="X183" s="116">
        <f t="shared" si="77"/>
        <v>70840.009999999995</v>
      </c>
      <c r="Y183" s="116">
        <f t="shared" si="78"/>
        <v>0</v>
      </c>
      <c r="Z183" s="116">
        <f t="shared" si="79"/>
        <v>0</v>
      </c>
      <c r="AA183" s="116">
        <f t="shared" si="80"/>
        <v>0</v>
      </c>
      <c r="AB183" s="116">
        <f t="shared" si="81"/>
        <v>0</v>
      </c>
      <c r="AC183" s="116">
        <f t="shared" si="82"/>
        <v>0</v>
      </c>
      <c r="AD183" s="116">
        <f t="shared" si="83"/>
        <v>0</v>
      </c>
      <c r="AE183" s="116">
        <f t="shared" si="84"/>
        <v>0</v>
      </c>
    </row>
    <row r="184" spans="1:31">
      <c r="A184" s="131">
        <v>42109</v>
      </c>
      <c r="B184" s="131">
        <v>42139</v>
      </c>
      <c r="C184" s="123">
        <f t="shared" si="70"/>
        <v>30</v>
      </c>
      <c r="D184" s="132">
        <v>2009.41</v>
      </c>
      <c r="E184" s="134"/>
      <c r="F184" s="135"/>
      <c r="G184" s="123"/>
      <c r="H184" s="123"/>
      <c r="I184" s="123">
        <v>16</v>
      </c>
      <c r="J184" s="123">
        <v>14</v>
      </c>
      <c r="K184" s="123"/>
      <c r="L184" s="123"/>
      <c r="M184" s="123"/>
      <c r="N184" s="123"/>
      <c r="O184" s="123"/>
      <c r="P184" s="123"/>
      <c r="Q184" s="123"/>
      <c r="R184" s="133">
        <f t="shared" si="57"/>
        <v>0</v>
      </c>
      <c r="S184" s="133"/>
      <c r="T184" s="116">
        <f t="shared" si="73"/>
        <v>0</v>
      </c>
      <c r="U184" s="116">
        <f t="shared" si="74"/>
        <v>0</v>
      </c>
      <c r="V184" s="116">
        <f t="shared" si="75"/>
        <v>0</v>
      </c>
      <c r="W184" s="116">
        <f t="shared" si="76"/>
        <v>15983.38</v>
      </c>
      <c r="X184" s="116">
        <f t="shared" si="77"/>
        <v>9958.84</v>
      </c>
      <c r="Y184" s="116">
        <f t="shared" si="78"/>
        <v>0</v>
      </c>
      <c r="Z184" s="116">
        <f t="shared" si="79"/>
        <v>0</v>
      </c>
      <c r="AA184" s="116">
        <f t="shared" si="80"/>
        <v>0</v>
      </c>
      <c r="AB184" s="116">
        <f t="shared" si="81"/>
        <v>0</v>
      </c>
      <c r="AC184" s="116">
        <f t="shared" si="82"/>
        <v>0</v>
      </c>
      <c r="AD184" s="116">
        <f t="shared" si="83"/>
        <v>0</v>
      </c>
      <c r="AE184" s="116">
        <f t="shared" si="84"/>
        <v>0</v>
      </c>
    </row>
    <row r="185" spans="1:31">
      <c r="A185" s="131">
        <v>42113</v>
      </c>
      <c r="B185" s="131">
        <v>42143</v>
      </c>
      <c r="C185" s="123">
        <f t="shared" si="70"/>
        <v>30</v>
      </c>
      <c r="D185" s="132">
        <v>1562.69</v>
      </c>
      <c r="E185" s="134"/>
      <c r="F185" s="135"/>
      <c r="G185" s="123"/>
      <c r="H185" s="123"/>
      <c r="I185" s="123">
        <v>12</v>
      </c>
      <c r="J185" s="123">
        <v>18</v>
      </c>
      <c r="K185" s="123"/>
      <c r="L185" s="123"/>
      <c r="M185" s="123"/>
      <c r="N185" s="123"/>
      <c r="O185" s="123"/>
      <c r="P185" s="123"/>
      <c r="Q185" s="123"/>
      <c r="R185" s="133">
        <f t="shared" si="57"/>
        <v>0</v>
      </c>
      <c r="S185" s="133"/>
      <c r="T185" s="116">
        <f t="shared" si="73"/>
        <v>0</v>
      </c>
      <c r="U185" s="116">
        <f t="shared" si="74"/>
        <v>0</v>
      </c>
      <c r="V185" s="116">
        <f t="shared" si="75"/>
        <v>0</v>
      </c>
      <c r="W185" s="116">
        <f t="shared" si="76"/>
        <v>9322.5400000000009</v>
      </c>
      <c r="X185" s="116">
        <f t="shared" si="77"/>
        <v>9957.67</v>
      </c>
      <c r="Y185" s="116">
        <f t="shared" si="78"/>
        <v>0</v>
      </c>
      <c r="Z185" s="116">
        <f t="shared" si="79"/>
        <v>0</v>
      </c>
      <c r="AA185" s="116">
        <f t="shared" si="80"/>
        <v>0</v>
      </c>
      <c r="AB185" s="116">
        <f t="shared" si="81"/>
        <v>0</v>
      </c>
      <c r="AC185" s="116">
        <f t="shared" si="82"/>
        <v>0</v>
      </c>
      <c r="AD185" s="116">
        <f t="shared" si="83"/>
        <v>0</v>
      </c>
      <c r="AE185" s="116">
        <f t="shared" si="84"/>
        <v>0</v>
      </c>
    </row>
    <row r="186" spans="1:31">
      <c r="A186" s="131">
        <v>42113</v>
      </c>
      <c r="B186" s="131">
        <v>42143</v>
      </c>
      <c r="C186" s="123">
        <f t="shared" si="70"/>
        <v>30</v>
      </c>
      <c r="D186" s="132">
        <v>407.19</v>
      </c>
      <c r="E186" s="134"/>
      <c r="F186" s="135"/>
      <c r="G186" s="123"/>
      <c r="H186" s="123"/>
      <c r="I186" s="123">
        <v>12</v>
      </c>
      <c r="J186" s="123">
        <v>18</v>
      </c>
      <c r="K186" s="123"/>
      <c r="L186" s="123"/>
      <c r="M186" s="123"/>
      <c r="N186" s="123"/>
      <c r="O186" s="123"/>
      <c r="P186" s="123"/>
      <c r="Q186" s="123"/>
      <c r="R186" s="133">
        <f t="shared" si="57"/>
        <v>0</v>
      </c>
      <c r="S186" s="133"/>
      <c r="T186" s="116">
        <f t="shared" si="73"/>
        <v>0</v>
      </c>
      <c r="U186" s="116">
        <f t="shared" si="74"/>
        <v>0</v>
      </c>
      <c r="V186" s="116">
        <f t="shared" si="75"/>
        <v>0</v>
      </c>
      <c r="W186" s="116">
        <f t="shared" si="76"/>
        <v>2429.17</v>
      </c>
      <c r="X186" s="116">
        <f t="shared" si="77"/>
        <v>2594.67</v>
      </c>
      <c r="Y186" s="116">
        <f t="shared" si="78"/>
        <v>0</v>
      </c>
      <c r="Z186" s="116">
        <f t="shared" si="79"/>
        <v>0</v>
      </c>
      <c r="AA186" s="116">
        <f t="shared" si="80"/>
        <v>0</v>
      </c>
      <c r="AB186" s="116">
        <f t="shared" si="81"/>
        <v>0</v>
      </c>
      <c r="AC186" s="116">
        <f t="shared" si="82"/>
        <v>0</v>
      </c>
      <c r="AD186" s="116">
        <f t="shared" si="83"/>
        <v>0</v>
      </c>
      <c r="AE186" s="116">
        <f t="shared" si="84"/>
        <v>0</v>
      </c>
    </row>
    <row r="187" spans="1:31">
      <c r="A187" s="131">
        <v>42113</v>
      </c>
      <c r="B187" s="131">
        <v>42143</v>
      </c>
      <c r="C187" s="123">
        <f t="shared" si="70"/>
        <v>30</v>
      </c>
      <c r="D187" s="132">
        <v>324.89</v>
      </c>
      <c r="E187" s="134"/>
      <c r="F187" s="135"/>
      <c r="G187" s="123"/>
      <c r="H187" s="123"/>
      <c r="I187" s="123">
        <v>12</v>
      </c>
      <c r="J187" s="123">
        <v>18</v>
      </c>
      <c r="K187" s="123"/>
      <c r="L187" s="123"/>
      <c r="M187" s="123"/>
      <c r="N187" s="123"/>
      <c r="O187" s="123"/>
      <c r="P187" s="123"/>
      <c r="Q187" s="123"/>
      <c r="R187" s="133">
        <f t="shared" ref="R187:R252" si="85">C187-SUM(F187:Q187)</f>
        <v>0</v>
      </c>
      <c r="S187" s="133"/>
      <c r="T187" s="116">
        <f t="shared" si="73"/>
        <v>0</v>
      </c>
      <c r="U187" s="116">
        <f t="shared" si="74"/>
        <v>0</v>
      </c>
      <c r="V187" s="116">
        <f t="shared" si="75"/>
        <v>0</v>
      </c>
      <c r="W187" s="116">
        <f t="shared" si="76"/>
        <v>1938.2</v>
      </c>
      <c r="X187" s="116">
        <f t="shared" si="77"/>
        <v>2070.2399999999998</v>
      </c>
      <c r="Y187" s="116">
        <f t="shared" si="78"/>
        <v>0</v>
      </c>
      <c r="Z187" s="116">
        <f t="shared" si="79"/>
        <v>0</v>
      </c>
      <c r="AA187" s="116">
        <f t="shared" si="80"/>
        <v>0</v>
      </c>
      <c r="AB187" s="116">
        <f t="shared" si="81"/>
        <v>0</v>
      </c>
      <c r="AC187" s="116">
        <f t="shared" si="82"/>
        <v>0</v>
      </c>
      <c r="AD187" s="116">
        <f t="shared" si="83"/>
        <v>0</v>
      </c>
      <c r="AE187" s="116">
        <f t="shared" si="84"/>
        <v>0</v>
      </c>
    </row>
    <row r="188" spans="1:31">
      <c r="A188" s="131">
        <v>42109</v>
      </c>
      <c r="B188" s="131">
        <v>42139</v>
      </c>
      <c r="C188" s="123">
        <f t="shared" si="70"/>
        <v>30</v>
      </c>
      <c r="D188" s="132">
        <v>254.78</v>
      </c>
      <c r="E188" s="134"/>
      <c r="F188" s="135"/>
      <c r="G188" s="123"/>
      <c r="H188" s="123"/>
      <c r="I188" s="123">
        <v>16</v>
      </c>
      <c r="J188" s="123">
        <v>14</v>
      </c>
      <c r="K188" s="123"/>
      <c r="L188" s="123"/>
      <c r="M188" s="123"/>
      <c r="N188" s="123"/>
      <c r="O188" s="123"/>
      <c r="P188" s="123"/>
      <c r="Q188" s="123"/>
      <c r="R188" s="133">
        <f t="shared" si="85"/>
        <v>0</v>
      </c>
      <c r="S188" s="133"/>
      <c r="T188" s="116">
        <f t="shared" si="73"/>
        <v>0</v>
      </c>
      <c r="U188" s="116">
        <f t="shared" si="74"/>
        <v>0</v>
      </c>
      <c r="V188" s="116">
        <f t="shared" si="75"/>
        <v>0</v>
      </c>
      <c r="W188" s="116">
        <f t="shared" si="76"/>
        <v>2026.59</v>
      </c>
      <c r="X188" s="116">
        <f t="shared" si="77"/>
        <v>1262.72</v>
      </c>
      <c r="Y188" s="116">
        <f t="shared" si="78"/>
        <v>0</v>
      </c>
      <c r="Z188" s="116">
        <f t="shared" si="79"/>
        <v>0</v>
      </c>
      <c r="AA188" s="116">
        <f t="shared" si="80"/>
        <v>0</v>
      </c>
      <c r="AB188" s="116">
        <f t="shared" si="81"/>
        <v>0</v>
      </c>
      <c r="AC188" s="116">
        <f t="shared" si="82"/>
        <v>0</v>
      </c>
      <c r="AD188" s="116">
        <f t="shared" si="83"/>
        <v>0</v>
      </c>
      <c r="AE188" s="116">
        <f t="shared" si="84"/>
        <v>0</v>
      </c>
    </row>
    <row r="189" spans="1:31">
      <c r="A189" s="131">
        <v>42116</v>
      </c>
      <c r="B189" s="131">
        <v>42146</v>
      </c>
      <c r="C189" s="123">
        <f t="shared" si="70"/>
        <v>30</v>
      </c>
      <c r="D189" s="132">
        <v>188125.54</v>
      </c>
      <c r="E189" s="134"/>
      <c r="F189" s="135"/>
      <c r="G189" s="123"/>
      <c r="H189" s="123"/>
      <c r="I189" s="123">
        <v>9</v>
      </c>
      <c r="J189" s="123">
        <v>21</v>
      </c>
      <c r="K189" s="123"/>
      <c r="L189" s="123"/>
      <c r="M189" s="123"/>
      <c r="N189" s="123"/>
      <c r="O189" s="123"/>
      <c r="P189" s="123"/>
      <c r="Q189" s="123"/>
      <c r="R189" s="133">
        <f t="shared" si="85"/>
        <v>0</v>
      </c>
      <c r="S189" s="133"/>
      <c r="T189" s="116">
        <f t="shared" si="73"/>
        <v>0</v>
      </c>
      <c r="U189" s="116">
        <f t="shared" si="74"/>
        <v>0</v>
      </c>
      <c r="V189" s="116">
        <f t="shared" si="75"/>
        <v>0</v>
      </c>
      <c r="W189" s="116">
        <f>2197172.61-X189</f>
        <v>692003.7799999998</v>
      </c>
      <c r="X189" s="116">
        <v>1505168.83</v>
      </c>
      <c r="Y189" s="116">
        <f t="shared" si="78"/>
        <v>0</v>
      </c>
      <c r="Z189" s="116">
        <f t="shared" si="79"/>
        <v>0</v>
      </c>
      <c r="AA189" s="116">
        <f t="shared" si="80"/>
        <v>0</v>
      </c>
      <c r="AB189" s="116">
        <f t="shared" si="81"/>
        <v>0</v>
      </c>
      <c r="AC189" s="116">
        <f t="shared" si="82"/>
        <v>0</v>
      </c>
      <c r="AD189" s="116">
        <f t="shared" si="83"/>
        <v>0</v>
      </c>
      <c r="AE189" s="116">
        <f t="shared" si="84"/>
        <v>0</v>
      </c>
    </row>
    <row r="190" spans="1:31">
      <c r="A190" s="131">
        <v>42120</v>
      </c>
      <c r="B190" s="131">
        <v>42150</v>
      </c>
      <c r="C190" s="123">
        <f t="shared" si="70"/>
        <v>30</v>
      </c>
      <c r="D190" s="132">
        <v>974.72</v>
      </c>
      <c r="E190" s="134"/>
      <c r="F190" s="135"/>
      <c r="G190" s="123"/>
      <c r="H190" s="123"/>
      <c r="I190" s="123">
        <v>5</v>
      </c>
      <c r="J190" s="123">
        <v>25</v>
      </c>
      <c r="K190" s="123"/>
      <c r="L190" s="123"/>
      <c r="M190" s="123"/>
      <c r="N190" s="123"/>
      <c r="O190" s="123"/>
      <c r="P190" s="123"/>
      <c r="Q190" s="123"/>
      <c r="R190" s="133">
        <f t="shared" si="85"/>
        <v>0</v>
      </c>
      <c r="S190" s="133"/>
      <c r="T190" s="116">
        <f t="shared" si="73"/>
        <v>0</v>
      </c>
      <c r="U190" s="116">
        <f t="shared" si="74"/>
        <v>0</v>
      </c>
      <c r="V190" s="116">
        <f t="shared" si="75"/>
        <v>0</v>
      </c>
      <c r="W190" s="116">
        <f>ROUND(($D190*$I190/$C190)/$C$9,2)</f>
        <v>2422.87</v>
      </c>
      <c r="X190" s="116">
        <f>ROUND(($D190*$J190/$C190)/$C$10,2)</f>
        <v>8626.4500000000007</v>
      </c>
      <c r="Y190" s="116">
        <f t="shared" si="78"/>
        <v>0</v>
      </c>
      <c r="Z190" s="116">
        <f t="shared" si="79"/>
        <v>0</v>
      </c>
      <c r="AA190" s="116">
        <f t="shared" si="80"/>
        <v>0</v>
      </c>
      <c r="AB190" s="116">
        <f t="shared" si="81"/>
        <v>0</v>
      </c>
      <c r="AC190" s="116">
        <f t="shared" si="82"/>
        <v>0</v>
      </c>
      <c r="AD190" s="116">
        <f t="shared" si="83"/>
        <v>0</v>
      </c>
      <c r="AE190" s="116">
        <f t="shared" si="84"/>
        <v>0</v>
      </c>
    </row>
    <row r="191" spans="1:31">
      <c r="A191" s="131">
        <v>42122</v>
      </c>
      <c r="B191" s="131">
        <v>42152</v>
      </c>
      <c r="C191" s="123">
        <f t="shared" si="70"/>
        <v>30</v>
      </c>
      <c r="D191" s="132">
        <v>721.58</v>
      </c>
      <c r="E191" s="134"/>
      <c r="F191" s="135"/>
      <c r="G191" s="123"/>
      <c r="H191" s="123"/>
      <c r="I191" s="123">
        <v>3</v>
      </c>
      <c r="J191" s="123">
        <v>27</v>
      </c>
      <c r="K191" s="123"/>
      <c r="L191" s="123"/>
      <c r="M191" s="123"/>
      <c r="N191" s="123"/>
      <c r="O191" s="123"/>
      <c r="P191" s="123"/>
      <c r="Q191" s="123"/>
      <c r="R191" s="133">
        <f t="shared" si="85"/>
        <v>0</v>
      </c>
      <c r="S191" s="133"/>
      <c r="T191" s="116">
        <f t="shared" si="73"/>
        <v>0</v>
      </c>
      <c r="U191" s="116">
        <f t="shared" si="74"/>
        <v>0</v>
      </c>
      <c r="V191" s="116">
        <f t="shared" si="75"/>
        <v>0</v>
      </c>
      <c r="W191" s="116">
        <f>ROUND(($D191*$I191/$C191)/$C$9,2)</f>
        <v>1076.18</v>
      </c>
      <c r="X191" s="116">
        <f>ROUND(($D191*$J191/$C191)/$C$10,2)</f>
        <v>6897.01</v>
      </c>
      <c r="Y191" s="116">
        <f t="shared" si="78"/>
        <v>0</v>
      </c>
      <c r="Z191" s="116">
        <f t="shared" si="79"/>
        <v>0</v>
      </c>
      <c r="AA191" s="116">
        <f t="shared" si="80"/>
        <v>0</v>
      </c>
      <c r="AB191" s="116">
        <f t="shared" si="81"/>
        <v>0</v>
      </c>
      <c r="AC191" s="116">
        <f t="shared" si="82"/>
        <v>0</v>
      </c>
      <c r="AD191" s="116">
        <f t="shared" si="83"/>
        <v>0</v>
      </c>
      <c r="AE191" s="116">
        <f t="shared" si="84"/>
        <v>0</v>
      </c>
    </row>
    <row r="192" spans="1:31">
      <c r="A192" s="131">
        <v>42122</v>
      </c>
      <c r="B192" s="131">
        <v>42152</v>
      </c>
      <c r="C192" s="123">
        <f t="shared" si="70"/>
        <v>30</v>
      </c>
      <c r="D192" s="132">
        <v>2106.38</v>
      </c>
      <c r="E192" s="134"/>
      <c r="F192" s="135"/>
      <c r="G192" s="123"/>
      <c r="H192" s="123"/>
      <c r="I192" s="123">
        <v>3</v>
      </c>
      <c r="J192" s="123">
        <v>27</v>
      </c>
      <c r="K192" s="123"/>
      <c r="L192" s="123"/>
      <c r="M192" s="123"/>
      <c r="N192" s="123"/>
      <c r="O192" s="123"/>
      <c r="P192" s="123"/>
      <c r="Q192" s="123"/>
      <c r="R192" s="133">
        <f t="shared" si="85"/>
        <v>0</v>
      </c>
      <c r="S192" s="133"/>
      <c r="T192" s="116">
        <f t="shared" si="73"/>
        <v>0</v>
      </c>
      <c r="U192" s="116">
        <f t="shared" si="74"/>
        <v>0</v>
      </c>
      <c r="V192" s="116">
        <f t="shared" si="75"/>
        <v>0</v>
      </c>
      <c r="W192" s="116">
        <f>ROUND(($D192*$I192/$C192)/$C$9,2)</f>
        <v>3141.51</v>
      </c>
      <c r="X192" s="116">
        <f>ROUND(($D192*$J192/$C192)/$C$10,2)</f>
        <v>20133.2</v>
      </c>
      <c r="Y192" s="116">
        <f t="shared" si="78"/>
        <v>0</v>
      </c>
      <c r="Z192" s="116">
        <f t="shared" si="79"/>
        <v>0</v>
      </c>
      <c r="AA192" s="116">
        <f t="shared" si="80"/>
        <v>0</v>
      </c>
      <c r="AB192" s="116">
        <f t="shared" si="81"/>
        <v>0</v>
      </c>
      <c r="AC192" s="116">
        <f t="shared" si="82"/>
        <v>0</v>
      </c>
      <c r="AD192" s="116">
        <f t="shared" si="83"/>
        <v>0</v>
      </c>
      <c r="AE192" s="116">
        <f t="shared" si="84"/>
        <v>0</v>
      </c>
    </row>
    <row r="193" spans="1:31">
      <c r="A193" s="131">
        <v>42120</v>
      </c>
      <c r="B193" s="131">
        <v>42150</v>
      </c>
      <c r="C193" s="123">
        <f t="shared" si="70"/>
        <v>30</v>
      </c>
      <c r="D193" s="132">
        <v>880.25</v>
      </c>
      <c r="E193" s="134"/>
      <c r="F193" s="135"/>
      <c r="G193" s="123"/>
      <c r="H193" s="123"/>
      <c r="I193" s="123">
        <v>5</v>
      </c>
      <c r="J193" s="123">
        <v>25</v>
      </c>
      <c r="K193" s="123"/>
      <c r="L193" s="123"/>
      <c r="M193" s="123"/>
      <c r="N193" s="123"/>
      <c r="O193" s="123"/>
      <c r="P193" s="123"/>
      <c r="Q193" s="123"/>
      <c r="R193" s="133">
        <f t="shared" si="85"/>
        <v>0</v>
      </c>
      <c r="S193" s="133"/>
      <c r="T193" s="116">
        <f t="shared" si="73"/>
        <v>0</v>
      </c>
      <c r="U193" s="116">
        <f t="shared" si="74"/>
        <v>0</v>
      </c>
      <c r="V193" s="116">
        <f t="shared" si="75"/>
        <v>0</v>
      </c>
      <c r="W193" s="116">
        <f>ROUND(($D193*$I193/$C193)/$C$9,2)</f>
        <v>2188.04</v>
      </c>
      <c r="X193" s="116">
        <f>ROUND(($D193*$J193/$C193)/$C$10,2)</f>
        <v>7790.37</v>
      </c>
      <c r="Y193" s="116">
        <f t="shared" si="78"/>
        <v>0</v>
      </c>
      <c r="Z193" s="116">
        <f t="shared" si="79"/>
        <v>0</v>
      </c>
      <c r="AA193" s="116">
        <f t="shared" si="80"/>
        <v>0</v>
      </c>
      <c r="AB193" s="116">
        <f t="shared" si="81"/>
        <v>0</v>
      </c>
      <c r="AC193" s="116">
        <f t="shared" si="82"/>
        <v>0</v>
      </c>
      <c r="AD193" s="116">
        <f t="shared" si="83"/>
        <v>0</v>
      </c>
      <c r="AE193" s="116">
        <f t="shared" si="84"/>
        <v>0</v>
      </c>
    </row>
    <row r="194" spans="1:31">
      <c r="A194" s="131">
        <v>42125</v>
      </c>
      <c r="B194" s="131">
        <v>42156</v>
      </c>
      <c r="C194" s="123">
        <f t="shared" si="70"/>
        <v>31</v>
      </c>
      <c r="D194" s="132">
        <v>246.15</v>
      </c>
      <c r="E194" s="134"/>
      <c r="F194" s="135"/>
      <c r="G194" s="123"/>
      <c r="H194" s="123"/>
      <c r="I194" s="123"/>
      <c r="J194" s="123">
        <v>31</v>
      </c>
      <c r="K194" s="123"/>
      <c r="L194" s="123"/>
      <c r="M194" s="123"/>
      <c r="N194" s="123"/>
      <c r="O194" s="123"/>
      <c r="P194" s="123"/>
      <c r="Q194" s="123"/>
      <c r="R194" s="133">
        <f t="shared" si="85"/>
        <v>0</v>
      </c>
      <c r="S194" s="133"/>
      <c r="T194" s="116">
        <f t="shared" si="73"/>
        <v>0</v>
      </c>
      <c r="U194" s="116">
        <f t="shared" si="74"/>
        <v>0</v>
      </c>
      <c r="V194" s="116">
        <f t="shared" si="75"/>
        <v>0</v>
      </c>
      <c r="W194" s="116">
        <f>ROUND(($D194*$I194/$C194)/$C$9,2)</f>
        <v>0</v>
      </c>
      <c r="X194" s="116">
        <f>ROUND(($D194*$J194/$C194)/$C$10,2)</f>
        <v>2614.17</v>
      </c>
      <c r="Y194" s="116">
        <f t="shared" si="78"/>
        <v>0</v>
      </c>
      <c r="Z194" s="116">
        <f t="shared" si="79"/>
        <v>0</v>
      </c>
      <c r="AA194" s="116">
        <f t="shared" si="80"/>
        <v>0</v>
      </c>
      <c r="AB194" s="116">
        <f t="shared" si="81"/>
        <v>0</v>
      </c>
      <c r="AC194" s="116">
        <f t="shared" si="82"/>
        <v>0</v>
      </c>
      <c r="AD194" s="116">
        <f t="shared" si="83"/>
        <v>0</v>
      </c>
      <c r="AE194" s="116">
        <f t="shared" si="84"/>
        <v>0</v>
      </c>
    </row>
    <row r="195" spans="1:31">
      <c r="A195" s="131">
        <v>42124</v>
      </c>
      <c r="B195" s="131">
        <v>42155</v>
      </c>
      <c r="C195" s="123">
        <f t="shared" si="70"/>
        <v>31</v>
      </c>
      <c r="D195" s="132">
        <v>7379.91</v>
      </c>
      <c r="E195" s="134"/>
      <c r="F195" s="135"/>
      <c r="G195" s="123"/>
      <c r="H195" s="123"/>
      <c r="I195" s="123">
        <v>1</v>
      </c>
      <c r="J195" s="123">
        <v>30</v>
      </c>
      <c r="K195" s="123"/>
      <c r="L195" s="123"/>
      <c r="M195" s="123"/>
      <c r="N195" s="123"/>
      <c r="O195" s="123"/>
      <c r="P195" s="123"/>
      <c r="Q195" s="123"/>
      <c r="R195" s="133">
        <f t="shared" si="85"/>
        <v>0</v>
      </c>
      <c r="S195" s="133"/>
      <c r="T195" s="116">
        <f t="shared" si="73"/>
        <v>0</v>
      </c>
      <c r="U195" s="116">
        <f t="shared" si="74"/>
        <v>0</v>
      </c>
      <c r="V195" s="116">
        <f t="shared" si="75"/>
        <v>0</v>
      </c>
      <c r="W195" s="116">
        <v>2728</v>
      </c>
      <c r="X195" s="116">
        <f>84568.83-W195</f>
        <v>81840.83</v>
      </c>
      <c r="Y195" s="116">
        <f t="shared" si="78"/>
        <v>0</v>
      </c>
      <c r="Z195" s="116">
        <f t="shared" si="79"/>
        <v>0</v>
      </c>
      <c r="AA195" s="116">
        <f t="shared" si="80"/>
        <v>0</v>
      </c>
      <c r="AB195" s="116">
        <f t="shared" si="81"/>
        <v>0</v>
      </c>
      <c r="AC195" s="116">
        <f t="shared" si="82"/>
        <v>0</v>
      </c>
      <c r="AD195" s="116">
        <f t="shared" si="83"/>
        <v>0</v>
      </c>
      <c r="AE195" s="116">
        <f t="shared" si="84"/>
        <v>0</v>
      </c>
    </row>
    <row r="196" spans="1:31">
      <c r="A196" s="131">
        <v>42125</v>
      </c>
      <c r="B196" s="131">
        <v>42156</v>
      </c>
      <c r="C196" s="123">
        <f t="shared" si="70"/>
        <v>31</v>
      </c>
      <c r="D196" s="132">
        <v>11923.38</v>
      </c>
      <c r="E196" s="134"/>
      <c r="F196" s="135"/>
      <c r="G196" s="123"/>
      <c r="H196" s="123"/>
      <c r="I196" s="123"/>
      <c r="J196" s="123">
        <v>31</v>
      </c>
      <c r="K196" s="123"/>
      <c r="L196" s="123"/>
      <c r="M196" s="123"/>
      <c r="N196" s="123"/>
      <c r="O196" s="123"/>
      <c r="P196" s="123"/>
      <c r="Q196" s="123"/>
      <c r="R196" s="133">
        <f t="shared" si="85"/>
        <v>0</v>
      </c>
      <c r="S196" s="133"/>
      <c r="T196" s="116">
        <f t="shared" si="73"/>
        <v>0</v>
      </c>
      <c r="U196" s="116">
        <f t="shared" si="74"/>
        <v>0</v>
      </c>
      <c r="V196" s="116">
        <f t="shared" si="75"/>
        <v>0</v>
      </c>
      <c r="W196" s="116">
        <f t="shared" ref="W196:W201" si="86">ROUND(($D196*$I196/$C196)/$C$9,2)</f>
        <v>0</v>
      </c>
      <c r="X196" s="116">
        <f t="shared" ref="X196:X201" si="87">ROUND(($D196*$J196/$C196)/$C$10,2)</f>
        <v>126628.93</v>
      </c>
      <c r="Y196" s="116">
        <f t="shared" si="78"/>
        <v>0</v>
      </c>
      <c r="Z196" s="116">
        <f t="shared" si="79"/>
        <v>0</v>
      </c>
      <c r="AA196" s="116">
        <f t="shared" si="80"/>
        <v>0</v>
      </c>
      <c r="AB196" s="116">
        <f t="shared" si="81"/>
        <v>0</v>
      </c>
      <c r="AC196" s="116">
        <f t="shared" si="82"/>
        <v>0</v>
      </c>
      <c r="AD196" s="116">
        <f t="shared" si="83"/>
        <v>0</v>
      </c>
      <c r="AE196" s="116">
        <f t="shared" si="84"/>
        <v>0</v>
      </c>
    </row>
    <row r="197" spans="1:31">
      <c r="A197" s="131">
        <v>42125</v>
      </c>
      <c r="B197" s="131">
        <v>42156</v>
      </c>
      <c r="C197" s="123">
        <f t="shared" si="70"/>
        <v>31</v>
      </c>
      <c r="D197" s="132">
        <v>172237.28</v>
      </c>
      <c r="E197" s="134"/>
      <c r="F197" s="135"/>
      <c r="G197" s="123"/>
      <c r="H197" s="123"/>
      <c r="I197" s="123"/>
      <c r="J197" s="123">
        <v>31</v>
      </c>
      <c r="K197" s="123"/>
      <c r="L197" s="123"/>
      <c r="M197" s="123"/>
      <c r="N197" s="123"/>
      <c r="O197" s="123"/>
      <c r="P197" s="123"/>
      <c r="Q197" s="123"/>
      <c r="R197" s="133">
        <f t="shared" si="85"/>
        <v>0</v>
      </c>
      <c r="S197" s="133"/>
      <c r="T197" s="116">
        <f t="shared" si="73"/>
        <v>0</v>
      </c>
      <c r="U197" s="116">
        <f t="shared" si="74"/>
        <v>0</v>
      </c>
      <c r="V197" s="116">
        <f t="shared" si="75"/>
        <v>0</v>
      </c>
      <c r="W197" s="116">
        <f t="shared" si="86"/>
        <v>0</v>
      </c>
      <c r="X197" s="116">
        <f t="shared" si="87"/>
        <v>1829197.96</v>
      </c>
      <c r="Y197" s="116">
        <f t="shared" si="78"/>
        <v>0</v>
      </c>
      <c r="Z197" s="116">
        <f t="shared" si="79"/>
        <v>0</v>
      </c>
      <c r="AA197" s="116">
        <f t="shared" si="80"/>
        <v>0</v>
      </c>
      <c r="AB197" s="116">
        <f t="shared" si="81"/>
        <v>0</v>
      </c>
      <c r="AC197" s="116">
        <f t="shared" si="82"/>
        <v>0</v>
      </c>
      <c r="AD197" s="116">
        <f t="shared" si="83"/>
        <v>0</v>
      </c>
      <c r="AE197" s="116">
        <f t="shared" si="84"/>
        <v>0</v>
      </c>
    </row>
    <row r="198" spans="1:31">
      <c r="A198" s="131">
        <v>42125</v>
      </c>
      <c r="B198" s="131">
        <v>42156</v>
      </c>
      <c r="C198" s="123">
        <f t="shared" si="70"/>
        <v>31</v>
      </c>
      <c r="D198" s="132">
        <v>53866.22</v>
      </c>
      <c r="E198" s="134"/>
      <c r="F198" s="135"/>
      <c r="G198" s="123"/>
      <c r="H198" s="123"/>
      <c r="I198" s="123"/>
      <c r="J198" s="123">
        <v>31</v>
      </c>
      <c r="K198" s="123"/>
      <c r="L198" s="123"/>
      <c r="M198" s="123"/>
      <c r="N198" s="123"/>
      <c r="O198" s="123"/>
      <c r="P198" s="123"/>
      <c r="Q198" s="123"/>
      <c r="R198" s="133">
        <f t="shared" si="85"/>
        <v>0</v>
      </c>
      <c r="S198" s="133"/>
      <c r="T198" s="116">
        <f t="shared" si="73"/>
        <v>0</v>
      </c>
      <c r="U198" s="116">
        <f t="shared" si="74"/>
        <v>0</v>
      </c>
      <c r="V198" s="116">
        <f t="shared" si="75"/>
        <v>0</v>
      </c>
      <c r="W198" s="116">
        <f t="shared" si="86"/>
        <v>0</v>
      </c>
      <c r="X198" s="116">
        <f t="shared" si="87"/>
        <v>572071.16</v>
      </c>
      <c r="Y198" s="116">
        <f t="shared" si="78"/>
        <v>0</v>
      </c>
      <c r="Z198" s="116">
        <f t="shared" si="79"/>
        <v>0</v>
      </c>
      <c r="AA198" s="116">
        <f t="shared" si="80"/>
        <v>0</v>
      </c>
      <c r="AB198" s="116">
        <f t="shared" si="81"/>
        <v>0</v>
      </c>
      <c r="AC198" s="116">
        <f t="shared" si="82"/>
        <v>0</v>
      </c>
      <c r="AD198" s="116">
        <f t="shared" si="83"/>
        <v>0</v>
      </c>
      <c r="AE198" s="116">
        <f t="shared" si="84"/>
        <v>0</v>
      </c>
    </row>
    <row r="199" spans="1:31">
      <c r="A199" s="131">
        <v>42125</v>
      </c>
      <c r="B199" s="131">
        <v>42156</v>
      </c>
      <c r="C199" s="123">
        <f t="shared" si="70"/>
        <v>31</v>
      </c>
      <c r="D199" s="132">
        <v>294.95</v>
      </c>
      <c r="E199" s="134"/>
      <c r="F199" s="135"/>
      <c r="G199" s="123"/>
      <c r="H199" s="123"/>
      <c r="I199" s="123"/>
      <c r="J199" s="123">
        <v>31</v>
      </c>
      <c r="K199" s="123"/>
      <c r="L199" s="123"/>
      <c r="M199" s="123"/>
      <c r="N199" s="123"/>
      <c r="O199" s="123"/>
      <c r="P199" s="123"/>
      <c r="Q199" s="123"/>
      <c r="R199" s="133">
        <f t="shared" si="85"/>
        <v>0</v>
      </c>
      <c r="S199" s="133"/>
      <c r="T199" s="116">
        <f t="shared" si="73"/>
        <v>0</v>
      </c>
      <c r="U199" s="116">
        <f t="shared" si="74"/>
        <v>0</v>
      </c>
      <c r="V199" s="116">
        <f t="shared" si="75"/>
        <v>0</v>
      </c>
      <c r="W199" s="116">
        <f t="shared" si="86"/>
        <v>0</v>
      </c>
      <c r="X199" s="116">
        <f t="shared" si="87"/>
        <v>3132.43</v>
      </c>
      <c r="Y199" s="116">
        <f t="shared" si="78"/>
        <v>0</v>
      </c>
      <c r="Z199" s="116">
        <f t="shared" si="79"/>
        <v>0</v>
      </c>
      <c r="AA199" s="116">
        <f t="shared" si="80"/>
        <v>0</v>
      </c>
      <c r="AB199" s="116">
        <f t="shared" si="81"/>
        <v>0</v>
      </c>
      <c r="AC199" s="116">
        <f t="shared" si="82"/>
        <v>0</v>
      </c>
      <c r="AD199" s="116">
        <f t="shared" si="83"/>
        <v>0</v>
      </c>
      <c r="AE199" s="116">
        <f t="shared" si="84"/>
        <v>0</v>
      </c>
    </row>
    <row r="200" spans="1:31">
      <c r="A200" s="131">
        <v>42125</v>
      </c>
      <c r="B200" s="131">
        <v>42156</v>
      </c>
      <c r="C200" s="123">
        <f t="shared" si="70"/>
        <v>31</v>
      </c>
      <c r="D200" s="132">
        <v>2584.38</v>
      </c>
      <c r="E200" s="134"/>
      <c r="F200" s="135"/>
      <c r="G200" s="123"/>
      <c r="H200" s="123"/>
      <c r="I200" s="123"/>
      <c r="J200" s="123">
        <v>31</v>
      </c>
      <c r="K200" s="123"/>
      <c r="L200" s="123"/>
      <c r="M200" s="123"/>
      <c r="N200" s="123"/>
      <c r="O200" s="123"/>
      <c r="P200" s="123"/>
      <c r="Q200" s="123"/>
      <c r="R200" s="133">
        <f t="shared" si="85"/>
        <v>0</v>
      </c>
      <c r="S200" s="133"/>
      <c r="T200" s="116">
        <f t="shared" si="73"/>
        <v>0</v>
      </c>
      <c r="U200" s="116">
        <f t="shared" si="74"/>
        <v>0</v>
      </c>
      <c r="V200" s="116">
        <f t="shared" si="75"/>
        <v>0</v>
      </c>
      <c r="W200" s="116">
        <f t="shared" si="86"/>
        <v>0</v>
      </c>
      <c r="X200" s="116">
        <f t="shared" si="87"/>
        <v>27446.69</v>
      </c>
      <c r="Y200" s="116">
        <f t="shared" si="78"/>
        <v>0</v>
      </c>
      <c r="Z200" s="116">
        <f t="shared" si="79"/>
        <v>0</v>
      </c>
      <c r="AA200" s="116">
        <f t="shared" si="80"/>
        <v>0</v>
      </c>
      <c r="AB200" s="116">
        <f t="shared" si="81"/>
        <v>0</v>
      </c>
      <c r="AC200" s="116">
        <f t="shared" si="82"/>
        <v>0</v>
      </c>
      <c r="AD200" s="116">
        <f t="shared" si="83"/>
        <v>0</v>
      </c>
      <c r="AE200" s="116">
        <f t="shared" si="84"/>
        <v>0</v>
      </c>
    </row>
    <row r="201" spans="1:31">
      <c r="A201" s="131">
        <v>42125</v>
      </c>
      <c r="B201" s="131">
        <v>42156</v>
      </c>
      <c r="C201" s="123">
        <f t="shared" si="70"/>
        <v>31</v>
      </c>
      <c r="D201" s="132">
        <v>1483.36</v>
      </c>
      <c r="E201" s="134"/>
      <c r="F201" s="135"/>
      <c r="G201" s="123"/>
      <c r="H201" s="123"/>
      <c r="I201" s="123"/>
      <c r="J201" s="123">
        <v>31</v>
      </c>
      <c r="K201" s="123"/>
      <c r="L201" s="123"/>
      <c r="M201" s="123"/>
      <c r="N201" s="123"/>
      <c r="O201" s="123"/>
      <c r="P201" s="123"/>
      <c r="Q201" s="123"/>
      <c r="R201" s="133">
        <f t="shared" si="85"/>
        <v>0</v>
      </c>
      <c r="S201" s="133"/>
      <c r="T201" s="116">
        <f t="shared" si="73"/>
        <v>0</v>
      </c>
      <c r="U201" s="116">
        <f t="shared" si="74"/>
        <v>0</v>
      </c>
      <c r="V201" s="116">
        <f t="shared" si="75"/>
        <v>0</v>
      </c>
      <c r="W201" s="116">
        <f t="shared" si="86"/>
        <v>0</v>
      </c>
      <c r="X201" s="116">
        <f t="shared" si="87"/>
        <v>15753.61</v>
      </c>
      <c r="Y201" s="116">
        <f t="shared" si="78"/>
        <v>0</v>
      </c>
      <c r="Z201" s="116">
        <f t="shared" si="79"/>
        <v>0</v>
      </c>
      <c r="AA201" s="116">
        <f t="shared" si="80"/>
        <v>0</v>
      </c>
      <c r="AB201" s="116">
        <f t="shared" si="81"/>
        <v>0</v>
      </c>
      <c r="AC201" s="116">
        <f t="shared" si="82"/>
        <v>0</v>
      </c>
      <c r="AD201" s="116">
        <f t="shared" si="83"/>
        <v>0</v>
      </c>
      <c r="AE201" s="116">
        <f t="shared" si="84"/>
        <v>0</v>
      </c>
    </row>
    <row r="202" spans="1:31">
      <c r="A202" s="131">
        <v>42116</v>
      </c>
      <c r="B202" s="131">
        <v>42146</v>
      </c>
      <c r="C202" s="123">
        <f t="shared" si="70"/>
        <v>30</v>
      </c>
      <c r="D202" s="132">
        <v>2985.29</v>
      </c>
      <c r="E202" s="134"/>
      <c r="F202" s="135"/>
      <c r="G202" s="123"/>
      <c r="H202" s="123"/>
      <c r="I202" s="123">
        <v>9</v>
      </c>
      <c r="J202" s="123">
        <v>21</v>
      </c>
      <c r="K202" s="123"/>
      <c r="L202" s="123"/>
      <c r="M202" s="123"/>
      <c r="N202" s="123"/>
      <c r="O202" s="123"/>
      <c r="P202" s="123"/>
      <c r="Q202" s="123"/>
      <c r="R202" s="133">
        <f t="shared" si="85"/>
        <v>0</v>
      </c>
      <c r="S202" s="133"/>
      <c r="T202" s="116">
        <f t="shared" si="73"/>
        <v>0</v>
      </c>
      <c r="U202" s="116">
        <f t="shared" si="74"/>
        <v>0</v>
      </c>
      <c r="V202" s="116">
        <f t="shared" si="75"/>
        <v>0</v>
      </c>
      <c r="W202" s="116">
        <f>34953-X202</f>
        <v>10485.900000000001</v>
      </c>
      <c r="X202" s="116">
        <v>24467.1</v>
      </c>
      <c r="Y202" s="116">
        <f t="shared" si="78"/>
        <v>0</v>
      </c>
      <c r="Z202" s="116">
        <f t="shared" si="79"/>
        <v>0</v>
      </c>
      <c r="AA202" s="116">
        <f t="shared" si="80"/>
        <v>0</v>
      </c>
      <c r="AB202" s="116">
        <f t="shared" si="81"/>
        <v>0</v>
      </c>
      <c r="AC202" s="116">
        <f t="shared" si="82"/>
        <v>0</v>
      </c>
      <c r="AD202" s="116">
        <f t="shared" si="83"/>
        <v>0</v>
      </c>
      <c r="AE202" s="116">
        <f t="shared" si="84"/>
        <v>0</v>
      </c>
    </row>
    <row r="203" spans="1:31">
      <c r="A203" s="131">
        <v>42125</v>
      </c>
      <c r="B203" s="131">
        <v>42155</v>
      </c>
      <c r="C203" s="123">
        <f t="shared" si="70"/>
        <v>30</v>
      </c>
      <c r="D203" s="132">
        <v>21.82</v>
      </c>
      <c r="E203" s="134"/>
      <c r="F203" s="135"/>
      <c r="G203" s="123"/>
      <c r="H203" s="123"/>
      <c r="I203" s="123"/>
      <c r="J203" s="123">
        <v>30</v>
      </c>
      <c r="K203" s="123"/>
      <c r="L203" s="123"/>
      <c r="M203" s="123"/>
      <c r="N203" s="123"/>
      <c r="O203" s="123"/>
      <c r="P203" s="123"/>
      <c r="Q203" s="123"/>
      <c r="R203" s="133">
        <f t="shared" si="85"/>
        <v>0</v>
      </c>
      <c r="S203" s="133"/>
      <c r="T203" s="116">
        <f t="shared" si="73"/>
        <v>0</v>
      </c>
      <c r="U203" s="116">
        <f t="shared" si="74"/>
        <v>0</v>
      </c>
      <c r="V203" s="116">
        <f t="shared" si="75"/>
        <v>0</v>
      </c>
      <c r="W203" s="116">
        <f>ROUND(($D203*$I203/$C203)/$C$9,2)</f>
        <v>0</v>
      </c>
      <c r="X203" s="116">
        <f>ROUND(($D203*$J203/$C203)/$C$10,2)</f>
        <v>231.73</v>
      </c>
      <c r="Y203" s="116">
        <f t="shared" si="78"/>
        <v>0</v>
      </c>
      <c r="Z203" s="116">
        <f t="shared" si="79"/>
        <v>0</v>
      </c>
      <c r="AA203" s="116">
        <f t="shared" si="80"/>
        <v>0</v>
      </c>
      <c r="AB203" s="116">
        <f t="shared" si="81"/>
        <v>0</v>
      </c>
      <c r="AC203" s="116">
        <f t="shared" si="82"/>
        <v>0</v>
      </c>
      <c r="AD203" s="116">
        <f t="shared" si="83"/>
        <v>0</v>
      </c>
      <c r="AE203" s="116">
        <f t="shared" si="84"/>
        <v>0</v>
      </c>
    </row>
    <row r="204" spans="1:31">
      <c r="A204" s="131">
        <v>42125</v>
      </c>
      <c r="B204" s="131">
        <v>42156</v>
      </c>
      <c r="C204" s="123">
        <f t="shared" si="70"/>
        <v>31</v>
      </c>
      <c r="D204" s="132">
        <v>1466.09</v>
      </c>
      <c r="E204" s="134"/>
      <c r="F204" s="135"/>
      <c r="G204" s="123"/>
      <c r="H204" s="123"/>
      <c r="I204" s="123"/>
      <c r="J204" s="123">
        <v>31</v>
      </c>
      <c r="K204" s="123"/>
      <c r="L204" s="123"/>
      <c r="M204" s="123"/>
      <c r="N204" s="123"/>
      <c r="O204" s="123"/>
      <c r="P204" s="123"/>
      <c r="Q204" s="123"/>
      <c r="R204" s="133">
        <f t="shared" si="85"/>
        <v>0</v>
      </c>
      <c r="S204" s="133"/>
      <c r="T204" s="116">
        <f t="shared" si="73"/>
        <v>0</v>
      </c>
      <c r="U204" s="116">
        <f t="shared" si="74"/>
        <v>0</v>
      </c>
      <c r="V204" s="116">
        <f t="shared" si="75"/>
        <v>0</v>
      </c>
      <c r="W204" s="116">
        <f>ROUND(($D204*$I204/$C204)/$C$9,2)</f>
        <v>0</v>
      </c>
      <c r="X204" s="116">
        <f>ROUND(($D204*$J204/$C204)/$C$10,2)</f>
        <v>15570.2</v>
      </c>
      <c r="Y204" s="116">
        <f t="shared" si="78"/>
        <v>0</v>
      </c>
      <c r="Z204" s="116">
        <f t="shared" si="79"/>
        <v>0</v>
      </c>
      <c r="AA204" s="116">
        <f t="shared" si="80"/>
        <v>0</v>
      </c>
      <c r="AB204" s="116">
        <f t="shared" si="81"/>
        <v>0</v>
      </c>
      <c r="AC204" s="116">
        <f t="shared" si="82"/>
        <v>0</v>
      </c>
      <c r="AD204" s="116">
        <f t="shared" si="83"/>
        <v>0</v>
      </c>
      <c r="AE204" s="116">
        <f t="shared" si="84"/>
        <v>0</v>
      </c>
    </row>
    <row r="205" spans="1:31">
      <c r="A205" s="131">
        <v>42125</v>
      </c>
      <c r="B205" s="131">
        <v>42156</v>
      </c>
      <c r="C205" s="123">
        <f t="shared" si="70"/>
        <v>31</v>
      </c>
      <c r="D205" s="132">
        <v>672.21</v>
      </c>
      <c r="E205" s="134"/>
      <c r="F205" s="135"/>
      <c r="G205" s="123"/>
      <c r="H205" s="123"/>
      <c r="I205" s="123"/>
      <c r="J205" s="123">
        <v>31</v>
      </c>
      <c r="K205" s="123"/>
      <c r="L205" s="123"/>
      <c r="M205" s="123"/>
      <c r="N205" s="123"/>
      <c r="O205" s="123"/>
      <c r="P205" s="123"/>
      <c r="Q205" s="123"/>
      <c r="R205" s="133">
        <f t="shared" si="85"/>
        <v>0</v>
      </c>
      <c r="S205" s="133"/>
      <c r="T205" s="116">
        <f t="shared" si="73"/>
        <v>0</v>
      </c>
      <c r="U205" s="116">
        <f t="shared" si="74"/>
        <v>0</v>
      </c>
      <c r="V205" s="116">
        <f t="shared" si="75"/>
        <v>0</v>
      </c>
      <c r="W205" s="116">
        <f>ROUND(($D205*$I205/$C205)/$C$9,2)</f>
        <v>0</v>
      </c>
      <c r="X205" s="116">
        <f>ROUND(($D205*$J205/$C205)/$C$10,2)</f>
        <v>7139.02</v>
      </c>
      <c r="Y205" s="116">
        <f t="shared" si="78"/>
        <v>0</v>
      </c>
      <c r="Z205" s="116">
        <f t="shared" si="79"/>
        <v>0</v>
      </c>
      <c r="AA205" s="116">
        <f t="shared" si="80"/>
        <v>0</v>
      </c>
      <c r="AB205" s="116">
        <f t="shared" si="81"/>
        <v>0</v>
      </c>
      <c r="AC205" s="116">
        <f t="shared" si="82"/>
        <v>0</v>
      </c>
      <c r="AD205" s="116">
        <f t="shared" si="83"/>
        <v>0</v>
      </c>
      <c r="AE205" s="116">
        <f t="shared" si="84"/>
        <v>0</v>
      </c>
    </row>
    <row r="206" spans="1:31">
      <c r="A206" s="131">
        <v>42116</v>
      </c>
      <c r="B206" s="131">
        <v>42146</v>
      </c>
      <c r="C206" s="123">
        <f t="shared" si="70"/>
        <v>30</v>
      </c>
      <c r="D206" s="132">
        <v>447.25</v>
      </c>
      <c r="E206" s="134"/>
      <c r="F206" s="135"/>
      <c r="G206" s="123"/>
      <c r="H206" s="123"/>
      <c r="I206" s="123">
        <v>9</v>
      </c>
      <c r="J206" s="123">
        <v>21</v>
      </c>
      <c r="K206" s="123"/>
      <c r="L206" s="123"/>
      <c r="M206" s="123"/>
      <c r="N206" s="123"/>
      <c r="O206" s="123"/>
      <c r="P206" s="123"/>
      <c r="Q206" s="123"/>
      <c r="R206" s="133">
        <f t="shared" si="85"/>
        <v>0</v>
      </c>
      <c r="S206" s="133"/>
      <c r="T206" s="116">
        <f t="shared" si="73"/>
        <v>0</v>
      </c>
      <c r="U206" s="116">
        <f t="shared" si="74"/>
        <v>0</v>
      </c>
      <c r="V206" s="116">
        <f t="shared" si="75"/>
        <v>0</v>
      </c>
      <c r="W206" s="116">
        <f>5236.56-X206</f>
        <v>1570.9700000000003</v>
      </c>
      <c r="X206" s="116">
        <v>3665.59</v>
      </c>
      <c r="Y206" s="116">
        <f t="shared" si="78"/>
        <v>0</v>
      </c>
      <c r="Z206" s="116">
        <f t="shared" si="79"/>
        <v>0</v>
      </c>
      <c r="AA206" s="116">
        <f t="shared" si="80"/>
        <v>0</v>
      </c>
      <c r="AB206" s="116">
        <f t="shared" si="81"/>
        <v>0</v>
      </c>
      <c r="AC206" s="116">
        <f t="shared" si="82"/>
        <v>0</v>
      </c>
      <c r="AD206" s="116">
        <f t="shared" si="83"/>
        <v>0</v>
      </c>
      <c r="AE206" s="116">
        <f t="shared" si="84"/>
        <v>0</v>
      </c>
    </row>
    <row r="207" spans="1:31">
      <c r="A207" s="131">
        <v>42125</v>
      </c>
      <c r="B207" s="131">
        <v>42156</v>
      </c>
      <c r="C207" s="123">
        <f t="shared" si="70"/>
        <v>31</v>
      </c>
      <c r="D207" s="132">
        <v>4201.53</v>
      </c>
      <c r="E207" s="134"/>
      <c r="F207" s="135"/>
      <c r="G207" s="123"/>
      <c r="H207" s="123"/>
      <c r="I207" s="123"/>
      <c r="J207" s="123">
        <v>31</v>
      </c>
      <c r="K207" s="123"/>
      <c r="L207" s="123"/>
      <c r="M207" s="123"/>
      <c r="N207" s="123"/>
      <c r="O207" s="123"/>
      <c r="P207" s="123"/>
      <c r="Q207" s="123"/>
      <c r="R207" s="133">
        <f t="shared" si="85"/>
        <v>0</v>
      </c>
      <c r="S207" s="133"/>
      <c r="T207" s="116">
        <f t="shared" si="73"/>
        <v>0</v>
      </c>
      <c r="U207" s="116">
        <f t="shared" si="74"/>
        <v>0</v>
      </c>
      <c r="V207" s="116">
        <f t="shared" si="75"/>
        <v>0</v>
      </c>
      <c r="W207" s="116">
        <f t="shared" ref="W207:W219" si="88">ROUND(($D207*$I207/$C207)/$C$9,2)</f>
        <v>0</v>
      </c>
      <c r="X207" s="116">
        <f t="shared" ref="X207:X219" si="89">ROUND(($D207*$J207/$C207)/$C$10,2)</f>
        <v>44621.18</v>
      </c>
      <c r="Y207" s="116">
        <f t="shared" si="78"/>
        <v>0</v>
      </c>
      <c r="Z207" s="116">
        <f t="shared" si="79"/>
        <v>0</v>
      </c>
      <c r="AA207" s="116">
        <f t="shared" si="80"/>
        <v>0</v>
      </c>
      <c r="AB207" s="116">
        <f t="shared" si="81"/>
        <v>0</v>
      </c>
      <c r="AC207" s="116">
        <f t="shared" si="82"/>
        <v>0</v>
      </c>
      <c r="AD207" s="116">
        <f t="shared" si="83"/>
        <v>0</v>
      </c>
      <c r="AE207" s="116">
        <f t="shared" si="84"/>
        <v>0</v>
      </c>
    </row>
    <row r="208" spans="1:31">
      <c r="A208" s="131">
        <v>42129</v>
      </c>
      <c r="B208" s="131">
        <v>42160</v>
      </c>
      <c r="C208" s="123">
        <f t="shared" si="70"/>
        <v>31</v>
      </c>
      <c r="D208" s="132">
        <v>1305.3</v>
      </c>
      <c r="E208" s="134"/>
      <c r="F208" s="135"/>
      <c r="G208" s="123"/>
      <c r="H208" s="123"/>
      <c r="I208" s="123"/>
      <c r="J208" s="123">
        <v>27</v>
      </c>
      <c r="K208" s="123">
        <v>4</v>
      </c>
      <c r="L208" s="123"/>
      <c r="M208" s="123"/>
      <c r="N208" s="123"/>
      <c r="O208" s="123"/>
      <c r="P208" s="123"/>
      <c r="Q208" s="123"/>
      <c r="R208" s="133">
        <f t="shared" si="85"/>
        <v>0</v>
      </c>
      <c r="S208" s="133"/>
      <c r="T208" s="116">
        <f t="shared" si="73"/>
        <v>0</v>
      </c>
      <c r="U208" s="116">
        <f t="shared" si="74"/>
        <v>0</v>
      </c>
      <c r="V208" s="116">
        <f t="shared" si="75"/>
        <v>0</v>
      </c>
      <c r="W208" s="116">
        <f t="shared" si="88"/>
        <v>0</v>
      </c>
      <c r="X208" s="116">
        <f t="shared" si="89"/>
        <v>12073.86</v>
      </c>
      <c r="Y208" s="116">
        <f t="shared" si="78"/>
        <v>1825.16</v>
      </c>
      <c r="Z208" s="116">
        <f t="shared" si="79"/>
        <v>0</v>
      </c>
      <c r="AA208" s="116">
        <f t="shared" si="80"/>
        <v>0</v>
      </c>
      <c r="AB208" s="116">
        <f t="shared" si="81"/>
        <v>0</v>
      </c>
      <c r="AC208" s="116">
        <f t="shared" si="82"/>
        <v>0</v>
      </c>
      <c r="AD208" s="116">
        <f t="shared" si="83"/>
        <v>0</v>
      </c>
      <c r="AE208" s="116">
        <f t="shared" si="84"/>
        <v>0</v>
      </c>
    </row>
    <row r="209" spans="1:31">
      <c r="A209" s="131">
        <v>42129</v>
      </c>
      <c r="B209" s="131">
        <v>42160</v>
      </c>
      <c r="C209" s="123">
        <f t="shared" si="70"/>
        <v>31</v>
      </c>
      <c r="D209" s="132">
        <v>814.39</v>
      </c>
      <c r="E209" s="134"/>
      <c r="F209" s="135"/>
      <c r="G209" s="123"/>
      <c r="H209" s="123"/>
      <c r="I209" s="123"/>
      <c r="J209" s="123">
        <v>27</v>
      </c>
      <c r="K209" s="123">
        <v>4</v>
      </c>
      <c r="L209" s="123"/>
      <c r="M209" s="123"/>
      <c r="N209" s="123"/>
      <c r="O209" s="123"/>
      <c r="P209" s="123"/>
      <c r="Q209" s="123"/>
      <c r="R209" s="133">
        <f t="shared" si="85"/>
        <v>0</v>
      </c>
      <c r="S209" s="133"/>
      <c r="T209" s="116">
        <f t="shared" si="73"/>
        <v>0</v>
      </c>
      <c r="U209" s="116">
        <f t="shared" si="74"/>
        <v>0</v>
      </c>
      <c r="V209" s="116">
        <f t="shared" si="75"/>
        <v>0</v>
      </c>
      <c r="W209" s="116">
        <f t="shared" si="88"/>
        <v>0</v>
      </c>
      <c r="X209" s="116">
        <f t="shared" si="89"/>
        <v>7533</v>
      </c>
      <c r="Y209" s="116">
        <f t="shared" si="78"/>
        <v>1138.74</v>
      </c>
      <c r="Z209" s="116">
        <f t="shared" si="79"/>
        <v>0</v>
      </c>
      <c r="AA209" s="116">
        <f t="shared" si="80"/>
        <v>0</v>
      </c>
      <c r="AB209" s="116">
        <f t="shared" si="81"/>
        <v>0</v>
      </c>
      <c r="AC209" s="116">
        <f t="shared" si="82"/>
        <v>0</v>
      </c>
      <c r="AD209" s="116">
        <f t="shared" si="83"/>
        <v>0</v>
      </c>
      <c r="AE209" s="116">
        <f t="shared" si="84"/>
        <v>0</v>
      </c>
    </row>
    <row r="210" spans="1:31">
      <c r="A210" s="131">
        <v>42132</v>
      </c>
      <c r="B210" s="131">
        <v>42163</v>
      </c>
      <c r="C210" s="123">
        <f t="shared" si="70"/>
        <v>31</v>
      </c>
      <c r="D210" s="132">
        <v>244.08</v>
      </c>
      <c r="E210" s="134"/>
      <c r="F210" s="135"/>
      <c r="G210" s="123"/>
      <c r="H210" s="123"/>
      <c r="I210" s="123"/>
      <c r="J210" s="123">
        <v>24</v>
      </c>
      <c r="K210" s="123">
        <v>7</v>
      </c>
      <c r="L210" s="123"/>
      <c r="M210" s="123"/>
      <c r="N210" s="123"/>
      <c r="O210" s="123"/>
      <c r="P210" s="123"/>
      <c r="Q210" s="123"/>
      <c r="R210" s="133">
        <f t="shared" si="85"/>
        <v>0</v>
      </c>
      <c r="S210" s="133"/>
      <c r="T210" s="116">
        <f t="shared" si="73"/>
        <v>0</v>
      </c>
      <c r="U210" s="116">
        <f t="shared" si="74"/>
        <v>0</v>
      </c>
      <c r="V210" s="116">
        <f t="shared" si="75"/>
        <v>0</v>
      </c>
      <c r="W210" s="116">
        <f t="shared" si="88"/>
        <v>0</v>
      </c>
      <c r="X210" s="116">
        <f t="shared" si="89"/>
        <v>2006.85</v>
      </c>
      <c r="Y210" s="116">
        <f t="shared" si="78"/>
        <v>597.26</v>
      </c>
      <c r="Z210" s="116">
        <f t="shared" si="79"/>
        <v>0</v>
      </c>
      <c r="AA210" s="116">
        <f t="shared" si="80"/>
        <v>0</v>
      </c>
      <c r="AB210" s="116">
        <f t="shared" si="81"/>
        <v>0</v>
      </c>
      <c r="AC210" s="116">
        <f t="shared" si="82"/>
        <v>0</v>
      </c>
      <c r="AD210" s="116">
        <f t="shared" si="83"/>
        <v>0</v>
      </c>
      <c r="AE210" s="116">
        <f t="shared" si="84"/>
        <v>0</v>
      </c>
    </row>
    <row r="211" spans="1:31">
      <c r="A211" s="131">
        <v>42132</v>
      </c>
      <c r="B211" s="131">
        <v>42163</v>
      </c>
      <c r="C211" s="123">
        <f t="shared" si="70"/>
        <v>31</v>
      </c>
      <c r="D211" s="132">
        <v>51.23</v>
      </c>
      <c r="E211" s="134"/>
      <c r="F211" s="135"/>
      <c r="G211" s="123"/>
      <c r="H211" s="123"/>
      <c r="I211" s="123"/>
      <c r="J211" s="123">
        <v>24</v>
      </c>
      <c r="K211" s="123">
        <v>7</v>
      </c>
      <c r="L211" s="123"/>
      <c r="M211" s="123"/>
      <c r="N211" s="123"/>
      <c r="O211" s="123"/>
      <c r="P211" s="123"/>
      <c r="Q211" s="123"/>
      <c r="R211" s="133">
        <f t="shared" si="85"/>
        <v>0</v>
      </c>
      <c r="S211" s="133"/>
      <c r="T211" s="116">
        <f t="shared" si="73"/>
        <v>0</v>
      </c>
      <c r="U211" s="116">
        <f t="shared" si="74"/>
        <v>0</v>
      </c>
      <c r="V211" s="116">
        <f t="shared" si="75"/>
        <v>0</v>
      </c>
      <c r="W211" s="116">
        <f t="shared" si="88"/>
        <v>0</v>
      </c>
      <c r="X211" s="116">
        <f t="shared" si="89"/>
        <v>421.22</v>
      </c>
      <c r="Y211" s="116">
        <f t="shared" si="78"/>
        <v>125.36</v>
      </c>
      <c r="Z211" s="116">
        <f t="shared" si="79"/>
        <v>0</v>
      </c>
      <c r="AA211" s="116">
        <f t="shared" si="80"/>
        <v>0</v>
      </c>
      <c r="AB211" s="116">
        <f t="shared" si="81"/>
        <v>0</v>
      </c>
      <c r="AC211" s="116">
        <f t="shared" si="82"/>
        <v>0</v>
      </c>
      <c r="AD211" s="116">
        <f t="shared" si="83"/>
        <v>0</v>
      </c>
      <c r="AE211" s="116">
        <f t="shared" si="84"/>
        <v>0</v>
      </c>
    </row>
    <row r="212" spans="1:31">
      <c r="A212" s="131">
        <v>42129</v>
      </c>
      <c r="B212" s="131">
        <v>42160</v>
      </c>
      <c r="C212" s="123">
        <f t="shared" si="70"/>
        <v>31</v>
      </c>
      <c r="D212" s="132">
        <v>292.26</v>
      </c>
      <c r="E212" s="134"/>
      <c r="F212" s="135"/>
      <c r="G212" s="123"/>
      <c r="H212" s="123"/>
      <c r="I212" s="123"/>
      <c r="J212" s="123">
        <v>27</v>
      </c>
      <c r="K212" s="123">
        <v>4</v>
      </c>
      <c r="L212" s="123"/>
      <c r="M212" s="123"/>
      <c r="N212" s="123"/>
      <c r="O212" s="123"/>
      <c r="P212" s="123"/>
      <c r="Q212" s="123"/>
      <c r="R212" s="133">
        <f t="shared" si="85"/>
        <v>0</v>
      </c>
      <c r="S212" s="133"/>
      <c r="T212" s="116">
        <f t="shared" si="73"/>
        <v>0</v>
      </c>
      <c r="U212" s="116">
        <f t="shared" si="74"/>
        <v>0</v>
      </c>
      <c r="V212" s="116">
        <f t="shared" si="75"/>
        <v>0</v>
      </c>
      <c r="W212" s="116">
        <f t="shared" si="88"/>
        <v>0</v>
      </c>
      <c r="X212" s="116">
        <f t="shared" si="89"/>
        <v>2703.37</v>
      </c>
      <c r="Y212" s="116">
        <f t="shared" si="78"/>
        <v>408.66</v>
      </c>
      <c r="Z212" s="116">
        <f t="shared" si="79"/>
        <v>0</v>
      </c>
      <c r="AA212" s="116">
        <f t="shared" si="80"/>
        <v>0</v>
      </c>
      <c r="AB212" s="116">
        <f t="shared" si="81"/>
        <v>0</v>
      </c>
      <c r="AC212" s="116">
        <f t="shared" si="82"/>
        <v>0</v>
      </c>
      <c r="AD212" s="116">
        <f t="shared" si="83"/>
        <v>0</v>
      </c>
      <c r="AE212" s="116">
        <f t="shared" si="84"/>
        <v>0</v>
      </c>
    </row>
    <row r="213" spans="1:31">
      <c r="A213" s="131">
        <v>42132</v>
      </c>
      <c r="B213" s="131">
        <v>42163</v>
      </c>
      <c r="C213" s="123">
        <f t="shared" si="70"/>
        <v>31</v>
      </c>
      <c r="D213" s="132">
        <v>248.28</v>
      </c>
      <c r="E213" s="134"/>
      <c r="F213" s="135"/>
      <c r="G213" s="123"/>
      <c r="H213" s="123"/>
      <c r="I213" s="123"/>
      <c r="J213" s="123">
        <v>24</v>
      </c>
      <c r="K213" s="123">
        <v>7</v>
      </c>
      <c r="L213" s="123"/>
      <c r="M213" s="123"/>
      <c r="N213" s="123"/>
      <c r="O213" s="123"/>
      <c r="P213" s="123"/>
      <c r="Q213" s="123"/>
      <c r="R213" s="133">
        <f t="shared" si="85"/>
        <v>0</v>
      </c>
      <c r="S213" s="133"/>
      <c r="T213" s="116">
        <f t="shared" si="73"/>
        <v>0</v>
      </c>
      <c r="U213" s="116">
        <f t="shared" si="74"/>
        <v>0</v>
      </c>
      <c r="V213" s="116">
        <f t="shared" si="75"/>
        <v>0</v>
      </c>
      <c r="W213" s="116">
        <f t="shared" si="88"/>
        <v>0</v>
      </c>
      <c r="X213" s="116">
        <f t="shared" si="89"/>
        <v>2041.38</v>
      </c>
      <c r="Y213" s="116">
        <f t="shared" si="78"/>
        <v>607.53</v>
      </c>
      <c r="Z213" s="116">
        <f t="shared" si="79"/>
        <v>0</v>
      </c>
      <c r="AA213" s="116">
        <f t="shared" si="80"/>
        <v>0</v>
      </c>
      <c r="AB213" s="116">
        <f t="shared" si="81"/>
        <v>0</v>
      </c>
      <c r="AC213" s="116">
        <f t="shared" si="82"/>
        <v>0</v>
      </c>
      <c r="AD213" s="116">
        <f t="shared" si="83"/>
        <v>0</v>
      </c>
      <c r="AE213" s="116">
        <f t="shared" si="84"/>
        <v>0</v>
      </c>
    </row>
    <row r="214" spans="1:31">
      <c r="A214" s="131">
        <v>42132</v>
      </c>
      <c r="B214" s="131">
        <v>42163</v>
      </c>
      <c r="C214" s="123">
        <f t="shared" si="70"/>
        <v>31</v>
      </c>
      <c r="D214" s="132">
        <v>789.68</v>
      </c>
      <c r="E214" s="134"/>
      <c r="F214" s="135"/>
      <c r="G214" s="123"/>
      <c r="H214" s="123"/>
      <c r="I214" s="123"/>
      <c r="J214" s="123">
        <v>24</v>
      </c>
      <c r="K214" s="123">
        <v>7</v>
      </c>
      <c r="L214" s="123"/>
      <c r="M214" s="123"/>
      <c r="N214" s="123"/>
      <c r="O214" s="123"/>
      <c r="P214" s="123"/>
      <c r="Q214" s="123"/>
      <c r="R214" s="133">
        <f t="shared" si="85"/>
        <v>0</v>
      </c>
      <c r="S214" s="133"/>
      <c r="T214" s="116">
        <f t="shared" si="73"/>
        <v>0</v>
      </c>
      <c r="U214" s="116">
        <f t="shared" si="74"/>
        <v>0</v>
      </c>
      <c r="V214" s="116">
        <f t="shared" si="75"/>
        <v>0</v>
      </c>
      <c r="W214" s="116">
        <f t="shared" si="88"/>
        <v>0</v>
      </c>
      <c r="X214" s="116">
        <f t="shared" si="89"/>
        <v>6492.83</v>
      </c>
      <c r="Y214" s="116">
        <f t="shared" si="78"/>
        <v>1932.32</v>
      </c>
      <c r="Z214" s="116">
        <f t="shared" si="79"/>
        <v>0</v>
      </c>
      <c r="AA214" s="116">
        <f t="shared" si="80"/>
        <v>0</v>
      </c>
      <c r="AB214" s="116">
        <f t="shared" si="81"/>
        <v>0</v>
      </c>
      <c r="AC214" s="116">
        <f t="shared" si="82"/>
        <v>0</v>
      </c>
      <c r="AD214" s="116">
        <f t="shared" si="83"/>
        <v>0</v>
      </c>
      <c r="AE214" s="116">
        <f t="shared" si="84"/>
        <v>0</v>
      </c>
    </row>
    <row r="215" spans="1:31">
      <c r="A215" s="131">
        <v>42150</v>
      </c>
      <c r="B215" s="131">
        <v>42163</v>
      </c>
      <c r="C215" s="123">
        <f t="shared" si="70"/>
        <v>13</v>
      </c>
      <c r="D215" s="132">
        <v>8.2200000000000006</v>
      </c>
      <c r="E215" s="134"/>
      <c r="F215" s="135"/>
      <c r="G215" s="123"/>
      <c r="H215" s="123"/>
      <c r="I215" s="123"/>
      <c r="J215" s="123">
        <v>6</v>
      </c>
      <c r="K215" s="123">
        <v>7</v>
      </c>
      <c r="L215" s="123"/>
      <c r="M215" s="123"/>
      <c r="N215" s="123"/>
      <c r="O215" s="123"/>
      <c r="P215" s="123"/>
      <c r="Q215" s="123"/>
      <c r="R215" s="133">
        <f t="shared" si="85"/>
        <v>0</v>
      </c>
      <c r="S215" s="133"/>
      <c r="T215" s="116">
        <f t="shared" si="73"/>
        <v>0</v>
      </c>
      <c r="U215" s="116">
        <f t="shared" si="74"/>
        <v>0</v>
      </c>
      <c r="V215" s="116">
        <f t="shared" si="75"/>
        <v>0</v>
      </c>
      <c r="W215" s="116">
        <f t="shared" si="88"/>
        <v>0</v>
      </c>
      <c r="X215" s="116">
        <f t="shared" si="89"/>
        <v>40.29</v>
      </c>
      <c r="Y215" s="116">
        <f t="shared" si="78"/>
        <v>47.96</v>
      </c>
      <c r="Z215" s="116">
        <f t="shared" si="79"/>
        <v>0</v>
      </c>
      <c r="AA215" s="116">
        <f t="shared" si="80"/>
        <v>0</v>
      </c>
      <c r="AB215" s="116">
        <f t="shared" si="81"/>
        <v>0</v>
      </c>
      <c r="AC215" s="116">
        <f t="shared" si="82"/>
        <v>0</v>
      </c>
      <c r="AD215" s="116">
        <f t="shared" si="83"/>
        <v>0</v>
      </c>
      <c r="AE215" s="116">
        <f t="shared" si="84"/>
        <v>0</v>
      </c>
    </row>
    <row r="216" spans="1:31">
      <c r="A216" s="131">
        <v>42136</v>
      </c>
      <c r="B216" s="131">
        <v>42167</v>
      </c>
      <c r="C216" s="123">
        <f t="shared" si="70"/>
        <v>31</v>
      </c>
      <c r="D216" s="132">
        <v>996.97</v>
      </c>
      <c r="E216" s="134"/>
      <c r="F216" s="135"/>
      <c r="G216" s="123"/>
      <c r="H216" s="123"/>
      <c r="I216" s="123"/>
      <c r="J216" s="123">
        <v>20</v>
      </c>
      <c r="K216" s="123">
        <v>11</v>
      </c>
      <c r="L216" s="123"/>
      <c r="M216" s="123"/>
      <c r="N216" s="123"/>
      <c r="O216" s="123"/>
      <c r="P216" s="123"/>
      <c r="Q216" s="123"/>
      <c r="R216" s="133">
        <f t="shared" si="85"/>
        <v>0</v>
      </c>
      <c r="S216" s="133"/>
      <c r="T216" s="116">
        <f t="shared" si="73"/>
        <v>0</v>
      </c>
      <c r="U216" s="116">
        <f t="shared" si="74"/>
        <v>0</v>
      </c>
      <c r="V216" s="116">
        <f t="shared" si="75"/>
        <v>0</v>
      </c>
      <c r="W216" s="116">
        <f t="shared" si="88"/>
        <v>0</v>
      </c>
      <c r="X216" s="116">
        <f t="shared" si="89"/>
        <v>6830.99</v>
      </c>
      <c r="Y216" s="116">
        <f t="shared" si="78"/>
        <v>3833.59</v>
      </c>
      <c r="Z216" s="116">
        <f t="shared" si="79"/>
        <v>0</v>
      </c>
      <c r="AA216" s="116">
        <f t="shared" si="80"/>
        <v>0</v>
      </c>
      <c r="AB216" s="116">
        <f t="shared" si="81"/>
        <v>0</v>
      </c>
      <c r="AC216" s="116">
        <f t="shared" si="82"/>
        <v>0</v>
      </c>
      <c r="AD216" s="116">
        <f t="shared" si="83"/>
        <v>0</v>
      </c>
      <c r="AE216" s="116">
        <f t="shared" si="84"/>
        <v>0</v>
      </c>
    </row>
    <row r="217" spans="1:31">
      <c r="A217" s="131">
        <v>42136</v>
      </c>
      <c r="B217" s="131">
        <v>42167</v>
      </c>
      <c r="C217" s="123">
        <f t="shared" si="70"/>
        <v>31</v>
      </c>
      <c r="D217" s="132">
        <v>239.82</v>
      </c>
      <c r="E217" s="134"/>
      <c r="F217" s="135"/>
      <c r="G217" s="123"/>
      <c r="H217" s="123"/>
      <c r="I217" s="123"/>
      <c r="J217" s="123">
        <v>20</v>
      </c>
      <c r="K217" s="123">
        <v>11</v>
      </c>
      <c r="L217" s="123"/>
      <c r="M217" s="123"/>
      <c r="N217" s="123"/>
      <c r="O217" s="123"/>
      <c r="P217" s="123"/>
      <c r="Q217" s="123"/>
      <c r="R217" s="133">
        <f t="shared" si="85"/>
        <v>0</v>
      </c>
      <c r="S217" s="133"/>
      <c r="T217" s="116">
        <f t="shared" si="73"/>
        <v>0</v>
      </c>
      <c r="U217" s="116">
        <f t="shared" si="74"/>
        <v>0</v>
      </c>
      <c r="V217" s="116">
        <f t="shared" si="75"/>
        <v>0</v>
      </c>
      <c r="W217" s="116">
        <f t="shared" si="88"/>
        <v>0</v>
      </c>
      <c r="X217" s="116">
        <f t="shared" si="89"/>
        <v>1643.19</v>
      </c>
      <c r="Y217" s="116">
        <f t="shared" si="78"/>
        <v>922.17</v>
      </c>
      <c r="Z217" s="116">
        <f t="shared" si="79"/>
        <v>0</v>
      </c>
      <c r="AA217" s="116">
        <f t="shared" si="80"/>
        <v>0</v>
      </c>
      <c r="AB217" s="116">
        <f t="shared" si="81"/>
        <v>0</v>
      </c>
      <c r="AC217" s="116">
        <f t="shared" si="82"/>
        <v>0</v>
      </c>
      <c r="AD217" s="116">
        <f t="shared" si="83"/>
        <v>0</v>
      </c>
      <c r="AE217" s="116">
        <f t="shared" si="84"/>
        <v>0</v>
      </c>
    </row>
    <row r="218" spans="1:31">
      <c r="A218" s="131">
        <v>42136</v>
      </c>
      <c r="B218" s="131">
        <v>42167</v>
      </c>
      <c r="C218" s="123">
        <f t="shared" ref="C218:C283" si="90">B218-A218</f>
        <v>31</v>
      </c>
      <c r="D218" s="132">
        <v>53.04</v>
      </c>
      <c r="E218" s="134"/>
      <c r="F218" s="135"/>
      <c r="G218" s="123"/>
      <c r="H218" s="123"/>
      <c r="I218" s="123"/>
      <c r="J218" s="123">
        <v>20</v>
      </c>
      <c r="K218" s="123">
        <v>11</v>
      </c>
      <c r="L218" s="123"/>
      <c r="M218" s="123"/>
      <c r="N218" s="123"/>
      <c r="O218" s="123"/>
      <c r="P218" s="123"/>
      <c r="Q218" s="123"/>
      <c r="R218" s="133">
        <f t="shared" si="85"/>
        <v>0</v>
      </c>
      <c r="S218" s="133"/>
      <c r="T218" s="116">
        <f t="shared" si="73"/>
        <v>0</v>
      </c>
      <c r="U218" s="116">
        <f t="shared" si="74"/>
        <v>0</v>
      </c>
      <c r="V218" s="116">
        <f t="shared" si="75"/>
        <v>0</v>
      </c>
      <c r="W218" s="116">
        <f t="shared" si="88"/>
        <v>0</v>
      </c>
      <c r="X218" s="116">
        <f t="shared" si="89"/>
        <v>363.42</v>
      </c>
      <c r="Y218" s="116">
        <f t="shared" si="78"/>
        <v>203.95</v>
      </c>
      <c r="Z218" s="116">
        <f t="shared" si="79"/>
        <v>0</v>
      </c>
      <c r="AA218" s="116">
        <f t="shared" si="80"/>
        <v>0</v>
      </c>
      <c r="AB218" s="116">
        <f t="shared" si="81"/>
        <v>0</v>
      </c>
      <c r="AC218" s="116">
        <f t="shared" si="82"/>
        <v>0</v>
      </c>
      <c r="AD218" s="116">
        <f t="shared" si="83"/>
        <v>0</v>
      </c>
      <c r="AE218" s="116">
        <f t="shared" si="84"/>
        <v>0</v>
      </c>
    </row>
    <row r="219" spans="1:31" ht="15.75" thickBot="1">
      <c r="A219" s="131">
        <v>42136</v>
      </c>
      <c r="B219" s="131">
        <v>42167</v>
      </c>
      <c r="C219" s="123">
        <f t="shared" si="90"/>
        <v>31</v>
      </c>
      <c r="D219" s="132">
        <v>1028.5899999999999</v>
      </c>
      <c r="E219" s="134"/>
      <c r="F219" s="135"/>
      <c r="G219" s="123"/>
      <c r="H219" s="123"/>
      <c r="I219" s="123"/>
      <c r="J219" s="123">
        <v>20</v>
      </c>
      <c r="K219" s="123">
        <v>11</v>
      </c>
      <c r="L219" s="123"/>
      <c r="M219" s="123"/>
      <c r="N219" s="123"/>
      <c r="O219" s="123"/>
      <c r="P219" s="123"/>
      <c r="Q219" s="123"/>
      <c r="R219" s="133">
        <f t="shared" si="85"/>
        <v>0</v>
      </c>
      <c r="S219" s="133"/>
      <c r="T219" s="116">
        <f t="shared" si="73"/>
        <v>0</v>
      </c>
      <c r="U219" s="116">
        <f t="shared" si="74"/>
        <v>0</v>
      </c>
      <c r="V219" s="116">
        <f t="shared" si="75"/>
        <v>0</v>
      </c>
      <c r="W219" s="116">
        <f t="shared" si="88"/>
        <v>0</v>
      </c>
      <c r="X219" s="116">
        <f t="shared" si="89"/>
        <v>7047.65</v>
      </c>
      <c r="Y219" s="116">
        <f t="shared" si="78"/>
        <v>3955.17</v>
      </c>
      <c r="Z219" s="116">
        <f t="shared" si="79"/>
        <v>0</v>
      </c>
      <c r="AA219" s="116">
        <f t="shared" si="80"/>
        <v>0</v>
      </c>
      <c r="AB219" s="116">
        <f t="shared" si="81"/>
        <v>0</v>
      </c>
      <c r="AC219" s="116">
        <f t="shared" si="82"/>
        <v>0</v>
      </c>
      <c r="AD219" s="116">
        <f t="shared" si="83"/>
        <v>0</v>
      </c>
      <c r="AE219" s="116">
        <f t="shared" si="84"/>
        <v>0</v>
      </c>
    </row>
    <row r="220" spans="1:31" ht="15.75" thickBot="1">
      <c r="A220" s="194" t="s">
        <v>41</v>
      </c>
      <c r="B220" s="195"/>
      <c r="C220" s="195"/>
      <c r="D220" s="195"/>
      <c r="E220" s="195"/>
      <c r="F220" s="195"/>
      <c r="G220" s="195"/>
      <c r="H220" s="195"/>
      <c r="I220" s="195"/>
      <c r="J220" s="195"/>
      <c r="K220" s="195"/>
      <c r="L220" s="195"/>
      <c r="M220" s="195"/>
      <c r="N220" s="195"/>
      <c r="O220" s="195"/>
      <c r="P220" s="195"/>
      <c r="Q220" s="195"/>
      <c r="R220" s="195"/>
      <c r="S220" s="195"/>
      <c r="T220" s="195"/>
      <c r="U220" s="195"/>
      <c r="V220" s="195"/>
      <c r="W220" s="195"/>
      <c r="X220" s="195"/>
      <c r="Y220" s="195"/>
      <c r="Z220" s="195"/>
      <c r="AA220" s="195"/>
      <c r="AB220" s="195"/>
      <c r="AC220" s="195"/>
      <c r="AD220" s="195"/>
      <c r="AE220" s="196"/>
    </row>
    <row r="221" spans="1:31">
      <c r="A221" s="131">
        <v>42136</v>
      </c>
      <c r="B221" s="131">
        <v>42167</v>
      </c>
      <c r="C221" s="123">
        <f t="shared" si="90"/>
        <v>31</v>
      </c>
      <c r="D221" s="132">
        <v>40.9</v>
      </c>
      <c r="E221" s="134"/>
      <c r="F221" s="135"/>
      <c r="G221" s="123"/>
      <c r="H221" s="123"/>
      <c r="I221" s="123"/>
      <c r="J221" s="123">
        <v>20</v>
      </c>
      <c r="K221" s="123">
        <v>11</v>
      </c>
      <c r="L221" s="123"/>
      <c r="M221" s="123"/>
      <c r="N221" s="123"/>
      <c r="O221" s="123"/>
      <c r="P221" s="123"/>
      <c r="Q221" s="123"/>
      <c r="R221" s="133">
        <f t="shared" si="85"/>
        <v>0</v>
      </c>
      <c r="S221" s="133"/>
      <c r="T221" s="116">
        <f t="shared" ref="T221:T262" si="91">ROUND((D221*F221/C221)/$C$6,2)</f>
        <v>0</v>
      </c>
      <c r="U221" s="116">
        <f t="shared" ref="U221:U262" si="92">ROUND(($D221*$G221/$C221)/$C$7,2)</f>
        <v>0</v>
      </c>
      <c r="V221" s="116">
        <f t="shared" ref="V221:V262" si="93">ROUND(($D221*$H221/$C221)/$C$8,2)</f>
        <v>0</v>
      </c>
      <c r="W221" s="116">
        <f t="shared" ref="W221:W262" si="94">ROUND(($D221*$I221/$C221)/$C$9,2)</f>
        <v>0</v>
      </c>
      <c r="X221" s="116">
        <f t="shared" ref="X221:X229" si="95">ROUND(($D221*$J221/$C221)/$C$10,2)</f>
        <v>280.24</v>
      </c>
      <c r="Y221" s="116">
        <f t="shared" ref="Y221:Y229" si="96">ROUND(($D221*$K221/$C221)/$C$11,2)</f>
        <v>157.27000000000001</v>
      </c>
      <c r="Z221" s="116">
        <f t="shared" ref="Z221:Z262" si="97">ROUND(($D221*$L221/$C221)/$C$12,2)</f>
        <v>0</v>
      </c>
      <c r="AA221" s="116">
        <f t="shared" ref="AA221:AA262" si="98">ROUND(($D221*$M221/$C221)/$C$13,2)</f>
        <v>0</v>
      </c>
      <c r="AB221" s="116">
        <f t="shared" ref="AB221:AB262" si="99">ROUND(($D221*$N221/$C221)/$C$14,2)</f>
        <v>0</v>
      </c>
      <c r="AC221" s="116">
        <f t="shared" ref="AC221:AC262" si="100">ROUND(($D221*$O221/$C221)/$C$15,2)</f>
        <v>0</v>
      </c>
      <c r="AD221" s="116">
        <f t="shared" ref="AD221:AD262" si="101">ROUND(($D221*$P221/$C221)/$C$16,2)</f>
        <v>0</v>
      </c>
      <c r="AE221" s="116">
        <f t="shared" ref="AE221:AE262" si="102">ROUND(($D221*$Q221/$C221)/$C$17,2)</f>
        <v>0</v>
      </c>
    </row>
    <row r="222" spans="1:31">
      <c r="A222" s="131">
        <v>42139</v>
      </c>
      <c r="B222" s="131">
        <v>42170</v>
      </c>
      <c r="C222" s="123">
        <f t="shared" si="90"/>
        <v>31</v>
      </c>
      <c r="D222" s="132">
        <v>1406.97</v>
      </c>
      <c r="E222" s="134"/>
      <c r="F222" s="135"/>
      <c r="G222" s="123"/>
      <c r="H222" s="123"/>
      <c r="I222" s="123"/>
      <c r="J222" s="123">
        <v>17</v>
      </c>
      <c r="K222" s="123">
        <v>14</v>
      </c>
      <c r="L222" s="123"/>
      <c r="M222" s="123"/>
      <c r="N222" s="123"/>
      <c r="O222" s="123"/>
      <c r="P222" s="123"/>
      <c r="Q222" s="123"/>
      <c r="R222" s="133">
        <f t="shared" si="85"/>
        <v>0</v>
      </c>
      <c r="S222" s="133"/>
      <c r="T222" s="116">
        <f t="shared" si="91"/>
        <v>0</v>
      </c>
      <c r="U222" s="116">
        <f t="shared" si="92"/>
        <v>0</v>
      </c>
      <c r="V222" s="116">
        <f t="shared" si="93"/>
        <v>0</v>
      </c>
      <c r="W222" s="116">
        <f t="shared" si="94"/>
        <v>0</v>
      </c>
      <c r="X222" s="116">
        <f t="shared" si="95"/>
        <v>8194.18</v>
      </c>
      <c r="Y222" s="116">
        <f t="shared" si="96"/>
        <v>6885.63</v>
      </c>
      <c r="Z222" s="116">
        <f t="shared" si="97"/>
        <v>0</v>
      </c>
      <c r="AA222" s="116">
        <f t="shared" si="98"/>
        <v>0</v>
      </c>
      <c r="AB222" s="116">
        <f t="shared" si="99"/>
        <v>0</v>
      </c>
      <c r="AC222" s="116">
        <f t="shared" si="100"/>
        <v>0</v>
      </c>
      <c r="AD222" s="116">
        <f t="shared" si="101"/>
        <v>0</v>
      </c>
      <c r="AE222" s="116">
        <f t="shared" si="102"/>
        <v>0</v>
      </c>
    </row>
    <row r="223" spans="1:31">
      <c r="A223" s="131">
        <v>42150</v>
      </c>
      <c r="B223" s="131">
        <v>42172</v>
      </c>
      <c r="C223" s="123">
        <f t="shared" si="90"/>
        <v>22</v>
      </c>
      <c r="D223" s="132">
        <v>7.24</v>
      </c>
      <c r="E223" s="134"/>
      <c r="F223" s="135"/>
      <c r="G223" s="123"/>
      <c r="H223" s="123"/>
      <c r="I223" s="123"/>
      <c r="J223" s="123">
        <v>6</v>
      </c>
      <c r="K223" s="123">
        <v>16</v>
      </c>
      <c r="L223" s="123"/>
      <c r="M223" s="123"/>
      <c r="N223" s="123"/>
      <c r="O223" s="123"/>
      <c r="P223" s="123"/>
      <c r="Q223" s="123"/>
      <c r="R223" s="133">
        <f t="shared" si="85"/>
        <v>0</v>
      </c>
      <c r="S223" s="133"/>
      <c r="T223" s="116">
        <f t="shared" si="91"/>
        <v>0</v>
      </c>
      <c r="U223" s="116">
        <f t="shared" si="92"/>
        <v>0</v>
      </c>
      <c r="V223" s="116">
        <f t="shared" si="93"/>
        <v>0</v>
      </c>
      <c r="W223" s="116">
        <f t="shared" si="94"/>
        <v>0</v>
      </c>
      <c r="X223" s="116">
        <f t="shared" si="95"/>
        <v>20.97</v>
      </c>
      <c r="Y223" s="116">
        <f t="shared" si="96"/>
        <v>57.06</v>
      </c>
      <c r="Z223" s="116">
        <f t="shared" si="97"/>
        <v>0</v>
      </c>
      <c r="AA223" s="116">
        <f t="shared" si="98"/>
        <v>0</v>
      </c>
      <c r="AB223" s="116">
        <f t="shared" si="99"/>
        <v>0</v>
      </c>
      <c r="AC223" s="116">
        <f t="shared" si="100"/>
        <v>0</v>
      </c>
      <c r="AD223" s="116">
        <f t="shared" si="101"/>
        <v>0</v>
      </c>
      <c r="AE223" s="116">
        <f t="shared" si="102"/>
        <v>0</v>
      </c>
    </row>
    <row r="224" spans="1:31">
      <c r="A224" s="131">
        <v>42143</v>
      </c>
      <c r="B224" s="131">
        <v>42174</v>
      </c>
      <c r="C224" s="123">
        <f t="shared" si="90"/>
        <v>31</v>
      </c>
      <c r="D224" s="132">
        <v>1763.02</v>
      </c>
      <c r="E224" s="134"/>
      <c r="F224" s="135"/>
      <c r="G224" s="123"/>
      <c r="H224" s="123"/>
      <c r="I224" s="123"/>
      <c r="J224" s="123">
        <v>13</v>
      </c>
      <c r="K224" s="123">
        <v>18</v>
      </c>
      <c r="L224" s="123"/>
      <c r="M224" s="123"/>
      <c r="N224" s="123"/>
      <c r="O224" s="123"/>
      <c r="P224" s="123"/>
      <c r="Q224" s="123"/>
      <c r="R224" s="133">
        <f t="shared" si="85"/>
        <v>0</v>
      </c>
      <c r="S224" s="133"/>
      <c r="T224" s="116">
        <f t="shared" si="91"/>
        <v>0</v>
      </c>
      <c r="U224" s="116">
        <f t="shared" si="92"/>
        <v>0</v>
      </c>
      <c r="V224" s="116">
        <f t="shared" si="93"/>
        <v>0</v>
      </c>
      <c r="W224" s="116">
        <f t="shared" si="94"/>
        <v>0</v>
      </c>
      <c r="X224" s="116">
        <f t="shared" si="95"/>
        <v>7851.86</v>
      </c>
      <c r="Y224" s="116">
        <f t="shared" si="96"/>
        <v>11093.29</v>
      </c>
      <c r="Z224" s="116">
        <f t="shared" si="97"/>
        <v>0</v>
      </c>
      <c r="AA224" s="116">
        <f t="shared" si="98"/>
        <v>0</v>
      </c>
      <c r="AB224" s="116">
        <f t="shared" si="99"/>
        <v>0</v>
      </c>
      <c r="AC224" s="116">
        <f t="shared" si="100"/>
        <v>0</v>
      </c>
      <c r="AD224" s="116">
        <f t="shared" si="101"/>
        <v>0</v>
      </c>
      <c r="AE224" s="116">
        <f t="shared" si="102"/>
        <v>0</v>
      </c>
    </row>
    <row r="225" spans="1:31">
      <c r="A225" s="131">
        <v>42143</v>
      </c>
      <c r="B225" s="131">
        <v>42174</v>
      </c>
      <c r="C225" s="123">
        <f t="shared" si="90"/>
        <v>31</v>
      </c>
      <c r="D225" s="132">
        <v>377.82</v>
      </c>
      <c r="E225" s="134"/>
      <c r="F225" s="135"/>
      <c r="G225" s="123"/>
      <c r="H225" s="123"/>
      <c r="I225" s="123"/>
      <c r="J225" s="123">
        <v>13</v>
      </c>
      <c r="K225" s="123">
        <v>18</v>
      </c>
      <c r="L225" s="123"/>
      <c r="M225" s="123"/>
      <c r="N225" s="123"/>
      <c r="O225" s="123"/>
      <c r="P225" s="123"/>
      <c r="Q225" s="123"/>
      <c r="R225" s="133">
        <f t="shared" si="85"/>
        <v>0</v>
      </c>
      <c r="S225" s="133"/>
      <c r="T225" s="116">
        <f t="shared" si="91"/>
        <v>0</v>
      </c>
      <c r="U225" s="116">
        <f t="shared" si="92"/>
        <v>0</v>
      </c>
      <c r="V225" s="116">
        <f t="shared" si="93"/>
        <v>0</v>
      </c>
      <c r="W225" s="116">
        <f t="shared" si="94"/>
        <v>0</v>
      </c>
      <c r="X225" s="116">
        <f t="shared" si="95"/>
        <v>1682.67</v>
      </c>
      <c r="Y225" s="116">
        <f t="shared" si="96"/>
        <v>2377.3200000000002</v>
      </c>
      <c r="Z225" s="116">
        <f t="shared" si="97"/>
        <v>0</v>
      </c>
      <c r="AA225" s="116">
        <f t="shared" si="98"/>
        <v>0</v>
      </c>
      <c r="AB225" s="116">
        <f t="shared" si="99"/>
        <v>0</v>
      </c>
      <c r="AC225" s="116">
        <f t="shared" si="100"/>
        <v>0</v>
      </c>
      <c r="AD225" s="116">
        <f t="shared" si="101"/>
        <v>0</v>
      </c>
      <c r="AE225" s="116">
        <f t="shared" si="102"/>
        <v>0</v>
      </c>
    </row>
    <row r="226" spans="1:31">
      <c r="A226" s="131">
        <v>42143</v>
      </c>
      <c r="B226" s="131">
        <v>42174</v>
      </c>
      <c r="C226" s="123">
        <f t="shared" si="90"/>
        <v>31</v>
      </c>
      <c r="D226" s="132">
        <v>468.51</v>
      </c>
      <c r="E226" s="134"/>
      <c r="F226" s="135"/>
      <c r="G226" s="123"/>
      <c r="H226" s="123"/>
      <c r="I226" s="123"/>
      <c r="J226" s="123">
        <v>13</v>
      </c>
      <c r="K226" s="123">
        <v>18</v>
      </c>
      <c r="L226" s="123"/>
      <c r="M226" s="123"/>
      <c r="N226" s="123"/>
      <c r="O226" s="123"/>
      <c r="P226" s="123"/>
      <c r="Q226" s="123"/>
      <c r="R226" s="133">
        <f t="shared" si="85"/>
        <v>0</v>
      </c>
      <c r="S226" s="133"/>
      <c r="T226" s="116">
        <f t="shared" si="91"/>
        <v>0</v>
      </c>
      <c r="U226" s="116">
        <f t="shared" si="92"/>
        <v>0</v>
      </c>
      <c r="V226" s="116">
        <f t="shared" si="93"/>
        <v>0</v>
      </c>
      <c r="W226" s="116">
        <f t="shared" si="94"/>
        <v>0</v>
      </c>
      <c r="X226" s="116">
        <f t="shared" si="95"/>
        <v>2086.58</v>
      </c>
      <c r="Y226" s="116">
        <f t="shared" si="96"/>
        <v>2947.96</v>
      </c>
      <c r="Z226" s="116">
        <f t="shared" si="97"/>
        <v>0</v>
      </c>
      <c r="AA226" s="116">
        <f t="shared" si="98"/>
        <v>0</v>
      </c>
      <c r="AB226" s="116">
        <f t="shared" si="99"/>
        <v>0</v>
      </c>
      <c r="AC226" s="116">
        <f t="shared" si="100"/>
        <v>0</v>
      </c>
      <c r="AD226" s="116">
        <f t="shared" si="101"/>
        <v>0</v>
      </c>
      <c r="AE226" s="116">
        <f t="shared" si="102"/>
        <v>0</v>
      </c>
    </row>
    <row r="227" spans="1:31">
      <c r="A227" s="131">
        <v>42139</v>
      </c>
      <c r="B227" s="131">
        <v>42170</v>
      </c>
      <c r="C227" s="123">
        <f t="shared" si="90"/>
        <v>31</v>
      </c>
      <c r="D227" s="132">
        <v>2496.41</v>
      </c>
      <c r="E227" s="134"/>
      <c r="F227" s="135"/>
      <c r="G227" s="123"/>
      <c r="H227" s="123"/>
      <c r="I227" s="123"/>
      <c r="J227" s="123">
        <v>17</v>
      </c>
      <c r="K227" s="123">
        <v>14</v>
      </c>
      <c r="L227" s="123"/>
      <c r="M227" s="123"/>
      <c r="N227" s="123"/>
      <c r="O227" s="123"/>
      <c r="P227" s="123"/>
      <c r="Q227" s="123"/>
      <c r="R227" s="133">
        <f t="shared" si="85"/>
        <v>0</v>
      </c>
      <c r="S227" s="133"/>
      <c r="T227" s="116">
        <f t="shared" si="91"/>
        <v>0</v>
      </c>
      <c r="U227" s="116">
        <f t="shared" si="92"/>
        <v>0</v>
      </c>
      <c r="V227" s="116">
        <f t="shared" si="93"/>
        <v>0</v>
      </c>
      <c r="W227" s="116">
        <f t="shared" si="94"/>
        <v>0</v>
      </c>
      <c r="X227" s="116">
        <f t="shared" si="95"/>
        <v>14539.07</v>
      </c>
      <c r="Y227" s="116">
        <f t="shared" si="96"/>
        <v>12217.28</v>
      </c>
      <c r="Z227" s="116">
        <f t="shared" si="97"/>
        <v>0</v>
      </c>
      <c r="AA227" s="116">
        <f t="shared" si="98"/>
        <v>0</v>
      </c>
      <c r="AB227" s="116">
        <f t="shared" si="99"/>
        <v>0</v>
      </c>
      <c r="AC227" s="116">
        <f t="shared" si="100"/>
        <v>0</v>
      </c>
      <c r="AD227" s="116">
        <f t="shared" si="101"/>
        <v>0</v>
      </c>
      <c r="AE227" s="116">
        <f t="shared" si="102"/>
        <v>0</v>
      </c>
    </row>
    <row r="228" spans="1:31">
      <c r="A228" s="131">
        <v>42139</v>
      </c>
      <c r="B228" s="131">
        <v>42170</v>
      </c>
      <c r="C228" s="123">
        <f t="shared" si="90"/>
        <v>31</v>
      </c>
      <c r="D228" s="132">
        <v>6004.74</v>
      </c>
      <c r="E228" s="134"/>
      <c r="F228" s="135"/>
      <c r="G228" s="123"/>
      <c r="H228" s="123"/>
      <c r="I228" s="123"/>
      <c r="J228" s="123">
        <v>17</v>
      </c>
      <c r="K228" s="123">
        <v>14</v>
      </c>
      <c r="L228" s="123"/>
      <c r="M228" s="123"/>
      <c r="N228" s="123"/>
      <c r="O228" s="123"/>
      <c r="P228" s="123"/>
      <c r="Q228" s="123"/>
      <c r="R228" s="133">
        <f t="shared" si="85"/>
        <v>0</v>
      </c>
      <c r="S228" s="133"/>
      <c r="T228" s="116">
        <f t="shared" si="91"/>
        <v>0</v>
      </c>
      <c r="U228" s="116">
        <f t="shared" si="92"/>
        <v>0</v>
      </c>
      <c r="V228" s="116">
        <f t="shared" si="93"/>
        <v>0</v>
      </c>
      <c r="W228" s="116">
        <f t="shared" si="94"/>
        <v>0</v>
      </c>
      <c r="X228" s="116">
        <f t="shared" si="95"/>
        <v>34971.56</v>
      </c>
      <c r="Y228" s="116">
        <f t="shared" si="96"/>
        <v>29386.85</v>
      </c>
      <c r="Z228" s="116">
        <f t="shared" si="97"/>
        <v>0</v>
      </c>
      <c r="AA228" s="116">
        <f t="shared" si="98"/>
        <v>0</v>
      </c>
      <c r="AB228" s="116">
        <f t="shared" si="99"/>
        <v>0</v>
      </c>
      <c r="AC228" s="116">
        <f t="shared" si="100"/>
        <v>0</v>
      </c>
      <c r="AD228" s="116">
        <f t="shared" si="101"/>
        <v>0</v>
      </c>
      <c r="AE228" s="116">
        <f t="shared" si="102"/>
        <v>0</v>
      </c>
    </row>
    <row r="229" spans="1:31">
      <c r="A229" s="131">
        <v>42139</v>
      </c>
      <c r="B229" s="131">
        <v>42170</v>
      </c>
      <c r="C229" s="123">
        <f t="shared" si="90"/>
        <v>31</v>
      </c>
      <c r="D229" s="132">
        <v>13008.87</v>
      </c>
      <c r="E229" s="134"/>
      <c r="F229" s="135"/>
      <c r="G229" s="123"/>
      <c r="H229" s="123"/>
      <c r="I229" s="123"/>
      <c r="J229" s="123">
        <v>17</v>
      </c>
      <c r="K229" s="123">
        <v>14</v>
      </c>
      <c r="L229" s="123"/>
      <c r="M229" s="123"/>
      <c r="N229" s="123"/>
      <c r="O229" s="123"/>
      <c r="P229" s="123"/>
      <c r="Q229" s="123"/>
      <c r="R229" s="133">
        <f t="shared" si="85"/>
        <v>0</v>
      </c>
      <c r="S229" s="133"/>
      <c r="T229" s="116">
        <f t="shared" si="91"/>
        <v>0</v>
      </c>
      <c r="U229" s="116">
        <f t="shared" si="92"/>
        <v>0</v>
      </c>
      <c r="V229" s="116">
        <f t="shared" si="93"/>
        <v>0</v>
      </c>
      <c r="W229" s="116">
        <f t="shared" si="94"/>
        <v>0</v>
      </c>
      <c r="X229" s="116">
        <f t="shared" si="95"/>
        <v>75763.56</v>
      </c>
      <c r="Y229" s="116">
        <f t="shared" si="96"/>
        <v>63664.65</v>
      </c>
      <c r="Z229" s="116">
        <f t="shared" si="97"/>
        <v>0</v>
      </c>
      <c r="AA229" s="116">
        <f t="shared" si="98"/>
        <v>0</v>
      </c>
      <c r="AB229" s="116">
        <f t="shared" si="99"/>
        <v>0</v>
      </c>
      <c r="AC229" s="116">
        <f t="shared" si="100"/>
        <v>0</v>
      </c>
      <c r="AD229" s="116">
        <f t="shared" si="101"/>
        <v>0</v>
      </c>
      <c r="AE229" s="116">
        <f t="shared" si="102"/>
        <v>0</v>
      </c>
    </row>
    <row r="230" spans="1:31">
      <c r="A230" s="131">
        <v>42146</v>
      </c>
      <c r="B230" s="131">
        <v>42177</v>
      </c>
      <c r="C230" s="123">
        <f t="shared" si="90"/>
        <v>31</v>
      </c>
      <c r="D230" s="132">
        <v>210152.3</v>
      </c>
      <c r="E230" s="134"/>
      <c r="F230" s="135"/>
      <c r="G230" s="123"/>
      <c r="H230" s="123"/>
      <c r="I230" s="123"/>
      <c r="J230" s="123">
        <v>10</v>
      </c>
      <c r="K230" s="123">
        <v>21</v>
      </c>
      <c r="L230" s="123"/>
      <c r="M230" s="123"/>
      <c r="N230" s="123"/>
      <c r="O230" s="123"/>
      <c r="P230" s="123"/>
      <c r="Q230" s="123"/>
      <c r="R230" s="133">
        <f t="shared" si="85"/>
        <v>0</v>
      </c>
      <c r="S230" s="133"/>
      <c r="T230" s="116">
        <f t="shared" si="91"/>
        <v>0</v>
      </c>
      <c r="U230" s="116">
        <f t="shared" si="92"/>
        <v>0</v>
      </c>
      <c r="V230" s="116">
        <f t="shared" si="93"/>
        <v>0</v>
      </c>
      <c r="W230" s="116">
        <f t="shared" si="94"/>
        <v>0</v>
      </c>
      <c r="X230" s="116">
        <v>678763.42</v>
      </c>
      <c r="Y230" s="116">
        <v>1583781.31</v>
      </c>
      <c r="Z230" s="116">
        <f t="shared" si="97"/>
        <v>0</v>
      </c>
      <c r="AA230" s="116">
        <f t="shared" si="98"/>
        <v>0</v>
      </c>
      <c r="AB230" s="116">
        <f t="shared" si="99"/>
        <v>0</v>
      </c>
      <c r="AC230" s="116">
        <f t="shared" si="100"/>
        <v>0</v>
      </c>
      <c r="AD230" s="116">
        <f t="shared" si="101"/>
        <v>0</v>
      </c>
      <c r="AE230" s="116">
        <f t="shared" si="102"/>
        <v>0</v>
      </c>
    </row>
    <row r="231" spans="1:31">
      <c r="A231" s="131">
        <v>42156</v>
      </c>
      <c r="B231" s="131">
        <v>42179</v>
      </c>
      <c r="C231" s="123">
        <f t="shared" si="90"/>
        <v>23</v>
      </c>
      <c r="D231" s="132">
        <v>2.41</v>
      </c>
      <c r="E231" s="134"/>
      <c r="F231" s="135"/>
      <c r="G231" s="123"/>
      <c r="H231" s="123"/>
      <c r="I231" s="123"/>
      <c r="J231" s="123"/>
      <c r="K231" s="123">
        <v>23</v>
      </c>
      <c r="L231" s="123"/>
      <c r="M231" s="123"/>
      <c r="N231" s="123"/>
      <c r="O231" s="123"/>
      <c r="P231" s="123"/>
      <c r="Q231" s="123"/>
      <c r="R231" s="133">
        <f t="shared" si="85"/>
        <v>0</v>
      </c>
      <c r="S231" s="133"/>
      <c r="T231" s="116">
        <f t="shared" si="91"/>
        <v>0</v>
      </c>
      <c r="U231" s="116">
        <f t="shared" si="92"/>
        <v>0</v>
      </c>
      <c r="V231" s="116">
        <f t="shared" si="93"/>
        <v>0</v>
      </c>
      <c r="W231" s="116">
        <f t="shared" si="94"/>
        <v>0</v>
      </c>
      <c r="X231" s="116">
        <f>ROUND(($D231*$J231/$C231)/$C$10,2)</f>
        <v>0</v>
      </c>
      <c r="Y231" s="116">
        <f>ROUND(($D231*$K231/$C231)/$C$11,2)</f>
        <v>26.12</v>
      </c>
      <c r="Z231" s="116">
        <f t="shared" si="97"/>
        <v>0</v>
      </c>
      <c r="AA231" s="116">
        <f t="shared" si="98"/>
        <v>0</v>
      </c>
      <c r="AB231" s="116">
        <f t="shared" si="99"/>
        <v>0</v>
      </c>
      <c r="AC231" s="116">
        <f t="shared" si="100"/>
        <v>0</v>
      </c>
      <c r="AD231" s="116">
        <f t="shared" si="101"/>
        <v>0</v>
      </c>
      <c r="AE231" s="116">
        <f t="shared" si="102"/>
        <v>0</v>
      </c>
    </row>
    <row r="232" spans="1:31">
      <c r="A232" s="131">
        <v>42146</v>
      </c>
      <c r="B232" s="131">
        <v>42177</v>
      </c>
      <c r="C232" s="123">
        <f t="shared" si="90"/>
        <v>31</v>
      </c>
      <c r="D232" s="132">
        <v>1551.94</v>
      </c>
      <c r="E232" s="134"/>
      <c r="F232" s="135"/>
      <c r="G232" s="123"/>
      <c r="H232" s="123"/>
      <c r="I232" s="123"/>
      <c r="J232" s="123">
        <v>10</v>
      </c>
      <c r="K232" s="123">
        <v>21</v>
      </c>
      <c r="L232" s="123"/>
      <c r="M232" s="123"/>
      <c r="N232" s="123"/>
      <c r="O232" s="123"/>
      <c r="P232" s="123"/>
      <c r="Q232" s="123"/>
      <c r="R232" s="133">
        <f t="shared" si="85"/>
        <v>0</v>
      </c>
      <c r="S232" s="133"/>
      <c r="T232" s="116">
        <f t="shared" si="91"/>
        <v>0</v>
      </c>
      <c r="U232" s="116">
        <f t="shared" si="92"/>
        <v>0</v>
      </c>
      <c r="V232" s="116">
        <f t="shared" si="93"/>
        <v>0</v>
      </c>
      <c r="W232" s="116">
        <f t="shared" si="94"/>
        <v>0</v>
      </c>
      <c r="X232" s="116">
        <v>5012.55</v>
      </c>
      <c r="Y232" s="116">
        <v>11695.96</v>
      </c>
      <c r="Z232" s="116">
        <f t="shared" si="97"/>
        <v>0</v>
      </c>
      <c r="AA232" s="116">
        <f t="shared" si="98"/>
        <v>0</v>
      </c>
      <c r="AB232" s="116">
        <f t="shared" si="99"/>
        <v>0</v>
      </c>
      <c r="AC232" s="116">
        <f t="shared" si="100"/>
        <v>0</v>
      </c>
      <c r="AD232" s="116">
        <f t="shared" si="101"/>
        <v>0</v>
      </c>
      <c r="AE232" s="116">
        <f t="shared" si="102"/>
        <v>0</v>
      </c>
    </row>
    <row r="233" spans="1:31">
      <c r="A233" s="131">
        <v>42150</v>
      </c>
      <c r="B233" s="131">
        <v>42181</v>
      </c>
      <c r="C233" s="123">
        <f t="shared" si="90"/>
        <v>31</v>
      </c>
      <c r="D233" s="132">
        <v>1023.49</v>
      </c>
      <c r="E233" s="134"/>
      <c r="F233" s="135"/>
      <c r="G233" s="123"/>
      <c r="H233" s="123"/>
      <c r="I233" s="123"/>
      <c r="J233" s="123">
        <v>6</v>
      </c>
      <c r="K233" s="123">
        <v>25</v>
      </c>
      <c r="L233" s="123"/>
      <c r="M233" s="123"/>
      <c r="N233" s="123"/>
      <c r="O233" s="123"/>
      <c r="P233" s="123"/>
      <c r="Q233" s="123"/>
      <c r="R233" s="133">
        <f t="shared" si="85"/>
        <v>0</v>
      </c>
      <c r="S233" s="133"/>
      <c r="T233" s="116">
        <f t="shared" si="91"/>
        <v>0</v>
      </c>
      <c r="U233" s="116">
        <f t="shared" si="92"/>
        <v>0</v>
      </c>
      <c r="V233" s="116">
        <f t="shared" si="93"/>
        <v>0</v>
      </c>
      <c r="W233" s="116">
        <f t="shared" si="94"/>
        <v>0</v>
      </c>
      <c r="X233" s="116">
        <f>ROUND(($D233*$J233/$C233)/$C$10,2)</f>
        <v>2103.81</v>
      </c>
      <c r="Y233" s="116">
        <f>ROUND(($D233*$K233/$C233)/$C$11,2)</f>
        <v>8944.4599999999991</v>
      </c>
      <c r="Z233" s="116">
        <f t="shared" si="97"/>
        <v>0</v>
      </c>
      <c r="AA233" s="116">
        <f t="shared" si="98"/>
        <v>0</v>
      </c>
      <c r="AB233" s="116">
        <f t="shared" si="99"/>
        <v>0</v>
      </c>
      <c r="AC233" s="116">
        <f t="shared" si="100"/>
        <v>0</v>
      </c>
      <c r="AD233" s="116">
        <f t="shared" si="101"/>
        <v>0</v>
      </c>
      <c r="AE233" s="116">
        <f t="shared" si="102"/>
        <v>0</v>
      </c>
    </row>
    <row r="234" spans="1:31">
      <c r="A234" s="131">
        <v>42146</v>
      </c>
      <c r="B234" s="131">
        <v>42177</v>
      </c>
      <c r="C234" s="123">
        <f t="shared" si="90"/>
        <v>31</v>
      </c>
      <c r="D234" s="132">
        <v>7643.89</v>
      </c>
      <c r="E234" s="134"/>
      <c r="F234" s="135"/>
      <c r="G234" s="123"/>
      <c r="H234" s="123"/>
      <c r="I234" s="123"/>
      <c r="J234" s="123">
        <v>10</v>
      </c>
      <c r="K234" s="123">
        <v>21</v>
      </c>
      <c r="L234" s="123"/>
      <c r="M234" s="123"/>
      <c r="N234" s="123"/>
      <c r="O234" s="123"/>
      <c r="P234" s="123"/>
      <c r="Q234" s="123"/>
      <c r="R234" s="133">
        <f t="shared" si="85"/>
        <v>0</v>
      </c>
      <c r="S234" s="133"/>
      <c r="T234" s="116">
        <f t="shared" si="91"/>
        <v>0</v>
      </c>
      <c r="U234" s="116">
        <f t="shared" si="92"/>
        <v>0</v>
      </c>
      <c r="V234" s="116">
        <f t="shared" si="93"/>
        <v>0</v>
      </c>
      <c r="W234" s="116">
        <f t="shared" si="94"/>
        <v>0</v>
      </c>
      <c r="X234" s="116">
        <v>24688.73</v>
      </c>
      <c r="Y234" s="116">
        <v>57607.03</v>
      </c>
      <c r="Z234" s="116">
        <f t="shared" si="97"/>
        <v>0</v>
      </c>
      <c r="AA234" s="116">
        <f t="shared" si="98"/>
        <v>0</v>
      </c>
      <c r="AB234" s="116">
        <f t="shared" si="99"/>
        <v>0</v>
      </c>
      <c r="AC234" s="116">
        <f t="shared" si="100"/>
        <v>0</v>
      </c>
      <c r="AD234" s="116">
        <f t="shared" si="101"/>
        <v>0</v>
      </c>
      <c r="AE234" s="116">
        <f t="shared" si="102"/>
        <v>0</v>
      </c>
    </row>
    <row r="235" spans="1:31">
      <c r="A235" s="131">
        <v>42152</v>
      </c>
      <c r="B235" s="131">
        <v>42183</v>
      </c>
      <c r="C235" s="123">
        <f t="shared" si="90"/>
        <v>31</v>
      </c>
      <c r="D235" s="132">
        <v>813.52</v>
      </c>
      <c r="E235" s="134"/>
      <c r="F235" s="135"/>
      <c r="G235" s="123"/>
      <c r="H235" s="123"/>
      <c r="I235" s="123"/>
      <c r="J235" s="123">
        <v>4</v>
      </c>
      <c r="K235" s="123">
        <v>27</v>
      </c>
      <c r="L235" s="123"/>
      <c r="M235" s="123"/>
      <c r="N235" s="123"/>
      <c r="O235" s="123"/>
      <c r="P235" s="123"/>
      <c r="Q235" s="123"/>
      <c r="R235" s="133">
        <f t="shared" si="85"/>
        <v>0</v>
      </c>
      <c r="S235" s="133"/>
      <c r="T235" s="116">
        <f t="shared" si="91"/>
        <v>0</v>
      </c>
      <c r="U235" s="116">
        <f t="shared" si="92"/>
        <v>0</v>
      </c>
      <c r="V235" s="116">
        <f t="shared" si="93"/>
        <v>0</v>
      </c>
      <c r="W235" s="116">
        <f t="shared" si="94"/>
        <v>0</v>
      </c>
      <c r="X235" s="116">
        <f>ROUND(($D235*$J235/$C235)/$C$10,2)</f>
        <v>1114.81</v>
      </c>
      <c r="Y235" s="116">
        <f>ROUND(($D235*$K235/$C235)/$C$11,2)</f>
        <v>7678.26</v>
      </c>
      <c r="Z235" s="116">
        <f t="shared" si="97"/>
        <v>0</v>
      </c>
      <c r="AA235" s="116">
        <f t="shared" si="98"/>
        <v>0</v>
      </c>
      <c r="AB235" s="116">
        <f t="shared" si="99"/>
        <v>0</v>
      </c>
      <c r="AC235" s="116">
        <f t="shared" si="100"/>
        <v>0</v>
      </c>
      <c r="AD235" s="116">
        <f t="shared" si="101"/>
        <v>0</v>
      </c>
      <c r="AE235" s="116">
        <f t="shared" si="102"/>
        <v>0</v>
      </c>
    </row>
    <row r="236" spans="1:31">
      <c r="A236" s="131">
        <v>42152</v>
      </c>
      <c r="B236" s="131">
        <v>42183</v>
      </c>
      <c r="C236" s="123">
        <f t="shared" si="90"/>
        <v>31</v>
      </c>
      <c r="D236" s="132">
        <v>2073.33</v>
      </c>
      <c r="E236" s="134"/>
      <c r="F236" s="135"/>
      <c r="G236" s="123"/>
      <c r="H236" s="123"/>
      <c r="I236" s="123"/>
      <c r="J236" s="123">
        <v>4</v>
      </c>
      <c r="K236" s="123">
        <v>27</v>
      </c>
      <c r="L236" s="123"/>
      <c r="M236" s="123"/>
      <c r="N236" s="123"/>
      <c r="O236" s="123"/>
      <c r="P236" s="123"/>
      <c r="Q236" s="123"/>
      <c r="R236" s="133">
        <f t="shared" si="85"/>
        <v>0</v>
      </c>
      <c r="S236" s="133"/>
      <c r="T236" s="116">
        <f t="shared" si="91"/>
        <v>0</v>
      </c>
      <c r="U236" s="116">
        <f t="shared" si="92"/>
        <v>0</v>
      </c>
      <c r="V236" s="116">
        <f t="shared" si="93"/>
        <v>0</v>
      </c>
      <c r="W236" s="116">
        <f t="shared" si="94"/>
        <v>0</v>
      </c>
      <c r="X236" s="116">
        <f>ROUND(($D236*$J236/$C236)/$C$10,2)</f>
        <v>2841.19</v>
      </c>
      <c r="Y236" s="116">
        <f>ROUND(($D236*$K236/$C236)/$C$11,2)</f>
        <v>19568.740000000002</v>
      </c>
      <c r="Z236" s="116">
        <f t="shared" si="97"/>
        <v>0</v>
      </c>
      <c r="AA236" s="116">
        <f t="shared" si="98"/>
        <v>0</v>
      </c>
      <c r="AB236" s="116">
        <f t="shared" si="99"/>
        <v>0</v>
      </c>
      <c r="AC236" s="116">
        <f t="shared" si="100"/>
        <v>0</v>
      </c>
      <c r="AD236" s="116">
        <f t="shared" si="101"/>
        <v>0</v>
      </c>
      <c r="AE236" s="116">
        <f t="shared" si="102"/>
        <v>0</v>
      </c>
    </row>
    <row r="237" spans="1:31">
      <c r="A237" s="131">
        <v>42150</v>
      </c>
      <c r="B237" s="131">
        <v>42181</v>
      </c>
      <c r="C237" s="123">
        <f t="shared" si="90"/>
        <v>31</v>
      </c>
      <c r="D237" s="132">
        <v>975.09</v>
      </c>
      <c r="E237" s="134"/>
      <c r="F237" s="135"/>
      <c r="G237" s="123"/>
      <c r="H237" s="123"/>
      <c r="I237" s="123"/>
      <c r="J237" s="123">
        <v>6</v>
      </c>
      <c r="K237" s="123">
        <v>25</v>
      </c>
      <c r="L237" s="123"/>
      <c r="M237" s="123"/>
      <c r="N237" s="123"/>
      <c r="O237" s="123"/>
      <c r="P237" s="123"/>
      <c r="Q237" s="123"/>
      <c r="R237" s="133">
        <f t="shared" si="85"/>
        <v>0</v>
      </c>
      <c r="S237" s="133"/>
      <c r="T237" s="116">
        <f t="shared" si="91"/>
        <v>0</v>
      </c>
      <c r="U237" s="116">
        <f t="shared" si="92"/>
        <v>0</v>
      </c>
      <c r="V237" s="116">
        <f t="shared" si="93"/>
        <v>0</v>
      </c>
      <c r="W237" s="116">
        <f t="shared" si="94"/>
        <v>0</v>
      </c>
      <c r="X237" s="116">
        <f>ROUND(($D237*$J237/$C237)/$C$10,2)</f>
        <v>2004.32</v>
      </c>
      <c r="Y237" s="116">
        <f>ROUND(($D237*$K237/$C237)/$C$11,2)</f>
        <v>8521.49</v>
      </c>
      <c r="Z237" s="116">
        <f t="shared" si="97"/>
        <v>0</v>
      </c>
      <c r="AA237" s="116">
        <f t="shared" si="98"/>
        <v>0</v>
      </c>
      <c r="AB237" s="116">
        <f t="shared" si="99"/>
        <v>0</v>
      </c>
      <c r="AC237" s="116">
        <f t="shared" si="100"/>
        <v>0</v>
      </c>
      <c r="AD237" s="116">
        <f t="shared" si="101"/>
        <v>0</v>
      </c>
      <c r="AE237" s="116">
        <f t="shared" si="102"/>
        <v>0</v>
      </c>
    </row>
    <row r="238" spans="1:31">
      <c r="A238" s="131">
        <v>42156</v>
      </c>
      <c r="B238" s="131">
        <v>42181</v>
      </c>
      <c r="C238" s="123">
        <f t="shared" si="90"/>
        <v>25</v>
      </c>
      <c r="D238" s="132">
        <v>21.86</v>
      </c>
      <c r="E238" s="134"/>
      <c r="F238" s="135"/>
      <c r="G238" s="123"/>
      <c r="H238" s="123"/>
      <c r="I238" s="123"/>
      <c r="J238" s="123"/>
      <c r="K238" s="123">
        <v>25</v>
      </c>
      <c r="L238" s="123"/>
      <c r="M238" s="123"/>
      <c r="N238" s="123"/>
      <c r="O238" s="123"/>
      <c r="P238" s="123"/>
      <c r="Q238" s="123"/>
      <c r="R238" s="133">
        <f t="shared" si="85"/>
        <v>0</v>
      </c>
      <c r="S238" s="133"/>
      <c r="T238" s="116">
        <f t="shared" si="91"/>
        <v>0</v>
      </c>
      <c r="U238" s="116">
        <f t="shared" si="92"/>
        <v>0</v>
      </c>
      <c r="V238" s="116">
        <f t="shared" si="93"/>
        <v>0</v>
      </c>
      <c r="W238" s="116">
        <f t="shared" si="94"/>
        <v>0</v>
      </c>
      <c r="X238" s="116">
        <f>ROUND(($D238*$J238/$C238)/$C$10,2)</f>
        <v>0</v>
      </c>
      <c r="Y238" s="116">
        <f>ROUND(($D238*$K238/$C238)/$C$11,2)</f>
        <v>236.89</v>
      </c>
      <c r="Z238" s="116">
        <f t="shared" si="97"/>
        <v>0</v>
      </c>
      <c r="AA238" s="116">
        <f t="shared" si="98"/>
        <v>0</v>
      </c>
      <c r="AB238" s="116">
        <f t="shared" si="99"/>
        <v>0</v>
      </c>
      <c r="AC238" s="116">
        <f t="shared" si="100"/>
        <v>0</v>
      </c>
      <c r="AD238" s="116">
        <f t="shared" si="101"/>
        <v>0</v>
      </c>
      <c r="AE238" s="116">
        <f t="shared" si="102"/>
        <v>0</v>
      </c>
    </row>
    <row r="239" spans="1:31">
      <c r="A239" s="131">
        <v>42146</v>
      </c>
      <c r="B239" s="131">
        <v>42177</v>
      </c>
      <c r="C239" s="123">
        <f t="shared" si="90"/>
        <v>31</v>
      </c>
      <c r="D239" s="132">
        <v>1818.42</v>
      </c>
      <c r="E239" s="134"/>
      <c r="F239" s="135"/>
      <c r="G239" s="123"/>
      <c r="H239" s="123"/>
      <c r="I239" s="123"/>
      <c r="J239" s="123">
        <v>10</v>
      </c>
      <c r="K239" s="123">
        <v>21</v>
      </c>
      <c r="L239" s="123"/>
      <c r="M239" s="123"/>
      <c r="N239" s="123"/>
      <c r="O239" s="123"/>
      <c r="P239" s="123"/>
      <c r="Q239" s="123"/>
      <c r="R239" s="133">
        <f t="shared" si="85"/>
        <v>0</v>
      </c>
      <c r="S239" s="133"/>
      <c r="T239" s="116">
        <f t="shared" si="91"/>
        <v>0</v>
      </c>
      <c r="U239" s="116">
        <f t="shared" si="92"/>
        <v>0</v>
      </c>
      <c r="V239" s="116">
        <f t="shared" si="93"/>
        <v>0</v>
      </c>
      <c r="W239" s="116">
        <f t="shared" si="94"/>
        <v>0</v>
      </c>
      <c r="X239" s="116">
        <v>5873.25</v>
      </c>
      <c r="Y239" s="116">
        <v>13704.25</v>
      </c>
      <c r="Z239" s="116">
        <f t="shared" si="97"/>
        <v>0</v>
      </c>
      <c r="AA239" s="116">
        <f t="shared" si="98"/>
        <v>0</v>
      </c>
      <c r="AB239" s="116">
        <f t="shared" si="99"/>
        <v>0</v>
      </c>
      <c r="AC239" s="116">
        <f t="shared" si="100"/>
        <v>0</v>
      </c>
      <c r="AD239" s="116">
        <f t="shared" si="101"/>
        <v>0</v>
      </c>
      <c r="AE239" s="116">
        <f t="shared" si="102"/>
        <v>0</v>
      </c>
    </row>
    <row r="240" spans="1:31">
      <c r="A240" s="131">
        <v>42156</v>
      </c>
      <c r="B240" s="131">
        <v>42186</v>
      </c>
      <c r="C240" s="123">
        <f t="shared" si="90"/>
        <v>30</v>
      </c>
      <c r="D240" s="132">
        <v>257.53000000000003</v>
      </c>
      <c r="E240" s="134"/>
      <c r="F240" s="135"/>
      <c r="G240" s="123"/>
      <c r="H240" s="123"/>
      <c r="I240" s="123"/>
      <c r="J240" s="123"/>
      <c r="K240" s="123">
        <v>30</v>
      </c>
      <c r="L240" s="123"/>
      <c r="M240" s="123"/>
      <c r="N240" s="123"/>
      <c r="O240" s="123"/>
      <c r="P240" s="123"/>
      <c r="Q240" s="123"/>
      <c r="R240" s="133">
        <f t="shared" si="85"/>
        <v>0</v>
      </c>
      <c r="S240" s="133"/>
      <c r="T240" s="116">
        <f t="shared" si="91"/>
        <v>0</v>
      </c>
      <c r="U240" s="116">
        <f t="shared" si="92"/>
        <v>0</v>
      </c>
      <c r="V240" s="116">
        <f t="shared" si="93"/>
        <v>0</v>
      </c>
      <c r="W240" s="116">
        <f t="shared" si="94"/>
        <v>0</v>
      </c>
      <c r="X240" s="116">
        <f>ROUND(($D240*$J240/$C240)/$C$10,2)</f>
        <v>0</v>
      </c>
      <c r="Y240" s="116">
        <f>ROUND(($D240*$K240/$C240)/$C$11,2)</f>
        <v>2790.75</v>
      </c>
      <c r="Z240" s="116">
        <f t="shared" si="97"/>
        <v>0</v>
      </c>
      <c r="AA240" s="116">
        <f t="shared" si="98"/>
        <v>0</v>
      </c>
      <c r="AB240" s="116">
        <f t="shared" si="99"/>
        <v>0</v>
      </c>
      <c r="AC240" s="116">
        <f t="shared" si="100"/>
        <v>0</v>
      </c>
      <c r="AD240" s="116">
        <f t="shared" si="101"/>
        <v>0</v>
      </c>
      <c r="AE240" s="116">
        <f t="shared" si="102"/>
        <v>0</v>
      </c>
    </row>
    <row r="241" spans="1:31">
      <c r="A241" s="131">
        <v>42156</v>
      </c>
      <c r="B241" s="131">
        <v>42186</v>
      </c>
      <c r="C241" s="123">
        <f t="shared" si="90"/>
        <v>30</v>
      </c>
      <c r="D241" s="132">
        <v>1453.55</v>
      </c>
      <c r="E241" s="134"/>
      <c r="F241" s="135"/>
      <c r="G241" s="123"/>
      <c r="H241" s="123"/>
      <c r="I241" s="123"/>
      <c r="J241" s="123"/>
      <c r="K241" s="123">
        <v>30</v>
      </c>
      <c r="L241" s="123"/>
      <c r="M241" s="123"/>
      <c r="N241" s="123"/>
      <c r="O241" s="123"/>
      <c r="P241" s="123"/>
      <c r="Q241" s="123"/>
      <c r="R241" s="133">
        <f t="shared" si="85"/>
        <v>0</v>
      </c>
      <c r="S241" s="133"/>
      <c r="T241" s="116">
        <f t="shared" si="91"/>
        <v>0</v>
      </c>
      <c r="U241" s="116">
        <f t="shared" si="92"/>
        <v>0</v>
      </c>
      <c r="V241" s="116">
        <f t="shared" si="93"/>
        <v>0</v>
      </c>
      <c r="W241" s="116">
        <f t="shared" si="94"/>
        <v>0</v>
      </c>
      <c r="X241" s="116">
        <f>ROUND(($D241*$J241/$C241)/$C$10,2)</f>
        <v>0</v>
      </c>
      <c r="Y241" s="116">
        <f>ROUND(($D241*$K241/$C241)/$C$11,2)</f>
        <v>15751.52</v>
      </c>
      <c r="Z241" s="116">
        <f t="shared" si="97"/>
        <v>0</v>
      </c>
      <c r="AA241" s="116">
        <f t="shared" si="98"/>
        <v>0</v>
      </c>
      <c r="AB241" s="116">
        <f t="shared" si="99"/>
        <v>0</v>
      </c>
      <c r="AC241" s="116">
        <f t="shared" si="100"/>
        <v>0</v>
      </c>
      <c r="AD241" s="116">
        <f t="shared" si="101"/>
        <v>0</v>
      </c>
      <c r="AE241" s="116">
        <f t="shared" si="102"/>
        <v>0</v>
      </c>
    </row>
    <row r="242" spans="1:31">
      <c r="A242" s="131">
        <v>42156</v>
      </c>
      <c r="B242" s="131">
        <v>42186</v>
      </c>
      <c r="C242" s="123">
        <f t="shared" si="90"/>
        <v>30</v>
      </c>
      <c r="D242" s="132">
        <v>1399.58</v>
      </c>
      <c r="E242" s="134"/>
      <c r="F242" s="135"/>
      <c r="G242" s="123"/>
      <c r="H242" s="123"/>
      <c r="I242" s="123"/>
      <c r="J242" s="123"/>
      <c r="K242" s="123">
        <v>30</v>
      </c>
      <c r="L242" s="123"/>
      <c r="M242" s="123"/>
      <c r="N242" s="123"/>
      <c r="O242" s="123"/>
      <c r="P242" s="123"/>
      <c r="Q242" s="123"/>
      <c r="R242" s="133">
        <f t="shared" si="85"/>
        <v>0</v>
      </c>
      <c r="S242" s="133"/>
      <c r="T242" s="116">
        <f t="shared" si="91"/>
        <v>0</v>
      </c>
      <c r="U242" s="116">
        <f t="shared" si="92"/>
        <v>0</v>
      </c>
      <c r="V242" s="116">
        <f t="shared" si="93"/>
        <v>0</v>
      </c>
      <c r="W242" s="116">
        <f t="shared" si="94"/>
        <v>0</v>
      </c>
      <c r="X242" s="116">
        <f>ROUND(($D242*$J242/$C242)/$C$10,2)</f>
        <v>0</v>
      </c>
      <c r="Y242" s="116">
        <f>ROUND(($D242*$K242/$C242)/$C$11,2)</f>
        <v>15166.67</v>
      </c>
      <c r="Z242" s="116">
        <f t="shared" si="97"/>
        <v>0</v>
      </c>
      <c r="AA242" s="116">
        <f t="shared" si="98"/>
        <v>0</v>
      </c>
      <c r="AB242" s="116">
        <f t="shared" si="99"/>
        <v>0</v>
      </c>
      <c r="AC242" s="116">
        <f t="shared" si="100"/>
        <v>0</v>
      </c>
      <c r="AD242" s="116">
        <f t="shared" si="101"/>
        <v>0</v>
      </c>
      <c r="AE242" s="116">
        <f t="shared" si="102"/>
        <v>0</v>
      </c>
    </row>
    <row r="243" spans="1:31">
      <c r="A243" s="131">
        <v>42156</v>
      </c>
      <c r="B243" s="131">
        <v>42186</v>
      </c>
      <c r="C243" s="123">
        <f t="shared" si="90"/>
        <v>30</v>
      </c>
      <c r="D243" s="132">
        <v>241.21</v>
      </c>
      <c r="E243" s="134"/>
      <c r="F243" s="135"/>
      <c r="G243" s="123"/>
      <c r="H243" s="123"/>
      <c r="I243" s="123"/>
      <c r="J243" s="123"/>
      <c r="K243" s="123">
        <v>30</v>
      </c>
      <c r="L243" s="123"/>
      <c r="M243" s="123"/>
      <c r="N243" s="123"/>
      <c r="O243" s="123"/>
      <c r="P243" s="123"/>
      <c r="Q243" s="123"/>
      <c r="R243" s="133">
        <f t="shared" si="85"/>
        <v>0</v>
      </c>
      <c r="S243" s="133"/>
      <c r="T243" s="116">
        <f t="shared" si="91"/>
        <v>0</v>
      </c>
      <c r="U243" s="116">
        <f t="shared" si="92"/>
        <v>0</v>
      </c>
      <c r="V243" s="116">
        <f t="shared" si="93"/>
        <v>0</v>
      </c>
      <c r="W243" s="116">
        <f t="shared" si="94"/>
        <v>0</v>
      </c>
      <c r="X243" s="116">
        <f>ROUND(($D243*$J243/$C243)/$C$10,2)</f>
        <v>0</v>
      </c>
      <c r="Y243" s="116">
        <f>ROUND(($D243*$K243/$C243)/$C$11,2)</f>
        <v>2613.89</v>
      </c>
      <c r="Z243" s="116">
        <f t="shared" si="97"/>
        <v>0</v>
      </c>
      <c r="AA243" s="116">
        <f t="shared" si="98"/>
        <v>0</v>
      </c>
      <c r="AB243" s="116">
        <f t="shared" si="99"/>
        <v>0</v>
      </c>
      <c r="AC243" s="116">
        <f t="shared" si="100"/>
        <v>0</v>
      </c>
      <c r="AD243" s="116">
        <f t="shared" si="101"/>
        <v>0</v>
      </c>
      <c r="AE243" s="116">
        <f t="shared" si="102"/>
        <v>0</v>
      </c>
    </row>
    <row r="244" spans="1:31">
      <c r="A244" s="131">
        <v>42155</v>
      </c>
      <c r="B244" s="131">
        <v>42185</v>
      </c>
      <c r="C244" s="123">
        <f t="shared" si="90"/>
        <v>30</v>
      </c>
      <c r="D244" s="132">
        <v>5834.46</v>
      </c>
      <c r="E244" s="134"/>
      <c r="F244" s="135"/>
      <c r="G244" s="123"/>
      <c r="H244" s="123"/>
      <c r="I244" s="123"/>
      <c r="J244" s="123">
        <v>1</v>
      </c>
      <c r="K244" s="123">
        <v>29</v>
      </c>
      <c r="L244" s="123"/>
      <c r="M244" s="123"/>
      <c r="N244" s="123"/>
      <c r="O244" s="123"/>
      <c r="P244" s="123"/>
      <c r="Q244" s="123"/>
      <c r="R244" s="133">
        <f t="shared" si="85"/>
        <v>0</v>
      </c>
      <c r="S244" s="133"/>
      <c r="T244" s="116">
        <f t="shared" si="91"/>
        <v>0</v>
      </c>
      <c r="U244" s="116">
        <f t="shared" si="92"/>
        <v>0</v>
      </c>
      <c r="V244" s="116">
        <f t="shared" si="93"/>
        <v>0</v>
      </c>
      <c r="W244" s="116">
        <f t="shared" si="94"/>
        <v>0</v>
      </c>
      <c r="X244" s="116">
        <v>2263.7199999999998</v>
      </c>
      <c r="Y244" s="116">
        <f>67911.58-X244</f>
        <v>65647.86</v>
      </c>
      <c r="Z244" s="116">
        <f t="shared" si="97"/>
        <v>0</v>
      </c>
      <c r="AA244" s="116">
        <f t="shared" si="98"/>
        <v>0</v>
      </c>
      <c r="AB244" s="116">
        <f t="shared" si="99"/>
        <v>0</v>
      </c>
      <c r="AC244" s="116">
        <f t="shared" si="100"/>
        <v>0</v>
      </c>
      <c r="AD244" s="116">
        <f t="shared" si="101"/>
        <v>0</v>
      </c>
      <c r="AE244" s="116">
        <f t="shared" si="102"/>
        <v>0</v>
      </c>
    </row>
    <row r="245" spans="1:31">
      <c r="A245" s="131">
        <v>42163</v>
      </c>
      <c r="B245" s="131">
        <v>42185</v>
      </c>
      <c r="C245" s="123">
        <f t="shared" si="90"/>
        <v>22</v>
      </c>
      <c r="D245" s="132">
        <v>9.2100000000000009</v>
      </c>
      <c r="E245" s="134"/>
      <c r="F245" s="135"/>
      <c r="G245" s="123"/>
      <c r="H245" s="123"/>
      <c r="I245" s="123"/>
      <c r="J245" s="123"/>
      <c r="K245" s="123">
        <v>22</v>
      </c>
      <c r="L245" s="123"/>
      <c r="M245" s="123"/>
      <c r="N245" s="123"/>
      <c r="O245" s="123"/>
      <c r="P245" s="123"/>
      <c r="Q245" s="123"/>
      <c r="R245" s="133">
        <f t="shared" si="85"/>
        <v>0</v>
      </c>
      <c r="S245" s="133"/>
      <c r="T245" s="116">
        <f t="shared" si="91"/>
        <v>0</v>
      </c>
      <c r="U245" s="116">
        <f t="shared" si="92"/>
        <v>0</v>
      </c>
      <c r="V245" s="116">
        <f t="shared" si="93"/>
        <v>0</v>
      </c>
      <c r="W245" s="116">
        <f t="shared" si="94"/>
        <v>0</v>
      </c>
      <c r="X245" s="116">
        <f t="shared" ref="X245:X262" si="103">ROUND(($D245*$J245/$C245)/$C$10,2)</f>
        <v>0</v>
      </c>
      <c r="Y245" s="116">
        <f t="shared" ref="Y245:Y262" si="104">ROUND(($D245*$K245/$C245)/$C$11,2)</f>
        <v>99.8</v>
      </c>
      <c r="Z245" s="116">
        <f t="shared" si="97"/>
        <v>0</v>
      </c>
      <c r="AA245" s="116">
        <f t="shared" si="98"/>
        <v>0</v>
      </c>
      <c r="AB245" s="116">
        <f t="shared" si="99"/>
        <v>0</v>
      </c>
      <c r="AC245" s="116">
        <f t="shared" si="100"/>
        <v>0</v>
      </c>
      <c r="AD245" s="116">
        <f t="shared" si="101"/>
        <v>0</v>
      </c>
      <c r="AE245" s="116">
        <f t="shared" si="102"/>
        <v>0</v>
      </c>
    </row>
    <row r="246" spans="1:31">
      <c r="A246" s="131">
        <v>42156</v>
      </c>
      <c r="B246" s="131">
        <v>42186</v>
      </c>
      <c r="C246" s="123">
        <f t="shared" si="90"/>
        <v>30</v>
      </c>
      <c r="D246" s="132">
        <v>10530.99</v>
      </c>
      <c r="E246" s="134"/>
      <c r="F246" s="135"/>
      <c r="G246" s="123"/>
      <c r="H246" s="123"/>
      <c r="I246" s="123"/>
      <c r="J246" s="123"/>
      <c r="K246" s="123">
        <v>30</v>
      </c>
      <c r="L246" s="123"/>
      <c r="M246" s="123"/>
      <c r="N246" s="123"/>
      <c r="O246" s="123"/>
      <c r="P246" s="123"/>
      <c r="Q246" s="123"/>
      <c r="R246" s="133">
        <f t="shared" si="85"/>
        <v>0</v>
      </c>
      <c r="S246" s="133"/>
      <c r="T246" s="116">
        <f t="shared" si="91"/>
        <v>0</v>
      </c>
      <c r="U246" s="116">
        <f t="shared" si="92"/>
        <v>0</v>
      </c>
      <c r="V246" s="116">
        <f t="shared" si="93"/>
        <v>0</v>
      </c>
      <c r="W246" s="116">
        <f t="shared" si="94"/>
        <v>0</v>
      </c>
      <c r="X246" s="116">
        <f t="shared" si="103"/>
        <v>0</v>
      </c>
      <c r="Y246" s="116">
        <f t="shared" si="104"/>
        <v>114119.96</v>
      </c>
      <c r="Z246" s="116">
        <f t="shared" si="97"/>
        <v>0</v>
      </c>
      <c r="AA246" s="116">
        <f t="shared" si="98"/>
        <v>0</v>
      </c>
      <c r="AB246" s="116">
        <f t="shared" si="99"/>
        <v>0</v>
      </c>
      <c r="AC246" s="116">
        <f t="shared" si="100"/>
        <v>0</v>
      </c>
      <c r="AD246" s="116">
        <f t="shared" si="101"/>
        <v>0</v>
      </c>
      <c r="AE246" s="116">
        <f t="shared" si="102"/>
        <v>0</v>
      </c>
    </row>
    <row r="247" spans="1:31">
      <c r="A247" s="131">
        <v>42136</v>
      </c>
      <c r="B247" s="131">
        <v>42185</v>
      </c>
      <c r="C247" s="123">
        <f t="shared" si="90"/>
        <v>49</v>
      </c>
      <c r="D247" s="132">
        <v>84.76</v>
      </c>
      <c r="E247" s="134"/>
      <c r="F247" s="135"/>
      <c r="G247" s="123"/>
      <c r="H247" s="123"/>
      <c r="I247" s="123"/>
      <c r="J247" s="123">
        <v>20</v>
      </c>
      <c r="K247" s="123">
        <v>29</v>
      </c>
      <c r="L247" s="123"/>
      <c r="M247" s="123"/>
      <c r="N247" s="123"/>
      <c r="O247" s="123"/>
      <c r="P247" s="123"/>
      <c r="Q247" s="123"/>
      <c r="R247" s="133">
        <f t="shared" si="85"/>
        <v>0</v>
      </c>
      <c r="S247" s="133"/>
      <c r="T247" s="116">
        <f t="shared" si="91"/>
        <v>0</v>
      </c>
      <c r="U247" s="116">
        <f t="shared" si="92"/>
        <v>0</v>
      </c>
      <c r="V247" s="116">
        <f t="shared" si="93"/>
        <v>0</v>
      </c>
      <c r="W247" s="116">
        <f t="shared" si="94"/>
        <v>0</v>
      </c>
      <c r="X247" s="116">
        <f t="shared" si="103"/>
        <v>367.42</v>
      </c>
      <c r="Y247" s="116">
        <f t="shared" si="104"/>
        <v>543.61</v>
      </c>
      <c r="Z247" s="116">
        <f t="shared" si="97"/>
        <v>0</v>
      </c>
      <c r="AA247" s="116">
        <f t="shared" si="98"/>
        <v>0</v>
      </c>
      <c r="AB247" s="116">
        <f t="shared" si="99"/>
        <v>0</v>
      </c>
      <c r="AC247" s="116">
        <f t="shared" si="100"/>
        <v>0</v>
      </c>
      <c r="AD247" s="116">
        <f t="shared" si="101"/>
        <v>0</v>
      </c>
      <c r="AE247" s="116">
        <f t="shared" si="102"/>
        <v>0</v>
      </c>
    </row>
    <row r="248" spans="1:31">
      <c r="A248" s="131">
        <v>42156</v>
      </c>
      <c r="B248" s="131">
        <v>42186</v>
      </c>
      <c r="C248" s="123">
        <f t="shared" si="90"/>
        <v>30</v>
      </c>
      <c r="D248" s="132">
        <v>184626.66</v>
      </c>
      <c r="E248" s="134"/>
      <c r="F248" s="135"/>
      <c r="G248" s="123"/>
      <c r="H248" s="123"/>
      <c r="I248" s="123"/>
      <c r="J248" s="123"/>
      <c r="K248" s="123">
        <v>30</v>
      </c>
      <c r="L248" s="123"/>
      <c r="M248" s="123"/>
      <c r="N248" s="123"/>
      <c r="O248" s="123"/>
      <c r="P248" s="123"/>
      <c r="Q248" s="123"/>
      <c r="R248" s="133">
        <f t="shared" si="85"/>
        <v>0</v>
      </c>
      <c r="S248" s="133"/>
      <c r="T248" s="116">
        <f t="shared" si="91"/>
        <v>0</v>
      </c>
      <c r="U248" s="116">
        <f t="shared" si="92"/>
        <v>0</v>
      </c>
      <c r="V248" s="116">
        <f t="shared" si="93"/>
        <v>0</v>
      </c>
      <c r="W248" s="116">
        <f t="shared" si="94"/>
        <v>0</v>
      </c>
      <c r="X248" s="116">
        <f t="shared" si="103"/>
        <v>0</v>
      </c>
      <c r="Y248" s="116">
        <f t="shared" si="104"/>
        <v>2000722.37</v>
      </c>
      <c r="Z248" s="116">
        <f t="shared" si="97"/>
        <v>0</v>
      </c>
      <c r="AA248" s="116">
        <f t="shared" si="98"/>
        <v>0</v>
      </c>
      <c r="AB248" s="116">
        <f t="shared" si="99"/>
        <v>0</v>
      </c>
      <c r="AC248" s="116">
        <f t="shared" si="100"/>
        <v>0</v>
      </c>
      <c r="AD248" s="116">
        <f t="shared" si="101"/>
        <v>0</v>
      </c>
      <c r="AE248" s="116">
        <f t="shared" si="102"/>
        <v>0</v>
      </c>
    </row>
    <row r="249" spans="1:31">
      <c r="A249" s="131">
        <v>42156</v>
      </c>
      <c r="B249" s="131">
        <v>42186</v>
      </c>
      <c r="C249" s="123">
        <f t="shared" si="90"/>
        <v>30</v>
      </c>
      <c r="D249" s="132">
        <v>53489.63</v>
      </c>
      <c r="E249" s="134"/>
      <c r="F249" s="135"/>
      <c r="G249" s="123"/>
      <c r="H249" s="123"/>
      <c r="I249" s="123"/>
      <c r="J249" s="123"/>
      <c r="K249" s="123">
        <v>30</v>
      </c>
      <c r="L249" s="123"/>
      <c r="M249" s="123"/>
      <c r="N249" s="123"/>
      <c r="O249" s="123"/>
      <c r="P249" s="123"/>
      <c r="Q249" s="123"/>
      <c r="R249" s="133">
        <f t="shared" si="85"/>
        <v>0</v>
      </c>
      <c r="S249" s="133"/>
      <c r="T249" s="116">
        <f t="shared" si="91"/>
        <v>0</v>
      </c>
      <c r="U249" s="116">
        <f t="shared" si="92"/>
        <v>0</v>
      </c>
      <c r="V249" s="116">
        <f t="shared" si="93"/>
        <v>0</v>
      </c>
      <c r="W249" s="116">
        <f t="shared" si="94"/>
        <v>0</v>
      </c>
      <c r="X249" s="116">
        <f t="shared" si="103"/>
        <v>0</v>
      </c>
      <c r="Y249" s="116">
        <f t="shared" si="104"/>
        <v>579644.89</v>
      </c>
      <c r="Z249" s="116">
        <f t="shared" si="97"/>
        <v>0</v>
      </c>
      <c r="AA249" s="116">
        <f t="shared" si="98"/>
        <v>0</v>
      </c>
      <c r="AB249" s="116">
        <f t="shared" si="99"/>
        <v>0</v>
      </c>
      <c r="AC249" s="116">
        <f t="shared" si="100"/>
        <v>0</v>
      </c>
      <c r="AD249" s="116">
        <f t="shared" si="101"/>
        <v>0</v>
      </c>
      <c r="AE249" s="116">
        <f t="shared" si="102"/>
        <v>0</v>
      </c>
    </row>
    <row r="250" spans="1:31">
      <c r="A250" s="131">
        <v>42156</v>
      </c>
      <c r="B250" s="131">
        <v>42186</v>
      </c>
      <c r="C250" s="123">
        <f t="shared" si="90"/>
        <v>30</v>
      </c>
      <c r="D250" s="132">
        <v>2282.59</v>
      </c>
      <c r="E250" s="134"/>
      <c r="F250" s="135"/>
      <c r="G250" s="123"/>
      <c r="H250" s="123"/>
      <c r="I250" s="123"/>
      <c r="J250" s="123"/>
      <c r="K250" s="123">
        <v>30</v>
      </c>
      <c r="L250" s="123"/>
      <c r="M250" s="123"/>
      <c r="N250" s="123"/>
      <c r="O250" s="123"/>
      <c r="P250" s="123"/>
      <c r="Q250" s="123"/>
      <c r="R250" s="133">
        <f t="shared" si="85"/>
        <v>0</v>
      </c>
      <c r="S250" s="133"/>
      <c r="T250" s="116">
        <f t="shared" si="91"/>
        <v>0</v>
      </c>
      <c r="U250" s="116">
        <f t="shared" si="92"/>
        <v>0</v>
      </c>
      <c r="V250" s="116">
        <f t="shared" si="93"/>
        <v>0</v>
      </c>
      <c r="W250" s="116">
        <f t="shared" si="94"/>
        <v>0</v>
      </c>
      <c r="X250" s="116">
        <f t="shared" si="103"/>
        <v>0</v>
      </c>
      <c r="Y250" s="116">
        <f t="shared" si="104"/>
        <v>24735.48</v>
      </c>
      <c r="Z250" s="116">
        <f t="shared" si="97"/>
        <v>0</v>
      </c>
      <c r="AA250" s="116">
        <f t="shared" si="98"/>
        <v>0</v>
      </c>
      <c r="AB250" s="116">
        <f t="shared" si="99"/>
        <v>0</v>
      </c>
      <c r="AC250" s="116">
        <f t="shared" si="100"/>
        <v>0</v>
      </c>
      <c r="AD250" s="116">
        <f t="shared" si="101"/>
        <v>0</v>
      </c>
      <c r="AE250" s="116">
        <f t="shared" si="102"/>
        <v>0</v>
      </c>
    </row>
    <row r="251" spans="1:31">
      <c r="A251" s="131">
        <v>42160</v>
      </c>
      <c r="B251" s="131">
        <v>42190</v>
      </c>
      <c r="C251" s="123">
        <f t="shared" si="90"/>
        <v>30</v>
      </c>
      <c r="D251" s="132">
        <v>1448.63</v>
      </c>
      <c r="E251" s="134"/>
      <c r="F251" s="135"/>
      <c r="G251" s="123"/>
      <c r="H251" s="123"/>
      <c r="I251" s="123"/>
      <c r="J251" s="123"/>
      <c r="K251" s="123">
        <v>26</v>
      </c>
      <c r="L251" s="123">
        <v>4</v>
      </c>
      <c r="M251" s="123"/>
      <c r="N251" s="123"/>
      <c r="O251" s="123"/>
      <c r="P251" s="123"/>
      <c r="Q251" s="123"/>
      <c r="R251" s="133">
        <f t="shared" si="85"/>
        <v>0</v>
      </c>
      <c r="S251" s="133"/>
      <c r="T251" s="116">
        <f t="shared" si="91"/>
        <v>0</v>
      </c>
      <c r="U251" s="116">
        <f t="shared" si="92"/>
        <v>0</v>
      </c>
      <c r="V251" s="116">
        <f t="shared" si="93"/>
        <v>0</v>
      </c>
      <c r="W251" s="116">
        <f t="shared" si="94"/>
        <v>0</v>
      </c>
      <c r="X251" s="116">
        <f t="shared" si="103"/>
        <v>0</v>
      </c>
      <c r="Y251" s="116">
        <f t="shared" si="104"/>
        <v>13605.11</v>
      </c>
      <c r="Z251" s="116">
        <f t="shared" si="97"/>
        <v>2173.16</v>
      </c>
      <c r="AA251" s="116">
        <f t="shared" si="98"/>
        <v>0</v>
      </c>
      <c r="AB251" s="116">
        <f t="shared" si="99"/>
        <v>0</v>
      </c>
      <c r="AC251" s="116">
        <f t="shared" si="100"/>
        <v>0</v>
      </c>
      <c r="AD251" s="116">
        <f t="shared" si="101"/>
        <v>0</v>
      </c>
      <c r="AE251" s="116">
        <f t="shared" si="102"/>
        <v>0</v>
      </c>
    </row>
    <row r="252" spans="1:31">
      <c r="A252" s="131">
        <v>42160</v>
      </c>
      <c r="B252" s="131">
        <v>42190</v>
      </c>
      <c r="C252" s="123">
        <f t="shared" si="90"/>
        <v>30</v>
      </c>
      <c r="D252" s="132">
        <v>716.23</v>
      </c>
      <c r="E252" s="134"/>
      <c r="F252" s="135"/>
      <c r="G252" s="123"/>
      <c r="H252" s="123"/>
      <c r="I252" s="123"/>
      <c r="J252" s="123"/>
      <c r="K252" s="123">
        <v>26</v>
      </c>
      <c r="L252" s="123">
        <v>4</v>
      </c>
      <c r="M252" s="123"/>
      <c r="N252" s="123"/>
      <c r="O252" s="123"/>
      <c r="P252" s="123"/>
      <c r="Q252" s="123"/>
      <c r="R252" s="133">
        <f t="shared" si="85"/>
        <v>0</v>
      </c>
      <c r="S252" s="133"/>
      <c r="T252" s="116">
        <f t="shared" si="91"/>
        <v>0</v>
      </c>
      <c r="U252" s="116">
        <f t="shared" si="92"/>
        <v>0</v>
      </c>
      <c r="V252" s="116">
        <f t="shared" si="93"/>
        <v>0</v>
      </c>
      <c r="W252" s="116">
        <f t="shared" si="94"/>
        <v>0</v>
      </c>
      <c r="X252" s="116">
        <f t="shared" si="103"/>
        <v>0</v>
      </c>
      <c r="Y252" s="116">
        <f t="shared" si="104"/>
        <v>6726.62</v>
      </c>
      <c r="Z252" s="116">
        <f t="shared" si="97"/>
        <v>1074.45</v>
      </c>
      <c r="AA252" s="116">
        <f t="shared" si="98"/>
        <v>0</v>
      </c>
      <c r="AB252" s="116">
        <f t="shared" si="99"/>
        <v>0</v>
      </c>
      <c r="AC252" s="116">
        <f t="shared" si="100"/>
        <v>0</v>
      </c>
      <c r="AD252" s="116">
        <f t="shared" si="101"/>
        <v>0</v>
      </c>
      <c r="AE252" s="116">
        <f t="shared" si="102"/>
        <v>0</v>
      </c>
    </row>
    <row r="253" spans="1:31">
      <c r="A253" s="131">
        <v>42160</v>
      </c>
      <c r="B253" s="131">
        <v>42190</v>
      </c>
      <c r="C253" s="123">
        <f t="shared" si="90"/>
        <v>30</v>
      </c>
      <c r="D253" s="132">
        <v>277.41000000000003</v>
      </c>
      <c r="E253" s="134"/>
      <c r="F253" s="135"/>
      <c r="G253" s="123"/>
      <c r="H253" s="123"/>
      <c r="I253" s="123"/>
      <c r="J253" s="123"/>
      <c r="K253" s="123">
        <v>26</v>
      </c>
      <c r="L253" s="123">
        <v>4</v>
      </c>
      <c r="M253" s="123"/>
      <c r="N253" s="123"/>
      <c r="O253" s="123"/>
      <c r="P253" s="123"/>
      <c r="Q253" s="123"/>
      <c r="R253" s="133">
        <f t="shared" ref="R253:R320" si="105">C253-SUM(F253:Q253)</f>
        <v>0</v>
      </c>
      <c r="S253" s="133"/>
      <c r="T253" s="116">
        <f t="shared" si="91"/>
        <v>0</v>
      </c>
      <c r="U253" s="116">
        <f t="shared" si="92"/>
        <v>0</v>
      </c>
      <c r="V253" s="116">
        <f t="shared" si="93"/>
        <v>0</v>
      </c>
      <c r="W253" s="116">
        <f t="shared" si="94"/>
        <v>0</v>
      </c>
      <c r="X253" s="116">
        <f t="shared" si="103"/>
        <v>0</v>
      </c>
      <c r="Y253" s="116">
        <f t="shared" si="104"/>
        <v>2605.35</v>
      </c>
      <c r="Z253" s="116">
        <f t="shared" si="97"/>
        <v>416.16</v>
      </c>
      <c r="AA253" s="116">
        <f t="shared" si="98"/>
        <v>0</v>
      </c>
      <c r="AB253" s="116">
        <f t="shared" si="99"/>
        <v>0</v>
      </c>
      <c r="AC253" s="116">
        <f t="shared" si="100"/>
        <v>0</v>
      </c>
      <c r="AD253" s="116">
        <f t="shared" si="101"/>
        <v>0</v>
      </c>
      <c r="AE253" s="116">
        <f t="shared" si="102"/>
        <v>0</v>
      </c>
    </row>
    <row r="254" spans="1:31">
      <c r="A254" s="131">
        <v>42156</v>
      </c>
      <c r="B254" s="131">
        <v>42186</v>
      </c>
      <c r="C254" s="123">
        <f t="shared" si="90"/>
        <v>30</v>
      </c>
      <c r="D254" s="132">
        <v>3978.72</v>
      </c>
      <c r="E254" s="134"/>
      <c r="F254" s="135"/>
      <c r="G254" s="123"/>
      <c r="H254" s="123"/>
      <c r="I254" s="123"/>
      <c r="J254" s="123"/>
      <c r="K254" s="123">
        <v>30</v>
      </c>
      <c r="L254" s="123"/>
      <c r="M254" s="123"/>
      <c r="N254" s="123"/>
      <c r="O254" s="123"/>
      <c r="P254" s="123"/>
      <c r="Q254" s="123"/>
      <c r="R254" s="133">
        <f t="shared" si="105"/>
        <v>0</v>
      </c>
      <c r="S254" s="133"/>
      <c r="T254" s="116">
        <f t="shared" si="91"/>
        <v>0</v>
      </c>
      <c r="U254" s="116">
        <f t="shared" si="92"/>
        <v>0</v>
      </c>
      <c r="V254" s="116">
        <f t="shared" si="93"/>
        <v>0</v>
      </c>
      <c r="W254" s="116">
        <f t="shared" si="94"/>
        <v>0</v>
      </c>
      <c r="X254" s="116">
        <f t="shared" si="103"/>
        <v>0</v>
      </c>
      <c r="Y254" s="116">
        <f t="shared" si="104"/>
        <v>43115.73</v>
      </c>
      <c r="Z254" s="116">
        <f t="shared" si="97"/>
        <v>0</v>
      </c>
      <c r="AA254" s="116">
        <f t="shared" si="98"/>
        <v>0</v>
      </c>
      <c r="AB254" s="116">
        <f t="shared" si="99"/>
        <v>0</v>
      </c>
      <c r="AC254" s="116">
        <f t="shared" si="100"/>
        <v>0</v>
      </c>
      <c r="AD254" s="116">
        <f t="shared" si="101"/>
        <v>0</v>
      </c>
      <c r="AE254" s="116">
        <f t="shared" si="102"/>
        <v>0</v>
      </c>
    </row>
    <row r="255" spans="1:31">
      <c r="A255" s="131">
        <v>42163</v>
      </c>
      <c r="B255" s="131">
        <v>42193</v>
      </c>
      <c r="C255" s="123">
        <f t="shared" si="90"/>
        <v>30</v>
      </c>
      <c r="D255" s="132">
        <v>266.81</v>
      </c>
      <c r="E255" s="134"/>
      <c r="F255" s="135"/>
      <c r="G255" s="123"/>
      <c r="H255" s="123"/>
      <c r="I255" s="123"/>
      <c r="J255" s="123"/>
      <c r="K255" s="123">
        <v>23</v>
      </c>
      <c r="L255" s="123">
        <v>7</v>
      </c>
      <c r="M255" s="123"/>
      <c r="N255" s="123"/>
      <c r="O255" s="123"/>
      <c r="P255" s="123"/>
      <c r="Q255" s="123"/>
      <c r="R255" s="133">
        <f t="shared" si="105"/>
        <v>0</v>
      </c>
      <c r="S255" s="133"/>
      <c r="T255" s="116">
        <f t="shared" si="91"/>
        <v>0</v>
      </c>
      <c r="U255" s="116">
        <f t="shared" si="92"/>
        <v>0</v>
      </c>
      <c r="V255" s="116">
        <f t="shared" si="93"/>
        <v>0</v>
      </c>
      <c r="W255" s="116">
        <f t="shared" si="94"/>
        <v>0</v>
      </c>
      <c r="X255" s="116">
        <f t="shared" si="103"/>
        <v>0</v>
      </c>
      <c r="Y255" s="116">
        <f t="shared" si="104"/>
        <v>2216.67</v>
      </c>
      <c r="Z255" s="116">
        <f t="shared" si="97"/>
        <v>700.45</v>
      </c>
      <c r="AA255" s="116">
        <f t="shared" si="98"/>
        <v>0</v>
      </c>
      <c r="AB255" s="116">
        <f t="shared" si="99"/>
        <v>0</v>
      </c>
      <c r="AC255" s="116">
        <f t="shared" si="100"/>
        <v>0</v>
      </c>
      <c r="AD255" s="116">
        <f t="shared" si="101"/>
        <v>0</v>
      </c>
      <c r="AE255" s="116">
        <f t="shared" si="102"/>
        <v>0</v>
      </c>
    </row>
    <row r="256" spans="1:31">
      <c r="A256" s="131">
        <v>42163</v>
      </c>
      <c r="B256" s="131">
        <v>42193</v>
      </c>
      <c r="C256" s="123">
        <f t="shared" si="90"/>
        <v>30</v>
      </c>
      <c r="D256" s="132">
        <v>289.70999999999998</v>
      </c>
      <c r="E256" s="134"/>
      <c r="F256" s="135"/>
      <c r="G256" s="123"/>
      <c r="H256" s="123"/>
      <c r="I256" s="123"/>
      <c r="J256" s="123"/>
      <c r="K256" s="123">
        <v>23</v>
      </c>
      <c r="L256" s="123">
        <v>7</v>
      </c>
      <c r="M256" s="123"/>
      <c r="N256" s="123"/>
      <c r="O256" s="123"/>
      <c r="P256" s="123"/>
      <c r="Q256" s="123"/>
      <c r="R256" s="133">
        <f t="shared" si="105"/>
        <v>0</v>
      </c>
      <c r="S256" s="133"/>
      <c r="T256" s="116">
        <f t="shared" si="91"/>
        <v>0</v>
      </c>
      <c r="U256" s="116">
        <f t="shared" si="92"/>
        <v>0</v>
      </c>
      <c r="V256" s="116">
        <f t="shared" si="93"/>
        <v>0</v>
      </c>
      <c r="W256" s="116">
        <f t="shared" si="94"/>
        <v>0</v>
      </c>
      <c r="X256" s="116">
        <f t="shared" si="103"/>
        <v>0</v>
      </c>
      <c r="Y256" s="116">
        <f t="shared" si="104"/>
        <v>2406.92</v>
      </c>
      <c r="Z256" s="116">
        <f t="shared" si="97"/>
        <v>760.56</v>
      </c>
      <c r="AA256" s="116">
        <f t="shared" si="98"/>
        <v>0</v>
      </c>
      <c r="AB256" s="116">
        <f t="shared" si="99"/>
        <v>0</v>
      </c>
      <c r="AC256" s="116">
        <f t="shared" si="100"/>
        <v>0</v>
      </c>
      <c r="AD256" s="116">
        <f t="shared" si="101"/>
        <v>0</v>
      </c>
      <c r="AE256" s="116">
        <f t="shared" si="102"/>
        <v>0</v>
      </c>
    </row>
    <row r="257" spans="1:31">
      <c r="A257" s="131">
        <v>42163</v>
      </c>
      <c r="B257" s="131">
        <v>42193</v>
      </c>
      <c r="C257" s="123">
        <f t="shared" si="90"/>
        <v>30</v>
      </c>
      <c r="D257" s="132">
        <v>793.17</v>
      </c>
      <c r="E257" s="134"/>
      <c r="F257" s="135"/>
      <c r="G257" s="123"/>
      <c r="H257" s="123"/>
      <c r="I257" s="123"/>
      <c r="J257" s="123"/>
      <c r="K257" s="123">
        <v>23</v>
      </c>
      <c r="L257" s="123">
        <v>7</v>
      </c>
      <c r="M257" s="123"/>
      <c r="N257" s="123"/>
      <c r="O257" s="123"/>
      <c r="P257" s="123"/>
      <c r="Q257" s="123"/>
      <c r="R257" s="133">
        <f t="shared" si="105"/>
        <v>0</v>
      </c>
      <c r="S257" s="133"/>
      <c r="T257" s="116">
        <f t="shared" si="91"/>
        <v>0</v>
      </c>
      <c r="U257" s="116">
        <f t="shared" si="92"/>
        <v>0</v>
      </c>
      <c r="V257" s="116">
        <f t="shared" si="93"/>
        <v>0</v>
      </c>
      <c r="W257" s="116">
        <f t="shared" si="94"/>
        <v>0</v>
      </c>
      <c r="X257" s="116">
        <f t="shared" si="103"/>
        <v>0</v>
      </c>
      <c r="Y257" s="116">
        <f t="shared" si="104"/>
        <v>6589.69</v>
      </c>
      <c r="Z257" s="116">
        <f t="shared" si="97"/>
        <v>2082.2800000000002</v>
      </c>
      <c r="AA257" s="116">
        <f t="shared" si="98"/>
        <v>0</v>
      </c>
      <c r="AB257" s="116">
        <f t="shared" si="99"/>
        <v>0</v>
      </c>
      <c r="AC257" s="116">
        <f t="shared" si="100"/>
        <v>0</v>
      </c>
      <c r="AD257" s="116">
        <f t="shared" si="101"/>
        <v>0</v>
      </c>
      <c r="AE257" s="116">
        <f t="shared" si="102"/>
        <v>0</v>
      </c>
    </row>
    <row r="258" spans="1:31">
      <c r="A258" s="131">
        <v>42163</v>
      </c>
      <c r="B258" s="131">
        <v>42193</v>
      </c>
      <c r="C258" s="123">
        <f t="shared" si="90"/>
        <v>30</v>
      </c>
      <c r="D258" s="132">
        <v>41.64</v>
      </c>
      <c r="E258" s="134"/>
      <c r="F258" s="135"/>
      <c r="G258" s="123"/>
      <c r="H258" s="123"/>
      <c r="I258" s="123"/>
      <c r="J258" s="123"/>
      <c r="K258" s="123">
        <v>23</v>
      </c>
      <c r="L258" s="123">
        <v>7</v>
      </c>
      <c r="M258" s="123"/>
      <c r="N258" s="123"/>
      <c r="O258" s="123"/>
      <c r="P258" s="123"/>
      <c r="Q258" s="123"/>
      <c r="R258" s="133">
        <f t="shared" si="105"/>
        <v>0</v>
      </c>
      <c r="S258" s="133"/>
      <c r="T258" s="116">
        <f t="shared" si="91"/>
        <v>0</v>
      </c>
      <c r="U258" s="116">
        <f t="shared" si="92"/>
        <v>0</v>
      </c>
      <c r="V258" s="116">
        <f t="shared" si="93"/>
        <v>0</v>
      </c>
      <c r="W258" s="116">
        <f t="shared" si="94"/>
        <v>0</v>
      </c>
      <c r="X258" s="116">
        <f t="shared" si="103"/>
        <v>0</v>
      </c>
      <c r="Y258" s="116">
        <f t="shared" si="104"/>
        <v>345.95</v>
      </c>
      <c r="Z258" s="116">
        <f t="shared" si="97"/>
        <v>109.32</v>
      </c>
      <c r="AA258" s="116">
        <f t="shared" si="98"/>
        <v>0</v>
      </c>
      <c r="AB258" s="116">
        <f t="shared" si="99"/>
        <v>0</v>
      </c>
      <c r="AC258" s="116">
        <f t="shared" si="100"/>
        <v>0</v>
      </c>
      <c r="AD258" s="116">
        <f t="shared" si="101"/>
        <v>0</v>
      </c>
      <c r="AE258" s="116">
        <f t="shared" si="102"/>
        <v>0</v>
      </c>
    </row>
    <row r="259" spans="1:31">
      <c r="A259" s="131">
        <v>42186</v>
      </c>
      <c r="B259" s="131">
        <v>42194</v>
      </c>
      <c r="C259" s="123">
        <f t="shared" si="90"/>
        <v>8</v>
      </c>
      <c r="D259" s="132">
        <v>45.53</v>
      </c>
      <c r="E259" s="134"/>
      <c r="F259" s="135"/>
      <c r="G259" s="123"/>
      <c r="H259" s="123"/>
      <c r="I259" s="123"/>
      <c r="J259" s="123"/>
      <c r="K259" s="123"/>
      <c r="L259" s="123">
        <v>8</v>
      </c>
      <c r="M259" s="123"/>
      <c r="N259" s="123"/>
      <c r="O259" s="123"/>
      <c r="P259" s="123"/>
      <c r="Q259" s="123"/>
      <c r="R259" s="133">
        <f t="shared" si="105"/>
        <v>0</v>
      </c>
      <c r="S259" s="133"/>
      <c r="T259" s="116">
        <f t="shared" si="91"/>
        <v>0</v>
      </c>
      <c r="U259" s="116">
        <f t="shared" si="92"/>
        <v>0</v>
      </c>
      <c r="V259" s="116">
        <f t="shared" si="93"/>
        <v>0</v>
      </c>
      <c r="W259" s="116">
        <f t="shared" si="94"/>
        <v>0</v>
      </c>
      <c r="X259" s="116">
        <f t="shared" si="103"/>
        <v>0</v>
      </c>
      <c r="Y259" s="116">
        <f t="shared" si="104"/>
        <v>0</v>
      </c>
      <c r="Z259" s="116">
        <f t="shared" si="97"/>
        <v>512.26</v>
      </c>
      <c r="AA259" s="116">
        <f t="shared" si="98"/>
        <v>0</v>
      </c>
      <c r="AB259" s="116">
        <f t="shared" si="99"/>
        <v>0</v>
      </c>
      <c r="AC259" s="116">
        <f t="shared" si="100"/>
        <v>0</v>
      </c>
      <c r="AD259" s="116">
        <f t="shared" si="101"/>
        <v>0</v>
      </c>
      <c r="AE259" s="116">
        <f t="shared" si="102"/>
        <v>0</v>
      </c>
    </row>
    <row r="260" spans="1:31">
      <c r="A260" s="131">
        <v>42167</v>
      </c>
      <c r="B260" s="131">
        <v>42197</v>
      </c>
      <c r="C260" s="123">
        <f t="shared" si="90"/>
        <v>30</v>
      </c>
      <c r="D260" s="132">
        <v>211.91</v>
      </c>
      <c r="E260" s="134"/>
      <c r="F260" s="135"/>
      <c r="G260" s="123"/>
      <c r="H260" s="123"/>
      <c r="I260" s="123"/>
      <c r="J260" s="123"/>
      <c r="K260" s="123">
        <v>19</v>
      </c>
      <c r="L260" s="123">
        <v>11</v>
      </c>
      <c r="M260" s="123"/>
      <c r="N260" s="123"/>
      <c r="O260" s="123"/>
      <c r="P260" s="123"/>
      <c r="Q260" s="123"/>
      <c r="R260" s="133">
        <f t="shared" si="105"/>
        <v>0</v>
      </c>
      <c r="S260" s="133"/>
      <c r="T260" s="116">
        <f t="shared" si="91"/>
        <v>0</v>
      </c>
      <c r="U260" s="116">
        <f t="shared" si="92"/>
        <v>0</v>
      </c>
      <c r="V260" s="116">
        <f t="shared" si="93"/>
        <v>0</v>
      </c>
      <c r="W260" s="116">
        <f t="shared" si="94"/>
        <v>0</v>
      </c>
      <c r="X260" s="116">
        <f t="shared" si="103"/>
        <v>0</v>
      </c>
      <c r="Y260" s="116">
        <f t="shared" si="104"/>
        <v>1454.37</v>
      </c>
      <c r="Z260" s="116">
        <f t="shared" si="97"/>
        <v>874.22</v>
      </c>
      <c r="AA260" s="116">
        <f t="shared" si="98"/>
        <v>0</v>
      </c>
      <c r="AB260" s="116">
        <f t="shared" si="99"/>
        <v>0</v>
      </c>
      <c r="AC260" s="116">
        <f t="shared" si="100"/>
        <v>0</v>
      </c>
      <c r="AD260" s="116">
        <f t="shared" si="101"/>
        <v>0</v>
      </c>
      <c r="AE260" s="116">
        <f t="shared" si="102"/>
        <v>0</v>
      </c>
    </row>
    <row r="261" spans="1:31">
      <c r="A261" s="131">
        <v>42167</v>
      </c>
      <c r="B261" s="131">
        <v>42197</v>
      </c>
      <c r="C261" s="123">
        <f t="shared" si="90"/>
        <v>30</v>
      </c>
      <c r="D261" s="132">
        <v>1038.57</v>
      </c>
      <c r="E261" s="134"/>
      <c r="F261" s="135"/>
      <c r="G261" s="123"/>
      <c r="H261" s="123"/>
      <c r="I261" s="123"/>
      <c r="J261" s="123"/>
      <c r="K261" s="123">
        <v>19</v>
      </c>
      <c r="L261" s="123">
        <v>11</v>
      </c>
      <c r="M261" s="123"/>
      <c r="N261" s="123"/>
      <c r="O261" s="123"/>
      <c r="P261" s="123"/>
      <c r="Q261" s="123"/>
      <c r="R261" s="133">
        <f t="shared" si="105"/>
        <v>0</v>
      </c>
      <c r="S261" s="133"/>
      <c r="T261" s="116">
        <f t="shared" si="91"/>
        <v>0</v>
      </c>
      <c r="U261" s="116">
        <f t="shared" si="92"/>
        <v>0</v>
      </c>
      <c r="V261" s="116">
        <f t="shared" si="93"/>
        <v>0</v>
      </c>
      <c r="W261" s="116">
        <f t="shared" si="94"/>
        <v>0</v>
      </c>
      <c r="X261" s="116">
        <f t="shared" si="103"/>
        <v>0</v>
      </c>
      <c r="Y261" s="116">
        <f t="shared" si="104"/>
        <v>7127.88</v>
      </c>
      <c r="Z261" s="116">
        <f t="shared" si="97"/>
        <v>4284.53</v>
      </c>
      <c r="AA261" s="116">
        <f t="shared" si="98"/>
        <v>0</v>
      </c>
      <c r="AB261" s="116">
        <f t="shared" si="99"/>
        <v>0</v>
      </c>
      <c r="AC261" s="116">
        <f t="shared" si="100"/>
        <v>0</v>
      </c>
      <c r="AD261" s="116">
        <f t="shared" si="101"/>
        <v>0</v>
      </c>
      <c r="AE261" s="116">
        <f t="shared" si="102"/>
        <v>0</v>
      </c>
    </row>
    <row r="262" spans="1:31" ht="15.75" thickBot="1">
      <c r="A262" s="131">
        <v>42167</v>
      </c>
      <c r="B262" s="131">
        <v>42197</v>
      </c>
      <c r="C262" s="123">
        <f t="shared" si="90"/>
        <v>30</v>
      </c>
      <c r="D262" s="132">
        <v>1010.81</v>
      </c>
      <c r="E262" s="134"/>
      <c r="F262" s="135"/>
      <c r="G262" s="123"/>
      <c r="H262" s="123"/>
      <c r="I262" s="123"/>
      <c r="J262" s="123"/>
      <c r="K262" s="123">
        <v>19</v>
      </c>
      <c r="L262" s="123">
        <v>11</v>
      </c>
      <c r="M262" s="123"/>
      <c r="N262" s="123"/>
      <c r="O262" s="123"/>
      <c r="P262" s="123"/>
      <c r="Q262" s="123"/>
      <c r="R262" s="133">
        <f t="shared" si="105"/>
        <v>0</v>
      </c>
      <c r="S262" s="133"/>
      <c r="T262" s="116">
        <f t="shared" si="91"/>
        <v>0</v>
      </c>
      <c r="U262" s="116">
        <f t="shared" si="92"/>
        <v>0</v>
      </c>
      <c r="V262" s="116">
        <f t="shared" si="93"/>
        <v>0</v>
      </c>
      <c r="W262" s="116">
        <f t="shared" si="94"/>
        <v>0</v>
      </c>
      <c r="X262" s="116">
        <f t="shared" si="103"/>
        <v>0</v>
      </c>
      <c r="Y262" s="116">
        <f t="shared" si="104"/>
        <v>6937.36</v>
      </c>
      <c r="Z262" s="116">
        <f t="shared" si="97"/>
        <v>4170.01</v>
      </c>
      <c r="AA262" s="116">
        <f t="shared" si="98"/>
        <v>0</v>
      </c>
      <c r="AB262" s="116">
        <f t="shared" si="99"/>
        <v>0</v>
      </c>
      <c r="AC262" s="116">
        <f t="shared" si="100"/>
        <v>0</v>
      </c>
      <c r="AD262" s="116">
        <f t="shared" si="101"/>
        <v>0</v>
      </c>
      <c r="AE262" s="116">
        <f t="shared" si="102"/>
        <v>0</v>
      </c>
    </row>
    <row r="263" spans="1:31" ht="15.75" thickBot="1">
      <c r="A263" s="194" t="s">
        <v>42</v>
      </c>
      <c r="B263" s="195"/>
      <c r="C263" s="195"/>
      <c r="D263" s="195"/>
      <c r="E263" s="195"/>
      <c r="F263" s="195"/>
      <c r="G263" s="195"/>
      <c r="H263" s="195"/>
      <c r="I263" s="195"/>
      <c r="J263" s="195"/>
      <c r="K263" s="195"/>
      <c r="L263" s="195"/>
      <c r="M263" s="195"/>
      <c r="N263" s="195"/>
      <c r="O263" s="195"/>
      <c r="P263" s="195"/>
      <c r="Q263" s="195"/>
      <c r="R263" s="195"/>
      <c r="S263" s="195"/>
      <c r="T263" s="195"/>
      <c r="U263" s="195"/>
      <c r="V263" s="195"/>
      <c r="W263" s="195"/>
      <c r="X263" s="195"/>
      <c r="Y263" s="195"/>
      <c r="Z263" s="195"/>
      <c r="AA263" s="195"/>
      <c r="AB263" s="195"/>
      <c r="AC263" s="195"/>
      <c r="AD263" s="195"/>
      <c r="AE263" s="196"/>
    </row>
    <row r="264" spans="1:31">
      <c r="A264" s="131">
        <v>42156</v>
      </c>
      <c r="B264" s="131">
        <v>42186</v>
      </c>
      <c r="C264" s="123">
        <f t="shared" si="90"/>
        <v>30</v>
      </c>
      <c r="D264" s="132">
        <v>685.25</v>
      </c>
      <c r="E264" s="134"/>
      <c r="F264" s="135"/>
      <c r="G264" s="123"/>
      <c r="H264" s="123"/>
      <c r="I264" s="123"/>
      <c r="J264" s="123"/>
      <c r="K264" s="123">
        <v>30</v>
      </c>
      <c r="L264" s="123"/>
      <c r="M264" s="123"/>
      <c r="N264" s="123"/>
      <c r="O264" s="123"/>
      <c r="P264" s="123"/>
      <c r="Q264" s="123"/>
      <c r="R264" s="133">
        <f t="shared" si="105"/>
        <v>0</v>
      </c>
      <c r="S264" s="133"/>
      <c r="T264" s="116">
        <f t="shared" ref="T264:T301" si="106">ROUND((D264*F264/C264)/$C$6,2)</f>
        <v>0</v>
      </c>
      <c r="U264" s="116">
        <f t="shared" ref="U264:U301" si="107">ROUND(($D264*$G264/$C264)/$C$7,2)</f>
        <v>0</v>
      </c>
      <c r="V264" s="116">
        <f t="shared" ref="V264:V301" si="108">ROUND(($D264*$H264/$C264)/$C$8,2)</f>
        <v>0</v>
      </c>
      <c r="W264" s="116">
        <f t="shared" ref="W264:W301" si="109">ROUND(($D264*$I264/$C264)/$C$9,2)</f>
        <v>0</v>
      </c>
      <c r="X264" s="116">
        <f t="shared" ref="X264:X301" si="110">ROUND(($D264*$J264/$C264)/$C$10,2)</f>
        <v>0</v>
      </c>
      <c r="Y264" s="116">
        <f t="shared" ref="Y264:Y270" si="111">ROUND(($D264*$K264/$C264)/$C$11,2)</f>
        <v>7425.77</v>
      </c>
      <c r="Z264" s="116">
        <f t="shared" ref="Z264:Z270" si="112">ROUND(($D264*$L264/$C264)/$C$12,2)</f>
        <v>0</v>
      </c>
      <c r="AA264" s="116">
        <f t="shared" ref="AA264:AA301" si="113">ROUND(($D264*$M264/$C264)/$C$13,2)</f>
        <v>0</v>
      </c>
      <c r="AB264" s="116">
        <f t="shared" ref="AB264:AB301" si="114">ROUND(($D264*$N264/$C264)/$C$14,2)</f>
        <v>0</v>
      </c>
      <c r="AC264" s="116">
        <f t="shared" ref="AC264:AC301" si="115">ROUND(($D264*$O264/$C264)/$C$15,2)</f>
        <v>0</v>
      </c>
      <c r="AD264" s="116">
        <f t="shared" ref="AD264:AD301" si="116">ROUND(($D264*$P264/$C264)/$C$16,2)</f>
        <v>0</v>
      </c>
      <c r="AE264" s="116">
        <f t="shared" ref="AE264:AE301" si="117">ROUND(($D264*$Q264/$C264)/$C$17,2)</f>
        <v>0</v>
      </c>
    </row>
    <row r="265" spans="1:31">
      <c r="A265" s="131">
        <v>42170</v>
      </c>
      <c r="B265" s="131">
        <v>42200</v>
      </c>
      <c r="C265" s="123">
        <f t="shared" si="90"/>
        <v>30</v>
      </c>
      <c r="D265" s="132">
        <v>12209.56</v>
      </c>
      <c r="E265" s="134"/>
      <c r="F265" s="135"/>
      <c r="G265" s="123"/>
      <c r="H265" s="123"/>
      <c r="I265" s="123"/>
      <c r="J265" s="123"/>
      <c r="K265" s="123">
        <v>16</v>
      </c>
      <c r="L265" s="123">
        <v>14</v>
      </c>
      <c r="M265" s="123"/>
      <c r="N265" s="123"/>
      <c r="O265" s="123"/>
      <c r="P265" s="123"/>
      <c r="Q265" s="123"/>
      <c r="R265" s="133">
        <f t="shared" si="105"/>
        <v>0</v>
      </c>
      <c r="S265" s="133"/>
      <c r="T265" s="116">
        <f t="shared" si="106"/>
        <v>0</v>
      </c>
      <c r="U265" s="116">
        <f t="shared" si="107"/>
        <v>0</v>
      </c>
      <c r="V265" s="116">
        <f t="shared" si="108"/>
        <v>0</v>
      </c>
      <c r="W265" s="116">
        <f t="shared" si="109"/>
        <v>0</v>
      </c>
      <c r="X265" s="116">
        <f t="shared" si="110"/>
        <v>0</v>
      </c>
      <c r="Y265" s="116">
        <f t="shared" si="111"/>
        <v>70565.289999999994</v>
      </c>
      <c r="Z265" s="116">
        <f t="shared" si="112"/>
        <v>64106.6</v>
      </c>
      <c r="AA265" s="116">
        <f t="shared" si="113"/>
        <v>0</v>
      </c>
      <c r="AB265" s="116">
        <f t="shared" si="114"/>
        <v>0</v>
      </c>
      <c r="AC265" s="116">
        <f t="shared" si="115"/>
        <v>0</v>
      </c>
      <c r="AD265" s="116">
        <f t="shared" si="116"/>
        <v>0</v>
      </c>
      <c r="AE265" s="116">
        <f t="shared" si="117"/>
        <v>0</v>
      </c>
    </row>
    <row r="266" spans="1:31">
      <c r="A266" s="131">
        <v>42174</v>
      </c>
      <c r="B266" s="131">
        <v>42204</v>
      </c>
      <c r="C266" s="123">
        <f t="shared" si="90"/>
        <v>30</v>
      </c>
      <c r="D266" s="132">
        <v>1876.67</v>
      </c>
      <c r="E266" s="134"/>
      <c r="F266" s="135"/>
      <c r="G266" s="123"/>
      <c r="H266" s="123"/>
      <c r="I266" s="123"/>
      <c r="J266" s="123"/>
      <c r="K266" s="123">
        <v>12</v>
      </c>
      <c r="L266" s="123">
        <v>18</v>
      </c>
      <c r="M266" s="123"/>
      <c r="N266" s="123"/>
      <c r="O266" s="123"/>
      <c r="P266" s="123"/>
      <c r="Q266" s="123"/>
      <c r="R266" s="133">
        <f t="shared" si="105"/>
        <v>0</v>
      </c>
      <c r="S266" s="133"/>
      <c r="T266" s="116">
        <f t="shared" si="106"/>
        <v>0</v>
      </c>
      <c r="U266" s="116">
        <f t="shared" si="107"/>
        <v>0</v>
      </c>
      <c r="V266" s="116">
        <f t="shared" si="108"/>
        <v>0</v>
      </c>
      <c r="W266" s="116">
        <f t="shared" si="109"/>
        <v>0</v>
      </c>
      <c r="X266" s="116">
        <f t="shared" si="110"/>
        <v>0</v>
      </c>
      <c r="Y266" s="116">
        <f t="shared" si="111"/>
        <v>8134.68</v>
      </c>
      <c r="Z266" s="116">
        <f t="shared" si="112"/>
        <v>12668.79</v>
      </c>
      <c r="AA266" s="116">
        <f t="shared" si="113"/>
        <v>0</v>
      </c>
      <c r="AB266" s="116">
        <f t="shared" si="114"/>
        <v>0</v>
      </c>
      <c r="AC266" s="116">
        <f t="shared" si="115"/>
        <v>0</v>
      </c>
      <c r="AD266" s="116">
        <f t="shared" si="116"/>
        <v>0</v>
      </c>
      <c r="AE266" s="116">
        <f t="shared" si="117"/>
        <v>0</v>
      </c>
    </row>
    <row r="267" spans="1:31">
      <c r="A267" s="131">
        <v>42174</v>
      </c>
      <c r="B267" s="131">
        <v>42204</v>
      </c>
      <c r="C267" s="123">
        <f t="shared" si="90"/>
        <v>30</v>
      </c>
      <c r="D267" s="132">
        <v>483.48</v>
      </c>
      <c r="E267" s="134"/>
      <c r="F267" s="135"/>
      <c r="G267" s="123"/>
      <c r="H267" s="123"/>
      <c r="I267" s="123"/>
      <c r="J267" s="123"/>
      <c r="K267" s="123">
        <v>12</v>
      </c>
      <c r="L267" s="123">
        <v>18</v>
      </c>
      <c r="M267" s="123"/>
      <c r="N267" s="123"/>
      <c r="O267" s="123"/>
      <c r="P267" s="123"/>
      <c r="Q267" s="123"/>
      <c r="R267" s="133">
        <f t="shared" si="105"/>
        <v>0</v>
      </c>
      <c r="S267" s="133"/>
      <c r="T267" s="116">
        <f t="shared" si="106"/>
        <v>0</v>
      </c>
      <c r="U267" s="116">
        <f t="shared" si="107"/>
        <v>0</v>
      </c>
      <c r="V267" s="116">
        <f t="shared" si="108"/>
        <v>0</v>
      </c>
      <c r="W267" s="116">
        <f t="shared" si="109"/>
        <v>0</v>
      </c>
      <c r="X267" s="116">
        <f t="shared" si="110"/>
        <v>0</v>
      </c>
      <c r="Y267" s="116">
        <f t="shared" si="111"/>
        <v>2095.71</v>
      </c>
      <c r="Z267" s="116">
        <f t="shared" si="112"/>
        <v>3263.82</v>
      </c>
      <c r="AA267" s="116">
        <f t="shared" si="113"/>
        <v>0</v>
      </c>
      <c r="AB267" s="116">
        <f t="shared" si="114"/>
        <v>0</v>
      </c>
      <c r="AC267" s="116">
        <f t="shared" si="115"/>
        <v>0</v>
      </c>
      <c r="AD267" s="116">
        <f t="shared" si="116"/>
        <v>0</v>
      </c>
      <c r="AE267" s="116">
        <f t="shared" si="117"/>
        <v>0</v>
      </c>
    </row>
    <row r="268" spans="1:31">
      <c r="A268" s="131">
        <v>42174</v>
      </c>
      <c r="B268" s="131">
        <v>42204</v>
      </c>
      <c r="C268" s="123">
        <f t="shared" si="90"/>
        <v>30</v>
      </c>
      <c r="D268" s="132">
        <v>449.81</v>
      </c>
      <c r="E268" s="134"/>
      <c r="F268" s="135"/>
      <c r="G268" s="123"/>
      <c r="H268" s="123"/>
      <c r="I268" s="123"/>
      <c r="J268" s="123"/>
      <c r="K268" s="123">
        <v>12</v>
      </c>
      <c r="L268" s="123">
        <v>18</v>
      </c>
      <c r="M268" s="123"/>
      <c r="N268" s="123"/>
      <c r="O268" s="123"/>
      <c r="P268" s="123"/>
      <c r="Q268" s="123"/>
      <c r="R268" s="133">
        <f t="shared" si="105"/>
        <v>0</v>
      </c>
      <c r="S268" s="133"/>
      <c r="T268" s="116">
        <f t="shared" si="106"/>
        <v>0</v>
      </c>
      <c r="U268" s="116">
        <f t="shared" si="107"/>
        <v>0</v>
      </c>
      <c r="V268" s="116">
        <f t="shared" si="108"/>
        <v>0</v>
      </c>
      <c r="W268" s="116">
        <f t="shared" si="109"/>
        <v>0</v>
      </c>
      <c r="X268" s="116">
        <f t="shared" si="110"/>
        <v>0</v>
      </c>
      <c r="Y268" s="116">
        <f t="shared" si="111"/>
        <v>1949.76</v>
      </c>
      <c r="Z268" s="116">
        <f t="shared" si="112"/>
        <v>3036.52</v>
      </c>
      <c r="AA268" s="116">
        <f t="shared" si="113"/>
        <v>0</v>
      </c>
      <c r="AB268" s="116">
        <f t="shared" si="114"/>
        <v>0</v>
      </c>
      <c r="AC268" s="116">
        <f t="shared" si="115"/>
        <v>0</v>
      </c>
      <c r="AD268" s="116">
        <f t="shared" si="116"/>
        <v>0</v>
      </c>
      <c r="AE268" s="116">
        <f t="shared" si="117"/>
        <v>0</v>
      </c>
    </row>
    <row r="269" spans="1:31">
      <c r="A269" s="131">
        <v>42170</v>
      </c>
      <c r="B269" s="131">
        <v>42200</v>
      </c>
      <c r="C269" s="123">
        <f t="shared" si="90"/>
        <v>30</v>
      </c>
      <c r="D269" s="132">
        <v>5848.66</v>
      </c>
      <c r="E269" s="134"/>
      <c r="F269" s="135"/>
      <c r="G269" s="123"/>
      <c r="H269" s="123"/>
      <c r="I269" s="123"/>
      <c r="J269" s="123"/>
      <c r="K269" s="123">
        <v>16</v>
      </c>
      <c r="L269" s="123">
        <v>14</v>
      </c>
      <c r="M269" s="123"/>
      <c r="N269" s="123"/>
      <c r="O269" s="123"/>
      <c r="P269" s="123"/>
      <c r="Q269" s="123"/>
      <c r="R269" s="133">
        <f t="shared" si="105"/>
        <v>0</v>
      </c>
      <c r="S269" s="133"/>
      <c r="T269" s="116">
        <f t="shared" si="106"/>
        <v>0</v>
      </c>
      <c r="U269" s="116">
        <f t="shared" si="107"/>
        <v>0</v>
      </c>
      <c r="V269" s="116">
        <f t="shared" si="108"/>
        <v>0</v>
      </c>
      <c r="W269" s="116">
        <f t="shared" si="109"/>
        <v>0</v>
      </c>
      <c r="X269" s="116">
        <f t="shared" si="110"/>
        <v>0</v>
      </c>
      <c r="Y269" s="116">
        <f t="shared" si="111"/>
        <v>33802.400000000001</v>
      </c>
      <c r="Z269" s="116">
        <f t="shared" si="112"/>
        <v>30708.54</v>
      </c>
      <c r="AA269" s="116">
        <f t="shared" si="113"/>
        <v>0</v>
      </c>
      <c r="AB269" s="116">
        <f t="shared" si="114"/>
        <v>0</v>
      </c>
      <c r="AC269" s="116">
        <f t="shared" si="115"/>
        <v>0</v>
      </c>
      <c r="AD269" s="116">
        <f t="shared" si="116"/>
        <v>0</v>
      </c>
      <c r="AE269" s="116">
        <f t="shared" si="117"/>
        <v>0</v>
      </c>
    </row>
    <row r="270" spans="1:31">
      <c r="A270" s="131">
        <v>42170</v>
      </c>
      <c r="B270" s="131">
        <v>42200</v>
      </c>
      <c r="C270" s="123">
        <f t="shared" si="90"/>
        <v>30</v>
      </c>
      <c r="D270" s="132">
        <v>2775.53</v>
      </c>
      <c r="E270" s="134"/>
      <c r="F270" s="135"/>
      <c r="G270" s="123"/>
      <c r="H270" s="123"/>
      <c r="I270" s="123"/>
      <c r="J270" s="123"/>
      <c r="K270" s="123">
        <v>16</v>
      </c>
      <c r="L270" s="123">
        <v>14</v>
      </c>
      <c r="M270" s="123"/>
      <c r="N270" s="123"/>
      <c r="O270" s="123"/>
      <c r="P270" s="123"/>
      <c r="Q270" s="123"/>
      <c r="R270" s="133">
        <f t="shared" si="105"/>
        <v>0</v>
      </c>
      <c r="S270" s="133"/>
      <c r="T270" s="116">
        <f t="shared" si="106"/>
        <v>0</v>
      </c>
      <c r="U270" s="116">
        <f t="shared" si="107"/>
        <v>0</v>
      </c>
      <c r="V270" s="116">
        <f t="shared" si="108"/>
        <v>0</v>
      </c>
      <c r="W270" s="116">
        <f t="shared" si="109"/>
        <v>0</v>
      </c>
      <c r="X270" s="116">
        <f t="shared" si="110"/>
        <v>0</v>
      </c>
      <c r="Y270" s="116">
        <f t="shared" si="111"/>
        <v>16041.21</v>
      </c>
      <c r="Z270" s="116">
        <f t="shared" si="112"/>
        <v>14572.99</v>
      </c>
      <c r="AA270" s="116">
        <f t="shared" si="113"/>
        <v>0</v>
      </c>
      <c r="AB270" s="116">
        <f t="shared" si="114"/>
        <v>0</v>
      </c>
      <c r="AC270" s="116">
        <f t="shared" si="115"/>
        <v>0</v>
      </c>
      <c r="AD270" s="116">
        <f t="shared" si="116"/>
        <v>0</v>
      </c>
      <c r="AE270" s="116">
        <f t="shared" si="117"/>
        <v>0</v>
      </c>
    </row>
    <row r="271" spans="1:31">
      <c r="A271" s="131">
        <v>42177</v>
      </c>
      <c r="B271" s="131">
        <v>42207</v>
      </c>
      <c r="C271" s="123">
        <f t="shared" si="90"/>
        <v>30</v>
      </c>
      <c r="D271" s="132">
        <v>217649.24</v>
      </c>
      <c r="E271" s="134"/>
      <c r="F271" s="135"/>
      <c r="G271" s="123"/>
      <c r="H271" s="123"/>
      <c r="I271" s="123"/>
      <c r="J271" s="123"/>
      <c r="K271" s="123">
        <v>9</v>
      </c>
      <c r="L271" s="123">
        <v>21</v>
      </c>
      <c r="M271" s="123"/>
      <c r="N271" s="123"/>
      <c r="O271" s="123"/>
      <c r="P271" s="123"/>
      <c r="Q271" s="123"/>
      <c r="R271" s="133">
        <f t="shared" si="105"/>
        <v>0</v>
      </c>
      <c r="S271" s="133"/>
      <c r="T271" s="116">
        <f t="shared" si="106"/>
        <v>0</v>
      </c>
      <c r="U271" s="116">
        <f t="shared" si="107"/>
        <v>0</v>
      </c>
      <c r="V271" s="116">
        <f t="shared" si="108"/>
        <v>0</v>
      </c>
      <c r="W271" s="116">
        <f t="shared" si="109"/>
        <v>0</v>
      </c>
      <c r="X271" s="116">
        <f t="shared" si="110"/>
        <v>0</v>
      </c>
      <c r="Y271" s="116">
        <f>2416603.28-Z271</f>
        <v>841630.97999999975</v>
      </c>
      <c r="Z271" s="116">
        <v>1574972.3</v>
      </c>
      <c r="AA271" s="116">
        <f t="shared" si="113"/>
        <v>0</v>
      </c>
      <c r="AB271" s="116">
        <f t="shared" si="114"/>
        <v>0</v>
      </c>
      <c r="AC271" s="116">
        <f t="shared" si="115"/>
        <v>0</v>
      </c>
      <c r="AD271" s="116">
        <f t="shared" si="116"/>
        <v>0</v>
      </c>
      <c r="AE271" s="116">
        <f t="shared" si="117"/>
        <v>0</v>
      </c>
    </row>
    <row r="272" spans="1:31">
      <c r="A272" s="131">
        <v>42181</v>
      </c>
      <c r="B272" s="131">
        <v>42211</v>
      </c>
      <c r="C272" s="123">
        <f t="shared" si="90"/>
        <v>30</v>
      </c>
      <c r="D272" s="132">
        <v>1079.3</v>
      </c>
      <c r="E272" s="134"/>
      <c r="F272" s="135"/>
      <c r="G272" s="123"/>
      <c r="H272" s="123"/>
      <c r="I272" s="123"/>
      <c r="J272" s="123"/>
      <c r="K272" s="123">
        <v>5</v>
      </c>
      <c r="L272" s="123">
        <v>25</v>
      </c>
      <c r="M272" s="123"/>
      <c r="N272" s="123"/>
      <c r="O272" s="123"/>
      <c r="P272" s="123"/>
      <c r="Q272" s="123"/>
      <c r="R272" s="133">
        <f t="shared" si="105"/>
        <v>0</v>
      </c>
      <c r="S272" s="133"/>
      <c r="T272" s="116">
        <f t="shared" si="106"/>
        <v>0</v>
      </c>
      <c r="U272" s="116">
        <f t="shared" si="107"/>
        <v>0</v>
      </c>
      <c r="V272" s="116">
        <f t="shared" si="108"/>
        <v>0</v>
      </c>
      <c r="W272" s="116">
        <f t="shared" si="109"/>
        <v>0</v>
      </c>
      <c r="X272" s="116">
        <f t="shared" si="110"/>
        <v>0</v>
      </c>
      <c r="Y272" s="116">
        <f t="shared" ref="Y272:Y280" si="118">ROUND(($D272*$K272/$C272)/$C$11,2)</f>
        <v>1949.32</v>
      </c>
      <c r="Z272" s="116">
        <f t="shared" ref="Z272:Z280" si="119">ROUND(($D272*$L272/$C272)/$C$12,2)</f>
        <v>10119.450000000001</v>
      </c>
      <c r="AA272" s="116">
        <f t="shared" si="113"/>
        <v>0</v>
      </c>
      <c r="AB272" s="116">
        <f t="shared" si="114"/>
        <v>0</v>
      </c>
      <c r="AC272" s="116">
        <f t="shared" si="115"/>
        <v>0</v>
      </c>
      <c r="AD272" s="116">
        <f t="shared" si="116"/>
        <v>0</v>
      </c>
      <c r="AE272" s="116">
        <f t="shared" si="117"/>
        <v>0</v>
      </c>
    </row>
    <row r="273" spans="1:31">
      <c r="A273" s="131">
        <v>42181</v>
      </c>
      <c r="B273" s="131">
        <v>42211</v>
      </c>
      <c r="C273" s="123">
        <f t="shared" si="90"/>
        <v>30</v>
      </c>
      <c r="D273" s="132">
        <v>1129.45</v>
      </c>
      <c r="E273" s="134"/>
      <c r="F273" s="135"/>
      <c r="G273" s="123"/>
      <c r="H273" s="123"/>
      <c r="I273" s="123"/>
      <c r="J273" s="123"/>
      <c r="K273" s="123">
        <v>5</v>
      </c>
      <c r="L273" s="123">
        <v>25</v>
      </c>
      <c r="M273" s="123"/>
      <c r="N273" s="123"/>
      <c r="O273" s="123"/>
      <c r="P273" s="123"/>
      <c r="Q273" s="123"/>
      <c r="R273" s="133">
        <f t="shared" si="105"/>
        <v>0</v>
      </c>
      <c r="S273" s="133"/>
      <c r="T273" s="116">
        <f t="shared" si="106"/>
        <v>0</v>
      </c>
      <c r="U273" s="116">
        <f t="shared" si="107"/>
        <v>0</v>
      </c>
      <c r="V273" s="116">
        <f t="shared" si="108"/>
        <v>0</v>
      </c>
      <c r="W273" s="116">
        <f t="shared" si="109"/>
        <v>0</v>
      </c>
      <c r="X273" s="116">
        <f t="shared" si="110"/>
        <v>0</v>
      </c>
      <c r="Y273" s="116">
        <f t="shared" si="118"/>
        <v>2039.9</v>
      </c>
      <c r="Z273" s="116">
        <f t="shared" si="119"/>
        <v>10589.65</v>
      </c>
      <c r="AA273" s="116">
        <f t="shared" si="113"/>
        <v>0</v>
      </c>
      <c r="AB273" s="116">
        <f t="shared" si="114"/>
        <v>0</v>
      </c>
      <c r="AC273" s="116">
        <f t="shared" si="115"/>
        <v>0</v>
      </c>
      <c r="AD273" s="116">
        <f t="shared" si="116"/>
        <v>0</v>
      </c>
      <c r="AE273" s="116">
        <f t="shared" si="117"/>
        <v>0</v>
      </c>
    </row>
    <row r="274" spans="1:31">
      <c r="A274" s="131">
        <v>42183</v>
      </c>
      <c r="B274" s="131">
        <v>42213</v>
      </c>
      <c r="C274" s="123">
        <f t="shared" si="90"/>
        <v>30</v>
      </c>
      <c r="D274" s="132">
        <v>840.37</v>
      </c>
      <c r="E274" s="134"/>
      <c r="F274" s="135"/>
      <c r="G274" s="123"/>
      <c r="H274" s="123"/>
      <c r="I274" s="123"/>
      <c r="J274" s="123"/>
      <c r="K274" s="123">
        <v>3</v>
      </c>
      <c r="L274" s="123">
        <v>27</v>
      </c>
      <c r="M274" s="123"/>
      <c r="N274" s="123"/>
      <c r="O274" s="123"/>
      <c r="P274" s="123"/>
      <c r="Q274" s="123"/>
      <c r="R274" s="133">
        <f t="shared" si="105"/>
        <v>0</v>
      </c>
      <c r="S274" s="133"/>
      <c r="T274" s="116">
        <f t="shared" si="106"/>
        <v>0</v>
      </c>
      <c r="U274" s="116">
        <f t="shared" si="107"/>
        <v>0</v>
      </c>
      <c r="V274" s="116">
        <f t="shared" si="108"/>
        <v>0</v>
      </c>
      <c r="W274" s="116">
        <f t="shared" si="109"/>
        <v>0</v>
      </c>
      <c r="X274" s="116">
        <f t="shared" si="110"/>
        <v>0</v>
      </c>
      <c r="Y274" s="116">
        <f t="shared" si="118"/>
        <v>910.67</v>
      </c>
      <c r="Z274" s="116">
        <f t="shared" si="119"/>
        <v>8509.6</v>
      </c>
      <c r="AA274" s="116">
        <f t="shared" si="113"/>
        <v>0</v>
      </c>
      <c r="AB274" s="116">
        <f t="shared" si="114"/>
        <v>0</v>
      </c>
      <c r="AC274" s="116">
        <f t="shared" si="115"/>
        <v>0</v>
      </c>
      <c r="AD274" s="116">
        <f t="shared" si="116"/>
        <v>0</v>
      </c>
      <c r="AE274" s="116">
        <f t="shared" si="117"/>
        <v>0</v>
      </c>
    </row>
    <row r="275" spans="1:31">
      <c r="A275" s="131">
        <v>42183</v>
      </c>
      <c r="B275" s="131">
        <v>42213</v>
      </c>
      <c r="C275" s="123">
        <f t="shared" si="90"/>
        <v>30</v>
      </c>
      <c r="D275" s="132">
        <v>1969.31</v>
      </c>
      <c r="E275" s="134"/>
      <c r="F275" s="135"/>
      <c r="G275" s="123"/>
      <c r="H275" s="123"/>
      <c r="I275" s="123"/>
      <c r="J275" s="123"/>
      <c r="K275" s="123">
        <v>3</v>
      </c>
      <c r="L275" s="123">
        <v>27</v>
      </c>
      <c r="M275" s="123"/>
      <c r="N275" s="123"/>
      <c r="O275" s="123"/>
      <c r="P275" s="123"/>
      <c r="Q275" s="123"/>
      <c r="R275" s="133">
        <f t="shared" si="105"/>
        <v>0</v>
      </c>
      <c r="S275" s="133"/>
      <c r="T275" s="116">
        <f t="shared" si="106"/>
        <v>0</v>
      </c>
      <c r="U275" s="116">
        <f t="shared" si="107"/>
        <v>0</v>
      </c>
      <c r="V275" s="116">
        <f t="shared" si="108"/>
        <v>0</v>
      </c>
      <c r="W275" s="116">
        <f t="shared" si="109"/>
        <v>0</v>
      </c>
      <c r="X275" s="116">
        <f t="shared" si="110"/>
        <v>0</v>
      </c>
      <c r="Y275" s="116">
        <f t="shared" si="118"/>
        <v>2134.06</v>
      </c>
      <c r="Z275" s="116">
        <f t="shared" si="119"/>
        <v>19941.259999999998</v>
      </c>
      <c r="AA275" s="116">
        <f t="shared" si="113"/>
        <v>0</v>
      </c>
      <c r="AB275" s="116">
        <f t="shared" si="114"/>
        <v>0</v>
      </c>
      <c r="AC275" s="116">
        <f t="shared" si="115"/>
        <v>0</v>
      </c>
      <c r="AD275" s="116">
        <f t="shared" si="116"/>
        <v>0</v>
      </c>
      <c r="AE275" s="116">
        <f t="shared" si="117"/>
        <v>0</v>
      </c>
    </row>
    <row r="276" spans="1:31">
      <c r="A276" s="131">
        <v>42170</v>
      </c>
      <c r="B276" s="131">
        <v>42200</v>
      </c>
      <c r="C276" s="123">
        <f t="shared" si="90"/>
        <v>30</v>
      </c>
      <c r="D276" s="132">
        <v>398.1</v>
      </c>
      <c r="E276" s="134"/>
      <c r="F276" s="135"/>
      <c r="G276" s="123"/>
      <c r="H276" s="123"/>
      <c r="I276" s="123"/>
      <c r="J276" s="123"/>
      <c r="K276" s="123">
        <v>16</v>
      </c>
      <c r="L276" s="123">
        <v>14</v>
      </c>
      <c r="M276" s="123"/>
      <c r="N276" s="123"/>
      <c r="O276" s="123"/>
      <c r="P276" s="123"/>
      <c r="Q276" s="123"/>
      <c r="R276" s="133">
        <f t="shared" si="105"/>
        <v>0</v>
      </c>
      <c r="S276" s="133"/>
      <c r="T276" s="116">
        <f t="shared" si="106"/>
        <v>0</v>
      </c>
      <c r="U276" s="116">
        <f t="shared" si="107"/>
        <v>0</v>
      </c>
      <c r="V276" s="116">
        <f t="shared" si="108"/>
        <v>0</v>
      </c>
      <c r="W276" s="116">
        <f t="shared" si="109"/>
        <v>0</v>
      </c>
      <c r="X276" s="116">
        <f t="shared" si="110"/>
        <v>0</v>
      </c>
      <c r="Y276" s="116">
        <f t="shared" si="118"/>
        <v>2300.8200000000002</v>
      </c>
      <c r="Z276" s="116">
        <f t="shared" si="119"/>
        <v>2090.23</v>
      </c>
      <c r="AA276" s="116">
        <f t="shared" si="113"/>
        <v>0</v>
      </c>
      <c r="AB276" s="116">
        <f t="shared" si="114"/>
        <v>0</v>
      </c>
      <c r="AC276" s="116">
        <f t="shared" si="115"/>
        <v>0</v>
      </c>
      <c r="AD276" s="116">
        <f t="shared" si="116"/>
        <v>0</v>
      </c>
      <c r="AE276" s="116">
        <f t="shared" si="117"/>
        <v>0</v>
      </c>
    </row>
    <row r="277" spans="1:31">
      <c r="A277" s="131">
        <v>42174</v>
      </c>
      <c r="B277" s="131">
        <v>42209</v>
      </c>
      <c r="C277" s="123">
        <f t="shared" si="90"/>
        <v>35</v>
      </c>
      <c r="D277" s="132">
        <v>17.03</v>
      </c>
      <c r="E277" s="134"/>
      <c r="F277" s="135"/>
      <c r="G277" s="123"/>
      <c r="H277" s="123"/>
      <c r="I277" s="123"/>
      <c r="J277" s="123"/>
      <c r="K277" s="123">
        <v>12</v>
      </c>
      <c r="L277" s="123">
        <v>23</v>
      </c>
      <c r="M277" s="123"/>
      <c r="N277" s="123"/>
      <c r="O277" s="123"/>
      <c r="P277" s="123"/>
      <c r="Q277" s="123"/>
      <c r="R277" s="133">
        <f t="shared" si="105"/>
        <v>0</v>
      </c>
      <c r="S277" s="133"/>
      <c r="T277" s="116">
        <f t="shared" si="106"/>
        <v>0</v>
      </c>
      <c r="U277" s="116">
        <f t="shared" si="107"/>
        <v>0</v>
      </c>
      <c r="V277" s="116">
        <f t="shared" si="108"/>
        <v>0</v>
      </c>
      <c r="W277" s="116">
        <f t="shared" si="109"/>
        <v>0</v>
      </c>
      <c r="X277" s="116">
        <f t="shared" si="110"/>
        <v>0</v>
      </c>
      <c r="Y277" s="116">
        <f t="shared" si="118"/>
        <v>63.27</v>
      </c>
      <c r="Z277" s="116">
        <f t="shared" si="119"/>
        <v>125.91</v>
      </c>
      <c r="AA277" s="116">
        <f t="shared" si="113"/>
        <v>0</v>
      </c>
      <c r="AB277" s="116">
        <f t="shared" si="114"/>
        <v>0</v>
      </c>
      <c r="AC277" s="116">
        <f t="shared" si="115"/>
        <v>0</v>
      </c>
      <c r="AD277" s="116">
        <f t="shared" si="116"/>
        <v>0</v>
      </c>
      <c r="AE277" s="116">
        <f t="shared" si="117"/>
        <v>0</v>
      </c>
    </row>
    <row r="278" spans="1:31">
      <c r="A278" s="131">
        <v>42186</v>
      </c>
      <c r="B278" s="131">
        <v>42216</v>
      </c>
      <c r="C278" s="123">
        <f t="shared" si="90"/>
        <v>30</v>
      </c>
      <c r="D278" s="132">
        <v>11.45</v>
      </c>
      <c r="E278" s="134"/>
      <c r="F278" s="135"/>
      <c r="G278" s="123"/>
      <c r="H278" s="123"/>
      <c r="I278" s="123"/>
      <c r="J278" s="123"/>
      <c r="K278" s="123"/>
      <c r="L278" s="123">
        <v>30</v>
      </c>
      <c r="M278" s="123"/>
      <c r="N278" s="123"/>
      <c r="O278" s="123"/>
      <c r="P278" s="123"/>
      <c r="Q278" s="123"/>
      <c r="R278" s="133">
        <f t="shared" si="105"/>
        <v>0</v>
      </c>
      <c r="S278" s="133"/>
      <c r="T278" s="116">
        <f t="shared" si="106"/>
        <v>0</v>
      </c>
      <c r="U278" s="116">
        <f t="shared" si="107"/>
        <v>0</v>
      </c>
      <c r="V278" s="116">
        <f t="shared" si="108"/>
        <v>0</v>
      </c>
      <c r="W278" s="116">
        <f t="shared" si="109"/>
        <v>0</v>
      </c>
      <c r="X278" s="116">
        <f t="shared" si="110"/>
        <v>0</v>
      </c>
      <c r="Y278" s="116">
        <f t="shared" si="118"/>
        <v>0</v>
      </c>
      <c r="Z278" s="116">
        <f t="shared" si="119"/>
        <v>128.83000000000001</v>
      </c>
      <c r="AA278" s="116">
        <f t="shared" si="113"/>
        <v>0</v>
      </c>
      <c r="AB278" s="116">
        <f t="shared" si="114"/>
        <v>0</v>
      </c>
      <c r="AC278" s="116">
        <f t="shared" si="115"/>
        <v>0</v>
      </c>
      <c r="AD278" s="116">
        <f t="shared" si="116"/>
        <v>0</v>
      </c>
      <c r="AE278" s="116">
        <f t="shared" si="117"/>
        <v>0</v>
      </c>
    </row>
    <row r="279" spans="1:31">
      <c r="A279" s="131">
        <v>42186</v>
      </c>
      <c r="B279" s="131">
        <v>42217</v>
      </c>
      <c r="C279" s="123">
        <f t="shared" si="90"/>
        <v>31</v>
      </c>
      <c r="D279" s="132">
        <v>1507.94</v>
      </c>
      <c r="E279" s="134"/>
      <c r="F279" s="135"/>
      <c r="G279" s="123"/>
      <c r="H279" s="123"/>
      <c r="I279" s="123"/>
      <c r="J279" s="123"/>
      <c r="K279" s="123"/>
      <c r="L279" s="123">
        <v>31</v>
      </c>
      <c r="M279" s="123"/>
      <c r="N279" s="123"/>
      <c r="O279" s="123"/>
      <c r="P279" s="123"/>
      <c r="Q279" s="123"/>
      <c r="R279" s="133">
        <f t="shared" si="105"/>
        <v>0</v>
      </c>
      <c r="S279" s="133"/>
      <c r="T279" s="116">
        <f t="shared" si="106"/>
        <v>0</v>
      </c>
      <c r="U279" s="116">
        <f t="shared" si="107"/>
        <v>0</v>
      </c>
      <c r="V279" s="116">
        <f t="shared" si="108"/>
        <v>0</v>
      </c>
      <c r="W279" s="116">
        <f t="shared" si="109"/>
        <v>0</v>
      </c>
      <c r="X279" s="116">
        <f t="shared" si="110"/>
        <v>0</v>
      </c>
      <c r="Y279" s="116">
        <f t="shared" si="118"/>
        <v>0</v>
      </c>
      <c r="Z279" s="116">
        <f t="shared" si="119"/>
        <v>16966.02</v>
      </c>
      <c r="AA279" s="116">
        <f t="shared" si="113"/>
        <v>0</v>
      </c>
      <c r="AB279" s="116">
        <f t="shared" si="114"/>
        <v>0</v>
      </c>
      <c r="AC279" s="116">
        <f t="shared" si="115"/>
        <v>0</v>
      </c>
      <c r="AD279" s="116">
        <f t="shared" si="116"/>
        <v>0</v>
      </c>
      <c r="AE279" s="116">
        <f t="shared" si="117"/>
        <v>0</v>
      </c>
    </row>
    <row r="280" spans="1:31">
      <c r="A280" s="131">
        <v>42186</v>
      </c>
      <c r="B280" s="131">
        <v>42217</v>
      </c>
      <c r="C280" s="123">
        <f t="shared" si="90"/>
        <v>31</v>
      </c>
      <c r="D280" s="132">
        <v>232.35</v>
      </c>
      <c r="E280" s="134"/>
      <c r="F280" s="135"/>
      <c r="G280" s="123"/>
      <c r="H280" s="123"/>
      <c r="I280" s="123"/>
      <c r="J280" s="123"/>
      <c r="K280" s="123"/>
      <c r="L280" s="123">
        <v>31</v>
      </c>
      <c r="M280" s="123"/>
      <c r="N280" s="123"/>
      <c r="O280" s="123"/>
      <c r="P280" s="123"/>
      <c r="Q280" s="123"/>
      <c r="R280" s="133">
        <f t="shared" si="105"/>
        <v>0</v>
      </c>
      <c r="S280" s="133"/>
      <c r="T280" s="116">
        <f t="shared" si="106"/>
        <v>0</v>
      </c>
      <c r="U280" s="116">
        <f t="shared" si="107"/>
        <v>0</v>
      </c>
      <c r="V280" s="116">
        <f t="shared" si="108"/>
        <v>0</v>
      </c>
      <c r="W280" s="116">
        <f t="shared" si="109"/>
        <v>0</v>
      </c>
      <c r="X280" s="116">
        <f t="shared" si="110"/>
        <v>0</v>
      </c>
      <c r="Y280" s="116">
        <f t="shared" si="118"/>
        <v>0</v>
      </c>
      <c r="Z280" s="116">
        <f t="shared" si="119"/>
        <v>2614.1999999999998</v>
      </c>
      <c r="AA280" s="116">
        <f t="shared" si="113"/>
        <v>0</v>
      </c>
      <c r="AB280" s="116">
        <f t="shared" si="114"/>
        <v>0</v>
      </c>
      <c r="AC280" s="116">
        <f t="shared" si="115"/>
        <v>0</v>
      </c>
      <c r="AD280" s="116">
        <f t="shared" si="116"/>
        <v>0</v>
      </c>
      <c r="AE280" s="116">
        <f t="shared" si="117"/>
        <v>0</v>
      </c>
    </row>
    <row r="281" spans="1:31">
      <c r="A281" s="131">
        <v>42185</v>
      </c>
      <c r="B281" s="131">
        <v>42216</v>
      </c>
      <c r="C281" s="123">
        <f t="shared" si="90"/>
        <v>31</v>
      </c>
      <c r="D281" s="132">
        <v>7100.17</v>
      </c>
      <c r="E281" s="134"/>
      <c r="F281" s="135"/>
      <c r="G281" s="123"/>
      <c r="H281" s="123"/>
      <c r="I281" s="123"/>
      <c r="J281" s="123"/>
      <c r="K281" s="123">
        <v>1</v>
      </c>
      <c r="L281" s="123">
        <v>30</v>
      </c>
      <c r="M281" s="123"/>
      <c r="N281" s="123"/>
      <c r="O281" s="123"/>
      <c r="P281" s="123"/>
      <c r="Q281" s="123"/>
      <c r="R281" s="133">
        <f t="shared" si="105"/>
        <v>0</v>
      </c>
      <c r="S281" s="133"/>
      <c r="T281" s="116">
        <f t="shared" si="106"/>
        <v>0</v>
      </c>
      <c r="U281" s="116">
        <f t="shared" si="107"/>
        <v>0</v>
      </c>
      <c r="V281" s="116">
        <f t="shared" si="108"/>
        <v>0</v>
      </c>
      <c r="W281" s="116">
        <f t="shared" si="109"/>
        <v>0</v>
      </c>
      <c r="X281" s="116">
        <f t="shared" si="110"/>
        <v>0</v>
      </c>
      <c r="Y281" s="116">
        <v>2754.57</v>
      </c>
      <c r="Z281" s="116">
        <f>85391.72-Y281</f>
        <v>82637.149999999994</v>
      </c>
      <c r="AA281" s="116">
        <f t="shared" si="113"/>
        <v>0</v>
      </c>
      <c r="AB281" s="116">
        <f t="shared" si="114"/>
        <v>0</v>
      </c>
      <c r="AC281" s="116">
        <f t="shared" si="115"/>
        <v>0</v>
      </c>
      <c r="AD281" s="116">
        <f t="shared" si="116"/>
        <v>0</v>
      </c>
      <c r="AE281" s="116">
        <f t="shared" si="117"/>
        <v>0</v>
      </c>
    </row>
    <row r="282" spans="1:31">
      <c r="A282" s="131">
        <v>42186</v>
      </c>
      <c r="B282" s="131">
        <v>42217</v>
      </c>
      <c r="C282" s="123">
        <f t="shared" si="90"/>
        <v>31</v>
      </c>
      <c r="D282" s="132">
        <v>267.7</v>
      </c>
      <c r="E282" s="134"/>
      <c r="F282" s="135"/>
      <c r="G282" s="123"/>
      <c r="H282" s="123"/>
      <c r="I282" s="123"/>
      <c r="J282" s="123"/>
      <c r="K282" s="123"/>
      <c r="L282" s="123">
        <v>31</v>
      </c>
      <c r="M282" s="123"/>
      <c r="N282" s="123"/>
      <c r="O282" s="123"/>
      <c r="P282" s="123"/>
      <c r="Q282" s="123"/>
      <c r="R282" s="133">
        <f t="shared" si="105"/>
        <v>0</v>
      </c>
      <c r="S282" s="133"/>
      <c r="T282" s="116">
        <f t="shared" si="106"/>
        <v>0</v>
      </c>
      <c r="U282" s="116">
        <f t="shared" si="107"/>
        <v>0</v>
      </c>
      <c r="V282" s="116">
        <f t="shared" si="108"/>
        <v>0</v>
      </c>
      <c r="W282" s="116">
        <f t="shared" si="109"/>
        <v>0</v>
      </c>
      <c r="X282" s="116">
        <f t="shared" si="110"/>
        <v>0</v>
      </c>
      <c r="Y282" s="116">
        <f t="shared" ref="Y282:Y301" si="120">ROUND(($D282*$K282/$C282)/$C$11,2)</f>
        <v>0</v>
      </c>
      <c r="Z282" s="116">
        <f t="shared" ref="Z282:Z301" si="121">ROUND(($D282*$L282/$C282)/$C$12,2)</f>
        <v>3011.93</v>
      </c>
      <c r="AA282" s="116">
        <f t="shared" si="113"/>
        <v>0</v>
      </c>
      <c r="AB282" s="116">
        <f t="shared" si="114"/>
        <v>0</v>
      </c>
      <c r="AC282" s="116">
        <f t="shared" si="115"/>
        <v>0</v>
      </c>
      <c r="AD282" s="116">
        <f t="shared" si="116"/>
        <v>0</v>
      </c>
      <c r="AE282" s="116">
        <f t="shared" si="117"/>
        <v>0</v>
      </c>
    </row>
    <row r="283" spans="1:31">
      <c r="A283" s="131">
        <v>42186</v>
      </c>
      <c r="B283" s="131">
        <v>42217</v>
      </c>
      <c r="C283" s="123">
        <f t="shared" si="90"/>
        <v>31</v>
      </c>
      <c r="D283" s="132">
        <v>10876.57</v>
      </c>
      <c r="E283" s="134"/>
      <c r="F283" s="135"/>
      <c r="G283" s="123"/>
      <c r="H283" s="123"/>
      <c r="I283" s="123"/>
      <c r="J283" s="123"/>
      <c r="K283" s="123"/>
      <c r="L283" s="123">
        <v>31</v>
      </c>
      <c r="M283" s="123"/>
      <c r="N283" s="123"/>
      <c r="O283" s="123"/>
      <c r="P283" s="123"/>
      <c r="Q283" s="123"/>
      <c r="R283" s="133">
        <f t="shared" si="105"/>
        <v>0</v>
      </c>
      <c r="S283" s="133"/>
      <c r="T283" s="116">
        <f t="shared" si="106"/>
        <v>0</v>
      </c>
      <c r="U283" s="116">
        <f t="shared" si="107"/>
        <v>0</v>
      </c>
      <c r="V283" s="116">
        <f t="shared" si="108"/>
        <v>0</v>
      </c>
      <c r="W283" s="116">
        <f t="shared" si="109"/>
        <v>0</v>
      </c>
      <c r="X283" s="116">
        <f t="shared" si="110"/>
        <v>0</v>
      </c>
      <c r="Y283" s="116">
        <f t="shared" si="120"/>
        <v>0</v>
      </c>
      <c r="Z283" s="116">
        <f t="shared" si="121"/>
        <v>122373.65</v>
      </c>
      <c r="AA283" s="116">
        <f t="shared" si="113"/>
        <v>0</v>
      </c>
      <c r="AB283" s="116">
        <f t="shared" si="114"/>
        <v>0</v>
      </c>
      <c r="AC283" s="116">
        <f t="shared" si="115"/>
        <v>0</v>
      </c>
      <c r="AD283" s="116">
        <f t="shared" si="116"/>
        <v>0</v>
      </c>
      <c r="AE283" s="116">
        <f t="shared" si="117"/>
        <v>0</v>
      </c>
    </row>
    <row r="284" spans="1:31">
      <c r="A284" s="131">
        <v>42186</v>
      </c>
      <c r="B284" s="131">
        <v>42217</v>
      </c>
      <c r="C284" s="123">
        <f t="shared" ref="C284:C349" si="122">B284-A284</f>
        <v>31</v>
      </c>
      <c r="D284" s="132">
        <v>134.27000000000001</v>
      </c>
      <c r="E284" s="134"/>
      <c r="F284" s="135"/>
      <c r="G284" s="123"/>
      <c r="H284" s="123"/>
      <c r="I284" s="123"/>
      <c r="J284" s="123"/>
      <c r="K284" s="123"/>
      <c r="L284" s="123">
        <v>31</v>
      </c>
      <c r="M284" s="123"/>
      <c r="N284" s="123"/>
      <c r="O284" s="123"/>
      <c r="P284" s="123"/>
      <c r="Q284" s="123"/>
      <c r="R284" s="133">
        <f t="shared" si="105"/>
        <v>0</v>
      </c>
      <c r="S284" s="133"/>
      <c r="T284" s="116">
        <f t="shared" si="106"/>
        <v>0</v>
      </c>
      <c r="U284" s="116">
        <f t="shared" si="107"/>
        <v>0</v>
      </c>
      <c r="V284" s="116">
        <f t="shared" si="108"/>
        <v>0</v>
      </c>
      <c r="W284" s="116">
        <f t="shared" si="109"/>
        <v>0</v>
      </c>
      <c r="X284" s="116">
        <f t="shared" si="110"/>
        <v>0</v>
      </c>
      <c r="Y284" s="116">
        <f t="shared" si="120"/>
        <v>0</v>
      </c>
      <c r="Z284" s="116">
        <f t="shared" si="121"/>
        <v>1510.69</v>
      </c>
      <c r="AA284" s="116">
        <f t="shared" si="113"/>
        <v>0</v>
      </c>
      <c r="AB284" s="116">
        <f t="shared" si="114"/>
        <v>0</v>
      </c>
      <c r="AC284" s="116">
        <f t="shared" si="115"/>
        <v>0</v>
      </c>
      <c r="AD284" s="116">
        <f t="shared" si="116"/>
        <v>0</v>
      </c>
      <c r="AE284" s="116">
        <f t="shared" si="117"/>
        <v>0</v>
      </c>
    </row>
    <row r="285" spans="1:31">
      <c r="A285" s="131">
        <v>42186</v>
      </c>
      <c r="B285" s="131">
        <v>42217</v>
      </c>
      <c r="C285" s="123">
        <f t="shared" si="122"/>
        <v>31</v>
      </c>
      <c r="D285" s="132">
        <v>1435.92</v>
      </c>
      <c r="E285" s="134"/>
      <c r="F285" s="135"/>
      <c r="G285" s="123"/>
      <c r="H285" s="123"/>
      <c r="I285" s="123"/>
      <c r="J285" s="123"/>
      <c r="K285" s="123"/>
      <c r="L285" s="123">
        <v>31</v>
      </c>
      <c r="M285" s="123"/>
      <c r="N285" s="123"/>
      <c r="O285" s="123"/>
      <c r="P285" s="123"/>
      <c r="Q285" s="123"/>
      <c r="R285" s="133">
        <f t="shared" si="105"/>
        <v>0</v>
      </c>
      <c r="S285" s="133"/>
      <c r="T285" s="116">
        <f t="shared" si="106"/>
        <v>0</v>
      </c>
      <c r="U285" s="116">
        <f t="shared" si="107"/>
        <v>0</v>
      </c>
      <c r="V285" s="116">
        <f t="shared" si="108"/>
        <v>0</v>
      </c>
      <c r="W285" s="116">
        <f t="shared" si="109"/>
        <v>0</v>
      </c>
      <c r="X285" s="116">
        <f t="shared" si="110"/>
        <v>0</v>
      </c>
      <c r="Y285" s="116">
        <f t="shared" si="120"/>
        <v>0</v>
      </c>
      <c r="Z285" s="116">
        <f t="shared" si="121"/>
        <v>16155.72</v>
      </c>
      <c r="AA285" s="116">
        <f t="shared" si="113"/>
        <v>0</v>
      </c>
      <c r="AB285" s="116">
        <f t="shared" si="114"/>
        <v>0</v>
      </c>
      <c r="AC285" s="116">
        <f t="shared" si="115"/>
        <v>0</v>
      </c>
      <c r="AD285" s="116">
        <f t="shared" si="116"/>
        <v>0</v>
      </c>
      <c r="AE285" s="116">
        <f t="shared" si="117"/>
        <v>0</v>
      </c>
    </row>
    <row r="286" spans="1:31">
      <c r="A286" s="131">
        <v>42186</v>
      </c>
      <c r="B286" s="131">
        <v>42217</v>
      </c>
      <c r="C286" s="123">
        <f t="shared" si="122"/>
        <v>31</v>
      </c>
      <c r="D286" s="132">
        <v>187369.19</v>
      </c>
      <c r="E286" s="134"/>
      <c r="F286" s="135"/>
      <c r="G286" s="123"/>
      <c r="H286" s="123"/>
      <c r="I286" s="123"/>
      <c r="J286" s="123"/>
      <c r="K286" s="123"/>
      <c r="L286" s="123">
        <v>31</v>
      </c>
      <c r="M286" s="123"/>
      <c r="N286" s="123"/>
      <c r="O286" s="123"/>
      <c r="P286" s="123"/>
      <c r="Q286" s="123"/>
      <c r="R286" s="133">
        <f t="shared" si="105"/>
        <v>0</v>
      </c>
      <c r="S286" s="133"/>
      <c r="T286" s="116">
        <f t="shared" si="106"/>
        <v>0</v>
      </c>
      <c r="U286" s="116">
        <f t="shared" si="107"/>
        <v>0</v>
      </c>
      <c r="V286" s="116">
        <f t="shared" si="108"/>
        <v>0</v>
      </c>
      <c r="W286" s="116">
        <f t="shared" si="109"/>
        <v>0</v>
      </c>
      <c r="X286" s="116">
        <f t="shared" si="110"/>
        <v>0</v>
      </c>
      <c r="Y286" s="116">
        <f t="shared" si="120"/>
        <v>0</v>
      </c>
      <c r="Z286" s="116">
        <f t="shared" si="121"/>
        <v>2108114.2000000002</v>
      </c>
      <c r="AA286" s="116">
        <f t="shared" si="113"/>
        <v>0</v>
      </c>
      <c r="AB286" s="116">
        <f t="shared" si="114"/>
        <v>0</v>
      </c>
      <c r="AC286" s="116">
        <f t="shared" si="115"/>
        <v>0</v>
      </c>
      <c r="AD286" s="116">
        <f t="shared" si="116"/>
        <v>0</v>
      </c>
      <c r="AE286" s="116">
        <f t="shared" si="117"/>
        <v>0</v>
      </c>
    </row>
    <row r="287" spans="1:31">
      <c r="A287" s="131">
        <v>42186</v>
      </c>
      <c r="B287" s="131">
        <v>42217</v>
      </c>
      <c r="C287" s="123">
        <f t="shared" si="122"/>
        <v>31</v>
      </c>
      <c r="D287" s="132">
        <v>2357.48</v>
      </c>
      <c r="E287" s="134"/>
      <c r="F287" s="135"/>
      <c r="G287" s="123"/>
      <c r="H287" s="123"/>
      <c r="I287" s="123"/>
      <c r="J287" s="123"/>
      <c r="K287" s="123"/>
      <c r="L287" s="123">
        <v>31</v>
      </c>
      <c r="M287" s="123"/>
      <c r="N287" s="123"/>
      <c r="O287" s="123"/>
      <c r="P287" s="123"/>
      <c r="Q287" s="123"/>
      <c r="R287" s="133">
        <f t="shared" si="105"/>
        <v>0</v>
      </c>
      <c r="S287" s="133"/>
      <c r="T287" s="116">
        <f t="shared" si="106"/>
        <v>0</v>
      </c>
      <c r="U287" s="116">
        <f t="shared" si="107"/>
        <v>0</v>
      </c>
      <c r="V287" s="116">
        <f t="shared" si="108"/>
        <v>0</v>
      </c>
      <c r="W287" s="116">
        <f t="shared" si="109"/>
        <v>0</v>
      </c>
      <c r="X287" s="116">
        <f t="shared" si="110"/>
        <v>0</v>
      </c>
      <c r="Y287" s="116">
        <f t="shared" si="120"/>
        <v>0</v>
      </c>
      <c r="Z287" s="116">
        <f t="shared" si="121"/>
        <v>26524.3</v>
      </c>
      <c r="AA287" s="116">
        <f t="shared" si="113"/>
        <v>0</v>
      </c>
      <c r="AB287" s="116">
        <f t="shared" si="114"/>
        <v>0</v>
      </c>
      <c r="AC287" s="116">
        <f t="shared" si="115"/>
        <v>0</v>
      </c>
      <c r="AD287" s="116">
        <f t="shared" si="116"/>
        <v>0</v>
      </c>
      <c r="AE287" s="116">
        <f t="shared" si="117"/>
        <v>0</v>
      </c>
    </row>
    <row r="288" spans="1:31">
      <c r="A288" s="131">
        <v>42186</v>
      </c>
      <c r="B288" s="131">
        <v>42217</v>
      </c>
      <c r="C288" s="123">
        <f t="shared" si="122"/>
        <v>31</v>
      </c>
      <c r="D288" s="132">
        <v>745.42</v>
      </c>
      <c r="E288" s="134"/>
      <c r="F288" s="135"/>
      <c r="G288" s="123"/>
      <c r="H288" s="123"/>
      <c r="I288" s="123"/>
      <c r="J288" s="123"/>
      <c r="K288" s="123"/>
      <c r="L288" s="123">
        <v>31</v>
      </c>
      <c r="M288" s="123"/>
      <c r="N288" s="123"/>
      <c r="O288" s="123"/>
      <c r="P288" s="123"/>
      <c r="Q288" s="123"/>
      <c r="R288" s="133">
        <f t="shared" si="105"/>
        <v>0</v>
      </c>
      <c r="S288" s="133"/>
      <c r="T288" s="116">
        <f t="shared" si="106"/>
        <v>0</v>
      </c>
      <c r="U288" s="116">
        <f t="shared" si="107"/>
        <v>0</v>
      </c>
      <c r="V288" s="116">
        <f t="shared" si="108"/>
        <v>0</v>
      </c>
      <c r="W288" s="116">
        <f t="shared" si="109"/>
        <v>0</v>
      </c>
      <c r="X288" s="116">
        <f t="shared" si="110"/>
        <v>0</v>
      </c>
      <c r="Y288" s="116">
        <f t="shared" si="120"/>
        <v>0</v>
      </c>
      <c r="Z288" s="116">
        <f t="shared" si="121"/>
        <v>8386.81</v>
      </c>
      <c r="AA288" s="116">
        <f t="shared" si="113"/>
        <v>0</v>
      </c>
      <c r="AB288" s="116">
        <f t="shared" si="114"/>
        <v>0</v>
      </c>
      <c r="AC288" s="116">
        <f t="shared" si="115"/>
        <v>0</v>
      </c>
      <c r="AD288" s="116">
        <f t="shared" si="116"/>
        <v>0</v>
      </c>
      <c r="AE288" s="116">
        <f t="shared" si="117"/>
        <v>0</v>
      </c>
    </row>
    <row r="289" spans="1:31">
      <c r="A289" s="131">
        <v>42186</v>
      </c>
      <c r="B289" s="131">
        <v>42217</v>
      </c>
      <c r="C289" s="123">
        <f t="shared" si="122"/>
        <v>31</v>
      </c>
      <c r="D289" s="132">
        <v>4516.32</v>
      </c>
      <c r="E289" s="134"/>
      <c r="F289" s="135"/>
      <c r="G289" s="123"/>
      <c r="H289" s="123"/>
      <c r="I289" s="123"/>
      <c r="J289" s="123"/>
      <c r="K289" s="123"/>
      <c r="L289" s="123">
        <v>31</v>
      </c>
      <c r="M289" s="123"/>
      <c r="N289" s="123"/>
      <c r="O289" s="123"/>
      <c r="P289" s="123"/>
      <c r="Q289" s="123"/>
      <c r="R289" s="133">
        <f t="shared" si="105"/>
        <v>0</v>
      </c>
      <c r="S289" s="133"/>
      <c r="T289" s="116">
        <f t="shared" si="106"/>
        <v>0</v>
      </c>
      <c r="U289" s="116">
        <f t="shared" si="107"/>
        <v>0</v>
      </c>
      <c r="V289" s="116">
        <f t="shared" si="108"/>
        <v>0</v>
      </c>
      <c r="W289" s="116">
        <f t="shared" si="109"/>
        <v>0</v>
      </c>
      <c r="X289" s="116">
        <f t="shared" si="110"/>
        <v>0</v>
      </c>
      <c r="Y289" s="116">
        <f t="shared" si="120"/>
        <v>0</v>
      </c>
      <c r="Z289" s="116">
        <f t="shared" si="121"/>
        <v>50813.68</v>
      </c>
      <c r="AA289" s="116">
        <f t="shared" si="113"/>
        <v>0</v>
      </c>
      <c r="AB289" s="116">
        <f t="shared" si="114"/>
        <v>0</v>
      </c>
      <c r="AC289" s="116">
        <f t="shared" si="115"/>
        <v>0</v>
      </c>
      <c r="AD289" s="116">
        <f t="shared" si="116"/>
        <v>0</v>
      </c>
      <c r="AE289" s="116">
        <f t="shared" si="117"/>
        <v>0</v>
      </c>
    </row>
    <row r="290" spans="1:31">
      <c r="A290" s="131">
        <v>42186</v>
      </c>
      <c r="B290" s="131">
        <v>42217</v>
      </c>
      <c r="C290" s="123">
        <f t="shared" si="122"/>
        <v>31</v>
      </c>
      <c r="D290" s="132">
        <v>57147.3</v>
      </c>
      <c r="E290" s="134"/>
      <c r="F290" s="135"/>
      <c r="G290" s="123"/>
      <c r="H290" s="123"/>
      <c r="I290" s="123"/>
      <c r="J290" s="123"/>
      <c r="K290" s="123"/>
      <c r="L290" s="123">
        <v>31</v>
      </c>
      <c r="M290" s="123"/>
      <c r="N290" s="123"/>
      <c r="O290" s="123"/>
      <c r="P290" s="123"/>
      <c r="Q290" s="123"/>
      <c r="R290" s="133">
        <f t="shared" si="105"/>
        <v>0</v>
      </c>
      <c r="S290" s="133"/>
      <c r="T290" s="116">
        <f t="shared" si="106"/>
        <v>0</v>
      </c>
      <c r="U290" s="116">
        <f t="shared" si="107"/>
        <v>0</v>
      </c>
      <c r="V290" s="116">
        <f t="shared" si="108"/>
        <v>0</v>
      </c>
      <c r="W290" s="116">
        <f t="shared" si="109"/>
        <v>0</v>
      </c>
      <c r="X290" s="116">
        <f t="shared" si="110"/>
        <v>0</v>
      </c>
      <c r="Y290" s="116">
        <f t="shared" si="120"/>
        <v>0</v>
      </c>
      <c r="Z290" s="116">
        <f t="shared" si="121"/>
        <v>642971.42000000004</v>
      </c>
      <c r="AA290" s="116">
        <f t="shared" si="113"/>
        <v>0</v>
      </c>
      <c r="AB290" s="116">
        <f t="shared" si="114"/>
        <v>0</v>
      </c>
      <c r="AC290" s="116">
        <f t="shared" si="115"/>
        <v>0</v>
      </c>
      <c r="AD290" s="116">
        <f t="shared" si="116"/>
        <v>0</v>
      </c>
      <c r="AE290" s="116">
        <f t="shared" si="117"/>
        <v>0</v>
      </c>
    </row>
    <row r="291" spans="1:31">
      <c r="A291" s="131">
        <v>42186</v>
      </c>
      <c r="B291" s="131">
        <v>42217</v>
      </c>
      <c r="C291" s="123">
        <f t="shared" si="122"/>
        <v>31</v>
      </c>
      <c r="D291" s="132">
        <v>114.88</v>
      </c>
      <c r="E291" s="134"/>
      <c r="F291" s="135"/>
      <c r="G291" s="123"/>
      <c r="H291" s="123"/>
      <c r="I291" s="123"/>
      <c r="J291" s="123"/>
      <c r="K291" s="123"/>
      <c r="L291" s="123">
        <v>31</v>
      </c>
      <c r="M291" s="123"/>
      <c r="N291" s="123"/>
      <c r="O291" s="123"/>
      <c r="P291" s="123"/>
      <c r="Q291" s="123"/>
      <c r="R291" s="133">
        <f t="shared" si="105"/>
        <v>0</v>
      </c>
      <c r="S291" s="133"/>
      <c r="T291" s="116">
        <f t="shared" si="106"/>
        <v>0</v>
      </c>
      <c r="U291" s="116">
        <f t="shared" si="107"/>
        <v>0</v>
      </c>
      <c r="V291" s="116">
        <f t="shared" si="108"/>
        <v>0</v>
      </c>
      <c r="W291" s="116">
        <f t="shared" si="109"/>
        <v>0</v>
      </c>
      <c r="X291" s="116">
        <f t="shared" si="110"/>
        <v>0</v>
      </c>
      <c r="Y291" s="116">
        <f t="shared" si="120"/>
        <v>0</v>
      </c>
      <c r="Z291" s="116">
        <f t="shared" si="121"/>
        <v>1292.53</v>
      </c>
      <c r="AA291" s="116">
        <f t="shared" si="113"/>
        <v>0</v>
      </c>
      <c r="AB291" s="116">
        <f t="shared" si="114"/>
        <v>0</v>
      </c>
      <c r="AC291" s="116">
        <f t="shared" si="115"/>
        <v>0</v>
      </c>
      <c r="AD291" s="116">
        <f t="shared" si="116"/>
        <v>0</v>
      </c>
      <c r="AE291" s="116">
        <f t="shared" si="117"/>
        <v>0</v>
      </c>
    </row>
    <row r="292" spans="1:31">
      <c r="A292" s="131">
        <v>42190</v>
      </c>
      <c r="B292" s="131">
        <v>42221</v>
      </c>
      <c r="C292" s="123">
        <f t="shared" si="122"/>
        <v>31</v>
      </c>
      <c r="D292" s="132">
        <v>739.18</v>
      </c>
      <c r="E292" s="134"/>
      <c r="F292" s="135"/>
      <c r="G292" s="123"/>
      <c r="H292" s="123"/>
      <c r="I292" s="123"/>
      <c r="J292" s="123"/>
      <c r="K292" s="123"/>
      <c r="L292" s="123">
        <v>27</v>
      </c>
      <c r="M292" s="123">
        <v>4</v>
      </c>
      <c r="N292" s="123"/>
      <c r="O292" s="123"/>
      <c r="P292" s="123"/>
      <c r="Q292" s="123"/>
      <c r="R292" s="133">
        <f t="shared" si="105"/>
        <v>0</v>
      </c>
      <c r="S292" s="133"/>
      <c r="T292" s="116">
        <f t="shared" si="106"/>
        <v>0</v>
      </c>
      <c r="U292" s="116">
        <f t="shared" si="107"/>
        <v>0</v>
      </c>
      <c r="V292" s="116">
        <f t="shared" si="108"/>
        <v>0</v>
      </c>
      <c r="W292" s="116">
        <f t="shared" si="109"/>
        <v>0</v>
      </c>
      <c r="X292" s="116">
        <f t="shared" si="110"/>
        <v>0</v>
      </c>
      <c r="Y292" s="116">
        <f t="shared" si="120"/>
        <v>0</v>
      </c>
      <c r="Z292" s="116">
        <f t="shared" si="121"/>
        <v>7243.5</v>
      </c>
      <c r="AA292" s="116">
        <f t="shared" si="113"/>
        <v>1083.23</v>
      </c>
      <c r="AB292" s="116">
        <f t="shared" si="114"/>
        <v>0</v>
      </c>
      <c r="AC292" s="116">
        <f t="shared" si="115"/>
        <v>0</v>
      </c>
      <c r="AD292" s="116">
        <f t="shared" si="116"/>
        <v>0</v>
      </c>
      <c r="AE292" s="116">
        <f t="shared" si="117"/>
        <v>0</v>
      </c>
    </row>
    <row r="293" spans="1:31">
      <c r="A293" s="131">
        <v>42190</v>
      </c>
      <c r="B293" s="131">
        <v>42221</v>
      </c>
      <c r="C293" s="123">
        <f t="shared" si="122"/>
        <v>31</v>
      </c>
      <c r="D293" s="132">
        <v>1774.1</v>
      </c>
      <c r="E293" s="134"/>
      <c r="F293" s="135"/>
      <c r="G293" s="123"/>
      <c r="H293" s="123"/>
      <c r="I293" s="123"/>
      <c r="J293" s="123"/>
      <c r="K293" s="123"/>
      <c r="L293" s="123">
        <v>27</v>
      </c>
      <c r="M293" s="123">
        <v>4</v>
      </c>
      <c r="N293" s="123"/>
      <c r="O293" s="123"/>
      <c r="P293" s="123"/>
      <c r="Q293" s="123"/>
      <c r="R293" s="133">
        <f t="shared" si="105"/>
        <v>0</v>
      </c>
      <c r="S293" s="133"/>
      <c r="T293" s="116">
        <f t="shared" si="106"/>
        <v>0</v>
      </c>
      <c r="U293" s="116">
        <f t="shared" si="107"/>
        <v>0</v>
      </c>
      <c r="V293" s="116">
        <f t="shared" si="108"/>
        <v>0</v>
      </c>
      <c r="W293" s="116">
        <f t="shared" si="109"/>
        <v>0</v>
      </c>
      <c r="X293" s="116">
        <f t="shared" si="110"/>
        <v>0</v>
      </c>
      <c r="Y293" s="116">
        <f t="shared" si="120"/>
        <v>0</v>
      </c>
      <c r="Z293" s="116">
        <f t="shared" si="121"/>
        <v>17385.060000000001</v>
      </c>
      <c r="AA293" s="116">
        <f t="shared" si="113"/>
        <v>2599.84</v>
      </c>
      <c r="AB293" s="116">
        <f t="shared" si="114"/>
        <v>0</v>
      </c>
      <c r="AC293" s="116">
        <f t="shared" si="115"/>
        <v>0</v>
      </c>
      <c r="AD293" s="116">
        <f t="shared" si="116"/>
        <v>0</v>
      </c>
      <c r="AE293" s="116">
        <f t="shared" si="117"/>
        <v>0</v>
      </c>
    </row>
    <row r="294" spans="1:31">
      <c r="A294" s="131">
        <v>42190</v>
      </c>
      <c r="B294" s="131">
        <v>42221</v>
      </c>
      <c r="C294" s="123">
        <f t="shared" si="122"/>
        <v>31</v>
      </c>
      <c r="D294" s="132">
        <v>278.14</v>
      </c>
      <c r="E294" s="134"/>
      <c r="F294" s="135"/>
      <c r="G294" s="123"/>
      <c r="H294" s="123"/>
      <c r="I294" s="123"/>
      <c r="J294" s="123"/>
      <c r="K294" s="123"/>
      <c r="L294" s="123">
        <v>27</v>
      </c>
      <c r="M294" s="123">
        <v>4</v>
      </c>
      <c r="N294" s="123"/>
      <c r="O294" s="123"/>
      <c r="P294" s="123"/>
      <c r="Q294" s="123"/>
      <c r="R294" s="133">
        <f t="shared" si="105"/>
        <v>0</v>
      </c>
      <c r="S294" s="133"/>
      <c r="T294" s="116">
        <f t="shared" si="106"/>
        <v>0</v>
      </c>
      <c r="U294" s="116">
        <f t="shared" si="107"/>
        <v>0</v>
      </c>
      <c r="V294" s="116">
        <f t="shared" si="108"/>
        <v>0</v>
      </c>
      <c r="W294" s="116">
        <f t="shared" si="109"/>
        <v>0</v>
      </c>
      <c r="X294" s="116">
        <f t="shared" si="110"/>
        <v>0</v>
      </c>
      <c r="Y294" s="116">
        <f t="shared" si="120"/>
        <v>0</v>
      </c>
      <c r="Z294" s="116">
        <f t="shared" si="121"/>
        <v>2725.6</v>
      </c>
      <c r="AA294" s="116">
        <f t="shared" si="113"/>
        <v>407.6</v>
      </c>
      <c r="AB294" s="116">
        <f t="shared" si="114"/>
        <v>0</v>
      </c>
      <c r="AC294" s="116">
        <f t="shared" si="115"/>
        <v>0</v>
      </c>
      <c r="AD294" s="116">
        <f t="shared" si="116"/>
        <v>0</v>
      </c>
      <c r="AE294" s="116">
        <f t="shared" si="117"/>
        <v>0</v>
      </c>
    </row>
    <row r="295" spans="1:31">
      <c r="A295" s="131">
        <v>42193</v>
      </c>
      <c r="B295" s="131">
        <v>42224</v>
      </c>
      <c r="C295" s="123">
        <f t="shared" si="122"/>
        <v>31</v>
      </c>
      <c r="D295" s="132">
        <v>308.31</v>
      </c>
      <c r="E295" s="134"/>
      <c r="F295" s="135"/>
      <c r="G295" s="123"/>
      <c r="H295" s="123"/>
      <c r="I295" s="123"/>
      <c r="J295" s="123"/>
      <c r="K295" s="123"/>
      <c r="L295" s="123">
        <v>24</v>
      </c>
      <c r="M295" s="123">
        <v>7</v>
      </c>
      <c r="N295" s="123"/>
      <c r="O295" s="123"/>
      <c r="P295" s="123"/>
      <c r="Q295" s="123"/>
      <c r="R295" s="133">
        <f t="shared" si="105"/>
        <v>0</v>
      </c>
      <c r="S295" s="133"/>
      <c r="T295" s="116">
        <f t="shared" si="106"/>
        <v>0</v>
      </c>
      <c r="U295" s="116">
        <f t="shared" si="107"/>
        <v>0</v>
      </c>
      <c r="V295" s="116">
        <f t="shared" si="108"/>
        <v>0</v>
      </c>
      <c r="W295" s="116">
        <f t="shared" si="109"/>
        <v>0</v>
      </c>
      <c r="X295" s="116">
        <f t="shared" si="110"/>
        <v>0</v>
      </c>
      <c r="Y295" s="116">
        <f t="shared" si="120"/>
        <v>0</v>
      </c>
      <c r="Z295" s="116">
        <f t="shared" si="121"/>
        <v>2685.55</v>
      </c>
      <c r="AA295" s="116">
        <f t="shared" si="113"/>
        <v>790.67</v>
      </c>
      <c r="AB295" s="116">
        <f t="shared" si="114"/>
        <v>0</v>
      </c>
      <c r="AC295" s="116">
        <f t="shared" si="115"/>
        <v>0</v>
      </c>
      <c r="AD295" s="116">
        <f t="shared" si="116"/>
        <v>0</v>
      </c>
      <c r="AE295" s="116">
        <f t="shared" si="117"/>
        <v>0</v>
      </c>
    </row>
    <row r="296" spans="1:31">
      <c r="A296" s="131">
        <v>42193</v>
      </c>
      <c r="B296" s="131">
        <v>42224</v>
      </c>
      <c r="C296" s="123">
        <f t="shared" si="122"/>
        <v>31</v>
      </c>
      <c r="D296" s="132">
        <v>387.22</v>
      </c>
      <c r="E296" s="134"/>
      <c r="F296" s="135"/>
      <c r="G296" s="123"/>
      <c r="H296" s="123"/>
      <c r="I296" s="123"/>
      <c r="J296" s="123"/>
      <c r="K296" s="123"/>
      <c r="L296" s="123">
        <v>24</v>
      </c>
      <c r="M296" s="123">
        <v>7</v>
      </c>
      <c r="N296" s="123"/>
      <c r="O296" s="123"/>
      <c r="P296" s="123"/>
      <c r="Q296" s="123"/>
      <c r="R296" s="133">
        <f t="shared" si="105"/>
        <v>0</v>
      </c>
      <c r="S296" s="133"/>
      <c r="T296" s="116">
        <f t="shared" si="106"/>
        <v>0</v>
      </c>
      <c r="U296" s="116">
        <f t="shared" si="107"/>
        <v>0</v>
      </c>
      <c r="V296" s="116">
        <f t="shared" si="108"/>
        <v>0</v>
      </c>
      <c r="W296" s="116">
        <f t="shared" si="109"/>
        <v>0</v>
      </c>
      <c r="X296" s="116">
        <f t="shared" si="110"/>
        <v>0</v>
      </c>
      <c r="Y296" s="116">
        <f t="shared" si="120"/>
        <v>0</v>
      </c>
      <c r="Z296" s="116">
        <f t="shared" si="121"/>
        <v>3372.9</v>
      </c>
      <c r="AA296" s="116">
        <f t="shared" si="113"/>
        <v>993.04</v>
      </c>
      <c r="AB296" s="116">
        <f t="shared" si="114"/>
        <v>0</v>
      </c>
      <c r="AC296" s="116">
        <f t="shared" si="115"/>
        <v>0</v>
      </c>
      <c r="AD296" s="116">
        <f t="shared" si="116"/>
        <v>0</v>
      </c>
      <c r="AE296" s="116">
        <f t="shared" si="117"/>
        <v>0</v>
      </c>
    </row>
    <row r="297" spans="1:31">
      <c r="A297" s="131">
        <v>42193</v>
      </c>
      <c r="B297" s="131">
        <v>42224</v>
      </c>
      <c r="C297" s="123">
        <f t="shared" si="122"/>
        <v>31</v>
      </c>
      <c r="D297" s="132">
        <v>3.69</v>
      </c>
      <c r="E297" s="134"/>
      <c r="F297" s="135"/>
      <c r="G297" s="123"/>
      <c r="H297" s="123"/>
      <c r="I297" s="123"/>
      <c r="J297" s="123"/>
      <c r="K297" s="123"/>
      <c r="L297" s="123">
        <v>24</v>
      </c>
      <c r="M297" s="123">
        <v>7</v>
      </c>
      <c r="N297" s="123"/>
      <c r="O297" s="123"/>
      <c r="P297" s="123"/>
      <c r="Q297" s="123"/>
      <c r="R297" s="133">
        <f t="shared" si="105"/>
        <v>0</v>
      </c>
      <c r="S297" s="133"/>
      <c r="T297" s="116">
        <f t="shared" si="106"/>
        <v>0</v>
      </c>
      <c r="U297" s="116">
        <f t="shared" si="107"/>
        <v>0</v>
      </c>
      <c r="V297" s="116">
        <f t="shared" si="108"/>
        <v>0</v>
      </c>
      <c r="W297" s="116">
        <f t="shared" si="109"/>
        <v>0</v>
      </c>
      <c r="X297" s="116">
        <f t="shared" si="110"/>
        <v>0</v>
      </c>
      <c r="Y297" s="116">
        <f t="shared" si="120"/>
        <v>0</v>
      </c>
      <c r="Z297" s="116">
        <f t="shared" si="121"/>
        <v>32.14</v>
      </c>
      <c r="AA297" s="116">
        <f t="shared" si="113"/>
        <v>9.4600000000000009</v>
      </c>
      <c r="AB297" s="116">
        <f t="shared" si="114"/>
        <v>0</v>
      </c>
      <c r="AC297" s="116">
        <f t="shared" si="115"/>
        <v>0</v>
      </c>
      <c r="AD297" s="116">
        <f t="shared" si="116"/>
        <v>0</v>
      </c>
      <c r="AE297" s="116">
        <f t="shared" si="117"/>
        <v>0</v>
      </c>
    </row>
    <row r="298" spans="1:31">
      <c r="A298" s="131">
        <v>42193</v>
      </c>
      <c r="B298" s="131">
        <v>42224</v>
      </c>
      <c r="C298" s="123">
        <f t="shared" si="122"/>
        <v>31</v>
      </c>
      <c r="D298" s="132">
        <v>858.87</v>
      </c>
      <c r="E298" s="134"/>
      <c r="F298" s="135"/>
      <c r="G298" s="123"/>
      <c r="H298" s="123"/>
      <c r="I298" s="123"/>
      <c r="J298" s="123"/>
      <c r="K298" s="123"/>
      <c r="L298" s="123">
        <v>24</v>
      </c>
      <c r="M298" s="123">
        <v>7</v>
      </c>
      <c r="N298" s="123"/>
      <c r="O298" s="123"/>
      <c r="P298" s="123"/>
      <c r="Q298" s="123"/>
      <c r="R298" s="133">
        <f t="shared" si="105"/>
        <v>0</v>
      </c>
      <c r="S298" s="133"/>
      <c r="T298" s="116">
        <f t="shared" si="106"/>
        <v>0</v>
      </c>
      <c r="U298" s="116">
        <f t="shared" si="107"/>
        <v>0</v>
      </c>
      <c r="V298" s="116">
        <f t="shared" si="108"/>
        <v>0</v>
      </c>
      <c r="W298" s="116">
        <f t="shared" si="109"/>
        <v>0</v>
      </c>
      <c r="X298" s="116">
        <f t="shared" si="110"/>
        <v>0</v>
      </c>
      <c r="Y298" s="116">
        <f t="shared" si="120"/>
        <v>0</v>
      </c>
      <c r="Z298" s="116">
        <f t="shared" si="121"/>
        <v>7481.23</v>
      </c>
      <c r="AA298" s="116">
        <f t="shared" si="113"/>
        <v>2202.59</v>
      </c>
      <c r="AB298" s="116">
        <f t="shared" si="114"/>
        <v>0</v>
      </c>
      <c r="AC298" s="116">
        <f t="shared" si="115"/>
        <v>0</v>
      </c>
      <c r="AD298" s="116">
        <f t="shared" si="116"/>
        <v>0</v>
      </c>
      <c r="AE298" s="116">
        <f t="shared" si="117"/>
        <v>0</v>
      </c>
    </row>
    <row r="299" spans="1:31">
      <c r="A299" s="131">
        <v>42197</v>
      </c>
      <c r="B299" s="131">
        <v>42228</v>
      </c>
      <c r="C299" s="123">
        <f t="shared" si="122"/>
        <v>31</v>
      </c>
      <c r="D299" s="132">
        <v>892.82</v>
      </c>
      <c r="E299" s="134"/>
      <c r="F299" s="135"/>
      <c r="G299" s="123"/>
      <c r="H299" s="123"/>
      <c r="I299" s="123"/>
      <c r="J299" s="123"/>
      <c r="K299" s="123"/>
      <c r="L299" s="123">
        <v>20</v>
      </c>
      <c r="M299" s="123">
        <v>11</v>
      </c>
      <c r="N299" s="123"/>
      <c r="O299" s="123"/>
      <c r="P299" s="123"/>
      <c r="Q299" s="123"/>
      <c r="R299" s="133">
        <f t="shared" si="105"/>
        <v>0</v>
      </c>
      <c r="S299" s="133"/>
      <c r="T299" s="116">
        <f t="shared" si="106"/>
        <v>0</v>
      </c>
      <c r="U299" s="116">
        <f t="shared" si="107"/>
        <v>0</v>
      </c>
      <c r="V299" s="116">
        <f t="shared" si="108"/>
        <v>0</v>
      </c>
      <c r="W299" s="116">
        <f t="shared" si="109"/>
        <v>0</v>
      </c>
      <c r="X299" s="116">
        <f t="shared" si="110"/>
        <v>0</v>
      </c>
      <c r="Y299" s="116">
        <f t="shared" si="120"/>
        <v>0</v>
      </c>
      <c r="Z299" s="116">
        <f t="shared" si="121"/>
        <v>6480.79</v>
      </c>
      <c r="AA299" s="116">
        <f t="shared" si="113"/>
        <v>3598.04</v>
      </c>
      <c r="AB299" s="116">
        <f t="shared" si="114"/>
        <v>0</v>
      </c>
      <c r="AC299" s="116">
        <f t="shared" si="115"/>
        <v>0</v>
      </c>
      <c r="AD299" s="116">
        <f t="shared" si="116"/>
        <v>0</v>
      </c>
      <c r="AE299" s="116">
        <f t="shared" si="117"/>
        <v>0</v>
      </c>
    </row>
    <row r="300" spans="1:31">
      <c r="A300" s="131">
        <v>42197</v>
      </c>
      <c r="B300" s="131">
        <v>42228</v>
      </c>
      <c r="C300" s="123">
        <f t="shared" si="122"/>
        <v>31</v>
      </c>
      <c r="D300" s="132">
        <v>250.98</v>
      </c>
      <c r="E300" s="134"/>
      <c r="F300" s="135"/>
      <c r="G300" s="123"/>
      <c r="H300" s="123"/>
      <c r="I300" s="123"/>
      <c r="J300" s="123"/>
      <c r="K300" s="123"/>
      <c r="L300" s="123">
        <v>20</v>
      </c>
      <c r="M300" s="123">
        <v>11</v>
      </c>
      <c r="N300" s="123"/>
      <c r="O300" s="123"/>
      <c r="P300" s="123"/>
      <c r="Q300" s="123"/>
      <c r="R300" s="133">
        <f t="shared" si="105"/>
        <v>0</v>
      </c>
      <c r="S300" s="133"/>
      <c r="T300" s="116">
        <f t="shared" si="106"/>
        <v>0</v>
      </c>
      <c r="U300" s="116">
        <f t="shared" si="107"/>
        <v>0</v>
      </c>
      <c r="V300" s="116">
        <f t="shared" si="108"/>
        <v>0</v>
      </c>
      <c r="W300" s="116">
        <f t="shared" si="109"/>
        <v>0</v>
      </c>
      <c r="X300" s="116">
        <f t="shared" si="110"/>
        <v>0</v>
      </c>
      <c r="Y300" s="116">
        <f t="shared" si="120"/>
        <v>0</v>
      </c>
      <c r="Z300" s="116">
        <f t="shared" si="121"/>
        <v>1821.81</v>
      </c>
      <c r="AA300" s="116">
        <f t="shared" si="113"/>
        <v>1011.44</v>
      </c>
      <c r="AB300" s="116">
        <f t="shared" si="114"/>
        <v>0</v>
      </c>
      <c r="AC300" s="116">
        <f t="shared" si="115"/>
        <v>0</v>
      </c>
      <c r="AD300" s="116">
        <f t="shared" si="116"/>
        <v>0</v>
      </c>
      <c r="AE300" s="116">
        <f t="shared" si="117"/>
        <v>0</v>
      </c>
    </row>
    <row r="301" spans="1:31" ht="15.75" thickBot="1">
      <c r="A301" s="131">
        <v>42197</v>
      </c>
      <c r="B301" s="131">
        <v>42228</v>
      </c>
      <c r="C301" s="123">
        <f t="shared" si="122"/>
        <v>31</v>
      </c>
      <c r="D301" s="132">
        <v>1093.8800000000001</v>
      </c>
      <c r="E301" s="134"/>
      <c r="F301" s="135"/>
      <c r="G301" s="123"/>
      <c r="H301" s="123"/>
      <c r="I301" s="123"/>
      <c r="J301" s="123"/>
      <c r="K301" s="123"/>
      <c r="L301" s="123">
        <v>20</v>
      </c>
      <c r="M301" s="123">
        <v>11</v>
      </c>
      <c r="N301" s="123"/>
      <c r="O301" s="123"/>
      <c r="P301" s="123"/>
      <c r="Q301" s="123"/>
      <c r="R301" s="133">
        <f t="shared" si="105"/>
        <v>0</v>
      </c>
      <c r="S301" s="133"/>
      <c r="T301" s="116">
        <f t="shared" si="106"/>
        <v>0</v>
      </c>
      <c r="U301" s="116">
        <f t="shared" si="107"/>
        <v>0</v>
      </c>
      <c r="V301" s="116">
        <f t="shared" si="108"/>
        <v>0</v>
      </c>
      <c r="W301" s="116">
        <f t="shared" si="109"/>
        <v>0</v>
      </c>
      <c r="X301" s="116">
        <f t="shared" si="110"/>
        <v>0</v>
      </c>
      <c r="Y301" s="116">
        <f t="shared" si="120"/>
        <v>0</v>
      </c>
      <c r="Z301" s="116">
        <f t="shared" si="121"/>
        <v>7940.25</v>
      </c>
      <c r="AA301" s="116">
        <f t="shared" si="113"/>
        <v>4408.3</v>
      </c>
      <c r="AB301" s="116">
        <f t="shared" si="114"/>
        <v>0</v>
      </c>
      <c r="AC301" s="116">
        <f t="shared" si="115"/>
        <v>0</v>
      </c>
      <c r="AD301" s="116">
        <f t="shared" si="116"/>
        <v>0</v>
      </c>
      <c r="AE301" s="116">
        <f t="shared" si="117"/>
        <v>0</v>
      </c>
    </row>
    <row r="302" spans="1:31" ht="15.75" thickBot="1">
      <c r="A302" s="194" t="s">
        <v>43</v>
      </c>
      <c r="B302" s="195"/>
      <c r="C302" s="195"/>
      <c r="D302" s="195"/>
      <c r="E302" s="195"/>
      <c r="F302" s="195"/>
      <c r="G302" s="195"/>
      <c r="H302" s="195"/>
      <c r="I302" s="195"/>
      <c r="J302" s="195"/>
      <c r="K302" s="195"/>
      <c r="L302" s="195"/>
      <c r="M302" s="195"/>
      <c r="N302" s="195"/>
      <c r="O302" s="195"/>
      <c r="P302" s="195"/>
      <c r="Q302" s="195"/>
      <c r="R302" s="195"/>
      <c r="S302" s="195"/>
      <c r="T302" s="195"/>
      <c r="U302" s="195"/>
      <c r="V302" s="195"/>
      <c r="W302" s="195"/>
      <c r="X302" s="195"/>
      <c r="Y302" s="195"/>
      <c r="Z302" s="195"/>
      <c r="AA302" s="195"/>
      <c r="AB302" s="195"/>
      <c r="AC302" s="195"/>
      <c r="AD302" s="195"/>
      <c r="AE302" s="196"/>
    </row>
    <row r="303" spans="1:31">
      <c r="A303" s="131">
        <v>42200</v>
      </c>
      <c r="B303" s="131">
        <v>42231</v>
      </c>
      <c r="C303" s="123">
        <f t="shared" si="122"/>
        <v>31</v>
      </c>
      <c r="D303" s="132">
        <v>2880.28</v>
      </c>
      <c r="E303" s="134"/>
      <c r="F303" s="135"/>
      <c r="G303" s="123"/>
      <c r="H303" s="123"/>
      <c r="I303" s="123"/>
      <c r="J303" s="123"/>
      <c r="K303" s="123"/>
      <c r="L303" s="123">
        <v>17</v>
      </c>
      <c r="M303" s="123">
        <v>14</v>
      </c>
      <c r="N303" s="123"/>
      <c r="O303" s="123"/>
      <c r="P303" s="123"/>
      <c r="Q303" s="123"/>
      <c r="R303" s="133">
        <f t="shared" si="105"/>
        <v>0</v>
      </c>
      <c r="S303" s="133"/>
      <c r="T303" s="116">
        <f t="shared" ref="T303:T345" si="123">ROUND((D303*F303/C303)/$C$6,2)</f>
        <v>0</v>
      </c>
      <c r="U303" s="116">
        <f t="shared" ref="U303:U345" si="124">ROUND(($D303*$G303/$C303)/$C$7,2)</f>
        <v>0</v>
      </c>
      <c r="V303" s="116">
        <f t="shared" ref="V303:V345" si="125">ROUND(($D303*$H303/$C303)/$C$8,2)</f>
        <v>0</v>
      </c>
      <c r="W303" s="116">
        <f t="shared" ref="W303:W345" si="126">ROUND(($D303*$I303/$C303)/$C$9,2)</f>
        <v>0</v>
      </c>
      <c r="X303" s="116">
        <f t="shared" ref="X303:X345" si="127">ROUND(($D303*$J303/$C303)/$C$10,2)</f>
        <v>0</v>
      </c>
      <c r="Y303" s="116">
        <f t="shared" ref="Y303:Y345" si="128">ROUND(($D303*$K303/$C303)/$C$11,2)</f>
        <v>0</v>
      </c>
      <c r="Z303" s="116">
        <f t="shared" ref="Z303:Z314" si="129">ROUND(($D303*$L303/$C303)/$C$12,2)</f>
        <v>17771.25</v>
      </c>
      <c r="AA303" s="116">
        <f t="shared" ref="AA303:AA314" si="130">ROUND(($D303*$M303/$C303)/$C$13,2)</f>
        <v>14773.1</v>
      </c>
      <c r="AB303" s="116">
        <f t="shared" ref="AB303:AB345" si="131">ROUND(($D303*$N303/$C303)/$C$14,2)</f>
        <v>0</v>
      </c>
      <c r="AC303" s="116">
        <f t="shared" ref="AC303:AC345" si="132">ROUND(($D303*$O303/$C303)/$C$15,2)</f>
        <v>0</v>
      </c>
      <c r="AD303" s="116">
        <f t="shared" ref="AD303:AD345" si="133">ROUND(($D303*$P303/$C303)/$C$16,2)</f>
        <v>0</v>
      </c>
      <c r="AE303" s="116">
        <f t="shared" ref="AE303:AE345" si="134">ROUND(($D303*$Q303/$C303)/$C$17,2)</f>
        <v>0</v>
      </c>
    </row>
    <row r="304" spans="1:31">
      <c r="A304" s="131">
        <v>42200</v>
      </c>
      <c r="B304" s="131">
        <v>42231</v>
      </c>
      <c r="C304" s="123">
        <f t="shared" si="122"/>
        <v>31</v>
      </c>
      <c r="D304" s="132">
        <v>6530.03</v>
      </c>
      <c r="E304" s="134"/>
      <c r="F304" s="135"/>
      <c r="G304" s="123"/>
      <c r="H304" s="123"/>
      <c r="I304" s="123"/>
      <c r="J304" s="123"/>
      <c r="K304" s="123"/>
      <c r="L304" s="123">
        <v>17</v>
      </c>
      <c r="M304" s="123">
        <v>14</v>
      </c>
      <c r="N304" s="123"/>
      <c r="O304" s="123"/>
      <c r="P304" s="123"/>
      <c r="Q304" s="123"/>
      <c r="R304" s="133">
        <f t="shared" si="105"/>
        <v>0</v>
      </c>
      <c r="S304" s="133"/>
      <c r="T304" s="116">
        <f t="shared" si="123"/>
        <v>0</v>
      </c>
      <c r="U304" s="116">
        <f t="shared" si="124"/>
        <v>0</v>
      </c>
      <c r="V304" s="116">
        <f t="shared" si="125"/>
        <v>0</v>
      </c>
      <c r="W304" s="116">
        <f t="shared" si="126"/>
        <v>0</v>
      </c>
      <c r="X304" s="116">
        <f t="shared" si="127"/>
        <v>0</v>
      </c>
      <c r="Y304" s="116">
        <f t="shared" si="128"/>
        <v>0</v>
      </c>
      <c r="Z304" s="116">
        <f t="shared" si="129"/>
        <v>40290.1</v>
      </c>
      <c r="AA304" s="116">
        <f t="shared" si="130"/>
        <v>33492.85</v>
      </c>
      <c r="AB304" s="116">
        <f t="shared" si="131"/>
        <v>0</v>
      </c>
      <c r="AC304" s="116">
        <f t="shared" si="132"/>
        <v>0</v>
      </c>
      <c r="AD304" s="116">
        <f t="shared" si="133"/>
        <v>0</v>
      </c>
      <c r="AE304" s="116">
        <f t="shared" si="134"/>
        <v>0</v>
      </c>
    </row>
    <row r="305" spans="1:31">
      <c r="A305" s="131">
        <v>42200</v>
      </c>
      <c r="B305" s="131">
        <v>42231</v>
      </c>
      <c r="C305" s="123">
        <f t="shared" si="122"/>
        <v>31</v>
      </c>
      <c r="D305" s="132">
        <v>10136.31</v>
      </c>
      <c r="E305" s="134"/>
      <c r="F305" s="135"/>
      <c r="G305" s="123"/>
      <c r="H305" s="123"/>
      <c r="I305" s="123"/>
      <c r="J305" s="123"/>
      <c r="K305" s="123"/>
      <c r="L305" s="123">
        <v>17</v>
      </c>
      <c r="M305" s="123">
        <v>14</v>
      </c>
      <c r="N305" s="123"/>
      <c r="O305" s="123"/>
      <c r="P305" s="123"/>
      <c r="Q305" s="123"/>
      <c r="R305" s="133">
        <f t="shared" si="105"/>
        <v>0</v>
      </c>
      <c r="S305" s="133"/>
      <c r="T305" s="116">
        <f t="shared" si="123"/>
        <v>0</v>
      </c>
      <c r="U305" s="116">
        <f t="shared" si="124"/>
        <v>0</v>
      </c>
      <c r="V305" s="116">
        <f t="shared" si="125"/>
        <v>0</v>
      </c>
      <c r="W305" s="116">
        <f t="shared" si="126"/>
        <v>0</v>
      </c>
      <c r="X305" s="116">
        <f t="shared" si="127"/>
        <v>0</v>
      </c>
      <c r="Y305" s="116">
        <f t="shared" si="128"/>
        <v>0</v>
      </c>
      <c r="Z305" s="116">
        <f t="shared" si="129"/>
        <v>62540.75</v>
      </c>
      <c r="AA305" s="116">
        <f t="shared" si="130"/>
        <v>51989.65</v>
      </c>
      <c r="AB305" s="116">
        <f t="shared" si="131"/>
        <v>0</v>
      </c>
      <c r="AC305" s="116">
        <f t="shared" si="132"/>
        <v>0</v>
      </c>
      <c r="AD305" s="116">
        <f t="shared" si="133"/>
        <v>0</v>
      </c>
      <c r="AE305" s="116">
        <f t="shared" si="134"/>
        <v>0</v>
      </c>
    </row>
    <row r="306" spans="1:31">
      <c r="A306" s="131">
        <v>42193</v>
      </c>
      <c r="B306" s="131">
        <v>42224</v>
      </c>
      <c r="C306" s="123">
        <f t="shared" si="122"/>
        <v>31</v>
      </c>
      <c r="D306" s="132">
        <v>45.53</v>
      </c>
      <c r="E306" s="134"/>
      <c r="F306" s="135"/>
      <c r="G306" s="123"/>
      <c r="H306" s="123"/>
      <c r="I306" s="123"/>
      <c r="J306" s="123"/>
      <c r="K306" s="123"/>
      <c r="L306" s="123">
        <v>24</v>
      </c>
      <c r="M306" s="123">
        <v>7</v>
      </c>
      <c r="N306" s="123"/>
      <c r="O306" s="123"/>
      <c r="P306" s="123"/>
      <c r="Q306" s="123"/>
      <c r="R306" s="133">
        <f t="shared" si="105"/>
        <v>0</v>
      </c>
      <c r="S306" s="133"/>
      <c r="T306" s="116">
        <f t="shared" si="123"/>
        <v>0</v>
      </c>
      <c r="U306" s="116">
        <f t="shared" si="124"/>
        <v>0</v>
      </c>
      <c r="V306" s="116">
        <f t="shared" si="125"/>
        <v>0</v>
      </c>
      <c r="W306" s="116">
        <f t="shared" si="126"/>
        <v>0</v>
      </c>
      <c r="X306" s="116">
        <f t="shared" si="127"/>
        <v>0</v>
      </c>
      <c r="Y306" s="116">
        <f t="shared" si="128"/>
        <v>0</v>
      </c>
      <c r="Z306" s="116">
        <f t="shared" si="129"/>
        <v>396.59</v>
      </c>
      <c r="AA306" s="116">
        <f t="shared" si="130"/>
        <v>116.76</v>
      </c>
      <c r="AB306" s="116">
        <f t="shared" si="131"/>
        <v>0</v>
      </c>
      <c r="AC306" s="116">
        <f t="shared" si="132"/>
        <v>0</v>
      </c>
      <c r="AD306" s="116">
        <f t="shared" si="133"/>
        <v>0</v>
      </c>
      <c r="AE306" s="116">
        <f t="shared" si="134"/>
        <v>0</v>
      </c>
    </row>
    <row r="307" spans="1:31">
      <c r="A307" s="131">
        <v>42204</v>
      </c>
      <c r="B307" s="131">
        <v>42229</v>
      </c>
      <c r="C307" s="123">
        <f t="shared" si="122"/>
        <v>25</v>
      </c>
      <c r="D307" s="132">
        <v>31.82</v>
      </c>
      <c r="E307" s="134"/>
      <c r="F307" s="135"/>
      <c r="G307" s="123"/>
      <c r="H307" s="123"/>
      <c r="I307" s="123"/>
      <c r="J307" s="123"/>
      <c r="K307" s="123"/>
      <c r="L307" s="123">
        <v>13</v>
      </c>
      <c r="M307" s="123">
        <v>12</v>
      </c>
      <c r="N307" s="123"/>
      <c r="O307" s="123"/>
      <c r="P307" s="123"/>
      <c r="Q307" s="123"/>
      <c r="R307" s="133">
        <f t="shared" si="105"/>
        <v>0</v>
      </c>
      <c r="S307" s="133"/>
      <c r="T307" s="116">
        <f t="shared" si="123"/>
        <v>0</v>
      </c>
      <c r="U307" s="116">
        <f t="shared" si="124"/>
        <v>0</v>
      </c>
      <c r="V307" s="116">
        <f t="shared" si="125"/>
        <v>0</v>
      </c>
      <c r="W307" s="116">
        <f t="shared" si="126"/>
        <v>0</v>
      </c>
      <c r="X307" s="116">
        <f t="shared" si="127"/>
        <v>0</v>
      </c>
      <c r="Y307" s="116">
        <f t="shared" si="128"/>
        <v>0</v>
      </c>
      <c r="Z307" s="116">
        <f t="shared" si="129"/>
        <v>186.17</v>
      </c>
      <c r="AA307" s="116">
        <f t="shared" si="130"/>
        <v>173.47</v>
      </c>
      <c r="AB307" s="116">
        <f t="shared" si="131"/>
        <v>0</v>
      </c>
      <c r="AC307" s="116">
        <f t="shared" si="132"/>
        <v>0</v>
      </c>
      <c r="AD307" s="116">
        <f t="shared" si="133"/>
        <v>0</v>
      </c>
      <c r="AE307" s="116">
        <f t="shared" si="134"/>
        <v>0</v>
      </c>
    </row>
    <row r="308" spans="1:31">
      <c r="A308" s="131">
        <v>42204</v>
      </c>
      <c r="B308" s="131">
        <v>42235</v>
      </c>
      <c r="C308" s="123">
        <f t="shared" si="122"/>
        <v>31</v>
      </c>
      <c r="D308" s="132">
        <v>395.57</v>
      </c>
      <c r="E308" s="134"/>
      <c r="F308" s="135"/>
      <c r="G308" s="123"/>
      <c r="H308" s="123"/>
      <c r="I308" s="123"/>
      <c r="J308" s="123"/>
      <c r="K308" s="123"/>
      <c r="L308" s="123">
        <v>13</v>
      </c>
      <c r="M308" s="123">
        <v>18</v>
      </c>
      <c r="N308" s="123"/>
      <c r="O308" s="123"/>
      <c r="P308" s="123"/>
      <c r="Q308" s="123"/>
      <c r="R308" s="133">
        <f t="shared" si="105"/>
        <v>0</v>
      </c>
      <c r="S308" s="133"/>
      <c r="T308" s="116">
        <f t="shared" si="123"/>
        <v>0</v>
      </c>
      <c r="U308" s="116">
        <f t="shared" si="124"/>
        <v>0</v>
      </c>
      <c r="V308" s="116">
        <f t="shared" si="125"/>
        <v>0</v>
      </c>
      <c r="W308" s="116">
        <f t="shared" si="126"/>
        <v>0</v>
      </c>
      <c r="X308" s="116">
        <f t="shared" si="127"/>
        <v>0</v>
      </c>
      <c r="Y308" s="116">
        <f t="shared" si="128"/>
        <v>0</v>
      </c>
      <c r="Z308" s="116">
        <f t="shared" si="129"/>
        <v>1866.38</v>
      </c>
      <c r="AA308" s="116">
        <f t="shared" si="130"/>
        <v>2608.58</v>
      </c>
      <c r="AB308" s="116">
        <f t="shared" si="131"/>
        <v>0</v>
      </c>
      <c r="AC308" s="116">
        <f t="shared" si="132"/>
        <v>0</v>
      </c>
      <c r="AD308" s="116">
        <f t="shared" si="133"/>
        <v>0</v>
      </c>
      <c r="AE308" s="116">
        <f t="shared" si="134"/>
        <v>0</v>
      </c>
    </row>
    <row r="309" spans="1:31">
      <c r="A309" s="131">
        <v>42217</v>
      </c>
      <c r="B309" s="131">
        <v>42236</v>
      </c>
      <c r="C309" s="123">
        <f t="shared" si="122"/>
        <v>19</v>
      </c>
      <c r="D309" s="132">
        <v>76.150000000000006</v>
      </c>
      <c r="E309" s="134"/>
      <c r="F309" s="135"/>
      <c r="G309" s="123"/>
      <c r="H309" s="123"/>
      <c r="I309" s="123"/>
      <c r="J309" s="123"/>
      <c r="K309" s="123"/>
      <c r="L309" s="123"/>
      <c r="M309" s="123">
        <v>19</v>
      </c>
      <c r="N309" s="123"/>
      <c r="O309" s="123"/>
      <c r="P309" s="123"/>
      <c r="Q309" s="123"/>
      <c r="R309" s="133">
        <f t="shared" si="105"/>
        <v>0</v>
      </c>
      <c r="S309" s="133"/>
      <c r="T309" s="116">
        <f t="shared" si="123"/>
        <v>0</v>
      </c>
      <c r="U309" s="116">
        <f t="shared" si="124"/>
        <v>0</v>
      </c>
      <c r="V309" s="116">
        <f t="shared" si="125"/>
        <v>0</v>
      </c>
      <c r="W309" s="116">
        <f t="shared" si="126"/>
        <v>0</v>
      </c>
      <c r="X309" s="116">
        <f t="shared" si="127"/>
        <v>0</v>
      </c>
      <c r="Y309" s="116">
        <f t="shared" si="128"/>
        <v>0</v>
      </c>
      <c r="Z309" s="116">
        <f t="shared" si="129"/>
        <v>0</v>
      </c>
      <c r="AA309" s="116">
        <f t="shared" si="130"/>
        <v>864.85</v>
      </c>
      <c r="AB309" s="116">
        <f t="shared" si="131"/>
        <v>0</v>
      </c>
      <c r="AC309" s="116">
        <f t="shared" si="132"/>
        <v>0</v>
      </c>
      <c r="AD309" s="116">
        <f t="shared" si="133"/>
        <v>0</v>
      </c>
      <c r="AE309" s="116">
        <f t="shared" si="134"/>
        <v>0</v>
      </c>
    </row>
    <row r="310" spans="1:31">
      <c r="A310" s="131">
        <v>42204</v>
      </c>
      <c r="B310" s="131">
        <v>42235</v>
      </c>
      <c r="C310" s="123">
        <f t="shared" si="122"/>
        <v>31</v>
      </c>
      <c r="D310" s="132">
        <v>1846.23</v>
      </c>
      <c r="E310" s="134"/>
      <c r="F310" s="135"/>
      <c r="G310" s="123"/>
      <c r="H310" s="123"/>
      <c r="I310" s="123"/>
      <c r="J310" s="123"/>
      <c r="K310" s="123"/>
      <c r="L310" s="123">
        <v>13</v>
      </c>
      <c r="M310" s="123">
        <v>18</v>
      </c>
      <c r="N310" s="123"/>
      <c r="O310" s="123"/>
      <c r="P310" s="123"/>
      <c r="Q310" s="123"/>
      <c r="R310" s="133">
        <f t="shared" si="105"/>
        <v>0</v>
      </c>
      <c r="S310" s="133"/>
      <c r="T310" s="116">
        <f t="shared" si="123"/>
        <v>0</v>
      </c>
      <c r="U310" s="116">
        <f t="shared" si="124"/>
        <v>0</v>
      </c>
      <c r="V310" s="116">
        <f t="shared" si="125"/>
        <v>0</v>
      </c>
      <c r="W310" s="116">
        <f t="shared" si="126"/>
        <v>0</v>
      </c>
      <c r="X310" s="116">
        <f t="shared" si="127"/>
        <v>0</v>
      </c>
      <c r="Y310" s="116">
        <f t="shared" si="128"/>
        <v>0</v>
      </c>
      <c r="Z310" s="116">
        <f t="shared" si="129"/>
        <v>8710.91</v>
      </c>
      <c r="AA310" s="116">
        <f t="shared" si="130"/>
        <v>12174.95</v>
      </c>
      <c r="AB310" s="116">
        <f t="shared" si="131"/>
        <v>0</v>
      </c>
      <c r="AC310" s="116">
        <f t="shared" si="132"/>
        <v>0</v>
      </c>
      <c r="AD310" s="116">
        <f t="shared" si="133"/>
        <v>0</v>
      </c>
      <c r="AE310" s="116">
        <f t="shared" si="134"/>
        <v>0</v>
      </c>
    </row>
    <row r="311" spans="1:31">
      <c r="A311" s="131">
        <v>42204</v>
      </c>
      <c r="B311" s="131">
        <v>42235</v>
      </c>
      <c r="C311" s="123">
        <f t="shared" si="122"/>
        <v>31</v>
      </c>
      <c r="D311" s="132">
        <v>505.48</v>
      </c>
      <c r="E311" s="134"/>
      <c r="F311" s="135"/>
      <c r="G311" s="123"/>
      <c r="H311" s="123"/>
      <c r="I311" s="123"/>
      <c r="J311" s="123"/>
      <c r="K311" s="123"/>
      <c r="L311" s="123">
        <v>13</v>
      </c>
      <c r="M311" s="123">
        <v>18</v>
      </c>
      <c r="N311" s="123"/>
      <c r="O311" s="123"/>
      <c r="P311" s="123"/>
      <c r="Q311" s="123"/>
      <c r="R311" s="133">
        <f t="shared" si="105"/>
        <v>0</v>
      </c>
      <c r="S311" s="133"/>
      <c r="T311" s="116">
        <f t="shared" si="123"/>
        <v>0</v>
      </c>
      <c r="U311" s="116">
        <f t="shared" si="124"/>
        <v>0</v>
      </c>
      <c r="V311" s="116">
        <f t="shared" si="125"/>
        <v>0</v>
      </c>
      <c r="W311" s="116">
        <f t="shared" si="126"/>
        <v>0</v>
      </c>
      <c r="X311" s="116">
        <f t="shared" si="127"/>
        <v>0</v>
      </c>
      <c r="Y311" s="116">
        <f t="shared" si="128"/>
        <v>0</v>
      </c>
      <c r="Z311" s="116">
        <f t="shared" si="129"/>
        <v>2384.96</v>
      </c>
      <c r="AA311" s="116">
        <f t="shared" si="130"/>
        <v>3333.38</v>
      </c>
      <c r="AB311" s="116">
        <f t="shared" si="131"/>
        <v>0</v>
      </c>
      <c r="AC311" s="116">
        <f t="shared" si="132"/>
        <v>0</v>
      </c>
      <c r="AD311" s="116">
        <f t="shared" si="133"/>
        <v>0</v>
      </c>
      <c r="AE311" s="116">
        <f t="shared" si="134"/>
        <v>0</v>
      </c>
    </row>
    <row r="312" spans="1:31">
      <c r="A312" s="131">
        <v>42204</v>
      </c>
      <c r="B312" s="131">
        <v>42235</v>
      </c>
      <c r="C312" s="123">
        <f t="shared" si="122"/>
        <v>31</v>
      </c>
      <c r="D312" s="132">
        <v>56.77</v>
      </c>
      <c r="E312" s="134"/>
      <c r="F312" s="135"/>
      <c r="G312" s="123"/>
      <c r="H312" s="123"/>
      <c r="I312" s="123"/>
      <c r="J312" s="123"/>
      <c r="K312" s="123"/>
      <c r="L312" s="123">
        <v>13</v>
      </c>
      <c r="M312" s="123">
        <v>18</v>
      </c>
      <c r="N312" s="123"/>
      <c r="O312" s="123"/>
      <c r="P312" s="123"/>
      <c r="Q312" s="123"/>
      <c r="R312" s="133">
        <f t="shared" si="105"/>
        <v>0</v>
      </c>
      <c r="S312" s="133"/>
      <c r="T312" s="116">
        <f t="shared" si="123"/>
        <v>0</v>
      </c>
      <c r="U312" s="116">
        <f t="shared" si="124"/>
        <v>0</v>
      </c>
      <c r="V312" s="116">
        <f t="shared" si="125"/>
        <v>0</v>
      </c>
      <c r="W312" s="116">
        <f t="shared" si="126"/>
        <v>0</v>
      </c>
      <c r="X312" s="116">
        <f t="shared" si="127"/>
        <v>0</v>
      </c>
      <c r="Y312" s="116">
        <f t="shared" si="128"/>
        <v>0</v>
      </c>
      <c r="Z312" s="116">
        <f t="shared" si="129"/>
        <v>267.85000000000002</v>
      </c>
      <c r="AA312" s="116">
        <f t="shared" si="130"/>
        <v>374.37</v>
      </c>
      <c r="AB312" s="116">
        <f t="shared" si="131"/>
        <v>0</v>
      </c>
      <c r="AC312" s="116">
        <f t="shared" si="132"/>
        <v>0</v>
      </c>
      <c r="AD312" s="116">
        <f t="shared" si="133"/>
        <v>0</v>
      </c>
      <c r="AE312" s="116">
        <f t="shared" si="134"/>
        <v>0</v>
      </c>
    </row>
    <row r="313" spans="1:31">
      <c r="A313" s="131">
        <v>42211</v>
      </c>
      <c r="B313" s="131">
        <v>42242</v>
      </c>
      <c r="C313" s="123">
        <f t="shared" si="122"/>
        <v>31</v>
      </c>
      <c r="D313" s="132">
        <v>1217.3800000000001</v>
      </c>
      <c r="E313" s="134"/>
      <c r="F313" s="135"/>
      <c r="G313" s="123"/>
      <c r="H313" s="123"/>
      <c r="I313" s="123"/>
      <c r="J313" s="123"/>
      <c r="K313" s="123"/>
      <c r="L313" s="123">
        <v>6</v>
      </c>
      <c r="M313" s="123">
        <v>25</v>
      </c>
      <c r="N313" s="123"/>
      <c r="O313" s="123"/>
      <c r="P313" s="123"/>
      <c r="Q313" s="123"/>
      <c r="R313" s="133">
        <f t="shared" si="105"/>
        <v>0</v>
      </c>
      <c r="S313" s="133"/>
      <c r="T313" s="116">
        <f t="shared" si="123"/>
        <v>0</v>
      </c>
      <c r="U313" s="116">
        <f t="shared" si="124"/>
        <v>0</v>
      </c>
      <c r="V313" s="116">
        <f t="shared" si="125"/>
        <v>0</v>
      </c>
      <c r="W313" s="116">
        <f t="shared" si="126"/>
        <v>0</v>
      </c>
      <c r="X313" s="116">
        <f t="shared" si="127"/>
        <v>0</v>
      </c>
      <c r="Y313" s="116">
        <f t="shared" si="128"/>
        <v>0</v>
      </c>
      <c r="Z313" s="116">
        <f t="shared" si="129"/>
        <v>2651.01</v>
      </c>
      <c r="AA313" s="116">
        <f t="shared" si="130"/>
        <v>11150.01</v>
      </c>
      <c r="AB313" s="116">
        <f t="shared" si="131"/>
        <v>0</v>
      </c>
      <c r="AC313" s="116">
        <f t="shared" si="132"/>
        <v>0</v>
      </c>
      <c r="AD313" s="116">
        <f t="shared" si="133"/>
        <v>0</v>
      </c>
      <c r="AE313" s="116">
        <f t="shared" si="134"/>
        <v>0</v>
      </c>
    </row>
    <row r="314" spans="1:31">
      <c r="A314" s="131">
        <v>42211</v>
      </c>
      <c r="B314" s="131">
        <v>42242</v>
      </c>
      <c r="C314" s="123">
        <f t="shared" si="122"/>
        <v>31</v>
      </c>
      <c r="D314" s="132">
        <v>1215.6100000000001</v>
      </c>
      <c r="E314" s="134"/>
      <c r="F314" s="135"/>
      <c r="G314" s="123"/>
      <c r="H314" s="123"/>
      <c r="I314" s="123"/>
      <c r="J314" s="123"/>
      <c r="K314" s="123"/>
      <c r="L314" s="123">
        <v>6</v>
      </c>
      <c r="M314" s="123">
        <v>25</v>
      </c>
      <c r="N314" s="123"/>
      <c r="O314" s="123"/>
      <c r="P314" s="123"/>
      <c r="Q314" s="123"/>
      <c r="R314" s="133">
        <f t="shared" si="105"/>
        <v>0</v>
      </c>
      <c r="S314" s="133"/>
      <c r="T314" s="116">
        <f t="shared" si="123"/>
        <v>0</v>
      </c>
      <c r="U314" s="116">
        <f t="shared" si="124"/>
        <v>0</v>
      </c>
      <c r="V314" s="116">
        <f t="shared" si="125"/>
        <v>0</v>
      </c>
      <c r="W314" s="116">
        <f t="shared" si="126"/>
        <v>0</v>
      </c>
      <c r="X314" s="116">
        <f t="shared" si="127"/>
        <v>0</v>
      </c>
      <c r="Y314" s="116">
        <f t="shared" si="128"/>
        <v>0</v>
      </c>
      <c r="Z314" s="116">
        <f t="shared" si="129"/>
        <v>2647.16</v>
      </c>
      <c r="AA314" s="116">
        <f t="shared" si="130"/>
        <v>11133.79</v>
      </c>
      <c r="AB314" s="116">
        <f t="shared" si="131"/>
        <v>0</v>
      </c>
      <c r="AC314" s="116">
        <f t="shared" si="132"/>
        <v>0</v>
      </c>
      <c r="AD314" s="116">
        <f t="shared" si="133"/>
        <v>0</v>
      </c>
      <c r="AE314" s="116">
        <f t="shared" si="134"/>
        <v>0</v>
      </c>
    </row>
    <row r="315" spans="1:31">
      <c r="A315" s="131">
        <v>42207</v>
      </c>
      <c r="B315" s="131">
        <v>42238</v>
      </c>
      <c r="C315" s="123">
        <f t="shared" si="122"/>
        <v>31</v>
      </c>
      <c r="D315" s="132">
        <v>1896.66</v>
      </c>
      <c r="E315" s="134"/>
      <c r="F315" s="135"/>
      <c r="G315" s="123"/>
      <c r="H315" s="123"/>
      <c r="I315" s="123"/>
      <c r="J315" s="123"/>
      <c r="K315" s="123"/>
      <c r="L315" s="123">
        <v>10</v>
      </c>
      <c r="M315" s="123">
        <v>21</v>
      </c>
      <c r="N315" s="123"/>
      <c r="O315" s="123"/>
      <c r="P315" s="123"/>
      <c r="Q315" s="123"/>
      <c r="R315" s="133">
        <f t="shared" si="105"/>
        <v>0</v>
      </c>
      <c r="S315" s="133"/>
      <c r="T315" s="116">
        <f t="shared" si="123"/>
        <v>0</v>
      </c>
      <c r="U315" s="116">
        <f t="shared" si="124"/>
        <v>0</v>
      </c>
      <c r="V315" s="116">
        <f t="shared" si="125"/>
        <v>0</v>
      </c>
      <c r="W315" s="116">
        <f t="shared" si="126"/>
        <v>0</v>
      </c>
      <c r="X315" s="116">
        <f t="shared" si="127"/>
        <v>0</v>
      </c>
      <c r="Y315" s="116">
        <f t="shared" si="128"/>
        <v>0</v>
      </c>
      <c r="Z315" s="116">
        <f>21471.25-AA315</f>
        <v>6926.2099999999991</v>
      </c>
      <c r="AA315" s="116">
        <v>14545.04</v>
      </c>
      <c r="AB315" s="116">
        <f t="shared" si="131"/>
        <v>0</v>
      </c>
      <c r="AC315" s="116">
        <f t="shared" si="132"/>
        <v>0</v>
      </c>
      <c r="AD315" s="116">
        <f t="shared" si="133"/>
        <v>0</v>
      </c>
      <c r="AE315" s="116">
        <f t="shared" si="134"/>
        <v>0</v>
      </c>
    </row>
    <row r="316" spans="1:31">
      <c r="A316" s="131">
        <v>42207</v>
      </c>
      <c r="B316" s="131">
        <v>42238</v>
      </c>
      <c r="C316" s="123">
        <f t="shared" si="122"/>
        <v>31</v>
      </c>
      <c r="D316" s="132">
        <v>225073.03</v>
      </c>
      <c r="E316" s="134"/>
      <c r="F316" s="135"/>
      <c r="G316" s="123"/>
      <c r="H316" s="123"/>
      <c r="I316" s="123"/>
      <c r="J316" s="123"/>
      <c r="K316" s="123"/>
      <c r="L316" s="123">
        <v>10</v>
      </c>
      <c r="M316" s="123">
        <v>21</v>
      </c>
      <c r="N316" s="123"/>
      <c r="O316" s="123"/>
      <c r="P316" s="123"/>
      <c r="Q316" s="123"/>
      <c r="R316" s="133">
        <f t="shared" si="105"/>
        <v>0</v>
      </c>
      <c r="S316" s="133"/>
      <c r="T316" s="116">
        <f t="shared" si="123"/>
        <v>0</v>
      </c>
      <c r="U316" s="116">
        <f t="shared" si="124"/>
        <v>0</v>
      </c>
      <c r="V316" s="116">
        <f t="shared" si="125"/>
        <v>0</v>
      </c>
      <c r="W316" s="116">
        <f t="shared" si="126"/>
        <v>0</v>
      </c>
      <c r="X316" s="116">
        <f t="shared" si="127"/>
        <v>0</v>
      </c>
      <c r="Y316" s="116">
        <f t="shared" si="128"/>
        <v>0</v>
      </c>
      <c r="Z316" s="116">
        <f>2536979.92-AA316</f>
        <v>818380.61999999988</v>
      </c>
      <c r="AA316" s="116">
        <v>1718599.3</v>
      </c>
      <c r="AB316" s="116">
        <f t="shared" si="131"/>
        <v>0</v>
      </c>
      <c r="AC316" s="116">
        <f t="shared" si="132"/>
        <v>0</v>
      </c>
      <c r="AD316" s="116">
        <f t="shared" si="133"/>
        <v>0</v>
      </c>
      <c r="AE316" s="116">
        <f t="shared" si="134"/>
        <v>0</v>
      </c>
    </row>
    <row r="317" spans="1:31">
      <c r="A317" s="131">
        <v>42217</v>
      </c>
      <c r="B317" s="131">
        <v>42244</v>
      </c>
      <c r="C317" s="123">
        <f t="shared" si="122"/>
        <v>27</v>
      </c>
      <c r="D317" s="132">
        <v>130.64000000000001</v>
      </c>
      <c r="E317" s="134"/>
      <c r="F317" s="135"/>
      <c r="G317" s="123"/>
      <c r="H317" s="123"/>
      <c r="I317" s="123"/>
      <c r="J317" s="123"/>
      <c r="K317" s="123"/>
      <c r="L317" s="123"/>
      <c r="M317" s="123">
        <v>27</v>
      </c>
      <c r="N317" s="123"/>
      <c r="O317" s="123"/>
      <c r="P317" s="123"/>
      <c r="Q317" s="123"/>
      <c r="R317" s="133">
        <f t="shared" si="105"/>
        <v>0</v>
      </c>
      <c r="S317" s="133"/>
      <c r="T317" s="116">
        <f t="shared" si="123"/>
        <v>0</v>
      </c>
      <c r="U317" s="116">
        <f t="shared" si="124"/>
        <v>0</v>
      </c>
      <c r="V317" s="116">
        <f t="shared" si="125"/>
        <v>0</v>
      </c>
      <c r="W317" s="116">
        <f t="shared" si="126"/>
        <v>0</v>
      </c>
      <c r="X317" s="116">
        <f t="shared" si="127"/>
        <v>0</v>
      </c>
      <c r="Y317" s="116">
        <f t="shared" si="128"/>
        <v>0</v>
      </c>
      <c r="Z317" s="116">
        <f>ROUND(($D317*$L317/$C317)/$C$12,2)</f>
        <v>0</v>
      </c>
      <c r="AA317" s="116">
        <f>ROUND(($D317*$M317/$C317)/$C$13,2)</f>
        <v>1483.7</v>
      </c>
      <c r="AB317" s="116">
        <f t="shared" si="131"/>
        <v>0</v>
      </c>
      <c r="AC317" s="116">
        <f t="shared" si="132"/>
        <v>0</v>
      </c>
      <c r="AD317" s="116">
        <f t="shared" si="133"/>
        <v>0</v>
      </c>
      <c r="AE317" s="116">
        <f t="shared" si="134"/>
        <v>0</v>
      </c>
    </row>
    <row r="318" spans="1:31">
      <c r="A318" s="131">
        <v>42213</v>
      </c>
      <c r="B318" s="131">
        <v>42244</v>
      </c>
      <c r="C318" s="123">
        <f t="shared" si="122"/>
        <v>31</v>
      </c>
      <c r="D318" s="132">
        <v>859.49</v>
      </c>
      <c r="E318" s="134"/>
      <c r="F318" s="135"/>
      <c r="G318" s="123"/>
      <c r="H318" s="123"/>
      <c r="I318" s="123"/>
      <c r="J318" s="123"/>
      <c r="K318" s="123"/>
      <c r="L318" s="123">
        <v>4</v>
      </c>
      <c r="M318" s="123">
        <v>27</v>
      </c>
      <c r="N318" s="123"/>
      <c r="O318" s="123"/>
      <c r="P318" s="123"/>
      <c r="Q318" s="123"/>
      <c r="R318" s="133">
        <f t="shared" si="105"/>
        <v>0</v>
      </c>
      <c r="S318" s="133"/>
      <c r="T318" s="116">
        <f t="shared" si="123"/>
        <v>0</v>
      </c>
      <c r="U318" s="116">
        <f t="shared" si="124"/>
        <v>0</v>
      </c>
      <c r="V318" s="116">
        <f t="shared" si="125"/>
        <v>0</v>
      </c>
      <c r="W318" s="116">
        <f t="shared" si="126"/>
        <v>0</v>
      </c>
      <c r="X318" s="116">
        <f t="shared" si="127"/>
        <v>0</v>
      </c>
      <c r="Y318" s="116">
        <f t="shared" si="128"/>
        <v>0</v>
      </c>
      <c r="Z318" s="116">
        <f>ROUND(($D318*$L318/$C318)/$C$12,2)</f>
        <v>1247.77</v>
      </c>
      <c r="AA318" s="116">
        <f>ROUND(($D318*$M318/$C318)/$C$13,2)</f>
        <v>8501.85</v>
      </c>
      <c r="AB318" s="116">
        <f t="shared" si="131"/>
        <v>0</v>
      </c>
      <c r="AC318" s="116">
        <f t="shared" si="132"/>
        <v>0</v>
      </c>
      <c r="AD318" s="116">
        <f t="shared" si="133"/>
        <v>0</v>
      </c>
      <c r="AE318" s="116">
        <f t="shared" si="134"/>
        <v>0</v>
      </c>
    </row>
    <row r="319" spans="1:31">
      <c r="A319" s="131">
        <v>42213</v>
      </c>
      <c r="B319" s="131">
        <v>42244</v>
      </c>
      <c r="C319" s="123">
        <f t="shared" si="122"/>
        <v>31</v>
      </c>
      <c r="D319" s="132">
        <v>2008.49</v>
      </c>
      <c r="E319" s="134"/>
      <c r="F319" s="135"/>
      <c r="G319" s="123"/>
      <c r="H319" s="123"/>
      <c r="I319" s="123"/>
      <c r="J319" s="123"/>
      <c r="K319" s="123"/>
      <c r="L319" s="123">
        <v>4</v>
      </c>
      <c r="M319" s="123">
        <v>27</v>
      </c>
      <c r="N319" s="123"/>
      <c r="O319" s="123"/>
      <c r="P319" s="123"/>
      <c r="Q319" s="123"/>
      <c r="R319" s="133">
        <f t="shared" si="105"/>
        <v>0</v>
      </c>
      <c r="S319" s="133"/>
      <c r="T319" s="116">
        <f t="shared" si="123"/>
        <v>0</v>
      </c>
      <c r="U319" s="116">
        <f t="shared" si="124"/>
        <v>0</v>
      </c>
      <c r="V319" s="116">
        <f t="shared" si="125"/>
        <v>0</v>
      </c>
      <c r="W319" s="116">
        <f t="shared" si="126"/>
        <v>0</v>
      </c>
      <c r="X319" s="116">
        <f t="shared" si="127"/>
        <v>0</v>
      </c>
      <c r="Y319" s="116">
        <f t="shared" si="128"/>
        <v>0</v>
      </c>
      <c r="Z319" s="116">
        <f>ROUND(($D319*$L319/$C319)/$C$12,2)</f>
        <v>2915.84</v>
      </c>
      <c r="AA319" s="116">
        <f>ROUND(($D319*$M319/$C319)/$C$13,2)</f>
        <v>19867.46</v>
      </c>
      <c r="AB319" s="116">
        <f t="shared" si="131"/>
        <v>0</v>
      </c>
      <c r="AC319" s="116">
        <f t="shared" si="132"/>
        <v>0</v>
      </c>
      <c r="AD319" s="116">
        <f t="shared" si="133"/>
        <v>0</v>
      </c>
      <c r="AE319" s="116">
        <f t="shared" si="134"/>
        <v>0</v>
      </c>
    </row>
    <row r="320" spans="1:31">
      <c r="A320" s="131">
        <v>42217</v>
      </c>
      <c r="B320" s="131">
        <v>42247</v>
      </c>
      <c r="C320" s="123">
        <f t="shared" si="122"/>
        <v>30</v>
      </c>
      <c r="D320" s="132">
        <v>230.17</v>
      </c>
      <c r="E320" s="134"/>
      <c r="F320" s="135"/>
      <c r="G320" s="123"/>
      <c r="H320" s="123"/>
      <c r="I320" s="123"/>
      <c r="J320" s="123"/>
      <c r="K320" s="123"/>
      <c r="L320" s="123"/>
      <c r="M320" s="123">
        <v>30</v>
      </c>
      <c r="N320" s="123"/>
      <c r="O320" s="123"/>
      <c r="P320" s="123"/>
      <c r="Q320" s="123"/>
      <c r="R320" s="133">
        <f t="shared" si="105"/>
        <v>0</v>
      </c>
      <c r="S320" s="133"/>
      <c r="T320" s="116">
        <f t="shared" si="123"/>
        <v>0</v>
      </c>
      <c r="U320" s="116">
        <f t="shared" si="124"/>
        <v>0</v>
      </c>
      <c r="V320" s="116">
        <f t="shared" si="125"/>
        <v>0</v>
      </c>
      <c r="W320" s="116">
        <f t="shared" si="126"/>
        <v>0</v>
      </c>
      <c r="X320" s="116">
        <f t="shared" si="127"/>
        <v>0</v>
      </c>
      <c r="Y320" s="116">
        <f t="shared" si="128"/>
        <v>0</v>
      </c>
      <c r="Z320" s="116">
        <f>ROUND(($D320*$L320/$C320)/$C$12,2)</f>
        <v>0</v>
      </c>
      <c r="AA320" s="116">
        <f>ROUND(($D320*$M320/$C320)/$C$13,2)</f>
        <v>2614.08</v>
      </c>
      <c r="AB320" s="116">
        <f t="shared" si="131"/>
        <v>0</v>
      </c>
      <c r="AC320" s="116">
        <f t="shared" si="132"/>
        <v>0</v>
      </c>
      <c r="AD320" s="116">
        <f t="shared" si="133"/>
        <v>0</v>
      </c>
      <c r="AE320" s="116">
        <f t="shared" si="134"/>
        <v>0</v>
      </c>
    </row>
    <row r="321" spans="1:31">
      <c r="A321" s="131">
        <v>42216</v>
      </c>
      <c r="B321" s="131">
        <v>42247</v>
      </c>
      <c r="C321" s="123">
        <f t="shared" si="122"/>
        <v>31</v>
      </c>
      <c r="D321" s="132">
        <v>6035.6</v>
      </c>
      <c r="E321" s="134"/>
      <c r="F321" s="135"/>
      <c r="G321" s="123"/>
      <c r="H321" s="123"/>
      <c r="I321" s="123"/>
      <c r="J321" s="123"/>
      <c r="K321" s="123"/>
      <c r="L321" s="123">
        <v>1</v>
      </c>
      <c r="M321" s="123">
        <v>30</v>
      </c>
      <c r="N321" s="123"/>
      <c r="O321" s="123"/>
      <c r="P321" s="123"/>
      <c r="Q321" s="123"/>
      <c r="R321" s="133">
        <f t="shared" ref="R321:R384" si="135">C321-SUM(F321:Q321)</f>
        <v>0</v>
      </c>
      <c r="S321" s="133"/>
      <c r="T321" s="116">
        <f t="shared" si="123"/>
        <v>0</v>
      </c>
      <c r="U321" s="116">
        <f t="shared" si="124"/>
        <v>0</v>
      </c>
      <c r="V321" s="116">
        <f t="shared" si="125"/>
        <v>0</v>
      </c>
      <c r="W321" s="116">
        <f t="shared" si="126"/>
        <v>0</v>
      </c>
      <c r="X321" s="116">
        <f t="shared" si="127"/>
        <v>0</v>
      </c>
      <c r="Y321" s="116">
        <f t="shared" si="128"/>
        <v>0</v>
      </c>
      <c r="Z321" s="116">
        <v>2564.12</v>
      </c>
      <c r="AA321" s="116">
        <f>79487.83-Z321</f>
        <v>76923.710000000006</v>
      </c>
      <c r="AB321" s="116">
        <f t="shared" si="131"/>
        <v>0</v>
      </c>
      <c r="AC321" s="116">
        <f t="shared" si="132"/>
        <v>0</v>
      </c>
      <c r="AD321" s="116">
        <f t="shared" si="133"/>
        <v>0</v>
      </c>
      <c r="AE321" s="116">
        <f t="shared" si="134"/>
        <v>0</v>
      </c>
    </row>
    <row r="322" spans="1:31">
      <c r="A322" s="131">
        <v>42217</v>
      </c>
      <c r="B322" s="131">
        <v>42247</v>
      </c>
      <c r="C322" s="123">
        <f t="shared" si="122"/>
        <v>30</v>
      </c>
      <c r="D322" s="132">
        <v>42.17</v>
      </c>
      <c r="E322" s="134"/>
      <c r="F322" s="135"/>
      <c r="G322" s="123"/>
      <c r="H322" s="123"/>
      <c r="I322" s="123"/>
      <c r="J322" s="123"/>
      <c r="K322" s="123"/>
      <c r="L322" s="123"/>
      <c r="M322" s="123">
        <v>30</v>
      </c>
      <c r="N322" s="123"/>
      <c r="O322" s="123"/>
      <c r="P322" s="123"/>
      <c r="Q322" s="123"/>
      <c r="R322" s="133">
        <f t="shared" si="135"/>
        <v>0</v>
      </c>
      <c r="S322" s="133"/>
      <c r="T322" s="116">
        <f t="shared" si="123"/>
        <v>0</v>
      </c>
      <c r="U322" s="116">
        <f t="shared" si="124"/>
        <v>0</v>
      </c>
      <c r="V322" s="116">
        <f t="shared" si="125"/>
        <v>0</v>
      </c>
      <c r="W322" s="116">
        <f t="shared" si="126"/>
        <v>0</v>
      </c>
      <c r="X322" s="116">
        <f t="shared" si="127"/>
        <v>0</v>
      </c>
      <c r="Y322" s="116">
        <f t="shared" si="128"/>
        <v>0</v>
      </c>
      <c r="Z322" s="116">
        <f t="shared" ref="Z322:Z345" si="136">ROUND(($D322*$L322/$C322)/$C$12,2)</f>
        <v>0</v>
      </c>
      <c r="AA322" s="116">
        <f t="shared" ref="AA322:AA329" si="137">ROUND(($D322*$M322/$C322)/$C$13,2)</f>
        <v>478.93</v>
      </c>
      <c r="AB322" s="116">
        <f t="shared" si="131"/>
        <v>0</v>
      </c>
      <c r="AC322" s="116">
        <f t="shared" si="132"/>
        <v>0</v>
      </c>
      <c r="AD322" s="116">
        <f t="shared" si="133"/>
        <v>0</v>
      </c>
      <c r="AE322" s="116">
        <f t="shared" si="134"/>
        <v>0</v>
      </c>
    </row>
    <row r="323" spans="1:31">
      <c r="A323" s="131">
        <v>42217</v>
      </c>
      <c r="B323" s="131">
        <v>42248</v>
      </c>
      <c r="C323" s="123">
        <f t="shared" si="122"/>
        <v>31</v>
      </c>
      <c r="D323" s="132">
        <v>191613.48</v>
      </c>
      <c r="E323" s="134"/>
      <c r="F323" s="135"/>
      <c r="G323" s="123"/>
      <c r="H323" s="123"/>
      <c r="I323" s="123"/>
      <c r="J323" s="123"/>
      <c r="K323" s="123"/>
      <c r="L323" s="123"/>
      <c r="M323" s="123">
        <v>31</v>
      </c>
      <c r="N323" s="123"/>
      <c r="O323" s="123"/>
      <c r="P323" s="123"/>
      <c r="Q323" s="123"/>
      <c r="R323" s="133">
        <f t="shared" si="135"/>
        <v>0</v>
      </c>
      <c r="S323" s="133"/>
      <c r="T323" s="116">
        <f t="shared" si="123"/>
        <v>0</v>
      </c>
      <c r="U323" s="116">
        <f t="shared" si="124"/>
        <v>0</v>
      </c>
      <c r="V323" s="116">
        <f t="shared" si="125"/>
        <v>0</v>
      </c>
      <c r="W323" s="116">
        <f t="shared" si="126"/>
        <v>0</v>
      </c>
      <c r="X323" s="116">
        <f t="shared" si="127"/>
        <v>0</v>
      </c>
      <c r="Y323" s="116">
        <f t="shared" si="128"/>
        <v>0</v>
      </c>
      <c r="Z323" s="116">
        <f t="shared" si="136"/>
        <v>0</v>
      </c>
      <c r="AA323" s="116">
        <f t="shared" si="137"/>
        <v>2176189.4399999999</v>
      </c>
      <c r="AB323" s="116">
        <f t="shared" si="131"/>
        <v>0</v>
      </c>
      <c r="AC323" s="116">
        <f t="shared" si="132"/>
        <v>0</v>
      </c>
      <c r="AD323" s="116">
        <f t="shared" si="133"/>
        <v>0</v>
      </c>
      <c r="AE323" s="116">
        <f t="shared" si="134"/>
        <v>0</v>
      </c>
    </row>
    <row r="324" spans="1:31">
      <c r="A324" s="131">
        <v>42217</v>
      </c>
      <c r="B324" s="131">
        <v>42248</v>
      </c>
      <c r="C324" s="123">
        <f t="shared" si="122"/>
        <v>31</v>
      </c>
      <c r="D324" s="132">
        <v>55569.71</v>
      </c>
      <c r="E324" s="134"/>
      <c r="F324" s="135"/>
      <c r="G324" s="123"/>
      <c r="H324" s="123"/>
      <c r="I324" s="123"/>
      <c r="J324" s="123"/>
      <c r="K324" s="123"/>
      <c r="L324" s="123"/>
      <c r="M324" s="123">
        <v>31</v>
      </c>
      <c r="N324" s="123"/>
      <c r="O324" s="123"/>
      <c r="P324" s="123"/>
      <c r="Q324" s="123"/>
      <c r="R324" s="133">
        <f t="shared" si="135"/>
        <v>0</v>
      </c>
      <c r="S324" s="133"/>
      <c r="T324" s="116">
        <f t="shared" si="123"/>
        <v>0</v>
      </c>
      <c r="U324" s="116">
        <f t="shared" si="124"/>
        <v>0</v>
      </c>
      <c r="V324" s="116">
        <f t="shared" si="125"/>
        <v>0</v>
      </c>
      <c r="W324" s="116">
        <f t="shared" si="126"/>
        <v>0</v>
      </c>
      <c r="X324" s="116">
        <f t="shared" si="127"/>
        <v>0</v>
      </c>
      <c r="Y324" s="116">
        <f t="shared" si="128"/>
        <v>0</v>
      </c>
      <c r="Z324" s="116">
        <f t="shared" si="136"/>
        <v>0</v>
      </c>
      <c r="AA324" s="116">
        <f t="shared" si="137"/>
        <v>631115.39</v>
      </c>
      <c r="AB324" s="116">
        <f t="shared" si="131"/>
        <v>0</v>
      </c>
      <c r="AC324" s="116">
        <f t="shared" si="132"/>
        <v>0</v>
      </c>
      <c r="AD324" s="116">
        <f t="shared" si="133"/>
        <v>0</v>
      </c>
      <c r="AE324" s="116">
        <f t="shared" si="134"/>
        <v>0</v>
      </c>
    </row>
    <row r="325" spans="1:31">
      <c r="A325" s="131">
        <v>42217</v>
      </c>
      <c r="B325" s="131">
        <v>42248</v>
      </c>
      <c r="C325" s="123">
        <f t="shared" si="122"/>
        <v>31</v>
      </c>
      <c r="D325" s="132">
        <v>12131.56</v>
      </c>
      <c r="E325" s="134"/>
      <c r="F325" s="135"/>
      <c r="G325" s="123"/>
      <c r="H325" s="123"/>
      <c r="I325" s="123"/>
      <c r="J325" s="123"/>
      <c r="K325" s="123"/>
      <c r="L325" s="123"/>
      <c r="M325" s="123">
        <v>31</v>
      </c>
      <c r="N325" s="123"/>
      <c r="O325" s="123"/>
      <c r="P325" s="123"/>
      <c r="Q325" s="123"/>
      <c r="R325" s="133">
        <f t="shared" si="135"/>
        <v>0</v>
      </c>
      <c r="S325" s="133"/>
      <c r="T325" s="116">
        <f t="shared" si="123"/>
        <v>0</v>
      </c>
      <c r="U325" s="116">
        <f t="shared" si="124"/>
        <v>0</v>
      </c>
      <c r="V325" s="116">
        <f t="shared" si="125"/>
        <v>0</v>
      </c>
      <c r="W325" s="116">
        <f t="shared" si="126"/>
        <v>0</v>
      </c>
      <c r="X325" s="116">
        <f t="shared" si="127"/>
        <v>0</v>
      </c>
      <c r="Y325" s="116">
        <f t="shared" si="128"/>
        <v>0</v>
      </c>
      <c r="Z325" s="116">
        <f t="shared" si="136"/>
        <v>0</v>
      </c>
      <c r="AA325" s="116">
        <f t="shared" si="137"/>
        <v>137780.35</v>
      </c>
      <c r="AB325" s="116">
        <f t="shared" si="131"/>
        <v>0</v>
      </c>
      <c r="AC325" s="116">
        <f t="shared" si="132"/>
        <v>0</v>
      </c>
      <c r="AD325" s="116">
        <f t="shared" si="133"/>
        <v>0</v>
      </c>
      <c r="AE325" s="116">
        <f t="shared" si="134"/>
        <v>0</v>
      </c>
    </row>
    <row r="326" spans="1:31">
      <c r="A326" s="131">
        <v>42217</v>
      </c>
      <c r="B326" s="131">
        <v>42248</v>
      </c>
      <c r="C326" s="123">
        <f t="shared" si="122"/>
        <v>31</v>
      </c>
      <c r="D326" s="132">
        <v>2629.51</v>
      </c>
      <c r="E326" s="134"/>
      <c r="F326" s="135"/>
      <c r="G326" s="123"/>
      <c r="H326" s="123"/>
      <c r="I326" s="123"/>
      <c r="J326" s="123"/>
      <c r="K326" s="123"/>
      <c r="L326" s="123"/>
      <c r="M326" s="123">
        <v>31</v>
      </c>
      <c r="N326" s="123"/>
      <c r="O326" s="123"/>
      <c r="P326" s="123"/>
      <c r="Q326" s="123"/>
      <c r="R326" s="133">
        <f t="shared" si="135"/>
        <v>0</v>
      </c>
      <c r="S326" s="133"/>
      <c r="T326" s="116">
        <f t="shared" si="123"/>
        <v>0</v>
      </c>
      <c r="U326" s="116">
        <f t="shared" si="124"/>
        <v>0</v>
      </c>
      <c r="V326" s="116">
        <f t="shared" si="125"/>
        <v>0</v>
      </c>
      <c r="W326" s="116">
        <f t="shared" si="126"/>
        <v>0</v>
      </c>
      <c r="X326" s="116">
        <f t="shared" si="127"/>
        <v>0</v>
      </c>
      <c r="Y326" s="116">
        <f t="shared" si="128"/>
        <v>0</v>
      </c>
      <c r="Z326" s="116">
        <f t="shared" si="136"/>
        <v>0</v>
      </c>
      <c r="AA326" s="116">
        <f t="shared" si="137"/>
        <v>29863.83</v>
      </c>
      <c r="AB326" s="116">
        <f t="shared" si="131"/>
        <v>0</v>
      </c>
      <c r="AC326" s="116">
        <f t="shared" si="132"/>
        <v>0</v>
      </c>
      <c r="AD326" s="116">
        <f t="shared" si="133"/>
        <v>0</v>
      </c>
      <c r="AE326" s="116">
        <f t="shared" si="134"/>
        <v>0</v>
      </c>
    </row>
    <row r="327" spans="1:31">
      <c r="A327" s="131">
        <v>42217</v>
      </c>
      <c r="B327" s="131">
        <v>42248</v>
      </c>
      <c r="C327" s="123">
        <f t="shared" si="122"/>
        <v>31</v>
      </c>
      <c r="D327" s="132">
        <v>250.32</v>
      </c>
      <c r="E327" s="134"/>
      <c r="F327" s="135"/>
      <c r="G327" s="123"/>
      <c r="H327" s="123"/>
      <c r="I327" s="123"/>
      <c r="J327" s="123"/>
      <c r="K327" s="123"/>
      <c r="L327" s="123"/>
      <c r="M327" s="123">
        <v>31</v>
      </c>
      <c r="N327" s="123"/>
      <c r="O327" s="123"/>
      <c r="P327" s="123"/>
      <c r="Q327" s="123"/>
      <c r="R327" s="133">
        <f t="shared" si="135"/>
        <v>0</v>
      </c>
      <c r="S327" s="133"/>
      <c r="T327" s="116">
        <f t="shared" si="123"/>
        <v>0</v>
      </c>
      <c r="U327" s="116">
        <f t="shared" si="124"/>
        <v>0</v>
      </c>
      <c r="V327" s="116">
        <f t="shared" si="125"/>
        <v>0</v>
      </c>
      <c r="W327" s="116">
        <f t="shared" si="126"/>
        <v>0</v>
      </c>
      <c r="X327" s="116">
        <f t="shared" si="127"/>
        <v>0</v>
      </c>
      <c r="Y327" s="116">
        <f t="shared" si="128"/>
        <v>0</v>
      </c>
      <c r="Z327" s="116">
        <f t="shared" si="136"/>
        <v>0</v>
      </c>
      <c r="AA327" s="116">
        <f t="shared" si="137"/>
        <v>2842.93</v>
      </c>
      <c r="AB327" s="116">
        <f t="shared" si="131"/>
        <v>0</v>
      </c>
      <c r="AC327" s="116">
        <f t="shared" si="132"/>
        <v>0</v>
      </c>
      <c r="AD327" s="116">
        <f t="shared" si="133"/>
        <v>0</v>
      </c>
      <c r="AE327" s="116">
        <f t="shared" si="134"/>
        <v>0</v>
      </c>
    </row>
    <row r="328" spans="1:31">
      <c r="A328" s="131">
        <v>42217</v>
      </c>
      <c r="B328" s="131">
        <v>42248</v>
      </c>
      <c r="C328" s="123">
        <f t="shared" si="122"/>
        <v>31</v>
      </c>
      <c r="D328" s="132">
        <v>1374.01</v>
      </c>
      <c r="E328" s="134"/>
      <c r="F328" s="135"/>
      <c r="G328" s="123"/>
      <c r="H328" s="123"/>
      <c r="I328" s="123"/>
      <c r="J328" s="123"/>
      <c r="K328" s="123"/>
      <c r="L328" s="123"/>
      <c r="M328" s="123">
        <v>31</v>
      </c>
      <c r="N328" s="123"/>
      <c r="O328" s="123"/>
      <c r="P328" s="123"/>
      <c r="Q328" s="123"/>
      <c r="R328" s="133">
        <f t="shared" si="135"/>
        <v>0</v>
      </c>
      <c r="S328" s="133"/>
      <c r="T328" s="116">
        <f t="shared" si="123"/>
        <v>0</v>
      </c>
      <c r="U328" s="116">
        <f t="shared" si="124"/>
        <v>0</v>
      </c>
      <c r="V328" s="116">
        <f t="shared" si="125"/>
        <v>0</v>
      </c>
      <c r="W328" s="116">
        <f t="shared" si="126"/>
        <v>0</v>
      </c>
      <c r="X328" s="116">
        <f t="shared" si="127"/>
        <v>0</v>
      </c>
      <c r="Y328" s="116">
        <f t="shared" si="128"/>
        <v>0</v>
      </c>
      <c r="Z328" s="116">
        <f t="shared" si="136"/>
        <v>0</v>
      </c>
      <c r="AA328" s="116">
        <f t="shared" si="137"/>
        <v>15604.88</v>
      </c>
      <c r="AB328" s="116">
        <f t="shared" si="131"/>
        <v>0</v>
      </c>
      <c r="AC328" s="116">
        <f t="shared" si="132"/>
        <v>0</v>
      </c>
      <c r="AD328" s="116">
        <f t="shared" si="133"/>
        <v>0</v>
      </c>
      <c r="AE328" s="116">
        <f t="shared" si="134"/>
        <v>0</v>
      </c>
    </row>
    <row r="329" spans="1:31">
      <c r="A329" s="131">
        <v>42217</v>
      </c>
      <c r="B329" s="131">
        <v>42248</v>
      </c>
      <c r="C329" s="123">
        <f t="shared" si="122"/>
        <v>31</v>
      </c>
      <c r="D329" s="132">
        <v>1281.69</v>
      </c>
      <c r="E329" s="134"/>
      <c r="F329" s="135"/>
      <c r="G329" s="123"/>
      <c r="H329" s="123"/>
      <c r="I329" s="123"/>
      <c r="J329" s="123"/>
      <c r="K329" s="123"/>
      <c r="L329" s="123"/>
      <c r="M329" s="123">
        <v>31</v>
      </c>
      <c r="N329" s="123"/>
      <c r="O329" s="123"/>
      <c r="P329" s="123"/>
      <c r="Q329" s="123"/>
      <c r="R329" s="133">
        <f t="shared" si="135"/>
        <v>0</v>
      </c>
      <c r="S329" s="133"/>
      <c r="T329" s="116">
        <f t="shared" si="123"/>
        <v>0</v>
      </c>
      <c r="U329" s="116">
        <f t="shared" si="124"/>
        <v>0</v>
      </c>
      <c r="V329" s="116">
        <f t="shared" si="125"/>
        <v>0</v>
      </c>
      <c r="W329" s="116">
        <f t="shared" si="126"/>
        <v>0</v>
      </c>
      <c r="X329" s="116">
        <f t="shared" si="127"/>
        <v>0</v>
      </c>
      <c r="Y329" s="116">
        <f t="shared" si="128"/>
        <v>0</v>
      </c>
      <c r="Z329" s="116">
        <f t="shared" si="136"/>
        <v>0</v>
      </c>
      <c r="AA329" s="116">
        <f t="shared" si="137"/>
        <v>14556.39</v>
      </c>
      <c r="AB329" s="116">
        <f t="shared" si="131"/>
        <v>0</v>
      </c>
      <c r="AC329" s="116">
        <f t="shared" si="132"/>
        <v>0</v>
      </c>
      <c r="AD329" s="116">
        <f t="shared" si="133"/>
        <v>0</v>
      </c>
      <c r="AE329" s="116">
        <f t="shared" si="134"/>
        <v>0</v>
      </c>
    </row>
    <row r="330" spans="1:31">
      <c r="A330" s="131">
        <v>42217</v>
      </c>
      <c r="B330" s="131">
        <v>42248</v>
      </c>
      <c r="C330" s="123">
        <f t="shared" si="122"/>
        <v>31</v>
      </c>
      <c r="D330" s="132">
        <v>1100.56</v>
      </c>
      <c r="E330" s="134"/>
      <c r="F330" s="135"/>
      <c r="G330" s="123"/>
      <c r="H330" s="123"/>
      <c r="I330" s="123"/>
      <c r="J330" s="123"/>
      <c r="K330" s="123"/>
      <c r="L330" s="123"/>
      <c r="M330" s="123">
        <v>31</v>
      </c>
      <c r="N330" s="123"/>
      <c r="O330" s="123"/>
      <c r="P330" s="123"/>
      <c r="Q330" s="123"/>
      <c r="R330" s="133">
        <f t="shared" si="135"/>
        <v>0</v>
      </c>
      <c r="S330" s="133"/>
      <c r="T330" s="116">
        <f t="shared" si="123"/>
        <v>0</v>
      </c>
      <c r="U330" s="116">
        <f t="shared" si="124"/>
        <v>0</v>
      </c>
      <c r="V330" s="116">
        <f t="shared" si="125"/>
        <v>0</v>
      </c>
      <c r="W330" s="116">
        <f t="shared" si="126"/>
        <v>0</v>
      </c>
      <c r="X330" s="116">
        <f t="shared" si="127"/>
        <v>0</v>
      </c>
      <c r="Y330" s="116">
        <f t="shared" si="128"/>
        <v>0</v>
      </c>
      <c r="Z330" s="116">
        <f t="shared" si="136"/>
        <v>0</v>
      </c>
      <c r="AA330" s="116">
        <v>12468</v>
      </c>
      <c r="AB330" s="116">
        <f t="shared" si="131"/>
        <v>0</v>
      </c>
      <c r="AC330" s="116">
        <f t="shared" si="132"/>
        <v>0</v>
      </c>
      <c r="AD330" s="116">
        <f t="shared" si="133"/>
        <v>0</v>
      </c>
      <c r="AE330" s="116">
        <f t="shared" si="134"/>
        <v>0</v>
      </c>
    </row>
    <row r="331" spans="1:31">
      <c r="A331" s="131">
        <v>42217</v>
      </c>
      <c r="B331" s="131">
        <v>42248</v>
      </c>
      <c r="C331" s="123">
        <f t="shared" si="122"/>
        <v>31</v>
      </c>
      <c r="D331" s="132">
        <v>603.16</v>
      </c>
      <c r="E331" s="134"/>
      <c r="F331" s="135"/>
      <c r="G331" s="123"/>
      <c r="H331" s="123"/>
      <c r="I331" s="123"/>
      <c r="J331" s="123"/>
      <c r="K331" s="123"/>
      <c r="L331" s="123"/>
      <c r="M331" s="123">
        <v>31</v>
      </c>
      <c r="N331" s="123"/>
      <c r="O331" s="123"/>
      <c r="P331" s="123"/>
      <c r="Q331" s="123"/>
      <c r="R331" s="133">
        <f t="shared" si="135"/>
        <v>0</v>
      </c>
      <c r="S331" s="133"/>
      <c r="T331" s="116">
        <f t="shared" si="123"/>
        <v>0</v>
      </c>
      <c r="U331" s="116">
        <f t="shared" si="124"/>
        <v>0</v>
      </c>
      <c r="V331" s="116">
        <f t="shared" si="125"/>
        <v>0</v>
      </c>
      <c r="W331" s="116">
        <f t="shared" si="126"/>
        <v>0</v>
      </c>
      <c r="X331" s="116">
        <f t="shared" si="127"/>
        <v>0</v>
      </c>
      <c r="Y331" s="116">
        <f t="shared" si="128"/>
        <v>0</v>
      </c>
      <c r="Z331" s="116">
        <f t="shared" si="136"/>
        <v>0</v>
      </c>
      <c r="AA331" s="116">
        <f t="shared" ref="AA331:AA345" si="138">ROUND(($D331*$M331/$C331)/$C$13,2)</f>
        <v>6850.2</v>
      </c>
      <c r="AB331" s="116">
        <f t="shared" si="131"/>
        <v>0</v>
      </c>
      <c r="AC331" s="116">
        <f t="shared" si="132"/>
        <v>0</v>
      </c>
      <c r="AD331" s="116">
        <f t="shared" si="133"/>
        <v>0</v>
      </c>
      <c r="AE331" s="116">
        <f t="shared" si="134"/>
        <v>0</v>
      </c>
    </row>
    <row r="332" spans="1:31">
      <c r="A332" s="131">
        <v>42217</v>
      </c>
      <c r="B332" s="131">
        <v>42248</v>
      </c>
      <c r="C332" s="123">
        <f t="shared" si="122"/>
        <v>31</v>
      </c>
      <c r="D332" s="132">
        <v>76.290000000000006</v>
      </c>
      <c r="E332" s="134"/>
      <c r="F332" s="135"/>
      <c r="G332" s="123"/>
      <c r="H332" s="123"/>
      <c r="I332" s="123"/>
      <c r="J332" s="123"/>
      <c r="K332" s="123"/>
      <c r="L332" s="123"/>
      <c r="M332" s="123">
        <v>31</v>
      </c>
      <c r="N332" s="123"/>
      <c r="O332" s="123"/>
      <c r="P332" s="123"/>
      <c r="Q332" s="123"/>
      <c r="R332" s="133">
        <f t="shared" si="135"/>
        <v>0</v>
      </c>
      <c r="S332" s="133"/>
      <c r="T332" s="116">
        <f t="shared" si="123"/>
        <v>0</v>
      </c>
      <c r="U332" s="116">
        <f t="shared" si="124"/>
        <v>0</v>
      </c>
      <c r="V332" s="116">
        <f t="shared" si="125"/>
        <v>0</v>
      </c>
      <c r="W332" s="116">
        <f t="shared" si="126"/>
        <v>0</v>
      </c>
      <c r="X332" s="116">
        <f t="shared" si="127"/>
        <v>0</v>
      </c>
      <c r="Y332" s="116">
        <f t="shared" si="128"/>
        <v>0</v>
      </c>
      <c r="Z332" s="116">
        <f t="shared" si="136"/>
        <v>0</v>
      </c>
      <c r="AA332" s="116">
        <f t="shared" si="138"/>
        <v>866.44</v>
      </c>
      <c r="AB332" s="116">
        <f t="shared" si="131"/>
        <v>0</v>
      </c>
      <c r="AC332" s="116">
        <f t="shared" si="132"/>
        <v>0</v>
      </c>
      <c r="AD332" s="116">
        <f t="shared" si="133"/>
        <v>0</v>
      </c>
      <c r="AE332" s="116">
        <f t="shared" si="134"/>
        <v>0</v>
      </c>
    </row>
    <row r="333" spans="1:31">
      <c r="A333" s="131">
        <v>42221</v>
      </c>
      <c r="B333" s="131">
        <v>42252</v>
      </c>
      <c r="C333" s="123">
        <f t="shared" si="122"/>
        <v>31</v>
      </c>
      <c r="D333" s="132">
        <v>657.23</v>
      </c>
      <c r="E333" s="134"/>
      <c r="F333" s="135"/>
      <c r="G333" s="123"/>
      <c r="H333" s="123"/>
      <c r="I333" s="123"/>
      <c r="J333" s="123"/>
      <c r="K333" s="123"/>
      <c r="L333" s="123"/>
      <c r="M333" s="123">
        <v>27</v>
      </c>
      <c r="N333" s="123">
        <v>4</v>
      </c>
      <c r="O333" s="123"/>
      <c r="P333" s="123"/>
      <c r="Q333" s="123"/>
      <c r="R333" s="133">
        <f t="shared" si="135"/>
        <v>0</v>
      </c>
      <c r="S333" s="133"/>
      <c r="T333" s="116">
        <f t="shared" si="123"/>
        <v>0</v>
      </c>
      <c r="U333" s="116">
        <f t="shared" si="124"/>
        <v>0</v>
      </c>
      <c r="V333" s="116">
        <f t="shared" si="125"/>
        <v>0</v>
      </c>
      <c r="W333" s="116">
        <f t="shared" si="126"/>
        <v>0</v>
      </c>
      <c r="X333" s="116">
        <f t="shared" si="127"/>
        <v>0</v>
      </c>
      <c r="Y333" s="116">
        <f t="shared" si="128"/>
        <v>0</v>
      </c>
      <c r="Z333" s="116">
        <f t="shared" si="136"/>
        <v>0</v>
      </c>
      <c r="AA333" s="116">
        <f t="shared" si="138"/>
        <v>6501.15</v>
      </c>
      <c r="AB333" s="116">
        <f t="shared" si="131"/>
        <v>1025.44</v>
      </c>
      <c r="AC333" s="116">
        <f t="shared" si="132"/>
        <v>0</v>
      </c>
      <c r="AD333" s="116">
        <f t="shared" si="133"/>
        <v>0</v>
      </c>
      <c r="AE333" s="116">
        <f t="shared" si="134"/>
        <v>0</v>
      </c>
    </row>
    <row r="334" spans="1:31">
      <c r="A334" s="131">
        <v>42221</v>
      </c>
      <c r="B334" s="131">
        <v>42252</v>
      </c>
      <c r="C334" s="123">
        <f t="shared" si="122"/>
        <v>31</v>
      </c>
      <c r="D334" s="132">
        <v>1611.61</v>
      </c>
      <c r="E334" s="134"/>
      <c r="F334" s="135"/>
      <c r="G334" s="123"/>
      <c r="H334" s="123"/>
      <c r="I334" s="123"/>
      <c r="J334" s="123"/>
      <c r="K334" s="123"/>
      <c r="L334" s="123"/>
      <c r="M334" s="123">
        <v>27</v>
      </c>
      <c r="N334" s="123">
        <v>4</v>
      </c>
      <c r="O334" s="123"/>
      <c r="P334" s="123"/>
      <c r="Q334" s="123"/>
      <c r="R334" s="133">
        <f t="shared" si="135"/>
        <v>0</v>
      </c>
      <c r="S334" s="133"/>
      <c r="T334" s="116">
        <f t="shared" si="123"/>
        <v>0</v>
      </c>
      <c r="U334" s="116">
        <f t="shared" si="124"/>
        <v>0</v>
      </c>
      <c r="V334" s="116">
        <f t="shared" si="125"/>
        <v>0</v>
      </c>
      <c r="W334" s="116">
        <f t="shared" si="126"/>
        <v>0</v>
      </c>
      <c r="X334" s="116">
        <f t="shared" si="127"/>
        <v>0</v>
      </c>
      <c r="Y334" s="116">
        <f t="shared" si="128"/>
        <v>0</v>
      </c>
      <c r="Z334" s="116">
        <f t="shared" si="136"/>
        <v>0</v>
      </c>
      <c r="AA334" s="116">
        <f t="shared" si="138"/>
        <v>15941.63</v>
      </c>
      <c r="AB334" s="116">
        <f t="shared" si="131"/>
        <v>2514.5100000000002</v>
      </c>
      <c r="AC334" s="116">
        <f t="shared" si="132"/>
        <v>0</v>
      </c>
      <c r="AD334" s="116">
        <f t="shared" si="133"/>
        <v>0</v>
      </c>
      <c r="AE334" s="116">
        <f t="shared" si="134"/>
        <v>0</v>
      </c>
    </row>
    <row r="335" spans="1:31">
      <c r="A335" s="131">
        <v>42224</v>
      </c>
      <c r="B335" s="131">
        <v>42255</v>
      </c>
      <c r="C335" s="123">
        <f t="shared" si="122"/>
        <v>31</v>
      </c>
      <c r="D335" s="132">
        <v>3.97</v>
      </c>
      <c r="E335" s="134"/>
      <c r="F335" s="135"/>
      <c r="G335" s="123"/>
      <c r="H335" s="123"/>
      <c r="I335" s="123"/>
      <c r="J335" s="123"/>
      <c r="K335" s="123"/>
      <c r="L335" s="123"/>
      <c r="M335" s="123">
        <v>24</v>
      </c>
      <c r="N335" s="123">
        <v>7</v>
      </c>
      <c r="O335" s="123"/>
      <c r="P335" s="123"/>
      <c r="Q335" s="123"/>
      <c r="R335" s="133">
        <f t="shared" si="135"/>
        <v>0</v>
      </c>
      <c r="S335" s="133"/>
      <c r="T335" s="116">
        <f t="shared" si="123"/>
        <v>0</v>
      </c>
      <c r="U335" s="116">
        <f t="shared" si="124"/>
        <v>0</v>
      </c>
      <c r="V335" s="116">
        <f t="shared" si="125"/>
        <v>0</v>
      </c>
      <c r="W335" s="116">
        <f t="shared" si="126"/>
        <v>0</v>
      </c>
      <c r="X335" s="116">
        <f t="shared" si="127"/>
        <v>0</v>
      </c>
      <c r="Y335" s="116">
        <f t="shared" si="128"/>
        <v>0</v>
      </c>
      <c r="Z335" s="116">
        <f t="shared" si="136"/>
        <v>0</v>
      </c>
      <c r="AA335" s="116">
        <f t="shared" si="138"/>
        <v>34.909999999999997</v>
      </c>
      <c r="AB335" s="116">
        <f t="shared" si="131"/>
        <v>10.84</v>
      </c>
      <c r="AC335" s="116">
        <f t="shared" si="132"/>
        <v>0</v>
      </c>
      <c r="AD335" s="116">
        <f t="shared" si="133"/>
        <v>0</v>
      </c>
      <c r="AE335" s="116">
        <f t="shared" si="134"/>
        <v>0</v>
      </c>
    </row>
    <row r="336" spans="1:31">
      <c r="A336" s="131">
        <v>42221</v>
      </c>
      <c r="B336" s="131">
        <v>42252</v>
      </c>
      <c r="C336" s="123">
        <f t="shared" si="122"/>
        <v>31</v>
      </c>
      <c r="D336" s="132">
        <v>282.3</v>
      </c>
      <c r="E336" s="134"/>
      <c r="F336" s="135"/>
      <c r="G336" s="123"/>
      <c r="H336" s="123"/>
      <c r="I336" s="123"/>
      <c r="J336" s="123"/>
      <c r="K336" s="123"/>
      <c r="L336" s="123"/>
      <c r="M336" s="123">
        <v>27</v>
      </c>
      <c r="N336" s="123">
        <v>4</v>
      </c>
      <c r="O336" s="123"/>
      <c r="P336" s="123"/>
      <c r="Q336" s="123"/>
      <c r="R336" s="133">
        <f t="shared" si="135"/>
        <v>0</v>
      </c>
      <c r="S336" s="133"/>
      <c r="T336" s="116">
        <f t="shared" si="123"/>
        <v>0</v>
      </c>
      <c r="U336" s="116">
        <f t="shared" si="124"/>
        <v>0</v>
      </c>
      <c r="V336" s="116">
        <f t="shared" si="125"/>
        <v>0</v>
      </c>
      <c r="W336" s="116">
        <f t="shared" si="126"/>
        <v>0</v>
      </c>
      <c r="X336" s="116">
        <f t="shared" si="127"/>
        <v>0</v>
      </c>
      <c r="Y336" s="116">
        <f t="shared" si="128"/>
        <v>0</v>
      </c>
      <c r="Z336" s="116">
        <f t="shared" si="136"/>
        <v>0</v>
      </c>
      <c r="AA336" s="116">
        <f t="shared" si="138"/>
        <v>2792.44</v>
      </c>
      <c r="AB336" s="116">
        <f t="shared" si="131"/>
        <v>440.46</v>
      </c>
      <c r="AC336" s="116">
        <f t="shared" si="132"/>
        <v>0</v>
      </c>
      <c r="AD336" s="116">
        <f t="shared" si="133"/>
        <v>0</v>
      </c>
      <c r="AE336" s="116">
        <f t="shared" si="134"/>
        <v>0</v>
      </c>
    </row>
    <row r="337" spans="1:31">
      <c r="A337" s="131">
        <v>42224</v>
      </c>
      <c r="B337" s="131">
        <v>42255</v>
      </c>
      <c r="C337" s="123">
        <f t="shared" si="122"/>
        <v>31</v>
      </c>
      <c r="D337" s="132">
        <v>383.49</v>
      </c>
      <c r="E337" s="134"/>
      <c r="F337" s="135"/>
      <c r="G337" s="123"/>
      <c r="H337" s="123"/>
      <c r="I337" s="123"/>
      <c r="J337" s="123"/>
      <c r="K337" s="123"/>
      <c r="L337" s="123"/>
      <c r="M337" s="123">
        <v>24</v>
      </c>
      <c r="N337" s="123">
        <v>7</v>
      </c>
      <c r="O337" s="123"/>
      <c r="P337" s="123"/>
      <c r="Q337" s="123"/>
      <c r="R337" s="133">
        <f t="shared" si="135"/>
        <v>0</v>
      </c>
      <c r="S337" s="133"/>
      <c r="T337" s="116">
        <f t="shared" si="123"/>
        <v>0</v>
      </c>
      <c r="U337" s="116">
        <f t="shared" si="124"/>
        <v>0</v>
      </c>
      <c r="V337" s="116">
        <f t="shared" si="125"/>
        <v>0</v>
      </c>
      <c r="W337" s="116">
        <f t="shared" si="126"/>
        <v>0</v>
      </c>
      <c r="X337" s="116">
        <f t="shared" si="127"/>
        <v>0</v>
      </c>
      <c r="Y337" s="116">
        <f t="shared" si="128"/>
        <v>0</v>
      </c>
      <c r="Z337" s="116">
        <f t="shared" si="136"/>
        <v>0</v>
      </c>
      <c r="AA337" s="116">
        <f t="shared" si="138"/>
        <v>3371.9</v>
      </c>
      <c r="AB337" s="116">
        <f t="shared" si="131"/>
        <v>1047.0899999999999</v>
      </c>
      <c r="AC337" s="116">
        <f t="shared" si="132"/>
        <v>0</v>
      </c>
      <c r="AD337" s="116">
        <f t="shared" si="133"/>
        <v>0</v>
      </c>
      <c r="AE337" s="116">
        <f t="shared" si="134"/>
        <v>0</v>
      </c>
    </row>
    <row r="338" spans="1:31">
      <c r="A338" s="131">
        <v>42224</v>
      </c>
      <c r="B338" s="131">
        <v>42255</v>
      </c>
      <c r="C338" s="123">
        <f t="shared" si="122"/>
        <v>31</v>
      </c>
      <c r="D338" s="132">
        <v>299.45999999999998</v>
      </c>
      <c r="E338" s="134"/>
      <c r="F338" s="135"/>
      <c r="G338" s="123"/>
      <c r="H338" s="123"/>
      <c r="I338" s="123"/>
      <c r="J338" s="123"/>
      <c r="K338" s="123"/>
      <c r="L338" s="123"/>
      <c r="M338" s="123">
        <v>24</v>
      </c>
      <c r="N338" s="123">
        <v>7</v>
      </c>
      <c r="O338" s="123"/>
      <c r="P338" s="123"/>
      <c r="Q338" s="123"/>
      <c r="R338" s="133">
        <f t="shared" si="135"/>
        <v>0</v>
      </c>
      <c r="S338" s="133"/>
      <c r="T338" s="116">
        <f t="shared" si="123"/>
        <v>0</v>
      </c>
      <c r="U338" s="116">
        <f t="shared" si="124"/>
        <v>0</v>
      </c>
      <c r="V338" s="116">
        <f t="shared" si="125"/>
        <v>0</v>
      </c>
      <c r="W338" s="116">
        <f t="shared" si="126"/>
        <v>0</v>
      </c>
      <c r="X338" s="116">
        <f t="shared" si="127"/>
        <v>0</v>
      </c>
      <c r="Y338" s="116">
        <f t="shared" si="128"/>
        <v>0</v>
      </c>
      <c r="Z338" s="116">
        <f t="shared" si="136"/>
        <v>0</v>
      </c>
      <c r="AA338" s="116">
        <f t="shared" si="138"/>
        <v>2633.05</v>
      </c>
      <c r="AB338" s="116">
        <f t="shared" si="131"/>
        <v>817.65</v>
      </c>
      <c r="AC338" s="116">
        <f t="shared" si="132"/>
        <v>0</v>
      </c>
      <c r="AD338" s="116">
        <f t="shared" si="133"/>
        <v>0</v>
      </c>
      <c r="AE338" s="116">
        <f t="shared" si="134"/>
        <v>0</v>
      </c>
    </row>
    <row r="339" spans="1:31">
      <c r="A339" s="131">
        <v>42224</v>
      </c>
      <c r="B339" s="131">
        <v>42255</v>
      </c>
      <c r="C339" s="123">
        <f t="shared" si="122"/>
        <v>31</v>
      </c>
      <c r="D339" s="132">
        <v>726.37</v>
      </c>
      <c r="E339" s="134"/>
      <c r="F339" s="135"/>
      <c r="G339" s="123"/>
      <c r="H339" s="123"/>
      <c r="I339" s="123"/>
      <c r="J339" s="123"/>
      <c r="K339" s="123"/>
      <c r="L339" s="123"/>
      <c r="M339" s="123">
        <v>24</v>
      </c>
      <c r="N339" s="123">
        <v>7</v>
      </c>
      <c r="O339" s="123"/>
      <c r="P339" s="123"/>
      <c r="Q339" s="123"/>
      <c r="R339" s="133">
        <f t="shared" si="135"/>
        <v>0</v>
      </c>
      <c r="S339" s="133"/>
      <c r="T339" s="116">
        <f t="shared" si="123"/>
        <v>0</v>
      </c>
      <c r="U339" s="116">
        <f t="shared" si="124"/>
        <v>0</v>
      </c>
      <c r="V339" s="116">
        <f t="shared" si="125"/>
        <v>0</v>
      </c>
      <c r="W339" s="116">
        <f t="shared" si="126"/>
        <v>0</v>
      </c>
      <c r="X339" s="116">
        <f t="shared" si="127"/>
        <v>0</v>
      </c>
      <c r="Y339" s="116">
        <f t="shared" si="128"/>
        <v>0</v>
      </c>
      <c r="Z339" s="116">
        <f t="shared" si="136"/>
        <v>0</v>
      </c>
      <c r="AA339" s="116">
        <f t="shared" si="138"/>
        <v>6386.72</v>
      </c>
      <c r="AB339" s="116">
        <f t="shared" si="131"/>
        <v>1983.3</v>
      </c>
      <c r="AC339" s="116">
        <f t="shared" si="132"/>
        <v>0</v>
      </c>
      <c r="AD339" s="116">
        <f t="shared" si="133"/>
        <v>0</v>
      </c>
      <c r="AE339" s="116">
        <f t="shared" si="134"/>
        <v>0</v>
      </c>
    </row>
    <row r="340" spans="1:31">
      <c r="A340" s="131">
        <v>42217</v>
      </c>
      <c r="B340" s="131">
        <v>42248</v>
      </c>
      <c r="C340" s="123">
        <f t="shared" si="122"/>
        <v>31</v>
      </c>
      <c r="D340" s="132">
        <v>4141.2700000000004</v>
      </c>
      <c r="E340" s="134"/>
      <c r="F340" s="135"/>
      <c r="G340" s="123"/>
      <c r="H340" s="123"/>
      <c r="I340" s="123"/>
      <c r="J340" s="123"/>
      <c r="K340" s="123"/>
      <c r="L340" s="123"/>
      <c r="M340" s="123">
        <v>31</v>
      </c>
      <c r="N340" s="123"/>
      <c r="O340" s="123"/>
      <c r="P340" s="123"/>
      <c r="Q340" s="123"/>
      <c r="R340" s="133">
        <f t="shared" si="135"/>
        <v>0</v>
      </c>
      <c r="S340" s="133"/>
      <c r="T340" s="116">
        <f t="shared" si="123"/>
        <v>0</v>
      </c>
      <c r="U340" s="116">
        <f t="shared" si="124"/>
        <v>0</v>
      </c>
      <c r="V340" s="116">
        <f t="shared" si="125"/>
        <v>0</v>
      </c>
      <c r="W340" s="116">
        <f t="shared" si="126"/>
        <v>0</v>
      </c>
      <c r="X340" s="116">
        <f t="shared" si="127"/>
        <v>0</v>
      </c>
      <c r="Y340" s="116">
        <f t="shared" si="128"/>
        <v>0</v>
      </c>
      <c r="Z340" s="116">
        <f t="shared" si="136"/>
        <v>0</v>
      </c>
      <c r="AA340" s="116">
        <f t="shared" si="138"/>
        <v>47033.16</v>
      </c>
      <c r="AB340" s="116">
        <f t="shared" si="131"/>
        <v>0</v>
      </c>
      <c r="AC340" s="116">
        <f t="shared" si="132"/>
        <v>0</v>
      </c>
      <c r="AD340" s="116">
        <f t="shared" si="133"/>
        <v>0</v>
      </c>
      <c r="AE340" s="116">
        <f t="shared" si="134"/>
        <v>0</v>
      </c>
    </row>
    <row r="341" spans="1:31">
      <c r="A341" s="131">
        <v>42224</v>
      </c>
      <c r="B341" s="131">
        <v>42244</v>
      </c>
      <c r="C341" s="123">
        <f t="shared" si="122"/>
        <v>20</v>
      </c>
      <c r="D341" s="132">
        <v>57.69</v>
      </c>
      <c r="E341" s="134"/>
      <c r="F341" s="135"/>
      <c r="G341" s="123"/>
      <c r="H341" s="123"/>
      <c r="I341" s="123"/>
      <c r="J341" s="123"/>
      <c r="K341" s="123"/>
      <c r="L341" s="123"/>
      <c r="M341" s="123">
        <v>20</v>
      </c>
      <c r="N341" s="123"/>
      <c r="O341" s="123"/>
      <c r="P341" s="123"/>
      <c r="Q341" s="123"/>
      <c r="R341" s="133">
        <f t="shared" si="135"/>
        <v>0</v>
      </c>
      <c r="S341" s="133"/>
      <c r="T341" s="116">
        <f t="shared" si="123"/>
        <v>0</v>
      </c>
      <c r="U341" s="116">
        <f t="shared" si="124"/>
        <v>0</v>
      </c>
      <c r="V341" s="116">
        <f t="shared" si="125"/>
        <v>0</v>
      </c>
      <c r="W341" s="116">
        <f t="shared" si="126"/>
        <v>0</v>
      </c>
      <c r="X341" s="116">
        <f t="shared" si="127"/>
        <v>0</v>
      </c>
      <c r="Y341" s="116">
        <f t="shared" si="128"/>
        <v>0</v>
      </c>
      <c r="Z341" s="116">
        <f t="shared" si="136"/>
        <v>0</v>
      </c>
      <c r="AA341" s="116">
        <f t="shared" si="138"/>
        <v>655.20000000000005</v>
      </c>
      <c r="AB341" s="116">
        <f t="shared" si="131"/>
        <v>0</v>
      </c>
      <c r="AC341" s="116">
        <f t="shared" si="132"/>
        <v>0</v>
      </c>
      <c r="AD341" s="116">
        <f t="shared" si="133"/>
        <v>0</v>
      </c>
      <c r="AE341" s="116">
        <f t="shared" si="134"/>
        <v>0</v>
      </c>
    </row>
    <row r="342" spans="1:31">
      <c r="A342" s="131">
        <v>42248</v>
      </c>
      <c r="B342" s="131">
        <v>42258</v>
      </c>
      <c r="C342" s="123">
        <f t="shared" si="122"/>
        <v>10</v>
      </c>
      <c r="D342" s="132">
        <v>3</v>
      </c>
      <c r="E342" s="134"/>
      <c r="F342" s="135"/>
      <c r="G342" s="123"/>
      <c r="H342" s="123"/>
      <c r="I342" s="123"/>
      <c r="J342" s="123"/>
      <c r="K342" s="123"/>
      <c r="L342" s="123"/>
      <c r="M342" s="123"/>
      <c r="N342" s="123">
        <v>10</v>
      </c>
      <c r="O342" s="123"/>
      <c r="P342" s="123"/>
      <c r="Q342" s="123"/>
      <c r="R342" s="133">
        <f t="shared" si="135"/>
        <v>0</v>
      </c>
      <c r="S342" s="133"/>
      <c r="T342" s="116">
        <f t="shared" si="123"/>
        <v>0</v>
      </c>
      <c r="U342" s="116">
        <f t="shared" si="124"/>
        <v>0</v>
      </c>
      <c r="V342" s="116">
        <f t="shared" si="125"/>
        <v>0</v>
      </c>
      <c r="W342" s="116">
        <f t="shared" si="126"/>
        <v>0</v>
      </c>
      <c r="X342" s="116">
        <f t="shared" si="127"/>
        <v>0</v>
      </c>
      <c r="Y342" s="116">
        <f t="shared" si="128"/>
        <v>0</v>
      </c>
      <c r="Z342" s="116">
        <f t="shared" si="136"/>
        <v>0</v>
      </c>
      <c r="AA342" s="116">
        <f t="shared" si="138"/>
        <v>0</v>
      </c>
      <c r="AB342" s="116">
        <f t="shared" si="131"/>
        <v>36.28</v>
      </c>
      <c r="AC342" s="116">
        <f t="shared" si="132"/>
        <v>0</v>
      </c>
      <c r="AD342" s="116">
        <f t="shared" si="133"/>
        <v>0</v>
      </c>
      <c r="AE342" s="116">
        <f t="shared" si="134"/>
        <v>0</v>
      </c>
    </row>
    <row r="343" spans="1:31">
      <c r="A343" s="131">
        <v>42228</v>
      </c>
      <c r="B343" s="131">
        <v>42259</v>
      </c>
      <c r="C343" s="123">
        <f t="shared" si="122"/>
        <v>31</v>
      </c>
      <c r="D343" s="132">
        <v>857.02</v>
      </c>
      <c r="E343" s="134"/>
      <c r="F343" s="135"/>
      <c r="G343" s="123"/>
      <c r="H343" s="123"/>
      <c r="I343" s="123"/>
      <c r="J343" s="123"/>
      <c r="K343" s="123"/>
      <c r="L343" s="123"/>
      <c r="M343" s="123">
        <v>20</v>
      </c>
      <c r="N343" s="123">
        <v>11</v>
      </c>
      <c r="O343" s="123"/>
      <c r="P343" s="123"/>
      <c r="Q343" s="123"/>
      <c r="R343" s="133">
        <f t="shared" si="135"/>
        <v>0</v>
      </c>
      <c r="S343" s="133"/>
      <c r="T343" s="116">
        <f t="shared" si="123"/>
        <v>0</v>
      </c>
      <c r="U343" s="116">
        <f t="shared" si="124"/>
        <v>0</v>
      </c>
      <c r="V343" s="116">
        <f t="shared" si="125"/>
        <v>0</v>
      </c>
      <c r="W343" s="116">
        <f t="shared" si="126"/>
        <v>0</v>
      </c>
      <c r="X343" s="116">
        <f t="shared" si="127"/>
        <v>0</v>
      </c>
      <c r="Y343" s="116">
        <f t="shared" si="128"/>
        <v>0</v>
      </c>
      <c r="Z343" s="116">
        <f t="shared" si="136"/>
        <v>0</v>
      </c>
      <c r="AA343" s="116">
        <f t="shared" si="138"/>
        <v>6279.57</v>
      </c>
      <c r="AB343" s="116">
        <f t="shared" si="131"/>
        <v>3677.19</v>
      </c>
      <c r="AC343" s="116">
        <f t="shared" si="132"/>
        <v>0</v>
      </c>
      <c r="AD343" s="116">
        <f t="shared" si="133"/>
        <v>0</v>
      </c>
      <c r="AE343" s="116">
        <f t="shared" si="134"/>
        <v>0</v>
      </c>
    </row>
    <row r="344" spans="1:31">
      <c r="A344" s="131">
        <v>42228</v>
      </c>
      <c r="B344" s="131">
        <v>42259</v>
      </c>
      <c r="C344" s="123">
        <f t="shared" si="122"/>
        <v>31</v>
      </c>
      <c r="D344" s="132">
        <v>1038.08</v>
      </c>
      <c r="E344" s="134"/>
      <c r="F344" s="135"/>
      <c r="G344" s="123"/>
      <c r="H344" s="123"/>
      <c r="I344" s="123"/>
      <c r="J344" s="123"/>
      <c r="K344" s="123"/>
      <c r="L344" s="123"/>
      <c r="M344" s="123">
        <v>20</v>
      </c>
      <c r="N344" s="123">
        <v>11</v>
      </c>
      <c r="O344" s="123"/>
      <c r="P344" s="123"/>
      <c r="Q344" s="123"/>
      <c r="R344" s="133">
        <f t="shared" si="135"/>
        <v>0</v>
      </c>
      <c r="S344" s="133"/>
      <c r="T344" s="116">
        <f t="shared" si="123"/>
        <v>0</v>
      </c>
      <c r="U344" s="116">
        <f t="shared" si="124"/>
        <v>0</v>
      </c>
      <c r="V344" s="116">
        <f t="shared" si="125"/>
        <v>0</v>
      </c>
      <c r="W344" s="116">
        <f t="shared" si="126"/>
        <v>0</v>
      </c>
      <c r="X344" s="116">
        <f t="shared" si="127"/>
        <v>0</v>
      </c>
      <c r="Y344" s="116">
        <f t="shared" si="128"/>
        <v>0</v>
      </c>
      <c r="Z344" s="116">
        <f t="shared" si="136"/>
        <v>0</v>
      </c>
      <c r="AA344" s="116">
        <f t="shared" si="138"/>
        <v>7606.24</v>
      </c>
      <c r="AB344" s="116">
        <f t="shared" si="131"/>
        <v>4454.0600000000004</v>
      </c>
      <c r="AC344" s="116">
        <f t="shared" si="132"/>
        <v>0</v>
      </c>
      <c r="AD344" s="116">
        <f t="shared" si="133"/>
        <v>0</v>
      </c>
      <c r="AE344" s="116">
        <f t="shared" si="134"/>
        <v>0</v>
      </c>
    </row>
    <row r="345" spans="1:31" ht="15.75" thickBot="1">
      <c r="A345" s="131">
        <v>42228</v>
      </c>
      <c r="B345" s="131">
        <v>42259</v>
      </c>
      <c r="C345" s="123">
        <f t="shared" si="122"/>
        <v>31</v>
      </c>
      <c r="D345" s="132">
        <v>160.94</v>
      </c>
      <c r="E345" s="134"/>
      <c r="F345" s="135"/>
      <c r="G345" s="123"/>
      <c r="H345" s="123"/>
      <c r="I345" s="123"/>
      <c r="J345" s="123"/>
      <c r="K345" s="123"/>
      <c r="L345" s="123"/>
      <c r="M345" s="123">
        <v>20</v>
      </c>
      <c r="N345" s="123">
        <v>11</v>
      </c>
      <c r="O345" s="123"/>
      <c r="P345" s="123"/>
      <c r="Q345" s="123"/>
      <c r="R345" s="133">
        <f t="shared" si="135"/>
        <v>0</v>
      </c>
      <c r="S345" s="133"/>
      <c r="T345" s="116">
        <f t="shared" si="123"/>
        <v>0</v>
      </c>
      <c r="U345" s="116">
        <f t="shared" si="124"/>
        <v>0</v>
      </c>
      <c r="V345" s="116">
        <f t="shared" si="125"/>
        <v>0</v>
      </c>
      <c r="W345" s="116">
        <f t="shared" si="126"/>
        <v>0</v>
      </c>
      <c r="X345" s="116">
        <f t="shared" si="127"/>
        <v>0</v>
      </c>
      <c r="Y345" s="116">
        <f t="shared" si="128"/>
        <v>0</v>
      </c>
      <c r="Z345" s="116">
        <f t="shared" si="136"/>
        <v>0</v>
      </c>
      <c r="AA345" s="116">
        <f t="shared" si="138"/>
        <v>1179.24</v>
      </c>
      <c r="AB345" s="116">
        <f t="shared" si="131"/>
        <v>690.54</v>
      </c>
      <c r="AC345" s="116">
        <f t="shared" si="132"/>
        <v>0</v>
      </c>
      <c r="AD345" s="116">
        <f t="shared" si="133"/>
        <v>0</v>
      </c>
      <c r="AE345" s="116">
        <f t="shared" si="134"/>
        <v>0</v>
      </c>
    </row>
    <row r="346" spans="1:31" ht="15.75" thickBot="1">
      <c r="A346" s="194" t="s">
        <v>44</v>
      </c>
      <c r="B346" s="195"/>
      <c r="C346" s="195"/>
      <c r="D346" s="195"/>
      <c r="E346" s="195"/>
      <c r="F346" s="195"/>
      <c r="G346" s="195"/>
      <c r="H346" s="195"/>
      <c r="I346" s="195"/>
      <c r="J346" s="195"/>
      <c r="K346" s="195"/>
      <c r="L346" s="195"/>
      <c r="M346" s="195"/>
      <c r="N346" s="195"/>
      <c r="O346" s="195"/>
      <c r="P346" s="195"/>
      <c r="Q346" s="195"/>
      <c r="R346" s="195"/>
      <c r="S346" s="195"/>
      <c r="T346" s="195"/>
      <c r="U346" s="195"/>
      <c r="V346" s="195"/>
      <c r="W346" s="195"/>
      <c r="X346" s="195"/>
      <c r="Y346" s="195"/>
      <c r="Z346" s="195"/>
      <c r="AA346" s="195"/>
      <c r="AB346" s="195"/>
      <c r="AC346" s="195"/>
      <c r="AD346" s="195"/>
      <c r="AE346" s="196"/>
    </row>
    <row r="347" spans="1:31">
      <c r="A347" s="131">
        <v>42235</v>
      </c>
      <c r="B347" s="131">
        <v>42266</v>
      </c>
      <c r="C347" s="123">
        <f t="shared" si="122"/>
        <v>31</v>
      </c>
      <c r="D347" s="132">
        <v>405.24</v>
      </c>
      <c r="E347" s="134"/>
      <c r="F347" s="135"/>
      <c r="G347" s="123"/>
      <c r="H347" s="123"/>
      <c r="I347" s="123"/>
      <c r="J347" s="123"/>
      <c r="K347" s="123"/>
      <c r="L347" s="123"/>
      <c r="M347" s="123">
        <v>13</v>
      </c>
      <c r="N347" s="123">
        <v>18</v>
      </c>
      <c r="O347" s="123"/>
      <c r="P347" s="123"/>
      <c r="Q347" s="123"/>
      <c r="R347" s="133">
        <f t="shared" si="135"/>
        <v>0</v>
      </c>
      <c r="S347" s="133"/>
      <c r="T347" s="116">
        <f t="shared" ref="T347:T379" si="139">ROUND((D347*F347/C347)/$C$6,2)</f>
        <v>0</v>
      </c>
      <c r="U347" s="116">
        <f t="shared" ref="U347:U379" si="140">ROUND(($D347*$G347/$C347)/$C$7,2)</f>
        <v>0</v>
      </c>
      <c r="V347" s="116">
        <f t="shared" ref="V347:V379" si="141">ROUND(($D347*$H347/$C347)/$C$8,2)</f>
        <v>0</v>
      </c>
      <c r="W347" s="116">
        <f t="shared" ref="W347:W379" si="142">ROUND(($D347*$I347/$C347)/$C$9,2)</f>
        <v>0</v>
      </c>
      <c r="X347" s="116">
        <f t="shared" ref="X347:X379" si="143">ROUND(($D347*$J347/$C347)/$C$10,2)</f>
        <v>0</v>
      </c>
      <c r="Y347" s="116">
        <f t="shared" ref="Y347:Y379" si="144">ROUND(($D347*$K347/$C347)/$C$11,2)</f>
        <v>0</v>
      </c>
      <c r="Z347" s="116">
        <f t="shared" ref="Z347:Z379" si="145">ROUND(($D347*$L347/$C347)/$C$12,2)</f>
        <v>0</v>
      </c>
      <c r="AA347" s="116">
        <f t="shared" ref="AA347:AA356" si="146">ROUND(($D347*$M347/$C347)/$C$13,2)</f>
        <v>1930.03</v>
      </c>
      <c r="AB347" s="116">
        <f t="shared" ref="AB347:AB356" si="147">ROUND(($D347*$N347/$C347)/$C$14,2)</f>
        <v>2845.23</v>
      </c>
      <c r="AC347" s="116">
        <f t="shared" ref="AC347:AC379" si="148">ROUND(($D347*$O347/$C347)/$C$15,2)</f>
        <v>0</v>
      </c>
      <c r="AD347" s="116">
        <f t="shared" ref="AD347:AD379" si="149">ROUND(($D347*$P347/$C347)/$C$16,2)</f>
        <v>0</v>
      </c>
      <c r="AE347" s="116">
        <f t="shared" ref="AE347:AE379" si="150">ROUND(($D347*$Q347/$C347)/$C$17,2)</f>
        <v>0</v>
      </c>
    </row>
    <row r="348" spans="1:31">
      <c r="A348" s="131">
        <v>42235</v>
      </c>
      <c r="B348" s="131">
        <v>42266</v>
      </c>
      <c r="C348" s="123">
        <f t="shared" si="122"/>
        <v>31</v>
      </c>
      <c r="D348" s="132">
        <v>529.66</v>
      </c>
      <c r="E348" s="134"/>
      <c r="F348" s="135"/>
      <c r="G348" s="123"/>
      <c r="H348" s="123"/>
      <c r="I348" s="123"/>
      <c r="J348" s="123"/>
      <c r="K348" s="123"/>
      <c r="L348" s="123"/>
      <c r="M348" s="123">
        <v>13</v>
      </c>
      <c r="N348" s="123">
        <v>18</v>
      </c>
      <c r="O348" s="123"/>
      <c r="P348" s="123"/>
      <c r="Q348" s="123"/>
      <c r="R348" s="133">
        <f t="shared" si="135"/>
        <v>0</v>
      </c>
      <c r="S348" s="133"/>
      <c r="T348" s="116">
        <f t="shared" si="139"/>
        <v>0</v>
      </c>
      <c r="U348" s="116">
        <f t="shared" si="140"/>
        <v>0</v>
      </c>
      <c r="V348" s="116">
        <f t="shared" si="141"/>
        <v>0</v>
      </c>
      <c r="W348" s="116">
        <f t="shared" si="142"/>
        <v>0</v>
      </c>
      <c r="X348" s="116">
        <f t="shared" si="143"/>
        <v>0</v>
      </c>
      <c r="Y348" s="116">
        <f t="shared" si="144"/>
        <v>0</v>
      </c>
      <c r="Z348" s="116">
        <f t="shared" si="145"/>
        <v>0</v>
      </c>
      <c r="AA348" s="116">
        <f t="shared" si="146"/>
        <v>2522.61</v>
      </c>
      <c r="AB348" s="116">
        <f t="shared" si="147"/>
        <v>3718.8</v>
      </c>
      <c r="AC348" s="116">
        <f t="shared" si="148"/>
        <v>0</v>
      </c>
      <c r="AD348" s="116">
        <f t="shared" si="149"/>
        <v>0</v>
      </c>
      <c r="AE348" s="116">
        <f t="shared" si="150"/>
        <v>0</v>
      </c>
    </row>
    <row r="349" spans="1:31">
      <c r="A349" s="131">
        <v>42235</v>
      </c>
      <c r="B349" s="131">
        <v>42266</v>
      </c>
      <c r="C349" s="123">
        <f t="shared" si="122"/>
        <v>31</v>
      </c>
      <c r="D349" s="132">
        <v>1611.38</v>
      </c>
      <c r="E349" s="134"/>
      <c r="F349" s="135"/>
      <c r="G349" s="123"/>
      <c r="H349" s="123"/>
      <c r="I349" s="123"/>
      <c r="J349" s="123"/>
      <c r="K349" s="123"/>
      <c r="L349" s="123"/>
      <c r="M349" s="123">
        <v>13</v>
      </c>
      <c r="N349" s="123">
        <v>18</v>
      </c>
      <c r="O349" s="123"/>
      <c r="P349" s="123"/>
      <c r="Q349" s="123"/>
      <c r="R349" s="133">
        <f t="shared" si="135"/>
        <v>0</v>
      </c>
      <c r="S349" s="133"/>
      <c r="T349" s="116">
        <f t="shared" si="139"/>
        <v>0</v>
      </c>
      <c r="U349" s="116">
        <f t="shared" si="140"/>
        <v>0</v>
      </c>
      <c r="V349" s="116">
        <f t="shared" si="141"/>
        <v>0</v>
      </c>
      <c r="W349" s="116">
        <f t="shared" si="142"/>
        <v>0</v>
      </c>
      <c r="X349" s="116">
        <f t="shared" si="143"/>
        <v>0</v>
      </c>
      <c r="Y349" s="116">
        <f t="shared" si="144"/>
        <v>0</v>
      </c>
      <c r="Z349" s="116">
        <f t="shared" si="145"/>
        <v>0</v>
      </c>
      <c r="AA349" s="116">
        <f t="shared" si="146"/>
        <v>7674.5</v>
      </c>
      <c r="AB349" s="116">
        <f t="shared" si="147"/>
        <v>11313.66</v>
      </c>
      <c r="AC349" s="116">
        <f t="shared" si="148"/>
        <v>0</v>
      </c>
      <c r="AD349" s="116">
        <f t="shared" si="149"/>
        <v>0</v>
      </c>
      <c r="AE349" s="116">
        <f t="shared" si="150"/>
        <v>0</v>
      </c>
    </row>
    <row r="350" spans="1:31">
      <c r="A350" s="131">
        <v>42231</v>
      </c>
      <c r="B350" s="131">
        <v>42262</v>
      </c>
      <c r="C350" s="123">
        <f t="shared" ref="C350:C414" si="151">B350-A350</f>
        <v>31</v>
      </c>
      <c r="D350" s="132">
        <v>6008.14</v>
      </c>
      <c r="E350" s="134"/>
      <c r="F350" s="135"/>
      <c r="G350" s="123"/>
      <c r="H350" s="123"/>
      <c r="I350" s="123"/>
      <c r="J350" s="123"/>
      <c r="K350" s="123"/>
      <c r="L350" s="123"/>
      <c r="M350" s="123">
        <v>17</v>
      </c>
      <c r="N350" s="123">
        <v>14</v>
      </c>
      <c r="O350" s="123"/>
      <c r="P350" s="123"/>
      <c r="Q350" s="123"/>
      <c r="R350" s="133">
        <f t="shared" si="135"/>
        <v>0</v>
      </c>
      <c r="S350" s="133"/>
      <c r="T350" s="116">
        <f t="shared" si="139"/>
        <v>0</v>
      </c>
      <c r="U350" s="116">
        <f t="shared" si="140"/>
        <v>0</v>
      </c>
      <c r="V350" s="116">
        <f t="shared" si="141"/>
        <v>0</v>
      </c>
      <c r="W350" s="116">
        <f t="shared" si="142"/>
        <v>0</v>
      </c>
      <c r="X350" s="116">
        <f t="shared" si="143"/>
        <v>0</v>
      </c>
      <c r="Y350" s="116">
        <f t="shared" si="144"/>
        <v>0</v>
      </c>
      <c r="Z350" s="116">
        <f t="shared" si="145"/>
        <v>0</v>
      </c>
      <c r="AA350" s="116">
        <f t="shared" si="146"/>
        <v>37419.49</v>
      </c>
      <c r="AB350" s="116">
        <f t="shared" si="147"/>
        <v>32809.599999999999</v>
      </c>
      <c r="AC350" s="116">
        <f t="shared" si="148"/>
        <v>0</v>
      </c>
      <c r="AD350" s="116">
        <f t="shared" si="149"/>
        <v>0</v>
      </c>
      <c r="AE350" s="116">
        <f t="shared" si="150"/>
        <v>0</v>
      </c>
    </row>
    <row r="351" spans="1:31">
      <c r="A351" s="131">
        <v>42231</v>
      </c>
      <c r="B351" s="131">
        <v>42262</v>
      </c>
      <c r="C351" s="123">
        <f t="shared" si="151"/>
        <v>31</v>
      </c>
      <c r="D351" s="132">
        <v>11860.44</v>
      </c>
      <c r="E351" s="134"/>
      <c r="F351" s="135"/>
      <c r="G351" s="123"/>
      <c r="H351" s="123"/>
      <c r="I351" s="123"/>
      <c r="J351" s="123"/>
      <c r="K351" s="123"/>
      <c r="L351" s="123"/>
      <c r="M351" s="123">
        <v>17</v>
      </c>
      <c r="N351" s="123">
        <v>14</v>
      </c>
      <c r="O351" s="123"/>
      <c r="P351" s="123"/>
      <c r="Q351" s="123"/>
      <c r="R351" s="133">
        <f t="shared" si="135"/>
        <v>0</v>
      </c>
      <c r="S351" s="133"/>
      <c r="T351" s="116">
        <f t="shared" si="139"/>
        <v>0</v>
      </c>
      <c r="U351" s="116">
        <f t="shared" si="140"/>
        <v>0</v>
      </c>
      <c r="V351" s="116">
        <f t="shared" si="141"/>
        <v>0</v>
      </c>
      <c r="W351" s="116">
        <f t="shared" si="142"/>
        <v>0</v>
      </c>
      <c r="X351" s="116">
        <f t="shared" si="143"/>
        <v>0</v>
      </c>
      <c r="Y351" s="116">
        <f t="shared" si="144"/>
        <v>0</v>
      </c>
      <c r="Z351" s="116">
        <f t="shared" si="145"/>
        <v>0</v>
      </c>
      <c r="AA351" s="116">
        <f t="shared" si="146"/>
        <v>73868.399999999994</v>
      </c>
      <c r="AB351" s="116">
        <f t="shared" si="147"/>
        <v>64768.17</v>
      </c>
      <c r="AC351" s="116">
        <f t="shared" si="148"/>
        <v>0</v>
      </c>
      <c r="AD351" s="116">
        <f t="shared" si="149"/>
        <v>0</v>
      </c>
      <c r="AE351" s="116">
        <f t="shared" si="150"/>
        <v>0</v>
      </c>
    </row>
    <row r="352" spans="1:31">
      <c r="A352" s="131">
        <v>42231</v>
      </c>
      <c r="B352" s="131">
        <v>42262</v>
      </c>
      <c r="C352" s="123">
        <f t="shared" si="151"/>
        <v>31</v>
      </c>
      <c r="D352" s="132">
        <v>2869.39</v>
      </c>
      <c r="E352" s="134"/>
      <c r="F352" s="135"/>
      <c r="G352" s="123"/>
      <c r="H352" s="123"/>
      <c r="I352" s="123"/>
      <c r="J352" s="123"/>
      <c r="K352" s="123"/>
      <c r="L352" s="123"/>
      <c r="M352" s="123">
        <v>17</v>
      </c>
      <c r="N352" s="123">
        <v>14</v>
      </c>
      <c r="O352" s="123"/>
      <c r="P352" s="123"/>
      <c r="Q352" s="123"/>
      <c r="R352" s="133">
        <f t="shared" si="135"/>
        <v>0</v>
      </c>
      <c r="S352" s="133"/>
      <c r="T352" s="116">
        <f t="shared" si="139"/>
        <v>0</v>
      </c>
      <c r="U352" s="116">
        <f t="shared" si="140"/>
        <v>0</v>
      </c>
      <c r="V352" s="116">
        <f t="shared" si="141"/>
        <v>0</v>
      </c>
      <c r="W352" s="116">
        <f t="shared" si="142"/>
        <v>0</v>
      </c>
      <c r="X352" s="116">
        <f t="shared" si="143"/>
        <v>0</v>
      </c>
      <c r="Y352" s="116">
        <f t="shared" si="144"/>
        <v>0</v>
      </c>
      <c r="Z352" s="116">
        <f t="shared" si="145"/>
        <v>0</v>
      </c>
      <c r="AA352" s="116">
        <f t="shared" si="146"/>
        <v>17870.939999999999</v>
      </c>
      <c r="AB352" s="116">
        <f t="shared" si="147"/>
        <v>15669.33</v>
      </c>
      <c r="AC352" s="116">
        <f t="shared" si="148"/>
        <v>0</v>
      </c>
      <c r="AD352" s="116">
        <f t="shared" si="149"/>
        <v>0</v>
      </c>
      <c r="AE352" s="116">
        <f t="shared" si="150"/>
        <v>0</v>
      </c>
    </row>
    <row r="353" spans="1:31">
      <c r="A353" s="131">
        <v>42242</v>
      </c>
      <c r="B353" s="131">
        <v>42273</v>
      </c>
      <c r="C353" s="123">
        <f t="shared" si="151"/>
        <v>31</v>
      </c>
      <c r="D353" s="132">
        <v>1028.77</v>
      </c>
      <c r="E353" s="134"/>
      <c r="F353" s="135"/>
      <c r="G353" s="123"/>
      <c r="H353" s="123"/>
      <c r="I353" s="123"/>
      <c r="J353" s="123"/>
      <c r="K353" s="123"/>
      <c r="L353" s="123"/>
      <c r="M353" s="123">
        <v>6</v>
      </c>
      <c r="N353" s="123">
        <v>25</v>
      </c>
      <c r="O353" s="123"/>
      <c r="P353" s="123"/>
      <c r="Q353" s="123"/>
      <c r="R353" s="133">
        <f t="shared" si="135"/>
        <v>0</v>
      </c>
      <c r="S353" s="133"/>
      <c r="T353" s="116">
        <f t="shared" si="139"/>
        <v>0</v>
      </c>
      <c r="U353" s="116">
        <f t="shared" si="140"/>
        <v>0</v>
      </c>
      <c r="V353" s="116">
        <f t="shared" si="141"/>
        <v>0</v>
      </c>
      <c r="W353" s="116">
        <f t="shared" si="142"/>
        <v>0</v>
      </c>
      <c r="X353" s="116">
        <f t="shared" si="143"/>
        <v>0</v>
      </c>
      <c r="Y353" s="116">
        <f t="shared" si="144"/>
        <v>0</v>
      </c>
      <c r="Z353" s="116">
        <f t="shared" si="145"/>
        <v>0</v>
      </c>
      <c r="AA353" s="116">
        <f t="shared" si="146"/>
        <v>2261.41</v>
      </c>
      <c r="AB353" s="116">
        <f t="shared" si="147"/>
        <v>10032.08</v>
      </c>
      <c r="AC353" s="116">
        <f t="shared" si="148"/>
        <v>0</v>
      </c>
      <c r="AD353" s="116">
        <f t="shared" si="149"/>
        <v>0</v>
      </c>
      <c r="AE353" s="116">
        <f t="shared" si="150"/>
        <v>0</v>
      </c>
    </row>
    <row r="354" spans="1:31">
      <c r="A354" s="131">
        <v>42242</v>
      </c>
      <c r="B354" s="131">
        <v>42273</v>
      </c>
      <c r="C354" s="123">
        <f t="shared" si="151"/>
        <v>31</v>
      </c>
      <c r="D354" s="132">
        <v>1089.02</v>
      </c>
      <c r="E354" s="134"/>
      <c r="F354" s="135"/>
      <c r="G354" s="123"/>
      <c r="H354" s="123"/>
      <c r="I354" s="123"/>
      <c r="J354" s="123"/>
      <c r="K354" s="123"/>
      <c r="L354" s="123"/>
      <c r="M354" s="123">
        <v>6</v>
      </c>
      <c r="N354" s="123">
        <v>25</v>
      </c>
      <c r="O354" s="123"/>
      <c r="P354" s="123"/>
      <c r="Q354" s="123"/>
      <c r="R354" s="133">
        <f t="shared" si="135"/>
        <v>0</v>
      </c>
      <c r="S354" s="133"/>
      <c r="T354" s="116">
        <f t="shared" si="139"/>
        <v>0</v>
      </c>
      <c r="U354" s="116">
        <f t="shared" si="140"/>
        <v>0</v>
      </c>
      <c r="V354" s="116">
        <f t="shared" si="141"/>
        <v>0</v>
      </c>
      <c r="W354" s="116">
        <f t="shared" si="142"/>
        <v>0</v>
      </c>
      <c r="X354" s="116">
        <f t="shared" si="143"/>
        <v>0</v>
      </c>
      <c r="Y354" s="116">
        <f t="shared" si="144"/>
        <v>0</v>
      </c>
      <c r="Z354" s="116">
        <f t="shared" si="145"/>
        <v>0</v>
      </c>
      <c r="AA354" s="116">
        <f t="shared" si="146"/>
        <v>2393.85</v>
      </c>
      <c r="AB354" s="116">
        <f t="shared" si="147"/>
        <v>10619.61</v>
      </c>
      <c r="AC354" s="116">
        <f t="shared" si="148"/>
        <v>0</v>
      </c>
      <c r="AD354" s="116">
        <f t="shared" si="149"/>
        <v>0</v>
      </c>
      <c r="AE354" s="116">
        <f t="shared" si="150"/>
        <v>0</v>
      </c>
    </row>
    <row r="355" spans="1:31">
      <c r="A355" s="131">
        <v>42244</v>
      </c>
      <c r="B355" s="131">
        <v>42275</v>
      </c>
      <c r="C355" s="123">
        <f t="shared" si="151"/>
        <v>31</v>
      </c>
      <c r="D355" s="132">
        <v>762.87</v>
      </c>
      <c r="E355" s="134"/>
      <c r="F355" s="135"/>
      <c r="G355" s="123"/>
      <c r="H355" s="123"/>
      <c r="I355" s="123"/>
      <c r="J355" s="123"/>
      <c r="K355" s="123"/>
      <c r="L355" s="123"/>
      <c r="M355" s="123">
        <v>4</v>
      </c>
      <c r="N355" s="123">
        <v>27</v>
      </c>
      <c r="O355" s="123"/>
      <c r="P355" s="123"/>
      <c r="Q355" s="123"/>
      <c r="R355" s="133">
        <f t="shared" si="135"/>
        <v>0</v>
      </c>
      <c r="S355" s="133"/>
      <c r="T355" s="116">
        <f t="shared" si="139"/>
        <v>0</v>
      </c>
      <c r="U355" s="116">
        <f t="shared" si="140"/>
        <v>0</v>
      </c>
      <c r="V355" s="116">
        <f t="shared" si="141"/>
        <v>0</v>
      </c>
      <c r="W355" s="116">
        <f t="shared" si="142"/>
        <v>0</v>
      </c>
      <c r="X355" s="116">
        <f t="shared" si="143"/>
        <v>0</v>
      </c>
      <c r="Y355" s="116">
        <f t="shared" si="144"/>
        <v>0</v>
      </c>
      <c r="Z355" s="116">
        <f t="shared" si="145"/>
        <v>0</v>
      </c>
      <c r="AA355" s="116">
        <f t="shared" si="146"/>
        <v>1117.94</v>
      </c>
      <c r="AB355" s="116">
        <f t="shared" si="147"/>
        <v>8034.28</v>
      </c>
      <c r="AC355" s="116">
        <f t="shared" si="148"/>
        <v>0</v>
      </c>
      <c r="AD355" s="116">
        <f t="shared" si="149"/>
        <v>0</v>
      </c>
      <c r="AE355" s="116">
        <f t="shared" si="150"/>
        <v>0</v>
      </c>
    </row>
    <row r="356" spans="1:31">
      <c r="A356" s="131">
        <v>42244</v>
      </c>
      <c r="B356" s="131">
        <v>42275</v>
      </c>
      <c r="C356" s="123">
        <f t="shared" si="151"/>
        <v>31</v>
      </c>
      <c r="D356" s="132">
        <v>1828.14</v>
      </c>
      <c r="E356" s="134"/>
      <c r="F356" s="135"/>
      <c r="G356" s="123"/>
      <c r="H356" s="123"/>
      <c r="I356" s="123"/>
      <c r="J356" s="123"/>
      <c r="K356" s="123"/>
      <c r="L356" s="123"/>
      <c r="M356" s="123">
        <v>4</v>
      </c>
      <c r="N356" s="123">
        <v>27</v>
      </c>
      <c r="O356" s="123"/>
      <c r="P356" s="123"/>
      <c r="Q356" s="123"/>
      <c r="R356" s="133">
        <f t="shared" si="135"/>
        <v>0</v>
      </c>
      <c r="S356" s="133"/>
      <c r="T356" s="116">
        <f t="shared" si="139"/>
        <v>0</v>
      </c>
      <c r="U356" s="116">
        <f t="shared" si="140"/>
        <v>0</v>
      </c>
      <c r="V356" s="116">
        <f t="shared" si="141"/>
        <v>0</v>
      </c>
      <c r="W356" s="116">
        <f t="shared" si="142"/>
        <v>0</v>
      </c>
      <c r="X356" s="116">
        <f t="shared" si="143"/>
        <v>0</v>
      </c>
      <c r="Y356" s="116">
        <f t="shared" si="144"/>
        <v>0</v>
      </c>
      <c r="Z356" s="116">
        <f t="shared" si="145"/>
        <v>0</v>
      </c>
      <c r="AA356" s="116">
        <f t="shared" si="146"/>
        <v>2679.04</v>
      </c>
      <c r="AB356" s="116">
        <f t="shared" si="147"/>
        <v>19253.34</v>
      </c>
      <c r="AC356" s="116">
        <f t="shared" si="148"/>
        <v>0</v>
      </c>
      <c r="AD356" s="116">
        <f t="shared" si="149"/>
        <v>0</v>
      </c>
      <c r="AE356" s="116">
        <f t="shared" si="150"/>
        <v>0</v>
      </c>
    </row>
    <row r="357" spans="1:31">
      <c r="A357" s="131">
        <v>42238</v>
      </c>
      <c r="B357" s="131">
        <v>42269</v>
      </c>
      <c r="C357" s="123">
        <f t="shared" si="151"/>
        <v>31</v>
      </c>
      <c r="D357" s="110">
        <v>215387.49</v>
      </c>
      <c r="E357" s="134"/>
      <c r="F357" s="135"/>
      <c r="G357" s="123"/>
      <c r="H357" s="123"/>
      <c r="I357" s="123"/>
      <c r="J357" s="123"/>
      <c r="K357" s="123"/>
      <c r="L357" s="123"/>
      <c r="M357" s="123">
        <v>10</v>
      </c>
      <c r="N357" s="123">
        <v>21</v>
      </c>
      <c r="O357" s="123"/>
      <c r="P357" s="123"/>
      <c r="Q357" s="123"/>
      <c r="R357" s="133">
        <f t="shared" si="135"/>
        <v>0</v>
      </c>
      <c r="S357" s="133"/>
      <c r="T357" s="116">
        <f t="shared" si="139"/>
        <v>0</v>
      </c>
      <c r="U357" s="116">
        <f t="shared" si="140"/>
        <v>0</v>
      </c>
      <c r="V357" s="116">
        <f t="shared" si="141"/>
        <v>0</v>
      </c>
      <c r="W357" s="116">
        <f t="shared" si="142"/>
        <v>0</v>
      </c>
      <c r="X357" s="116">
        <f t="shared" si="143"/>
        <v>0</v>
      </c>
      <c r="Y357" s="116">
        <f t="shared" si="144"/>
        <v>0</v>
      </c>
      <c r="Z357" s="116">
        <f t="shared" si="145"/>
        <v>0</v>
      </c>
      <c r="AA357" s="116">
        <f>2549743.57-AB357</f>
        <v>845549.92999999993</v>
      </c>
      <c r="AB357" s="116">
        <v>1704193.64</v>
      </c>
      <c r="AC357" s="116">
        <f t="shared" si="148"/>
        <v>0</v>
      </c>
      <c r="AD357" s="116">
        <f t="shared" si="149"/>
        <v>0</v>
      </c>
      <c r="AE357" s="116">
        <f t="shared" si="150"/>
        <v>0</v>
      </c>
    </row>
    <row r="358" spans="1:31">
      <c r="A358" s="131">
        <v>42247</v>
      </c>
      <c r="B358" s="131">
        <v>42278</v>
      </c>
      <c r="C358" s="123">
        <f t="shared" si="151"/>
        <v>31</v>
      </c>
      <c r="D358" s="132">
        <v>216.64</v>
      </c>
      <c r="E358" s="134"/>
      <c r="F358" s="135"/>
      <c r="G358" s="123"/>
      <c r="H358" s="123"/>
      <c r="I358" s="123"/>
      <c r="J358" s="123"/>
      <c r="K358" s="123"/>
      <c r="L358" s="123"/>
      <c r="M358" s="123">
        <v>1</v>
      </c>
      <c r="N358" s="123">
        <v>30</v>
      </c>
      <c r="O358" s="123"/>
      <c r="P358" s="123"/>
      <c r="Q358" s="123"/>
      <c r="R358" s="133">
        <f t="shared" si="135"/>
        <v>0</v>
      </c>
      <c r="S358" s="133"/>
      <c r="T358" s="116">
        <f t="shared" si="139"/>
        <v>0</v>
      </c>
      <c r="U358" s="116">
        <f t="shared" si="140"/>
        <v>0</v>
      </c>
      <c r="V358" s="116">
        <f t="shared" si="141"/>
        <v>0</v>
      </c>
      <c r="W358" s="116">
        <f t="shared" si="142"/>
        <v>0</v>
      </c>
      <c r="X358" s="116">
        <f t="shared" si="143"/>
        <v>0</v>
      </c>
      <c r="Y358" s="116">
        <f t="shared" si="144"/>
        <v>0</v>
      </c>
      <c r="Z358" s="116">
        <f t="shared" si="145"/>
        <v>0</v>
      </c>
      <c r="AA358" s="116">
        <f>ROUND(($D358*$M358/$C358)/$C$13,2)</f>
        <v>79.37</v>
      </c>
      <c r="AB358" s="116">
        <f>ROUND(($D358*$N358/$C358)/$C$14,2)</f>
        <v>2535.09</v>
      </c>
      <c r="AC358" s="116">
        <f t="shared" si="148"/>
        <v>0</v>
      </c>
      <c r="AD358" s="116">
        <f t="shared" si="149"/>
        <v>0</v>
      </c>
      <c r="AE358" s="116">
        <f t="shared" si="150"/>
        <v>0</v>
      </c>
    </row>
    <row r="359" spans="1:31">
      <c r="A359" s="131">
        <v>42247</v>
      </c>
      <c r="B359" s="131">
        <v>42277</v>
      </c>
      <c r="C359" s="123">
        <f t="shared" si="151"/>
        <v>30</v>
      </c>
      <c r="D359" s="132">
        <v>6477.26</v>
      </c>
      <c r="E359" s="134"/>
      <c r="F359" s="135"/>
      <c r="G359" s="123"/>
      <c r="H359" s="123"/>
      <c r="I359" s="123"/>
      <c r="J359" s="123"/>
      <c r="K359" s="123"/>
      <c r="L359" s="123"/>
      <c r="M359" s="123">
        <v>1</v>
      </c>
      <c r="N359" s="123">
        <v>29</v>
      </c>
      <c r="O359" s="123"/>
      <c r="P359" s="123"/>
      <c r="Q359" s="123"/>
      <c r="R359" s="133">
        <f t="shared" si="135"/>
        <v>0</v>
      </c>
      <c r="S359" s="133"/>
      <c r="T359" s="116">
        <f t="shared" si="139"/>
        <v>0</v>
      </c>
      <c r="U359" s="116">
        <f t="shared" si="140"/>
        <v>0</v>
      </c>
      <c r="V359" s="116">
        <f t="shared" si="141"/>
        <v>0</v>
      </c>
      <c r="W359" s="116">
        <f t="shared" si="142"/>
        <v>0</v>
      </c>
      <c r="X359" s="116">
        <f t="shared" si="143"/>
        <v>0</v>
      </c>
      <c r="Y359" s="116">
        <f t="shared" si="144"/>
        <v>0</v>
      </c>
      <c r="Z359" s="116">
        <f t="shared" si="145"/>
        <v>0</v>
      </c>
      <c r="AA359" s="116">
        <v>2779.24</v>
      </c>
      <c r="AB359" s="116">
        <f>83377.1-AA359</f>
        <v>80597.86</v>
      </c>
      <c r="AC359" s="116">
        <f t="shared" si="148"/>
        <v>0</v>
      </c>
      <c r="AD359" s="116">
        <f t="shared" si="149"/>
        <v>0</v>
      </c>
      <c r="AE359" s="116">
        <f t="shared" si="150"/>
        <v>0</v>
      </c>
    </row>
    <row r="360" spans="1:31">
      <c r="A360" s="131">
        <v>42248</v>
      </c>
      <c r="B360" s="131">
        <v>42278</v>
      </c>
      <c r="C360" s="123">
        <f t="shared" si="151"/>
        <v>30</v>
      </c>
      <c r="D360" s="110">
        <v>12580.61</v>
      </c>
      <c r="E360" s="134"/>
      <c r="F360" s="135"/>
      <c r="G360" s="123"/>
      <c r="H360" s="123"/>
      <c r="I360" s="123"/>
      <c r="J360" s="123"/>
      <c r="K360" s="123"/>
      <c r="L360" s="123"/>
      <c r="M360" s="123"/>
      <c r="N360" s="123">
        <v>30</v>
      </c>
      <c r="O360" s="123"/>
      <c r="P360" s="123"/>
      <c r="Q360" s="123"/>
      <c r="R360" s="133">
        <f t="shared" si="135"/>
        <v>0</v>
      </c>
      <c r="S360" s="133"/>
      <c r="T360" s="116">
        <f t="shared" si="139"/>
        <v>0</v>
      </c>
      <c r="U360" s="116">
        <f t="shared" si="140"/>
        <v>0</v>
      </c>
      <c r="V360" s="116">
        <f t="shared" si="141"/>
        <v>0</v>
      </c>
      <c r="W360" s="116">
        <f t="shared" si="142"/>
        <v>0</v>
      </c>
      <c r="X360" s="116">
        <f t="shared" si="143"/>
        <v>0</v>
      </c>
      <c r="Y360" s="116">
        <f t="shared" si="144"/>
        <v>0</v>
      </c>
      <c r="Z360" s="116">
        <f t="shared" si="145"/>
        <v>0</v>
      </c>
      <c r="AA360" s="116">
        <f t="shared" ref="AA360:AA367" si="152">ROUND(($D360*$M360/$C360)/$C$13,2)</f>
        <v>0</v>
      </c>
      <c r="AB360" s="116">
        <f t="shared" ref="AB360:AB367" si="153">ROUND(($D360*$N360/$C360)/$C$14,2)</f>
        <v>152123.46</v>
      </c>
      <c r="AC360" s="116">
        <f t="shared" si="148"/>
        <v>0</v>
      </c>
      <c r="AD360" s="116">
        <f t="shared" si="149"/>
        <v>0</v>
      </c>
      <c r="AE360" s="116">
        <f t="shared" si="150"/>
        <v>0</v>
      </c>
    </row>
    <row r="361" spans="1:31">
      <c r="A361" s="131">
        <v>42248</v>
      </c>
      <c r="B361" s="131">
        <v>42278</v>
      </c>
      <c r="C361" s="123">
        <f t="shared" si="151"/>
        <v>30</v>
      </c>
      <c r="D361" s="110">
        <v>49412.78</v>
      </c>
      <c r="E361" s="134"/>
      <c r="F361" s="135"/>
      <c r="G361" s="123"/>
      <c r="H361" s="123"/>
      <c r="I361" s="123"/>
      <c r="J361" s="123"/>
      <c r="K361" s="123"/>
      <c r="L361" s="123"/>
      <c r="M361" s="123"/>
      <c r="N361" s="123">
        <v>30</v>
      </c>
      <c r="O361" s="123"/>
      <c r="P361" s="123"/>
      <c r="Q361" s="123"/>
      <c r="R361" s="133">
        <f t="shared" si="135"/>
        <v>0</v>
      </c>
      <c r="S361" s="133"/>
      <c r="T361" s="116">
        <f t="shared" si="139"/>
        <v>0</v>
      </c>
      <c r="U361" s="116">
        <f t="shared" si="140"/>
        <v>0</v>
      </c>
      <c r="V361" s="116">
        <f t="shared" si="141"/>
        <v>0</v>
      </c>
      <c r="W361" s="116">
        <f t="shared" si="142"/>
        <v>0</v>
      </c>
      <c r="X361" s="116">
        <f t="shared" si="143"/>
        <v>0</v>
      </c>
      <c r="Y361" s="116">
        <f t="shared" si="144"/>
        <v>0</v>
      </c>
      <c r="Z361" s="116">
        <f t="shared" si="145"/>
        <v>0</v>
      </c>
      <c r="AA361" s="116">
        <f t="shared" si="152"/>
        <v>0</v>
      </c>
      <c r="AB361" s="116">
        <f t="shared" si="153"/>
        <v>597494.31999999995</v>
      </c>
      <c r="AC361" s="116">
        <f t="shared" si="148"/>
        <v>0</v>
      </c>
      <c r="AD361" s="116">
        <f t="shared" si="149"/>
        <v>0</v>
      </c>
      <c r="AE361" s="116">
        <f t="shared" si="150"/>
        <v>0</v>
      </c>
    </row>
    <row r="362" spans="1:31">
      <c r="A362" s="131">
        <v>42248</v>
      </c>
      <c r="B362" s="131">
        <v>42278</v>
      </c>
      <c r="C362" s="123">
        <f t="shared" si="151"/>
        <v>30</v>
      </c>
      <c r="D362" s="110">
        <v>165651.35</v>
      </c>
      <c r="E362" s="134"/>
      <c r="F362" s="135"/>
      <c r="G362" s="123"/>
      <c r="H362" s="123"/>
      <c r="I362" s="123"/>
      <c r="J362" s="123"/>
      <c r="K362" s="123"/>
      <c r="L362" s="123"/>
      <c r="M362" s="123"/>
      <c r="N362" s="123">
        <v>30</v>
      </c>
      <c r="O362" s="123"/>
      <c r="P362" s="123"/>
      <c r="Q362" s="123"/>
      <c r="R362" s="133">
        <f t="shared" si="135"/>
        <v>0</v>
      </c>
      <c r="S362" s="133"/>
      <c r="T362" s="116">
        <f t="shared" si="139"/>
        <v>0</v>
      </c>
      <c r="U362" s="116">
        <f t="shared" si="140"/>
        <v>0</v>
      </c>
      <c r="V362" s="116">
        <f t="shared" si="141"/>
        <v>0</v>
      </c>
      <c r="W362" s="116">
        <f t="shared" si="142"/>
        <v>0</v>
      </c>
      <c r="X362" s="116">
        <f t="shared" si="143"/>
        <v>0</v>
      </c>
      <c r="Y362" s="116">
        <f t="shared" si="144"/>
        <v>0</v>
      </c>
      <c r="Z362" s="116">
        <f t="shared" si="145"/>
        <v>0</v>
      </c>
      <c r="AA362" s="116">
        <f t="shared" si="152"/>
        <v>0</v>
      </c>
      <c r="AB362" s="116">
        <f t="shared" si="153"/>
        <v>2003039.3</v>
      </c>
      <c r="AC362" s="116">
        <f t="shared" si="148"/>
        <v>0</v>
      </c>
      <c r="AD362" s="116">
        <f t="shared" si="149"/>
        <v>0</v>
      </c>
      <c r="AE362" s="116">
        <f t="shared" si="150"/>
        <v>0</v>
      </c>
    </row>
    <row r="363" spans="1:31">
      <c r="A363" s="131">
        <v>42248</v>
      </c>
      <c r="B363" s="131">
        <v>42278</v>
      </c>
      <c r="C363" s="123">
        <f t="shared" si="151"/>
        <v>30</v>
      </c>
      <c r="D363" s="110">
        <v>2726.82</v>
      </c>
      <c r="E363" s="134"/>
      <c r="F363" s="135"/>
      <c r="G363" s="123"/>
      <c r="H363" s="123"/>
      <c r="I363" s="123"/>
      <c r="J363" s="123"/>
      <c r="K363" s="123"/>
      <c r="L363" s="123"/>
      <c r="M363" s="123"/>
      <c r="N363" s="123">
        <v>30</v>
      </c>
      <c r="O363" s="123"/>
      <c r="P363" s="123"/>
      <c r="Q363" s="123"/>
      <c r="R363" s="133">
        <f t="shared" si="135"/>
        <v>0</v>
      </c>
      <c r="S363" s="133"/>
      <c r="T363" s="116">
        <f t="shared" si="139"/>
        <v>0</v>
      </c>
      <c r="U363" s="116">
        <f t="shared" si="140"/>
        <v>0</v>
      </c>
      <c r="V363" s="116">
        <f t="shared" si="141"/>
        <v>0</v>
      </c>
      <c r="W363" s="116">
        <f t="shared" si="142"/>
        <v>0</v>
      </c>
      <c r="X363" s="116">
        <f t="shared" si="143"/>
        <v>0</v>
      </c>
      <c r="Y363" s="116">
        <f t="shared" si="144"/>
        <v>0</v>
      </c>
      <c r="Z363" s="116">
        <f t="shared" si="145"/>
        <v>0</v>
      </c>
      <c r="AA363" s="116">
        <f t="shared" si="152"/>
        <v>0</v>
      </c>
      <c r="AB363" s="116">
        <f t="shared" si="153"/>
        <v>32972.43</v>
      </c>
      <c r="AC363" s="116">
        <f t="shared" si="148"/>
        <v>0</v>
      </c>
      <c r="AD363" s="116">
        <f t="shared" si="149"/>
        <v>0</v>
      </c>
      <c r="AE363" s="116">
        <f t="shared" si="150"/>
        <v>0</v>
      </c>
    </row>
    <row r="364" spans="1:31">
      <c r="A364" s="131">
        <v>42248</v>
      </c>
      <c r="B364" s="131">
        <v>42278</v>
      </c>
      <c r="C364" s="123">
        <f t="shared" si="151"/>
        <v>30</v>
      </c>
      <c r="D364" s="110">
        <v>1232.02</v>
      </c>
      <c r="E364" s="134"/>
      <c r="F364" s="135"/>
      <c r="G364" s="123"/>
      <c r="H364" s="123"/>
      <c r="I364" s="123"/>
      <c r="J364" s="123"/>
      <c r="K364" s="123"/>
      <c r="L364" s="123"/>
      <c r="M364" s="123"/>
      <c r="N364" s="123">
        <v>30</v>
      </c>
      <c r="O364" s="123"/>
      <c r="P364" s="123"/>
      <c r="Q364" s="123"/>
      <c r="R364" s="133">
        <f t="shared" si="135"/>
        <v>0</v>
      </c>
      <c r="S364" s="133"/>
      <c r="T364" s="116">
        <f t="shared" si="139"/>
        <v>0</v>
      </c>
      <c r="U364" s="116">
        <f t="shared" si="140"/>
        <v>0</v>
      </c>
      <c r="V364" s="116">
        <f t="shared" si="141"/>
        <v>0</v>
      </c>
      <c r="W364" s="116">
        <f t="shared" si="142"/>
        <v>0</v>
      </c>
      <c r="X364" s="116">
        <f t="shared" si="143"/>
        <v>0</v>
      </c>
      <c r="Y364" s="116">
        <f t="shared" si="144"/>
        <v>0</v>
      </c>
      <c r="Z364" s="116">
        <f t="shared" si="145"/>
        <v>0</v>
      </c>
      <c r="AA364" s="116">
        <f t="shared" si="152"/>
        <v>0</v>
      </c>
      <c r="AB364" s="116">
        <f t="shared" si="153"/>
        <v>14897.46</v>
      </c>
      <c r="AC364" s="116">
        <f t="shared" si="148"/>
        <v>0</v>
      </c>
      <c r="AD364" s="116">
        <f t="shared" si="149"/>
        <v>0</v>
      </c>
      <c r="AE364" s="116">
        <f t="shared" si="150"/>
        <v>0</v>
      </c>
    </row>
    <row r="365" spans="1:31">
      <c r="A365" s="131">
        <v>42248</v>
      </c>
      <c r="B365" s="131">
        <v>42278</v>
      </c>
      <c r="C365" s="123">
        <f t="shared" si="151"/>
        <v>30</v>
      </c>
      <c r="D365" s="110">
        <v>1061.54</v>
      </c>
      <c r="E365" s="134"/>
      <c r="F365" s="135"/>
      <c r="G365" s="123"/>
      <c r="H365" s="123"/>
      <c r="I365" s="123"/>
      <c r="J365" s="123"/>
      <c r="K365" s="123"/>
      <c r="L365" s="123"/>
      <c r="M365" s="123"/>
      <c r="N365" s="123">
        <v>30</v>
      </c>
      <c r="O365" s="123"/>
      <c r="P365" s="123"/>
      <c r="Q365" s="123"/>
      <c r="R365" s="133">
        <f t="shared" si="135"/>
        <v>0</v>
      </c>
      <c r="S365" s="133"/>
      <c r="T365" s="116">
        <f t="shared" si="139"/>
        <v>0</v>
      </c>
      <c r="U365" s="116">
        <f t="shared" si="140"/>
        <v>0</v>
      </c>
      <c r="V365" s="116">
        <f t="shared" si="141"/>
        <v>0</v>
      </c>
      <c r="W365" s="116">
        <f t="shared" si="142"/>
        <v>0</v>
      </c>
      <c r="X365" s="116">
        <f t="shared" si="143"/>
        <v>0</v>
      </c>
      <c r="Y365" s="116">
        <f t="shared" si="144"/>
        <v>0</v>
      </c>
      <c r="Z365" s="116">
        <f t="shared" si="145"/>
        <v>0</v>
      </c>
      <c r="AA365" s="116">
        <f t="shared" si="152"/>
        <v>0</v>
      </c>
      <c r="AB365" s="116">
        <f t="shared" si="153"/>
        <v>12836.03</v>
      </c>
      <c r="AC365" s="116">
        <f t="shared" si="148"/>
        <v>0</v>
      </c>
      <c r="AD365" s="116">
        <f t="shared" si="149"/>
        <v>0</v>
      </c>
      <c r="AE365" s="116">
        <f t="shared" si="150"/>
        <v>0</v>
      </c>
    </row>
    <row r="366" spans="1:31">
      <c r="A366" s="131">
        <v>42248</v>
      </c>
      <c r="B366" s="131">
        <v>42278</v>
      </c>
      <c r="C366" s="123">
        <f t="shared" si="151"/>
        <v>30</v>
      </c>
      <c r="D366" s="110">
        <v>204.15</v>
      </c>
      <c r="E366" s="134"/>
      <c r="F366" s="135"/>
      <c r="G366" s="123"/>
      <c r="H366" s="123"/>
      <c r="I366" s="123"/>
      <c r="J366" s="123"/>
      <c r="K366" s="123"/>
      <c r="L366" s="123"/>
      <c r="M366" s="123"/>
      <c r="N366" s="123">
        <v>30</v>
      </c>
      <c r="O366" s="123"/>
      <c r="P366" s="123"/>
      <c r="Q366" s="123"/>
      <c r="R366" s="133">
        <f t="shared" si="135"/>
        <v>0</v>
      </c>
      <c r="S366" s="133"/>
      <c r="T366" s="116">
        <f t="shared" si="139"/>
        <v>0</v>
      </c>
      <c r="U366" s="116">
        <f t="shared" si="140"/>
        <v>0</v>
      </c>
      <c r="V366" s="116">
        <f t="shared" si="141"/>
        <v>0</v>
      </c>
      <c r="W366" s="116">
        <f t="shared" si="142"/>
        <v>0</v>
      </c>
      <c r="X366" s="116">
        <f t="shared" si="143"/>
        <v>0</v>
      </c>
      <c r="Y366" s="116">
        <f t="shared" si="144"/>
        <v>0</v>
      </c>
      <c r="Z366" s="116">
        <f t="shared" si="145"/>
        <v>0</v>
      </c>
      <c r="AA366" s="116">
        <f t="shared" si="152"/>
        <v>0</v>
      </c>
      <c r="AB366" s="116">
        <f t="shared" si="153"/>
        <v>2468.56</v>
      </c>
      <c r="AC366" s="116">
        <f t="shared" si="148"/>
        <v>0</v>
      </c>
      <c r="AD366" s="116">
        <f t="shared" si="149"/>
        <v>0</v>
      </c>
      <c r="AE366" s="116">
        <f t="shared" si="150"/>
        <v>0</v>
      </c>
    </row>
    <row r="367" spans="1:31">
      <c r="A367" s="131">
        <v>42248</v>
      </c>
      <c r="B367" s="131">
        <v>42278</v>
      </c>
      <c r="C367" s="123">
        <f t="shared" si="151"/>
        <v>30</v>
      </c>
      <c r="D367" s="110">
        <v>502.67</v>
      </c>
      <c r="E367" s="134"/>
      <c r="F367" s="135"/>
      <c r="G367" s="123"/>
      <c r="H367" s="123"/>
      <c r="I367" s="123"/>
      <c r="J367" s="123"/>
      <c r="K367" s="123"/>
      <c r="L367" s="123"/>
      <c r="M367" s="123"/>
      <c r="N367" s="123">
        <v>30</v>
      </c>
      <c r="O367" s="123"/>
      <c r="P367" s="123"/>
      <c r="Q367" s="123"/>
      <c r="R367" s="133">
        <f t="shared" si="135"/>
        <v>0</v>
      </c>
      <c r="S367" s="133"/>
      <c r="T367" s="116">
        <f t="shared" si="139"/>
        <v>0</v>
      </c>
      <c r="U367" s="116">
        <f t="shared" si="140"/>
        <v>0</v>
      </c>
      <c r="V367" s="116">
        <f t="shared" si="141"/>
        <v>0</v>
      </c>
      <c r="W367" s="116">
        <f t="shared" si="142"/>
        <v>0</v>
      </c>
      <c r="X367" s="116">
        <f t="shared" si="143"/>
        <v>0</v>
      </c>
      <c r="Y367" s="116">
        <f t="shared" si="144"/>
        <v>0</v>
      </c>
      <c r="Z367" s="116">
        <f t="shared" si="145"/>
        <v>0</v>
      </c>
      <c r="AA367" s="116">
        <f t="shared" si="152"/>
        <v>0</v>
      </c>
      <c r="AB367" s="116">
        <f t="shared" si="153"/>
        <v>6078.23</v>
      </c>
      <c r="AC367" s="116">
        <f t="shared" si="148"/>
        <v>0</v>
      </c>
      <c r="AD367" s="116">
        <f t="shared" si="149"/>
        <v>0</v>
      </c>
      <c r="AE367" s="116">
        <f t="shared" si="150"/>
        <v>0</v>
      </c>
    </row>
    <row r="368" spans="1:31">
      <c r="A368" s="131">
        <v>42238</v>
      </c>
      <c r="B368" s="131">
        <v>42269</v>
      </c>
      <c r="C368" s="123">
        <f t="shared" si="151"/>
        <v>31</v>
      </c>
      <c r="D368" s="132">
        <v>3228.28</v>
      </c>
      <c r="E368" s="134"/>
      <c r="F368" s="135"/>
      <c r="G368" s="123"/>
      <c r="H368" s="123"/>
      <c r="I368" s="123"/>
      <c r="J368" s="123"/>
      <c r="K368" s="123"/>
      <c r="L368" s="123"/>
      <c r="M368" s="123">
        <v>10</v>
      </c>
      <c r="N368" s="123">
        <v>21</v>
      </c>
      <c r="O368" s="123"/>
      <c r="P368" s="123"/>
      <c r="Q368" s="123"/>
      <c r="R368" s="133">
        <f t="shared" si="135"/>
        <v>0</v>
      </c>
      <c r="S368" s="133"/>
      <c r="T368" s="116">
        <f t="shared" si="139"/>
        <v>0</v>
      </c>
      <c r="U368" s="116">
        <f t="shared" si="140"/>
        <v>0</v>
      </c>
      <c r="V368" s="116">
        <f t="shared" si="141"/>
        <v>0</v>
      </c>
      <c r="W368" s="116">
        <f t="shared" si="142"/>
        <v>0</v>
      </c>
      <c r="X368" s="116">
        <f t="shared" si="143"/>
        <v>0</v>
      </c>
      <c r="Y368" s="116">
        <f t="shared" si="144"/>
        <v>0</v>
      </c>
      <c r="Z368" s="116">
        <f t="shared" si="145"/>
        <v>0</v>
      </c>
      <c r="AA368" s="116">
        <f>38291.33-AB368</f>
        <v>12352.050000000003</v>
      </c>
      <c r="AB368" s="116">
        <v>25939.279999999999</v>
      </c>
      <c r="AC368" s="116">
        <f t="shared" si="148"/>
        <v>0</v>
      </c>
      <c r="AD368" s="116">
        <f t="shared" si="149"/>
        <v>0</v>
      </c>
      <c r="AE368" s="116">
        <f t="shared" si="150"/>
        <v>0</v>
      </c>
    </row>
    <row r="369" spans="1:31">
      <c r="A369" s="131">
        <v>42252</v>
      </c>
      <c r="B369" s="131">
        <v>42282</v>
      </c>
      <c r="C369" s="123">
        <f t="shared" si="151"/>
        <v>30</v>
      </c>
      <c r="D369" s="132">
        <v>1115.48</v>
      </c>
      <c r="E369" s="134"/>
      <c r="F369" s="135"/>
      <c r="G369" s="123"/>
      <c r="H369" s="123"/>
      <c r="I369" s="123"/>
      <c r="J369" s="123"/>
      <c r="K369" s="123"/>
      <c r="L369" s="123"/>
      <c r="M369" s="123"/>
      <c r="N369" s="123">
        <v>26</v>
      </c>
      <c r="O369" s="123">
        <v>4</v>
      </c>
      <c r="P369" s="123"/>
      <c r="Q369" s="123"/>
      <c r="R369" s="133">
        <f t="shared" si="135"/>
        <v>0</v>
      </c>
      <c r="S369" s="133"/>
      <c r="T369" s="116">
        <f t="shared" si="139"/>
        <v>0</v>
      </c>
      <c r="U369" s="116">
        <f t="shared" si="140"/>
        <v>0</v>
      </c>
      <c r="V369" s="116">
        <f t="shared" si="141"/>
        <v>0</v>
      </c>
      <c r="W369" s="116">
        <f t="shared" si="142"/>
        <v>0</v>
      </c>
      <c r="X369" s="116">
        <f t="shared" si="143"/>
        <v>0</v>
      </c>
      <c r="Y369" s="116">
        <f t="shared" si="144"/>
        <v>0</v>
      </c>
      <c r="Z369" s="116">
        <f t="shared" si="145"/>
        <v>0</v>
      </c>
      <c r="AA369" s="116">
        <f t="shared" ref="AA369:AA379" si="154">ROUND(($D369*$M369/$C369)/$C$13,2)</f>
        <v>0</v>
      </c>
      <c r="AB369" s="116">
        <f t="shared" ref="AB369:AB379" si="155">ROUND(($D369*$N369/$C369)/$C$14,2)</f>
        <v>11689.83</v>
      </c>
      <c r="AC369" s="116">
        <f t="shared" si="148"/>
        <v>2334.4899999999998</v>
      </c>
      <c r="AD369" s="116">
        <f t="shared" si="149"/>
        <v>0</v>
      </c>
      <c r="AE369" s="116">
        <f t="shared" si="150"/>
        <v>0</v>
      </c>
    </row>
    <row r="370" spans="1:31">
      <c r="A370" s="131">
        <v>42252</v>
      </c>
      <c r="B370" s="131">
        <v>42282</v>
      </c>
      <c r="C370" s="123">
        <f t="shared" si="151"/>
        <v>30</v>
      </c>
      <c r="D370" s="132">
        <v>237.38</v>
      </c>
      <c r="E370" s="134"/>
      <c r="F370" s="135"/>
      <c r="G370" s="123"/>
      <c r="H370" s="123"/>
      <c r="I370" s="123"/>
      <c r="J370" s="123"/>
      <c r="K370" s="123"/>
      <c r="L370" s="123"/>
      <c r="M370" s="123"/>
      <c r="N370" s="123">
        <v>26</v>
      </c>
      <c r="O370" s="123">
        <v>4</v>
      </c>
      <c r="P370" s="123"/>
      <c r="Q370" s="123"/>
      <c r="R370" s="133">
        <f t="shared" si="135"/>
        <v>0</v>
      </c>
      <c r="S370" s="133"/>
      <c r="T370" s="116">
        <f t="shared" si="139"/>
        <v>0</v>
      </c>
      <c r="U370" s="116">
        <f t="shared" si="140"/>
        <v>0</v>
      </c>
      <c r="V370" s="116">
        <f t="shared" si="141"/>
        <v>0</v>
      </c>
      <c r="W370" s="116">
        <f t="shared" si="142"/>
        <v>0</v>
      </c>
      <c r="X370" s="116">
        <f t="shared" si="143"/>
        <v>0</v>
      </c>
      <c r="Y370" s="116">
        <f t="shared" si="144"/>
        <v>0</v>
      </c>
      <c r="Z370" s="116">
        <f t="shared" si="145"/>
        <v>0</v>
      </c>
      <c r="AA370" s="116">
        <f t="shared" si="154"/>
        <v>0</v>
      </c>
      <c r="AB370" s="116">
        <f t="shared" si="155"/>
        <v>2487.66</v>
      </c>
      <c r="AC370" s="116">
        <f t="shared" si="148"/>
        <v>496.79</v>
      </c>
      <c r="AD370" s="116">
        <f t="shared" si="149"/>
        <v>0</v>
      </c>
      <c r="AE370" s="116">
        <f t="shared" si="150"/>
        <v>0</v>
      </c>
    </row>
    <row r="371" spans="1:31">
      <c r="A371" s="131">
        <v>42252</v>
      </c>
      <c r="B371" s="131">
        <v>42282</v>
      </c>
      <c r="C371" s="123">
        <f t="shared" si="151"/>
        <v>30</v>
      </c>
      <c r="D371" s="132">
        <v>576.48</v>
      </c>
      <c r="E371" s="134"/>
      <c r="F371" s="135"/>
      <c r="G371" s="123"/>
      <c r="H371" s="123"/>
      <c r="I371" s="123"/>
      <c r="J371" s="123"/>
      <c r="K371" s="123"/>
      <c r="L371" s="123"/>
      <c r="M371" s="123"/>
      <c r="N371" s="123">
        <v>26</v>
      </c>
      <c r="O371" s="123">
        <v>4</v>
      </c>
      <c r="P371" s="123"/>
      <c r="Q371" s="123"/>
      <c r="R371" s="133">
        <f t="shared" si="135"/>
        <v>0</v>
      </c>
      <c r="S371" s="133"/>
      <c r="T371" s="116">
        <f t="shared" si="139"/>
        <v>0</v>
      </c>
      <c r="U371" s="116">
        <f t="shared" si="140"/>
        <v>0</v>
      </c>
      <c r="V371" s="116">
        <f t="shared" si="141"/>
        <v>0</v>
      </c>
      <c r="W371" s="116">
        <f t="shared" si="142"/>
        <v>0</v>
      </c>
      <c r="X371" s="116">
        <f t="shared" si="143"/>
        <v>0</v>
      </c>
      <c r="Y371" s="116">
        <f t="shared" si="144"/>
        <v>0</v>
      </c>
      <c r="Z371" s="116">
        <f t="shared" si="145"/>
        <v>0</v>
      </c>
      <c r="AA371" s="116">
        <f t="shared" si="154"/>
        <v>0</v>
      </c>
      <c r="AB371" s="116">
        <f t="shared" si="155"/>
        <v>6041.31</v>
      </c>
      <c r="AC371" s="116">
        <f t="shared" si="148"/>
        <v>1206.47</v>
      </c>
      <c r="AD371" s="116">
        <f t="shared" si="149"/>
        <v>0</v>
      </c>
      <c r="AE371" s="116">
        <f t="shared" si="150"/>
        <v>0</v>
      </c>
    </row>
    <row r="372" spans="1:31">
      <c r="A372" s="131">
        <v>42255</v>
      </c>
      <c r="B372" s="131">
        <v>42285</v>
      </c>
      <c r="C372" s="123">
        <f t="shared" si="151"/>
        <v>30</v>
      </c>
      <c r="D372" s="132">
        <v>3.5</v>
      </c>
      <c r="E372" s="134"/>
      <c r="F372" s="135"/>
      <c r="G372" s="123"/>
      <c r="H372" s="123"/>
      <c r="I372" s="123"/>
      <c r="J372" s="123"/>
      <c r="K372" s="123"/>
      <c r="L372" s="123"/>
      <c r="M372" s="123"/>
      <c r="N372" s="123">
        <v>23</v>
      </c>
      <c r="O372" s="123">
        <v>7</v>
      </c>
      <c r="P372" s="123"/>
      <c r="Q372" s="123"/>
      <c r="R372" s="133">
        <f t="shared" si="135"/>
        <v>0</v>
      </c>
      <c r="S372" s="133"/>
      <c r="T372" s="116">
        <f t="shared" si="139"/>
        <v>0</v>
      </c>
      <c r="U372" s="116">
        <f t="shared" si="140"/>
        <v>0</v>
      </c>
      <c r="V372" s="116">
        <f t="shared" si="141"/>
        <v>0</v>
      </c>
      <c r="W372" s="116">
        <f t="shared" si="142"/>
        <v>0</v>
      </c>
      <c r="X372" s="116">
        <f t="shared" si="143"/>
        <v>0</v>
      </c>
      <c r="Y372" s="116">
        <f t="shared" si="144"/>
        <v>0</v>
      </c>
      <c r="Z372" s="116">
        <f t="shared" si="145"/>
        <v>0</v>
      </c>
      <c r="AA372" s="116">
        <f t="shared" si="154"/>
        <v>0</v>
      </c>
      <c r="AB372" s="116">
        <f t="shared" si="155"/>
        <v>32.450000000000003</v>
      </c>
      <c r="AC372" s="116">
        <f t="shared" si="148"/>
        <v>12.82</v>
      </c>
      <c r="AD372" s="116">
        <f t="shared" si="149"/>
        <v>0</v>
      </c>
      <c r="AE372" s="116">
        <f t="shared" si="150"/>
        <v>0</v>
      </c>
    </row>
    <row r="373" spans="1:31">
      <c r="A373" s="131">
        <v>42255</v>
      </c>
      <c r="B373" s="131">
        <v>42285</v>
      </c>
      <c r="C373" s="123">
        <f t="shared" si="151"/>
        <v>30</v>
      </c>
      <c r="D373" s="132">
        <v>257.38</v>
      </c>
      <c r="E373" s="134"/>
      <c r="F373" s="135"/>
      <c r="G373" s="123"/>
      <c r="H373" s="123"/>
      <c r="I373" s="123"/>
      <c r="J373" s="123"/>
      <c r="K373" s="123"/>
      <c r="L373" s="123"/>
      <c r="M373" s="123"/>
      <c r="N373" s="123">
        <v>23</v>
      </c>
      <c r="O373" s="123">
        <v>7</v>
      </c>
      <c r="P373" s="123"/>
      <c r="Q373" s="123"/>
      <c r="R373" s="133">
        <f t="shared" si="135"/>
        <v>0</v>
      </c>
      <c r="S373" s="133"/>
      <c r="T373" s="116">
        <f t="shared" si="139"/>
        <v>0</v>
      </c>
      <c r="U373" s="116">
        <f t="shared" si="140"/>
        <v>0</v>
      </c>
      <c r="V373" s="116">
        <f t="shared" si="141"/>
        <v>0</v>
      </c>
      <c r="W373" s="116">
        <f t="shared" si="142"/>
        <v>0</v>
      </c>
      <c r="X373" s="116">
        <f t="shared" si="143"/>
        <v>0</v>
      </c>
      <c r="Y373" s="116">
        <f t="shared" si="144"/>
        <v>0</v>
      </c>
      <c r="Z373" s="116">
        <f t="shared" si="145"/>
        <v>0</v>
      </c>
      <c r="AA373" s="116">
        <f t="shared" si="154"/>
        <v>0</v>
      </c>
      <c r="AB373" s="116">
        <f t="shared" si="155"/>
        <v>2386.0300000000002</v>
      </c>
      <c r="AC373" s="116">
        <f t="shared" si="148"/>
        <v>942.64</v>
      </c>
      <c r="AD373" s="116">
        <f t="shared" si="149"/>
        <v>0</v>
      </c>
      <c r="AE373" s="116">
        <f t="shared" si="150"/>
        <v>0</v>
      </c>
    </row>
    <row r="374" spans="1:31">
      <c r="A374" s="131">
        <v>42255</v>
      </c>
      <c r="B374" s="131">
        <v>42285</v>
      </c>
      <c r="C374" s="123">
        <f t="shared" si="151"/>
        <v>30</v>
      </c>
      <c r="D374" s="132">
        <v>203.99</v>
      </c>
      <c r="E374" s="134"/>
      <c r="F374" s="135"/>
      <c r="G374" s="123"/>
      <c r="H374" s="123"/>
      <c r="I374" s="123"/>
      <c r="J374" s="123"/>
      <c r="K374" s="123"/>
      <c r="L374" s="123"/>
      <c r="M374" s="123"/>
      <c r="N374" s="123">
        <v>23</v>
      </c>
      <c r="O374" s="123">
        <v>7</v>
      </c>
      <c r="P374" s="123"/>
      <c r="Q374" s="123"/>
      <c r="R374" s="133">
        <f t="shared" si="135"/>
        <v>0</v>
      </c>
      <c r="S374" s="133"/>
      <c r="T374" s="116">
        <f t="shared" si="139"/>
        <v>0</v>
      </c>
      <c r="U374" s="116">
        <f t="shared" si="140"/>
        <v>0</v>
      </c>
      <c r="V374" s="116">
        <f t="shared" si="141"/>
        <v>0</v>
      </c>
      <c r="W374" s="116">
        <f t="shared" si="142"/>
        <v>0</v>
      </c>
      <c r="X374" s="116">
        <f t="shared" si="143"/>
        <v>0</v>
      </c>
      <c r="Y374" s="116">
        <f t="shared" si="144"/>
        <v>0</v>
      </c>
      <c r="Z374" s="116">
        <f t="shared" si="145"/>
        <v>0</v>
      </c>
      <c r="AA374" s="116">
        <f t="shared" si="154"/>
        <v>0</v>
      </c>
      <c r="AB374" s="116">
        <f t="shared" si="155"/>
        <v>1891.08</v>
      </c>
      <c r="AC374" s="116">
        <f t="shared" si="148"/>
        <v>747.1</v>
      </c>
      <c r="AD374" s="116">
        <f t="shared" si="149"/>
        <v>0</v>
      </c>
      <c r="AE374" s="116">
        <f t="shared" si="150"/>
        <v>0</v>
      </c>
    </row>
    <row r="375" spans="1:31">
      <c r="A375" s="131">
        <v>42255</v>
      </c>
      <c r="B375" s="131">
        <v>42285</v>
      </c>
      <c r="C375" s="123">
        <f t="shared" si="151"/>
        <v>30</v>
      </c>
      <c r="D375" s="132">
        <v>544.22</v>
      </c>
      <c r="E375" s="134"/>
      <c r="F375" s="135"/>
      <c r="G375" s="123"/>
      <c r="H375" s="123"/>
      <c r="I375" s="123"/>
      <c r="J375" s="123"/>
      <c r="K375" s="123"/>
      <c r="L375" s="123"/>
      <c r="M375" s="123"/>
      <c r="N375" s="123">
        <v>23</v>
      </c>
      <c r="O375" s="123">
        <v>7</v>
      </c>
      <c r="P375" s="123"/>
      <c r="Q375" s="123"/>
      <c r="R375" s="133">
        <f t="shared" si="135"/>
        <v>0</v>
      </c>
      <c r="S375" s="133"/>
      <c r="T375" s="116">
        <f t="shared" si="139"/>
        <v>0</v>
      </c>
      <c r="U375" s="116">
        <f t="shared" si="140"/>
        <v>0</v>
      </c>
      <c r="V375" s="116">
        <f t="shared" si="141"/>
        <v>0</v>
      </c>
      <c r="W375" s="116">
        <f t="shared" si="142"/>
        <v>0</v>
      </c>
      <c r="X375" s="116">
        <f t="shared" si="143"/>
        <v>0</v>
      </c>
      <c r="Y375" s="116">
        <f t="shared" si="144"/>
        <v>0</v>
      </c>
      <c r="Z375" s="116">
        <f t="shared" si="145"/>
        <v>0</v>
      </c>
      <c r="AA375" s="116">
        <f t="shared" si="154"/>
        <v>0</v>
      </c>
      <c r="AB375" s="116">
        <f t="shared" si="155"/>
        <v>5045.17</v>
      </c>
      <c r="AC375" s="116">
        <f t="shared" si="148"/>
        <v>1993.17</v>
      </c>
      <c r="AD375" s="116">
        <f t="shared" si="149"/>
        <v>0</v>
      </c>
      <c r="AE375" s="116">
        <f t="shared" si="150"/>
        <v>0</v>
      </c>
    </row>
    <row r="376" spans="1:31">
      <c r="A376" s="131">
        <v>42248</v>
      </c>
      <c r="B376" s="131">
        <v>42278</v>
      </c>
      <c r="C376" s="123">
        <f t="shared" si="151"/>
        <v>30</v>
      </c>
      <c r="D376" s="110">
        <v>3612.64</v>
      </c>
      <c r="E376" s="134"/>
      <c r="F376" s="135"/>
      <c r="G376" s="123"/>
      <c r="H376" s="123"/>
      <c r="I376" s="123"/>
      <c r="J376" s="123"/>
      <c r="K376" s="123"/>
      <c r="L376" s="123"/>
      <c r="M376" s="123"/>
      <c r="N376" s="123">
        <v>30</v>
      </c>
      <c r="O376" s="123"/>
      <c r="P376" s="123"/>
      <c r="Q376" s="123"/>
      <c r="R376" s="133">
        <f t="shared" si="135"/>
        <v>0</v>
      </c>
      <c r="S376" s="133"/>
      <c r="T376" s="116">
        <f t="shared" si="139"/>
        <v>0</v>
      </c>
      <c r="U376" s="116">
        <f t="shared" si="140"/>
        <v>0</v>
      </c>
      <c r="V376" s="116">
        <f t="shared" si="141"/>
        <v>0</v>
      </c>
      <c r="W376" s="116">
        <f t="shared" si="142"/>
        <v>0</v>
      </c>
      <c r="X376" s="116">
        <f t="shared" si="143"/>
        <v>0</v>
      </c>
      <c r="Y376" s="116">
        <f t="shared" si="144"/>
        <v>0</v>
      </c>
      <c r="Z376" s="116">
        <f t="shared" si="145"/>
        <v>0</v>
      </c>
      <c r="AA376" s="116">
        <f t="shared" si="154"/>
        <v>0</v>
      </c>
      <c r="AB376" s="116">
        <f t="shared" si="155"/>
        <v>43683.68</v>
      </c>
      <c r="AC376" s="116">
        <f t="shared" si="148"/>
        <v>0</v>
      </c>
      <c r="AD376" s="116">
        <f t="shared" si="149"/>
        <v>0</v>
      </c>
      <c r="AE376" s="116">
        <f t="shared" si="150"/>
        <v>0</v>
      </c>
    </row>
    <row r="377" spans="1:31">
      <c r="A377" s="131">
        <v>42259</v>
      </c>
      <c r="B377" s="131">
        <v>42289</v>
      </c>
      <c r="C377" s="123">
        <f t="shared" si="151"/>
        <v>30</v>
      </c>
      <c r="D377" s="132">
        <v>596.07000000000005</v>
      </c>
      <c r="E377" s="134"/>
      <c r="F377" s="135"/>
      <c r="G377" s="123"/>
      <c r="H377" s="123"/>
      <c r="I377" s="123"/>
      <c r="J377" s="123"/>
      <c r="K377" s="123"/>
      <c r="L377" s="123"/>
      <c r="M377" s="123"/>
      <c r="N377" s="123">
        <v>19</v>
      </c>
      <c r="O377" s="123">
        <v>11</v>
      </c>
      <c r="P377" s="123"/>
      <c r="Q377" s="123"/>
      <c r="R377" s="133">
        <f t="shared" si="135"/>
        <v>0</v>
      </c>
      <c r="S377" s="133"/>
      <c r="T377" s="116">
        <f t="shared" si="139"/>
        <v>0</v>
      </c>
      <c r="U377" s="116">
        <f t="shared" si="140"/>
        <v>0</v>
      </c>
      <c r="V377" s="116">
        <f t="shared" si="141"/>
        <v>0</v>
      </c>
      <c r="W377" s="116">
        <f t="shared" si="142"/>
        <v>0</v>
      </c>
      <c r="X377" s="116">
        <f t="shared" si="143"/>
        <v>0</v>
      </c>
      <c r="Y377" s="116">
        <f t="shared" si="144"/>
        <v>0</v>
      </c>
      <c r="Z377" s="116">
        <f t="shared" si="145"/>
        <v>0</v>
      </c>
      <c r="AA377" s="116">
        <f t="shared" si="154"/>
        <v>0</v>
      </c>
      <c r="AB377" s="116">
        <f t="shared" si="155"/>
        <v>4564.82</v>
      </c>
      <c r="AC377" s="116">
        <f t="shared" si="148"/>
        <v>3430.53</v>
      </c>
      <c r="AD377" s="116">
        <f t="shared" si="149"/>
        <v>0</v>
      </c>
      <c r="AE377" s="116">
        <f t="shared" si="150"/>
        <v>0</v>
      </c>
    </row>
    <row r="378" spans="1:31">
      <c r="A378" s="131">
        <v>42259</v>
      </c>
      <c r="B378" s="131">
        <v>42289</v>
      </c>
      <c r="C378" s="123">
        <f t="shared" si="151"/>
        <v>30</v>
      </c>
      <c r="D378" s="132">
        <v>88.94</v>
      </c>
      <c r="E378" s="134"/>
      <c r="F378" s="135"/>
      <c r="G378" s="123"/>
      <c r="H378" s="123"/>
      <c r="I378" s="123"/>
      <c r="J378" s="123"/>
      <c r="K378" s="123"/>
      <c r="L378" s="123"/>
      <c r="M378" s="123"/>
      <c r="N378" s="123">
        <v>19</v>
      </c>
      <c r="O378" s="123">
        <v>11</v>
      </c>
      <c r="P378" s="123"/>
      <c r="Q378" s="123"/>
      <c r="R378" s="133">
        <f t="shared" si="135"/>
        <v>0</v>
      </c>
      <c r="S378" s="133"/>
      <c r="T378" s="116">
        <f t="shared" si="139"/>
        <v>0</v>
      </c>
      <c r="U378" s="116">
        <f t="shared" si="140"/>
        <v>0</v>
      </c>
      <c r="V378" s="116">
        <f t="shared" si="141"/>
        <v>0</v>
      </c>
      <c r="W378" s="116">
        <f t="shared" si="142"/>
        <v>0</v>
      </c>
      <c r="X378" s="116">
        <f t="shared" si="143"/>
        <v>0</v>
      </c>
      <c r="Y378" s="116">
        <f t="shared" si="144"/>
        <v>0</v>
      </c>
      <c r="Z378" s="116">
        <f t="shared" si="145"/>
        <v>0</v>
      </c>
      <c r="AA378" s="116">
        <f t="shared" si="154"/>
        <v>0</v>
      </c>
      <c r="AB378" s="116">
        <f t="shared" si="155"/>
        <v>681.12</v>
      </c>
      <c r="AC378" s="116">
        <f t="shared" si="148"/>
        <v>511.87</v>
      </c>
      <c r="AD378" s="116">
        <f t="shared" si="149"/>
        <v>0</v>
      </c>
      <c r="AE378" s="116">
        <f t="shared" si="150"/>
        <v>0</v>
      </c>
    </row>
    <row r="379" spans="1:31" ht="15.75" thickBot="1">
      <c r="A379" s="131">
        <v>42259</v>
      </c>
      <c r="B379" s="131">
        <v>42289</v>
      </c>
      <c r="C379" s="123">
        <f t="shared" si="151"/>
        <v>30</v>
      </c>
      <c r="D379" s="132">
        <v>749.45</v>
      </c>
      <c r="E379" s="134"/>
      <c r="F379" s="135"/>
      <c r="G379" s="123"/>
      <c r="H379" s="123"/>
      <c r="I379" s="123"/>
      <c r="J379" s="123"/>
      <c r="K379" s="123"/>
      <c r="L379" s="123"/>
      <c r="M379" s="123"/>
      <c r="N379" s="123">
        <v>19</v>
      </c>
      <c r="O379" s="123">
        <v>11</v>
      </c>
      <c r="P379" s="123"/>
      <c r="Q379" s="123"/>
      <c r="R379" s="133">
        <f t="shared" si="135"/>
        <v>0</v>
      </c>
      <c r="S379" s="133"/>
      <c r="T379" s="116">
        <f t="shared" si="139"/>
        <v>0</v>
      </c>
      <c r="U379" s="116">
        <f t="shared" si="140"/>
        <v>0</v>
      </c>
      <c r="V379" s="116">
        <f t="shared" si="141"/>
        <v>0</v>
      </c>
      <c r="W379" s="116">
        <f t="shared" si="142"/>
        <v>0</v>
      </c>
      <c r="X379" s="116">
        <f t="shared" si="143"/>
        <v>0</v>
      </c>
      <c r="Y379" s="116">
        <f t="shared" si="144"/>
        <v>0</v>
      </c>
      <c r="Z379" s="116">
        <f t="shared" si="145"/>
        <v>0</v>
      </c>
      <c r="AA379" s="116">
        <f t="shared" si="154"/>
        <v>0</v>
      </c>
      <c r="AB379" s="116">
        <f t="shared" si="155"/>
        <v>5739.44</v>
      </c>
      <c r="AC379" s="116">
        <f t="shared" si="148"/>
        <v>4313.2700000000004</v>
      </c>
      <c r="AD379" s="116">
        <f t="shared" si="149"/>
        <v>0</v>
      </c>
      <c r="AE379" s="116">
        <f t="shared" si="150"/>
        <v>0</v>
      </c>
    </row>
    <row r="380" spans="1:31" ht="15.75" thickBot="1">
      <c r="A380" s="194" t="s">
        <v>45</v>
      </c>
      <c r="B380" s="195"/>
      <c r="C380" s="195"/>
      <c r="D380" s="195"/>
      <c r="E380" s="195"/>
      <c r="F380" s="195"/>
      <c r="G380" s="195"/>
      <c r="H380" s="195"/>
      <c r="I380" s="195"/>
      <c r="J380" s="195"/>
      <c r="K380" s="195"/>
      <c r="L380" s="195"/>
      <c r="M380" s="195"/>
      <c r="N380" s="195"/>
      <c r="O380" s="195"/>
      <c r="P380" s="195"/>
      <c r="Q380" s="195"/>
      <c r="R380" s="195"/>
      <c r="S380" s="195"/>
      <c r="T380" s="195"/>
      <c r="U380" s="195"/>
      <c r="V380" s="195"/>
      <c r="W380" s="195"/>
      <c r="X380" s="195"/>
      <c r="Y380" s="195"/>
      <c r="Z380" s="195"/>
      <c r="AA380" s="195"/>
      <c r="AB380" s="195"/>
      <c r="AC380" s="195"/>
      <c r="AD380" s="195"/>
      <c r="AE380" s="196"/>
    </row>
    <row r="381" spans="1:31">
      <c r="A381" s="131">
        <v>42266</v>
      </c>
      <c r="B381" s="131">
        <v>42296</v>
      </c>
      <c r="C381" s="123">
        <f t="shared" si="151"/>
        <v>30</v>
      </c>
      <c r="D381" s="132">
        <v>233.65</v>
      </c>
      <c r="E381" s="134"/>
      <c r="F381" s="135"/>
      <c r="G381" s="123"/>
      <c r="H381" s="123"/>
      <c r="I381" s="123"/>
      <c r="J381" s="123"/>
      <c r="K381" s="123"/>
      <c r="L381" s="123"/>
      <c r="M381" s="123"/>
      <c r="N381" s="123">
        <v>12</v>
      </c>
      <c r="O381" s="123">
        <v>18</v>
      </c>
      <c r="P381" s="123"/>
      <c r="Q381" s="123"/>
      <c r="R381" s="133">
        <f t="shared" si="135"/>
        <v>0</v>
      </c>
      <c r="S381" s="133"/>
      <c r="T381" s="116">
        <f t="shared" ref="T381:T416" si="156">ROUND((D381*F381/C381)/$C$6,2)</f>
        <v>0</v>
      </c>
      <c r="U381" s="116">
        <f t="shared" ref="U381:U416" si="157">ROUND(($D381*$G381/$C381)/$C$7,2)</f>
        <v>0</v>
      </c>
      <c r="V381" s="116">
        <f t="shared" ref="V381:V416" si="158">ROUND(($D381*$H381/$C381)/$C$8,2)</f>
        <v>0</v>
      </c>
      <c r="W381" s="116">
        <f t="shared" ref="W381:W416" si="159">ROUND(($D381*$I381/$C381)/$C$9,2)</f>
        <v>0</v>
      </c>
      <c r="X381" s="116">
        <f t="shared" ref="X381:X416" si="160">ROUND(($D381*$J381/$C381)/$C$10,2)</f>
        <v>0</v>
      </c>
      <c r="Y381" s="116">
        <f t="shared" ref="Y381:Y416" si="161">ROUND(($D381*$K381/$C381)/$C$11,2)</f>
        <v>0</v>
      </c>
      <c r="Z381" s="116">
        <f t="shared" ref="Z381:Z416" si="162">ROUND(($D381*$L381/$C381)/$C$12,2)</f>
        <v>0</v>
      </c>
      <c r="AA381" s="116">
        <f t="shared" ref="AA381:AA416" si="163">ROUND(($D381*$M381/$C381)/$C$13,2)</f>
        <v>0</v>
      </c>
      <c r="AB381" s="116">
        <f t="shared" ref="AB381:AB387" si="164">ROUND(($D381*$N381/$C381)/$C$14,2)</f>
        <v>1130.1099999999999</v>
      </c>
      <c r="AC381" s="116">
        <f t="shared" ref="AC381:AC387" si="165">ROUND(($D381*$O381/$C381)/$C$15,2)</f>
        <v>2200.44</v>
      </c>
      <c r="AD381" s="116">
        <f t="shared" ref="AD381:AD416" si="166">ROUND(($D381*$P381/$C381)/$C$16,2)</f>
        <v>0</v>
      </c>
      <c r="AE381" s="116">
        <f t="shared" ref="AE381:AE416" si="167">ROUND(($D381*$Q381/$C381)/$C$17,2)</f>
        <v>0</v>
      </c>
    </row>
    <row r="382" spans="1:31">
      <c r="A382" s="131">
        <v>42266</v>
      </c>
      <c r="B382" s="131">
        <v>42296</v>
      </c>
      <c r="C382" s="123">
        <f t="shared" si="151"/>
        <v>30</v>
      </c>
      <c r="D382" s="132">
        <v>382.04</v>
      </c>
      <c r="E382" s="134"/>
      <c r="F382" s="135"/>
      <c r="G382" s="123"/>
      <c r="H382" s="123"/>
      <c r="I382" s="123"/>
      <c r="J382" s="123"/>
      <c r="K382" s="123"/>
      <c r="L382" s="123"/>
      <c r="M382" s="123"/>
      <c r="N382" s="123">
        <v>12</v>
      </c>
      <c r="O382" s="123">
        <v>18</v>
      </c>
      <c r="P382" s="123"/>
      <c r="Q382" s="123"/>
      <c r="R382" s="133">
        <f t="shared" si="135"/>
        <v>0</v>
      </c>
      <c r="S382" s="133"/>
      <c r="T382" s="116">
        <f t="shared" si="156"/>
        <v>0</v>
      </c>
      <c r="U382" s="116">
        <f t="shared" si="157"/>
        <v>0</v>
      </c>
      <c r="V382" s="116">
        <f t="shared" si="158"/>
        <v>0</v>
      </c>
      <c r="W382" s="116">
        <f t="shared" si="159"/>
        <v>0</v>
      </c>
      <c r="X382" s="116">
        <f t="shared" si="160"/>
        <v>0</v>
      </c>
      <c r="Y382" s="116">
        <f t="shared" si="161"/>
        <v>0</v>
      </c>
      <c r="Z382" s="116">
        <f t="shared" si="162"/>
        <v>0</v>
      </c>
      <c r="AA382" s="116">
        <f t="shared" si="163"/>
        <v>0</v>
      </c>
      <c r="AB382" s="116">
        <f t="shared" si="164"/>
        <v>1847.84</v>
      </c>
      <c r="AC382" s="116">
        <f t="shared" si="165"/>
        <v>3597.93</v>
      </c>
      <c r="AD382" s="116">
        <f t="shared" si="166"/>
        <v>0</v>
      </c>
      <c r="AE382" s="116">
        <f t="shared" si="167"/>
        <v>0</v>
      </c>
    </row>
    <row r="383" spans="1:31">
      <c r="A383" s="131">
        <v>42266</v>
      </c>
      <c r="B383" s="131">
        <v>42296</v>
      </c>
      <c r="C383" s="123">
        <f t="shared" si="151"/>
        <v>30</v>
      </c>
      <c r="D383" s="132">
        <v>1222.73</v>
      </c>
      <c r="E383" s="134"/>
      <c r="F383" s="135"/>
      <c r="G383" s="123"/>
      <c r="H383" s="123"/>
      <c r="I383" s="123"/>
      <c r="J383" s="123"/>
      <c r="K383" s="123"/>
      <c r="L383" s="123"/>
      <c r="M383" s="123"/>
      <c r="N383" s="123">
        <v>12</v>
      </c>
      <c r="O383" s="123">
        <v>18</v>
      </c>
      <c r="P383" s="123"/>
      <c r="Q383" s="123"/>
      <c r="R383" s="133">
        <f t="shared" si="135"/>
        <v>0</v>
      </c>
      <c r="S383" s="133"/>
      <c r="T383" s="116">
        <f t="shared" si="156"/>
        <v>0</v>
      </c>
      <c r="U383" s="116">
        <f t="shared" si="157"/>
        <v>0</v>
      </c>
      <c r="V383" s="116">
        <f t="shared" si="158"/>
        <v>0</v>
      </c>
      <c r="W383" s="116">
        <f t="shared" si="159"/>
        <v>0</v>
      </c>
      <c r="X383" s="116">
        <f t="shared" si="160"/>
        <v>0</v>
      </c>
      <c r="Y383" s="116">
        <f t="shared" si="161"/>
        <v>0</v>
      </c>
      <c r="Z383" s="116">
        <f t="shared" si="162"/>
        <v>0</v>
      </c>
      <c r="AA383" s="116">
        <f t="shared" si="163"/>
        <v>0</v>
      </c>
      <c r="AB383" s="116">
        <f t="shared" si="164"/>
        <v>5914.05</v>
      </c>
      <c r="AC383" s="116">
        <f t="shared" si="165"/>
        <v>11515.27</v>
      </c>
      <c r="AD383" s="116">
        <f t="shared" si="166"/>
        <v>0</v>
      </c>
      <c r="AE383" s="116">
        <f t="shared" si="167"/>
        <v>0</v>
      </c>
    </row>
    <row r="384" spans="1:31">
      <c r="A384" s="131">
        <v>42262</v>
      </c>
      <c r="B384" s="131">
        <v>42292</v>
      </c>
      <c r="C384" s="123">
        <f t="shared" si="151"/>
        <v>30</v>
      </c>
      <c r="D384" s="132">
        <v>18758.12</v>
      </c>
      <c r="E384" s="134"/>
      <c r="F384" s="135"/>
      <c r="G384" s="123"/>
      <c r="H384" s="123"/>
      <c r="I384" s="123"/>
      <c r="J384" s="123"/>
      <c r="K384" s="123"/>
      <c r="L384" s="123"/>
      <c r="M384" s="123"/>
      <c r="N384" s="123">
        <v>16</v>
      </c>
      <c r="O384" s="123">
        <v>14</v>
      </c>
      <c r="P384" s="123"/>
      <c r="Q384" s="123"/>
      <c r="R384" s="133">
        <f t="shared" si="135"/>
        <v>0</v>
      </c>
      <c r="S384" s="133"/>
      <c r="T384" s="116">
        <f t="shared" si="156"/>
        <v>0</v>
      </c>
      <c r="U384" s="116">
        <f t="shared" si="157"/>
        <v>0</v>
      </c>
      <c r="V384" s="116">
        <f t="shared" si="158"/>
        <v>0</v>
      </c>
      <c r="W384" s="116">
        <f t="shared" si="159"/>
        <v>0</v>
      </c>
      <c r="X384" s="116">
        <f t="shared" si="160"/>
        <v>0</v>
      </c>
      <c r="Y384" s="116">
        <f t="shared" si="161"/>
        <v>0</v>
      </c>
      <c r="Z384" s="116">
        <f t="shared" si="162"/>
        <v>0</v>
      </c>
      <c r="AA384" s="116">
        <f t="shared" si="163"/>
        <v>0</v>
      </c>
      <c r="AB384" s="116">
        <f t="shared" si="164"/>
        <v>120971.35</v>
      </c>
      <c r="AC384" s="116">
        <f t="shared" si="165"/>
        <v>137400.54999999999</v>
      </c>
      <c r="AD384" s="116">
        <f t="shared" si="166"/>
        <v>0</v>
      </c>
      <c r="AE384" s="116">
        <f t="shared" si="167"/>
        <v>0</v>
      </c>
    </row>
    <row r="385" spans="1:31">
      <c r="A385" s="131">
        <v>42262</v>
      </c>
      <c r="B385" s="131">
        <v>42292</v>
      </c>
      <c r="C385" s="123">
        <f t="shared" si="151"/>
        <v>30</v>
      </c>
      <c r="D385" s="132">
        <v>5181.99</v>
      </c>
      <c r="E385" s="134"/>
      <c r="F385" s="135"/>
      <c r="G385" s="123"/>
      <c r="H385" s="123"/>
      <c r="I385" s="123"/>
      <c r="J385" s="123"/>
      <c r="K385" s="123"/>
      <c r="L385" s="123"/>
      <c r="M385" s="123"/>
      <c r="N385" s="123">
        <v>16</v>
      </c>
      <c r="O385" s="123">
        <v>14</v>
      </c>
      <c r="P385" s="123"/>
      <c r="Q385" s="123"/>
      <c r="R385" s="133">
        <f t="shared" ref="R385:R451" si="168">C385-SUM(F385:Q385)</f>
        <v>0</v>
      </c>
      <c r="S385" s="133"/>
      <c r="T385" s="116">
        <f t="shared" si="156"/>
        <v>0</v>
      </c>
      <c r="U385" s="116">
        <f t="shared" si="157"/>
        <v>0</v>
      </c>
      <c r="V385" s="116">
        <f t="shared" si="158"/>
        <v>0</v>
      </c>
      <c r="W385" s="116">
        <f t="shared" si="159"/>
        <v>0</v>
      </c>
      <c r="X385" s="116">
        <f t="shared" si="160"/>
        <v>0</v>
      </c>
      <c r="Y385" s="116">
        <f t="shared" si="161"/>
        <v>0</v>
      </c>
      <c r="Z385" s="116">
        <f t="shared" si="162"/>
        <v>0</v>
      </c>
      <c r="AA385" s="116">
        <f t="shared" si="163"/>
        <v>0</v>
      </c>
      <c r="AB385" s="116">
        <f t="shared" si="164"/>
        <v>33418.720000000001</v>
      </c>
      <c r="AC385" s="116">
        <f t="shared" si="165"/>
        <v>37957.339999999997</v>
      </c>
      <c r="AD385" s="116">
        <f t="shared" si="166"/>
        <v>0</v>
      </c>
      <c r="AE385" s="116">
        <f t="shared" si="167"/>
        <v>0</v>
      </c>
    </row>
    <row r="386" spans="1:31">
      <c r="A386" s="131">
        <v>42262</v>
      </c>
      <c r="B386" s="131">
        <v>42292</v>
      </c>
      <c r="C386" s="123">
        <f t="shared" si="151"/>
        <v>30</v>
      </c>
      <c r="D386" s="132">
        <v>1915.84</v>
      </c>
      <c r="E386" s="134"/>
      <c r="F386" s="135"/>
      <c r="G386" s="123"/>
      <c r="H386" s="123"/>
      <c r="I386" s="123"/>
      <c r="J386" s="123"/>
      <c r="K386" s="123"/>
      <c r="L386" s="123"/>
      <c r="M386" s="123"/>
      <c r="N386" s="123">
        <v>16</v>
      </c>
      <c r="O386" s="123">
        <v>14</v>
      </c>
      <c r="P386" s="123"/>
      <c r="Q386" s="123"/>
      <c r="R386" s="133">
        <f t="shared" si="168"/>
        <v>0</v>
      </c>
      <c r="S386" s="133"/>
      <c r="T386" s="116">
        <f t="shared" si="156"/>
        <v>0</v>
      </c>
      <c r="U386" s="116">
        <f t="shared" si="157"/>
        <v>0</v>
      </c>
      <c r="V386" s="116">
        <f t="shared" si="158"/>
        <v>0</v>
      </c>
      <c r="W386" s="116">
        <f t="shared" si="159"/>
        <v>0</v>
      </c>
      <c r="X386" s="116">
        <f t="shared" si="160"/>
        <v>0</v>
      </c>
      <c r="Y386" s="116">
        <f t="shared" si="161"/>
        <v>0</v>
      </c>
      <c r="Z386" s="116">
        <f t="shared" si="162"/>
        <v>0</v>
      </c>
      <c r="AA386" s="116">
        <f t="shared" si="163"/>
        <v>0</v>
      </c>
      <c r="AB386" s="116">
        <f t="shared" si="164"/>
        <v>12355.28</v>
      </c>
      <c r="AC386" s="116">
        <f t="shared" si="165"/>
        <v>14033.25</v>
      </c>
      <c r="AD386" s="116">
        <f t="shared" si="166"/>
        <v>0</v>
      </c>
      <c r="AE386" s="116">
        <f t="shared" si="167"/>
        <v>0</v>
      </c>
    </row>
    <row r="387" spans="1:31">
      <c r="A387" s="131">
        <v>42266</v>
      </c>
      <c r="B387" s="131">
        <v>42296</v>
      </c>
      <c r="C387" s="123">
        <f t="shared" si="151"/>
        <v>30</v>
      </c>
      <c r="D387" s="132">
        <v>82.86</v>
      </c>
      <c r="E387" s="134"/>
      <c r="F387" s="135"/>
      <c r="G387" s="123"/>
      <c r="H387" s="123"/>
      <c r="I387" s="123"/>
      <c r="J387" s="123"/>
      <c r="K387" s="123"/>
      <c r="L387" s="123"/>
      <c r="M387" s="123"/>
      <c r="N387" s="123">
        <v>12</v>
      </c>
      <c r="O387" s="123">
        <v>18</v>
      </c>
      <c r="P387" s="123"/>
      <c r="Q387" s="123"/>
      <c r="R387" s="133">
        <f t="shared" si="168"/>
        <v>0</v>
      </c>
      <c r="S387" s="133"/>
      <c r="T387" s="116">
        <f t="shared" si="156"/>
        <v>0</v>
      </c>
      <c r="U387" s="116">
        <f t="shared" si="157"/>
        <v>0</v>
      </c>
      <c r="V387" s="116">
        <f t="shared" si="158"/>
        <v>0</v>
      </c>
      <c r="W387" s="116">
        <f t="shared" si="159"/>
        <v>0</v>
      </c>
      <c r="X387" s="116">
        <f t="shared" si="160"/>
        <v>0</v>
      </c>
      <c r="Y387" s="116">
        <f t="shared" si="161"/>
        <v>0</v>
      </c>
      <c r="Z387" s="116">
        <f t="shared" si="162"/>
        <v>0</v>
      </c>
      <c r="AA387" s="116">
        <f t="shared" si="163"/>
        <v>0</v>
      </c>
      <c r="AB387" s="116">
        <f t="shared" si="164"/>
        <v>400.77</v>
      </c>
      <c r="AC387" s="116">
        <f t="shared" si="165"/>
        <v>780.35</v>
      </c>
      <c r="AD387" s="116">
        <f t="shared" si="166"/>
        <v>0</v>
      </c>
      <c r="AE387" s="116">
        <f t="shared" si="167"/>
        <v>0</v>
      </c>
    </row>
    <row r="388" spans="1:31">
      <c r="A388" s="131">
        <v>42269</v>
      </c>
      <c r="B388" s="131">
        <v>42299</v>
      </c>
      <c r="C388" s="123">
        <f t="shared" si="151"/>
        <v>30</v>
      </c>
      <c r="D388" s="110">
        <v>160663.46</v>
      </c>
      <c r="E388" s="134"/>
      <c r="F388" s="135"/>
      <c r="G388" s="123"/>
      <c r="H388" s="123"/>
      <c r="I388" s="123"/>
      <c r="J388" s="123"/>
      <c r="K388" s="123"/>
      <c r="L388" s="123"/>
      <c r="M388" s="123"/>
      <c r="N388" s="123">
        <v>9</v>
      </c>
      <c r="O388" s="123">
        <v>21</v>
      </c>
      <c r="P388" s="123"/>
      <c r="Q388" s="123"/>
      <c r="R388" s="133">
        <f t="shared" si="168"/>
        <v>0</v>
      </c>
      <c r="S388" s="133"/>
      <c r="T388" s="116">
        <f t="shared" si="156"/>
        <v>0</v>
      </c>
      <c r="U388" s="116">
        <f t="shared" si="157"/>
        <v>0</v>
      </c>
      <c r="V388" s="116">
        <f t="shared" si="158"/>
        <v>0</v>
      </c>
      <c r="W388" s="116">
        <f t="shared" si="159"/>
        <v>0</v>
      </c>
      <c r="X388" s="116">
        <f t="shared" si="160"/>
        <v>0</v>
      </c>
      <c r="Y388" s="116">
        <f t="shared" si="161"/>
        <v>0</v>
      </c>
      <c r="Z388" s="116">
        <f t="shared" si="162"/>
        <v>0</v>
      </c>
      <c r="AA388" s="116">
        <f t="shared" si="163"/>
        <v>0</v>
      </c>
      <c r="AB388" s="116">
        <f>2313220-AC388</f>
        <v>699748.58000000007</v>
      </c>
      <c r="AC388" s="116">
        <v>1613471.42</v>
      </c>
      <c r="AD388" s="116">
        <f t="shared" si="166"/>
        <v>0</v>
      </c>
      <c r="AE388" s="116">
        <f t="shared" si="167"/>
        <v>0</v>
      </c>
    </row>
    <row r="389" spans="1:31">
      <c r="A389" s="131">
        <v>42273</v>
      </c>
      <c r="B389" s="131">
        <v>42303</v>
      </c>
      <c r="C389" s="123">
        <f t="shared" si="151"/>
        <v>30</v>
      </c>
      <c r="D389" s="132">
        <v>587.51</v>
      </c>
      <c r="E389" s="134"/>
      <c r="F389" s="135"/>
      <c r="G389" s="123"/>
      <c r="H389" s="123"/>
      <c r="I389" s="123"/>
      <c r="J389" s="123"/>
      <c r="K389" s="123"/>
      <c r="L389" s="123"/>
      <c r="M389" s="123"/>
      <c r="N389" s="123">
        <v>5</v>
      </c>
      <c r="O389" s="123">
        <v>25</v>
      </c>
      <c r="P389" s="123"/>
      <c r="Q389" s="123"/>
      <c r="R389" s="133">
        <f t="shared" si="168"/>
        <v>0</v>
      </c>
      <c r="S389" s="133"/>
      <c r="T389" s="116">
        <f t="shared" si="156"/>
        <v>0</v>
      </c>
      <c r="U389" s="116">
        <f t="shared" si="157"/>
        <v>0</v>
      </c>
      <c r="V389" s="116">
        <f t="shared" si="158"/>
        <v>0</v>
      </c>
      <c r="W389" s="116">
        <f t="shared" si="159"/>
        <v>0</v>
      </c>
      <c r="X389" s="116">
        <f t="shared" si="160"/>
        <v>0</v>
      </c>
      <c r="Y389" s="116">
        <f t="shared" si="161"/>
        <v>0</v>
      </c>
      <c r="Z389" s="116">
        <f t="shared" si="162"/>
        <v>0</v>
      </c>
      <c r="AA389" s="116">
        <f t="shared" si="163"/>
        <v>0</v>
      </c>
      <c r="AB389" s="116">
        <f>ROUND(($D389*$N389/$C389)/$C$14,2)</f>
        <v>1184.02</v>
      </c>
      <c r="AC389" s="116">
        <f>ROUND(($D389*$O389/$C389)/$C$15,2)</f>
        <v>7684.69</v>
      </c>
      <c r="AD389" s="116">
        <f t="shared" si="166"/>
        <v>0</v>
      </c>
      <c r="AE389" s="116">
        <f t="shared" si="167"/>
        <v>0</v>
      </c>
    </row>
    <row r="390" spans="1:31">
      <c r="A390" s="131">
        <v>42273</v>
      </c>
      <c r="B390" s="131">
        <v>42303</v>
      </c>
      <c r="C390" s="123">
        <f t="shared" si="151"/>
        <v>30</v>
      </c>
      <c r="D390" s="132">
        <v>815.01</v>
      </c>
      <c r="E390" s="134"/>
      <c r="F390" s="135"/>
      <c r="G390" s="123"/>
      <c r="H390" s="123"/>
      <c r="I390" s="123"/>
      <c r="J390" s="123"/>
      <c r="K390" s="123"/>
      <c r="L390" s="123"/>
      <c r="M390" s="123"/>
      <c r="N390" s="123">
        <v>5</v>
      </c>
      <c r="O390" s="123">
        <v>25</v>
      </c>
      <c r="P390" s="123"/>
      <c r="Q390" s="123"/>
      <c r="R390" s="133">
        <f t="shared" si="168"/>
        <v>0</v>
      </c>
      <c r="S390" s="133"/>
      <c r="T390" s="116">
        <f t="shared" si="156"/>
        <v>0</v>
      </c>
      <c r="U390" s="116">
        <f t="shared" si="157"/>
        <v>0</v>
      </c>
      <c r="V390" s="116">
        <f t="shared" si="158"/>
        <v>0</v>
      </c>
      <c r="W390" s="116">
        <f t="shared" si="159"/>
        <v>0</v>
      </c>
      <c r="X390" s="116">
        <f t="shared" si="160"/>
        <v>0</v>
      </c>
      <c r="Y390" s="116">
        <f t="shared" si="161"/>
        <v>0</v>
      </c>
      <c r="Z390" s="116">
        <f t="shared" si="162"/>
        <v>0</v>
      </c>
      <c r="AA390" s="116">
        <f t="shared" si="163"/>
        <v>0</v>
      </c>
      <c r="AB390" s="116">
        <f>ROUND(($D390*$N390/$C390)/$C$14,2)</f>
        <v>1642.5</v>
      </c>
      <c r="AC390" s="116">
        <f>ROUND(($D390*$O390/$C390)/$C$15,2)</f>
        <v>10660.41</v>
      </c>
      <c r="AD390" s="116">
        <f t="shared" si="166"/>
        <v>0</v>
      </c>
      <c r="AE390" s="116">
        <f t="shared" si="167"/>
        <v>0</v>
      </c>
    </row>
    <row r="391" spans="1:31">
      <c r="A391" s="131">
        <v>42275</v>
      </c>
      <c r="B391" s="131">
        <v>42305</v>
      </c>
      <c r="C391" s="123">
        <f t="shared" si="151"/>
        <v>30</v>
      </c>
      <c r="D391" s="132">
        <v>563.61</v>
      </c>
      <c r="E391" s="134"/>
      <c r="F391" s="135"/>
      <c r="G391" s="123"/>
      <c r="H391" s="123"/>
      <c r="I391" s="123"/>
      <c r="J391" s="123"/>
      <c r="K391" s="123"/>
      <c r="L391" s="123"/>
      <c r="M391" s="123"/>
      <c r="N391" s="123">
        <v>3</v>
      </c>
      <c r="O391" s="123">
        <v>27</v>
      </c>
      <c r="P391" s="123"/>
      <c r="Q391" s="123"/>
      <c r="R391" s="133">
        <f t="shared" si="168"/>
        <v>0</v>
      </c>
      <c r="S391" s="133"/>
      <c r="T391" s="116">
        <f t="shared" si="156"/>
        <v>0</v>
      </c>
      <c r="U391" s="116">
        <f t="shared" si="157"/>
        <v>0</v>
      </c>
      <c r="V391" s="116">
        <f t="shared" si="158"/>
        <v>0</v>
      </c>
      <c r="W391" s="116">
        <f t="shared" si="159"/>
        <v>0</v>
      </c>
      <c r="X391" s="116">
        <f t="shared" si="160"/>
        <v>0</v>
      </c>
      <c r="Y391" s="116">
        <f t="shared" si="161"/>
        <v>0</v>
      </c>
      <c r="Z391" s="116">
        <f t="shared" si="162"/>
        <v>0</v>
      </c>
      <c r="AA391" s="116">
        <f t="shared" si="163"/>
        <v>0</v>
      </c>
      <c r="AB391" s="116">
        <f>ROUND(($D391*$N391/$C391)/$C$14,2)</f>
        <v>681.51</v>
      </c>
      <c r="AC391" s="116">
        <f>ROUND(($D391*$O391/$C391)/$C$15,2)</f>
        <v>7961.84</v>
      </c>
      <c r="AD391" s="116">
        <f t="shared" si="166"/>
        <v>0</v>
      </c>
      <c r="AE391" s="116">
        <f t="shared" si="167"/>
        <v>0</v>
      </c>
    </row>
    <row r="392" spans="1:31">
      <c r="A392" s="131">
        <v>42275</v>
      </c>
      <c r="B392" s="131">
        <v>42305</v>
      </c>
      <c r="C392" s="123">
        <f t="shared" si="151"/>
        <v>30</v>
      </c>
      <c r="D392" s="132">
        <v>1600.51</v>
      </c>
      <c r="E392" s="134"/>
      <c r="F392" s="135"/>
      <c r="G392" s="123"/>
      <c r="H392" s="123"/>
      <c r="I392" s="123"/>
      <c r="J392" s="123"/>
      <c r="K392" s="123"/>
      <c r="L392" s="123"/>
      <c r="M392" s="123"/>
      <c r="N392" s="123">
        <v>3</v>
      </c>
      <c r="O392" s="123">
        <v>27</v>
      </c>
      <c r="P392" s="123"/>
      <c r="Q392" s="123"/>
      <c r="R392" s="133">
        <f t="shared" si="168"/>
        <v>0</v>
      </c>
      <c r="S392" s="133"/>
      <c r="T392" s="116">
        <f t="shared" si="156"/>
        <v>0</v>
      </c>
      <c r="U392" s="116">
        <f t="shared" si="157"/>
        <v>0</v>
      </c>
      <c r="V392" s="116">
        <f t="shared" si="158"/>
        <v>0</v>
      </c>
      <c r="W392" s="116">
        <f t="shared" si="159"/>
        <v>0</v>
      </c>
      <c r="X392" s="116">
        <f t="shared" si="160"/>
        <v>0</v>
      </c>
      <c r="Y392" s="116">
        <f t="shared" si="161"/>
        <v>0</v>
      </c>
      <c r="Z392" s="116">
        <f t="shared" si="162"/>
        <v>0</v>
      </c>
      <c r="AA392" s="116">
        <f t="shared" si="163"/>
        <v>0</v>
      </c>
      <c r="AB392" s="116">
        <f>ROUND(($D392*$N392/$C392)/$C$14,2)</f>
        <v>1935.32</v>
      </c>
      <c r="AC392" s="116">
        <f>ROUND(($D392*$O392/$C392)/$C$15,2)</f>
        <v>22609.62</v>
      </c>
      <c r="AD392" s="116">
        <f t="shared" si="166"/>
        <v>0</v>
      </c>
      <c r="AE392" s="116">
        <f t="shared" si="167"/>
        <v>0</v>
      </c>
    </row>
    <row r="393" spans="1:31">
      <c r="A393" s="131">
        <v>42278</v>
      </c>
      <c r="B393" s="131">
        <v>42309</v>
      </c>
      <c r="C393" s="123">
        <f t="shared" si="151"/>
        <v>31</v>
      </c>
      <c r="D393" s="132">
        <v>166.54</v>
      </c>
      <c r="E393" s="134"/>
      <c r="F393" s="135"/>
      <c r="G393" s="123"/>
      <c r="H393" s="123"/>
      <c r="I393" s="123"/>
      <c r="J393" s="123"/>
      <c r="K393" s="123"/>
      <c r="L393" s="123"/>
      <c r="M393" s="123"/>
      <c r="N393" s="123"/>
      <c r="O393" s="123">
        <v>31</v>
      </c>
      <c r="P393" s="123"/>
      <c r="Q393" s="123"/>
      <c r="R393" s="133">
        <f t="shared" si="168"/>
        <v>0</v>
      </c>
      <c r="S393" s="133"/>
      <c r="T393" s="116">
        <f t="shared" si="156"/>
        <v>0</v>
      </c>
      <c r="U393" s="116">
        <f t="shared" si="157"/>
        <v>0</v>
      </c>
      <c r="V393" s="116">
        <f t="shared" si="158"/>
        <v>0</v>
      </c>
      <c r="W393" s="116">
        <f t="shared" si="159"/>
        <v>0</v>
      </c>
      <c r="X393" s="116">
        <f t="shared" si="160"/>
        <v>0</v>
      </c>
      <c r="Y393" s="116">
        <f t="shared" si="161"/>
        <v>0</v>
      </c>
      <c r="Z393" s="116">
        <f t="shared" si="162"/>
        <v>0</v>
      </c>
      <c r="AA393" s="116">
        <f t="shared" si="163"/>
        <v>0</v>
      </c>
      <c r="AB393" s="116">
        <f>ROUND(($D393*$N393/$C393)/$C$14,2)</f>
        <v>0</v>
      </c>
      <c r="AC393" s="116">
        <f>ROUND(($D393*$O393/$C393)/$C$15,2)</f>
        <v>2614.0300000000002</v>
      </c>
      <c r="AD393" s="116">
        <f t="shared" si="166"/>
        <v>0</v>
      </c>
      <c r="AE393" s="116">
        <f t="shared" si="167"/>
        <v>0</v>
      </c>
    </row>
    <row r="394" spans="1:31">
      <c r="A394" s="131">
        <v>42277</v>
      </c>
      <c r="B394" s="131">
        <v>42308</v>
      </c>
      <c r="C394" s="123">
        <f t="shared" si="151"/>
        <v>31</v>
      </c>
      <c r="D394" s="110">
        <v>4179.8</v>
      </c>
      <c r="E394" s="134"/>
      <c r="F394" s="135"/>
      <c r="G394" s="123"/>
      <c r="H394" s="123"/>
      <c r="I394" s="123"/>
      <c r="J394" s="123"/>
      <c r="K394" s="123"/>
      <c r="L394" s="123"/>
      <c r="M394" s="123"/>
      <c r="N394" s="123">
        <v>1</v>
      </c>
      <c r="O394" s="123">
        <v>30</v>
      </c>
      <c r="P394" s="123"/>
      <c r="Q394" s="123"/>
      <c r="R394" s="133">
        <f t="shared" si="168"/>
        <v>0</v>
      </c>
      <c r="S394" s="133"/>
      <c r="T394" s="116">
        <f t="shared" si="156"/>
        <v>0</v>
      </c>
      <c r="U394" s="116">
        <f t="shared" si="157"/>
        <v>0</v>
      </c>
      <c r="V394" s="116">
        <f t="shared" si="158"/>
        <v>0</v>
      </c>
      <c r="W394" s="116">
        <f t="shared" si="159"/>
        <v>0</v>
      </c>
      <c r="X394" s="116">
        <f t="shared" si="160"/>
        <v>0</v>
      </c>
      <c r="Y394" s="116">
        <f t="shared" si="161"/>
        <v>0</v>
      </c>
      <c r="Z394" s="116">
        <f t="shared" si="162"/>
        <v>0</v>
      </c>
      <c r="AA394" s="116">
        <f t="shared" si="163"/>
        <v>0</v>
      </c>
      <c r="AB394" s="116">
        <v>1478.35</v>
      </c>
      <c r="AC394" s="116">
        <f>65846.26-AB394</f>
        <v>64367.909999999996</v>
      </c>
      <c r="AD394" s="116">
        <f t="shared" si="166"/>
        <v>0</v>
      </c>
      <c r="AE394" s="116">
        <f t="shared" si="167"/>
        <v>0</v>
      </c>
    </row>
    <row r="395" spans="1:31">
      <c r="A395" s="131">
        <v>42278</v>
      </c>
      <c r="B395" s="131">
        <v>42309</v>
      </c>
      <c r="C395" s="123">
        <f t="shared" si="151"/>
        <v>31</v>
      </c>
      <c r="D395" s="132">
        <v>11299.68</v>
      </c>
      <c r="E395" s="134"/>
      <c r="F395" s="135"/>
      <c r="G395" s="123"/>
      <c r="H395" s="123"/>
      <c r="I395" s="123"/>
      <c r="J395" s="123"/>
      <c r="K395" s="123"/>
      <c r="L395" s="123"/>
      <c r="M395" s="123"/>
      <c r="N395" s="123"/>
      <c r="O395" s="123">
        <v>31</v>
      </c>
      <c r="P395" s="123"/>
      <c r="Q395" s="123"/>
      <c r="R395" s="133">
        <f t="shared" si="168"/>
        <v>0</v>
      </c>
      <c r="S395" s="133"/>
      <c r="T395" s="116">
        <f t="shared" si="156"/>
        <v>0</v>
      </c>
      <c r="U395" s="116">
        <f t="shared" si="157"/>
        <v>0</v>
      </c>
      <c r="V395" s="116">
        <f t="shared" si="158"/>
        <v>0</v>
      </c>
      <c r="W395" s="116">
        <f t="shared" si="159"/>
        <v>0</v>
      </c>
      <c r="X395" s="116">
        <f t="shared" si="160"/>
        <v>0</v>
      </c>
      <c r="Y395" s="116">
        <f t="shared" si="161"/>
        <v>0</v>
      </c>
      <c r="Z395" s="116">
        <f t="shared" si="162"/>
        <v>0</v>
      </c>
      <c r="AA395" s="116">
        <f t="shared" si="163"/>
        <v>0</v>
      </c>
      <c r="AB395" s="116">
        <f t="shared" ref="AB395:AB416" si="169">ROUND(($D395*$N395/$C395)/$C$14,2)</f>
        <v>0</v>
      </c>
      <c r="AC395" s="116">
        <f t="shared" ref="AC395:AC416" si="170">ROUND(($D395*$O395/$C395)/$C$15,2)</f>
        <v>177361.17</v>
      </c>
      <c r="AD395" s="116">
        <f t="shared" si="166"/>
        <v>0</v>
      </c>
      <c r="AE395" s="116">
        <f t="shared" si="167"/>
        <v>0</v>
      </c>
    </row>
    <row r="396" spans="1:31">
      <c r="A396" s="131">
        <v>42278</v>
      </c>
      <c r="B396" s="131">
        <v>42308</v>
      </c>
      <c r="C396" s="123">
        <f t="shared" si="151"/>
        <v>30</v>
      </c>
      <c r="D396" s="132">
        <v>25.2</v>
      </c>
      <c r="E396" s="134"/>
      <c r="F396" s="135"/>
      <c r="G396" s="123"/>
      <c r="H396" s="123"/>
      <c r="I396" s="123"/>
      <c r="J396" s="123"/>
      <c r="K396" s="123"/>
      <c r="L396" s="123"/>
      <c r="M396" s="123"/>
      <c r="N396" s="123"/>
      <c r="O396" s="123">
        <v>30</v>
      </c>
      <c r="P396" s="123"/>
      <c r="Q396" s="123"/>
      <c r="R396" s="133">
        <f t="shared" si="168"/>
        <v>0</v>
      </c>
      <c r="S396" s="133"/>
      <c r="T396" s="116">
        <f t="shared" si="156"/>
        <v>0</v>
      </c>
      <c r="U396" s="116">
        <f t="shared" si="157"/>
        <v>0</v>
      </c>
      <c r="V396" s="116">
        <f t="shared" si="158"/>
        <v>0</v>
      </c>
      <c r="W396" s="116">
        <f t="shared" si="159"/>
        <v>0</v>
      </c>
      <c r="X396" s="116">
        <f t="shared" si="160"/>
        <v>0</v>
      </c>
      <c r="Y396" s="116">
        <f t="shared" si="161"/>
        <v>0</v>
      </c>
      <c r="Z396" s="116">
        <f t="shared" si="162"/>
        <v>0</v>
      </c>
      <c r="AA396" s="116">
        <f t="shared" si="163"/>
        <v>0</v>
      </c>
      <c r="AB396" s="116">
        <f t="shared" si="169"/>
        <v>0</v>
      </c>
      <c r="AC396" s="116">
        <f t="shared" si="170"/>
        <v>395.54</v>
      </c>
      <c r="AD396" s="116">
        <f t="shared" si="166"/>
        <v>0</v>
      </c>
      <c r="AE396" s="116">
        <f t="shared" si="167"/>
        <v>0</v>
      </c>
    </row>
    <row r="397" spans="1:31">
      <c r="A397" s="131">
        <v>42278</v>
      </c>
      <c r="B397" s="131">
        <v>42309</v>
      </c>
      <c r="C397" s="123">
        <f t="shared" si="151"/>
        <v>31</v>
      </c>
      <c r="D397" s="110">
        <v>1248.6000000000001</v>
      </c>
      <c r="E397" s="134"/>
      <c r="F397" s="135"/>
      <c r="G397" s="123"/>
      <c r="H397" s="123"/>
      <c r="I397" s="123"/>
      <c r="J397" s="123"/>
      <c r="K397" s="123"/>
      <c r="L397" s="123"/>
      <c r="M397" s="123"/>
      <c r="N397" s="123"/>
      <c r="O397" s="123">
        <v>31</v>
      </c>
      <c r="P397" s="123"/>
      <c r="Q397" s="123"/>
      <c r="R397" s="133">
        <f t="shared" si="168"/>
        <v>0</v>
      </c>
      <c r="S397" s="133"/>
      <c r="T397" s="116">
        <f t="shared" si="156"/>
        <v>0</v>
      </c>
      <c r="U397" s="116">
        <f t="shared" si="157"/>
        <v>0</v>
      </c>
      <c r="V397" s="116">
        <f t="shared" si="158"/>
        <v>0</v>
      </c>
      <c r="W397" s="116">
        <f t="shared" si="159"/>
        <v>0</v>
      </c>
      <c r="X397" s="116">
        <f t="shared" si="160"/>
        <v>0</v>
      </c>
      <c r="Y397" s="116">
        <f t="shared" si="161"/>
        <v>0</v>
      </c>
      <c r="Z397" s="116">
        <f t="shared" si="162"/>
        <v>0</v>
      </c>
      <c r="AA397" s="116">
        <f t="shared" si="163"/>
        <v>0</v>
      </c>
      <c r="AB397" s="116">
        <f t="shared" si="169"/>
        <v>0</v>
      </c>
      <c r="AC397" s="116">
        <f t="shared" si="170"/>
        <v>19598.18</v>
      </c>
      <c r="AD397" s="116">
        <f t="shared" si="166"/>
        <v>0</v>
      </c>
      <c r="AE397" s="116">
        <f t="shared" si="167"/>
        <v>0</v>
      </c>
    </row>
    <row r="398" spans="1:31">
      <c r="A398" s="131">
        <v>42278</v>
      </c>
      <c r="B398" s="131">
        <v>42309</v>
      </c>
      <c r="C398" s="123">
        <f t="shared" si="151"/>
        <v>31</v>
      </c>
      <c r="D398" s="110">
        <v>118494.46</v>
      </c>
      <c r="E398" s="134"/>
      <c r="F398" s="135"/>
      <c r="G398" s="123"/>
      <c r="H398" s="123"/>
      <c r="I398" s="123"/>
      <c r="J398" s="123"/>
      <c r="K398" s="123"/>
      <c r="L398" s="123"/>
      <c r="M398" s="123"/>
      <c r="N398" s="123"/>
      <c r="O398" s="123">
        <v>31</v>
      </c>
      <c r="P398" s="123"/>
      <c r="Q398" s="123"/>
      <c r="R398" s="133">
        <f t="shared" si="168"/>
        <v>0</v>
      </c>
      <c r="S398" s="133"/>
      <c r="T398" s="116">
        <f t="shared" si="156"/>
        <v>0</v>
      </c>
      <c r="U398" s="116">
        <f t="shared" si="157"/>
        <v>0</v>
      </c>
      <c r="V398" s="116">
        <f t="shared" si="158"/>
        <v>0</v>
      </c>
      <c r="W398" s="116">
        <f t="shared" si="159"/>
        <v>0</v>
      </c>
      <c r="X398" s="116">
        <f t="shared" si="160"/>
        <v>0</v>
      </c>
      <c r="Y398" s="116">
        <f t="shared" si="161"/>
        <v>0</v>
      </c>
      <c r="Z398" s="116">
        <f t="shared" si="162"/>
        <v>0</v>
      </c>
      <c r="AA398" s="116">
        <f t="shared" si="163"/>
        <v>0</v>
      </c>
      <c r="AB398" s="116">
        <f t="shared" si="169"/>
        <v>0</v>
      </c>
      <c r="AC398" s="116">
        <f t="shared" si="170"/>
        <v>1859903.63</v>
      </c>
      <c r="AD398" s="116">
        <f t="shared" si="166"/>
        <v>0</v>
      </c>
      <c r="AE398" s="116">
        <f t="shared" si="167"/>
        <v>0</v>
      </c>
    </row>
    <row r="399" spans="1:31">
      <c r="A399" s="131">
        <v>42278</v>
      </c>
      <c r="B399" s="131">
        <v>42309</v>
      </c>
      <c r="C399" s="123">
        <f t="shared" si="151"/>
        <v>31</v>
      </c>
      <c r="D399" s="110">
        <v>939.17</v>
      </c>
      <c r="E399" s="134"/>
      <c r="F399" s="135"/>
      <c r="G399" s="123"/>
      <c r="H399" s="123"/>
      <c r="I399" s="123"/>
      <c r="J399" s="123"/>
      <c r="K399" s="123"/>
      <c r="L399" s="123"/>
      <c r="M399" s="123"/>
      <c r="N399" s="123"/>
      <c r="O399" s="123">
        <v>31</v>
      </c>
      <c r="P399" s="123"/>
      <c r="Q399" s="123"/>
      <c r="R399" s="133">
        <f t="shared" si="168"/>
        <v>0</v>
      </c>
      <c r="S399" s="133"/>
      <c r="T399" s="116">
        <f t="shared" si="156"/>
        <v>0</v>
      </c>
      <c r="U399" s="116">
        <f t="shared" si="157"/>
        <v>0</v>
      </c>
      <c r="V399" s="116">
        <f t="shared" si="158"/>
        <v>0</v>
      </c>
      <c r="W399" s="116">
        <f t="shared" si="159"/>
        <v>0</v>
      </c>
      <c r="X399" s="116">
        <f t="shared" si="160"/>
        <v>0</v>
      </c>
      <c r="Y399" s="116">
        <f t="shared" si="161"/>
        <v>0</v>
      </c>
      <c r="Z399" s="116">
        <f t="shared" si="162"/>
        <v>0</v>
      </c>
      <c r="AA399" s="116">
        <f t="shared" si="163"/>
        <v>0</v>
      </c>
      <c r="AB399" s="116">
        <f t="shared" si="169"/>
        <v>0</v>
      </c>
      <c r="AC399" s="116">
        <f t="shared" si="170"/>
        <v>14741.33</v>
      </c>
      <c r="AD399" s="116">
        <f t="shared" si="166"/>
        <v>0</v>
      </c>
      <c r="AE399" s="116">
        <f t="shared" si="167"/>
        <v>0</v>
      </c>
    </row>
    <row r="400" spans="1:31">
      <c r="A400" s="131">
        <v>42278</v>
      </c>
      <c r="B400" s="131">
        <v>42309</v>
      </c>
      <c r="C400" s="123">
        <f t="shared" si="151"/>
        <v>31</v>
      </c>
      <c r="D400" s="110">
        <v>188.52</v>
      </c>
      <c r="E400" s="134"/>
      <c r="F400" s="135"/>
      <c r="G400" s="123"/>
      <c r="H400" s="123"/>
      <c r="I400" s="123"/>
      <c r="J400" s="123"/>
      <c r="K400" s="123"/>
      <c r="L400" s="123"/>
      <c r="M400" s="123"/>
      <c r="N400" s="123"/>
      <c r="O400" s="123">
        <v>31</v>
      </c>
      <c r="P400" s="123"/>
      <c r="Q400" s="123"/>
      <c r="R400" s="133">
        <f t="shared" si="168"/>
        <v>0</v>
      </c>
      <c r="S400" s="133"/>
      <c r="T400" s="116">
        <f t="shared" si="156"/>
        <v>0</v>
      </c>
      <c r="U400" s="116">
        <f t="shared" si="157"/>
        <v>0</v>
      </c>
      <c r="V400" s="116">
        <f t="shared" si="158"/>
        <v>0</v>
      </c>
      <c r="W400" s="116">
        <f t="shared" si="159"/>
        <v>0</v>
      </c>
      <c r="X400" s="116">
        <f t="shared" si="160"/>
        <v>0</v>
      </c>
      <c r="Y400" s="116">
        <f t="shared" si="161"/>
        <v>0</v>
      </c>
      <c r="Z400" s="116">
        <f t="shared" si="162"/>
        <v>0</v>
      </c>
      <c r="AA400" s="116">
        <f t="shared" si="163"/>
        <v>0</v>
      </c>
      <c r="AB400" s="116">
        <f t="shared" si="169"/>
        <v>0</v>
      </c>
      <c r="AC400" s="116">
        <f t="shared" si="170"/>
        <v>2959.03</v>
      </c>
      <c r="AD400" s="116">
        <f t="shared" si="166"/>
        <v>0</v>
      </c>
      <c r="AE400" s="116">
        <f t="shared" si="167"/>
        <v>0</v>
      </c>
    </row>
    <row r="401" spans="1:31">
      <c r="A401" s="131">
        <v>42278</v>
      </c>
      <c r="B401" s="131">
        <v>42309</v>
      </c>
      <c r="C401" s="123">
        <f t="shared" si="151"/>
        <v>31</v>
      </c>
      <c r="D401" s="110">
        <v>426.38</v>
      </c>
      <c r="E401" s="134"/>
      <c r="F401" s="135"/>
      <c r="G401" s="123"/>
      <c r="H401" s="123"/>
      <c r="I401" s="123"/>
      <c r="J401" s="123"/>
      <c r="K401" s="123"/>
      <c r="L401" s="123"/>
      <c r="M401" s="123"/>
      <c r="N401" s="123"/>
      <c r="O401" s="123">
        <v>31</v>
      </c>
      <c r="P401" s="123"/>
      <c r="Q401" s="123"/>
      <c r="R401" s="133">
        <f t="shared" si="168"/>
        <v>0</v>
      </c>
      <c r="S401" s="133"/>
      <c r="T401" s="116">
        <f t="shared" si="156"/>
        <v>0</v>
      </c>
      <c r="U401" s="116">
        <f t="shared" si="157"/>
        <v>0</v>
      </c>
      <c r="V401" s="116">
        <f t="shared" si="158"/>
        <v>0</v>
      </c>
      <c r="W401" s="116">
        <f t="shared" si="159"/>
        <v>0</v>
      </c>
      <c r="X401" s="116">
        <f t="shared" si="160"/>
        <v>0</v>
      </c>
      <c r="Y401" s="116">
        <f t="shared" si="161"/>
        <v>0</v>
      </c>
      <c r="Z401" s="116">
        <f t="shared" si="162"/>
        <v>0</v>
      </c>
      <c r="AA401" s="116">
        <f t="shared" si="163"/>
        <v>0</v>
      </c>
      <c r="AB401" s="116">
        <f t="shared" si="169"/>
        <v>0</v>
      </c>
      <c r="AC401" s="116">
        <f t="shared" si="170"/>
        <v>6692.51</v>
      </c>
      <c r="AD401" s="116">
        <f t="shared" si="166"/>
        <v>0</v>
      </c>
      <c r="AE401" s="116">
        <f t="shared" si="167"/>
        <v>0</v>
      </c>
    </row>
    <row r="402" spans="1:31">
      <c r="A402" s="131">
        <v>42278</v>
      </c>
      <c r="B402" s="131">
        <v>42309</v>
      </c>
      <c r="C402" s="123">
        <f t="shared" si="151"/>
        <v>31</v>
      </c>
      <c r="D402" s="110">
        <v>15014.51</v>
      </c>
      <c r="E402" s="134"/>
      <c r="F402" s="135"/>
      <c r="G402" s="123"/>
      <c r="H402" s="123"/>
      <c r="I402" s="123"/>
      <c r="J402" s="123"/>
      <c r="K402" s="123"/>
      <c r="L402" s="123"/>
      <c r="M402" s="123"/>
      <c r="N402" s="123"/>
      <c r="O402" s="123">
        <v>31</v>
      </c>
      <c r="P402" s="123"/>
      <c r="Q402" s="123"/>
      <c r="R402" s="133">
        <f t="shared" si="168"/>
        <v>0</v>
      </c>
      <c r="S402" s="133"/>
      <c r="T402" s="116">
        <f t="shared" si="156"/>
        <v>0</v>
      </c>
      <c r="U402" s="116">
        <f t="shared" si="157"/>
        <v>0</v>
      </c>
      <c r="V402" s="116">
        <f t="shared" si="158"/>
        <v>0</v>
      </c>
      <c r="W402" s="116">
        <f t="shared" si="159"/>
        <v>0</v>
      </c>
      <c r="X402" s="116">
        <f t="shared" si="160"/>
        <v>0</v>
      </c>
      <c r="Y402" s="116">
        <f t="shared" si="161"/>
        <v>0</v>
      </c>
      <c r="Z402" s="116">
        <f t="shared" si="162"/>
        <v>0</v>
      </c>
      <c r="AA402" s="116">
        <f t="shared" si="163"/>
        <v>0</v>
      </c>
      <c r="AB402" s="116">
        <f t="shared" si="169"/>
        <v>0</v>
      </c>
      <c r="AC402" s="116">
        <f t="shared" si="170"/>
        <v>235669.6</v>
      </c>
      <c r="AD402" s="116">
        <f t="shared" si="166"/>
        <v>0</v>
      </c>
      <c r="AE402" s="116">
        <f t="shared" si="167"/>
        <v>0</v>
      </c>
    </row>
    <row r="403" spans="1:31">
      <c r="A403" s="131">
        <v>42278</v>
      </c>
      <c r="B403" s="131">
        <v>42309</v>
      </c>
      <c r="C403" s="123">
        <f t="shared" si="151"/>
        <v>31</v>
      </c>
      <c r="D403" s="110">
        <v>32699.119999999999</v>
      </c>
      <c r="E403" s="134"/>
      <c r="F403" s="135"/>
      <c r="G403" s="123"/>
      <c r="H403" s="123"/>
      <c r="I403" s="123"/>
      <c r="J403" s="123"/>
      <c r="K403" s="123"/>
      <c r="L403" s="123"/>
      <c r="M403" s="123"/>
      <c r="N403" s="123"/>
      <c r="O403" s="123">
        <v>31</v>
      </c>
      <c r="P403" s="123"/>
      <c r="Q403" s="123"/>
      <c r="R403" s="133">
        <f t="shared" si="168"/>
        <v>0</v>
      </c>
      <c r="S403" s="133"/>
      <c r="T403" s="116">
        <f t="shared" si="156"/>
        <v>0</v>
      </c>
      <c r="U403" s="116">
        <f t="shared" si="157"/>
        <v>0</v>
      </c>
      <c r="V403" s="116">
        <f t="shared" si="158"/>
        <v>0</v>
      </c>
      <c r="W403" s="116">
        <f t="shared" si="159"/>
        <v>0</v>
      </c>
      <c r="X403" s="116">
        <f t="shared" si="160"/>
        <v>0</v>
      </c>
      <c r="Y403" s="116">
        <f t="shared" si="161"/>
        <v>0</v>
      </c>
      <c r="Z403" s="116">
        <f t="shared" si="162"/>
        <v>0</v>
      </c>
      <c r="AA403" s="116">
        <f t="shared" si="163"/>
        <v>0</v>
      </c>
      <c r="AB403" s="116">
        <f t="shared" si="169"/>
        <v>0</v>
      </c>
      <c r="AC403" s="116">
        <f t="shared" si="170"/>
        <v>513249.41</v>
      </c>
      <c r="AD403" s="116">
        <f t="shared" si="166"/>
        <v>0</v>
      </c>
      <c r="AE403" s="116">
        <f t="shared" si="167"/>
        <v>0</v>
      </c>
    </row>
    <row r="404" spans="1:31">
      <c r="A404" s="131">
        <v>42278</v>
      </c>
      <c r="B404" s="131">
        <v>42309</v>
      </c>
      <c r="C404" s="123">
        <f t="shared" si="151"/>
        <v>31</v>
      </c>
      <c r="D404" s="110">
        <v>2449.19</v>
      </c>
      <c r="E404" s="134"/>
      <c r="F404" s="135"/>
      <c r="G404" s="123"/>
      <c r="H404" s="123"/>
      <c r="I404" s="123"/>
      <c r="J404" s="123"/>
      <c r="K404" s="123"/>
      <c r="L404" s="123"/>
      <c r="M404" s="123"/>
      <c r="N404" s="123"/>
      <c r="O404" s="123">
        <v>31</v>
      </c>
      <c r="P404" s="123"/>
      <c r="Q404" s="123"/>
      <c r="R404" s="133">
        <f t="shared" si="168"/>
        <v>0</v>
      </c>
      <c r="S404" s="133"/>
      <c r="T404" s="116">
        <f t="shared" si="156"/>
        <v>0</v>
      </c>
      <c r="U404" s="116">
        <f t="shared" si="157"/>
        <v>0</v>
      </c>
      <c r="V404" s="116">
        <f t="shared" si="158"/>
        <v>0</v>
      </c>
      <c r="W404" s="116">
        <f t="shared" si="159"/>
        <v>0</v>
      </c>
      <c r="X404" s="116">
        <f t="shared" si="160"/>
        <v>0</v>
      </c>
      <c r="Y404" s="116">
        <f t="shared" si="161"/>
        <v>0</v>
      </c>
      <c r="Z404" s="116">
        <f t="shared" si="162"/>
        <v>0</v>
      </c>
      <c r="AA404" s="116">
        <f t="shared" si="163"/>
        <v>0</v>
      </c>
      <c r="AB404" s="116">
        <f t="shared" si="169"/>
        <v>0</v>
      </c>
      <c r="AC404" s="116">
        <f t="shared" si="170"/>
        <v>38442.79</v>
      </c>
      <c r="AD404" s="116">
        <f t="shared" si="166"/>
        <v>0</v>
      </c>
      <c r="AE404" s="116">
        <f t="shared" si="167"/>
        <v>0</v>
      </c>
    </row>
    <row r="405" spans="1:31">
      <c r="A405" s="131">
        <v>42278</v>
      </c>
      <c r="B405" s="131">
        <v>42309</v>
      </c>
      <c r="C405" s="123">
        <f t="shared" si="151"/>
        <v>31</v>
      </c>
      <c r="D405" s="110">
        <v>30.91</v>
      </c>
      <c r="E405" s="134"/>
      <c r="F405" s="135"/>
      <c r="G405" s="123"/>
      <c r="H405" s="123"/>
      <c r="I405" s="123"/>
      <c r="J405" s="123"/>
      <c r="K405" s="123"/>
      <c r="L405" s="123"/>
      <c r="M405" s="123"/>
      <c r="N405" s="123"/>
      <c r="O405" s="123">
        <v>31</v>
      </c>
      <c r="P405" s="123"/>
      <c r="Q405" s="123"/>
      <c r="R405" s="133">
        <f t="shared" si="168"/>
        <v>0</v>
      </c>
      <c r="S405" s="133"/>
      <c r="T405" s="116">
        <f t="shared" si="156"/>
        <v>0</v>
      </c>
      <c r="U405" s="116">
        <f t="shared" si="157"/>
        <v>0</v>
      </c>
      <c r="V405" s="116">
        <f t="shared" si="158"/>
        <v>0</v>
      </c>
      <c r="W405" s="116">
        <f t="shared" si="159"/>
        <v>0</v>
      </c>
      <c r="X405" s="116">
        <f t="shared" si="160"/>
        <v>0</v>
      </c>
      <c r="Y405" s="116">
        <f t="shared" si="161"/>
        <v>0</v>
      </c>
      <c r="Z405" s="116">
        <f t="shared" si="162"/>
        <v>0</v>
      </c>
      <c r="AA405" s="116">
        <f t="shared" si="163"/>
        <v>0</v>
      </c>
      <c r="AB405" s="116">
        <f t="shared" si="169"/>
        <v>0</v>
      </c>
      <c r="AC405" s="116">
        <f t="shared" si="170"/>
        <v>485.17</v>
      </c>
      <c r="AD405" s="116">
        <f t="shared" si="166"/>
        <v>0</v>
      </c>
      <c r="AE405" s="116">
        <f t="shared" si="167"/>
        <v>0</v>
      </c>
    </row>
    <row r="406" spans="1:31">
      <c r="A406" s="131">
        <v>42282</v>
      </c>
      <c r="B406" s="131">
        <v>42313</v>
      </c>
      <c r="C406" s="123">
        <f t="shared" si="151"/>
        <v>31</v>
      </c>
      <c r="D406" s="132">
        <v>533.98</v>
      </c>
      <c r="E406" s="134"/>
      <c r="F406" s="135"/>
      <c r="G406" s="123"/>
      <c r="H406" s="123"/>
      <c r="I406" s="123"/>
      <c r="J406" s="123"/>
      <c r="K406" s="123"/>
      <c r="L406" s="123"/>
      <c r="M406" s="123"/>
      <c r="N406" s="123"/>
      <c r="O406" s="123">
        <v>27</v>
      </c>
      <c r="P406" s="123">
        <v>4</v>
      </c>
      <c r="Q406" s="123"/>
      <c r="R406" s="133">
        <f t="shared" si="168"/>
        <v>0</v>
      </c>
      <c r="S406" s="133"/>
      <c r="T406" s="116">
        <f t="shared" si="156"/>
        <v>0</v>
      </c>
      <c r="U406" s="116">
        <f t="shared" si="157"/>
        <v>0</v>
      </c>
      <c r="V406" s="116">
        <f t="shared" si="158"/>
        <v>0</v>
      </c>
      <c r="W406" s="116">
        <f t="shared" si="159"/>
        <v>0</v>
      </c>
      <c r="X406" s="116">
        <f t="shared" si="160"/>
        <v>0</v>
      </c>
      <c r="Y406" s="116">
        <f t="shared" si="161"/>
        <v>0</v>
      </c>
      <c r="Z406" s="116">
        <f t="shared" si="162"/>
        <v>0</v>
      </c>
      <c r="AA406" s="116">
        <f t="shared" si="163"/>
        <v>0</v>
      </c>
      <c r="AB406" s="116">
        <f t="shared" si="169"/>
        <v>0</v>
      </c>
      <c r="AC406" s="116">
        <f t="shared" si="170"/>
        <v>7299.94</v>
      </c>
      <c r="AD406" s="116">
        <f t="shared" si="166"/>
        <v>903.85</v>
      </c>
      <c r="AE406" s="116">
        <f t="shared" si="167"/>
        <v>0</v>
      </c>
    </row>
    <row r="407" spans="1:31">
      <c r="A407" s="131">
        <v>42282</v>
      </c>
      <c r="B407" s="131">
        <v>42313</v>
      </c>
      <c r="C407" s="123">
        <f t="shared" si="151"/>
        <v>31</v>
      </c>
      <c r="D407" s="132">
        <v>122.09</v>
      </c>
      <c r="E407" s="134"/>
      <c r="F407" s="135"/>
      <c r="G407" s="123"/>
      <c r="H407" s="123"/>
      <c r="I407" s="123"/>
      <c r="J407" s="123"/>
      <c r="K407" s="123"/>
      <c r="L407" s="123"/>
      <c r="M407" s="123"/>
      <c r="N407" s="123"/>
      <c r="O407" s="123">
        <v>27</v>
      </c>
      <c r="P407" s="123">
        <v>4</v>
      </c>
      <c r="Q407" s="123"/>
      <c r="R407" s="133">
        <f t="shared" si="168"/>
        <v>0</v>
      </c>
      <c r="S407" s="133"/>
      <c r="T407" s="116">
        <f t="shared" si="156"/>
        <v>0</v>
      </c>
      <c r="U407" s="116">
        <f t="shared" si="157"/>
        <v>0</v>
      </c>
      <c r="V407" s="116">
        <f t="shared" si="158"/>
        <v>0</v>
      </c>
      <c r="W407" s="116">
        <f t="shared" si="159"/>
        <v>0</v>
      </c>
      <c r="X407" s="116">
        <f t="shared" si="160"/>
        <v>0</v>
      </c>
      <c r="Y407" s="116">
        <f t="shared" si="161"/>
        <v>0</v>
      </c>
      <c r="Z407" s="116">
        <f t="shared" si="162"/>
        <v>0</v>
      </c>
      <c r="AA407" s="116">
        <f t="shared" si="163"/>
        <v>0</v>
      </c>
      <c r="AB407" s="116">
        <f t="shared" si="169"/>
        <v>0</v>
      </c>
      <c r="AC407" s="116">
        <f t="shared" si="170"/>
        <v>1669.07</v>
      </c>
      <c r="AD407" s="116">
        <f t="shared" si="166"/>
        <v>206.66</v>
      </c>
      <c r="AE407" s="116">
        <f t="shared" si="167"/>
        <v>0</v>
      </c>
    </row>
    <row r="408" spans="1:31">
      <c r="A408" s="131">
        <v>42282</v>
      </c>
      <c r="B408" s="131">
        <v>42313</v>
      </c>
      <c r="C408" s="123">
        <f t="shared" si="151"/>
        <v>31</v>
      </c>
      <c r="D408" s="132">
        <v>843.48</v>
      </c>
      <c r="E408" s="134"/>
      <c r="F408" s="135"/>
      <c r="G408" s="123"/>
      <c r="H408" s="123"/>
      <c r="I408" s="123"/>
      <c r="J408" s="123"/>
      <c r="K408" s="123"/>
      <c r="L408" s="123"/>
      <c r="M408" s="123"/>
      <c r="N408" s="123"/>
      <c r="O408" s="123">
        <v>27</v>
      </c>
      <c r="P408" s="123">
        <v>4</v>
      </c>
      <c r="Q408" s="123"/>
      <c r="R408" s="133">
        <f t="shared" si="168"/>
        <v>0</v>
      </c>
      <c r="S408" s="133"/>
      <c r="T408" s="116">
        <f t="shared" si="156"/>
        <v>0</v>
      </c>
      <c r="U408" s="116">
        <f t="shared" si="157"/>
        <v>0</v>
      </c>
      <c r="V408" s="116">
        <f t="shared" si="158"/>
        <v>0</v>
      </c>
      <c r="W408" s="116">
        <f t="shared" si="159"/>
        <v>0</v>
      </c>
      <c r="X408" s="116">
        <f t="shared" si="160"/>
        <v>0</v>
      </c>
      <c r="Y408" s="116">
        <f t="shared" si="161"/>
        <v>0</v>
      </c>
      <c r="Z408" s="116">
        <f t="shared" si="162"/>
        <v>0</v>
      </c>
      <c r="AA408" s="116">
        <f t="shared" si="163"/>
        <v>0</v>
      </c>
      <c r="AB408" s="116">
        <f t="shared" si="169"/>
        <v>0</v>
      </c>
      <c r="AC408" s="116">
        <f t="shared" si="170"/>
        <v>11531.06</v>
      </c>
      <c r="AD408" s="116">
        <f t="shared" si="166"/>
        <v>1427.73</v>
      </c>
      <c r="AE408" s="116">
        <f t="shared" si="167"/>
        <v>0</v>
      </c>
    </row>
    <row r="409" spans="1:31">
      <c r="A409" s="131">
        <v>42285</v>
      </c>
      <c r="B409" s="131">
        <v>42316</v>
      </c>
      <c r="C409" s="123">
        <f t="shared" si="151"/>
        <v>31</v>
      </c>
      <c r="D409" s="132">
        <v>459.11</v>
      </c>
      <c r="E409" s="134"/>
      <c r="F409" s="135"/>
      <c r="G409" s="123"/>
      <c r="H409" s="123"/>
      <c r="I409" s="123"/>
      <c r="J409" s="123"/>
      <c r="K409" s="123"/>
      <c r="L409" s="123"/>
      <c r="M409" s="123"/>
      <c r="N409" s="123"/>
      <c r="O409" s="123">
        <v>24</v>
      </c>
      <c r="P409" s="123">
        <v>7</v>
      </c>
      <c r="Q409" s="123"/>
      <c r="R409" s="133">
        <f t="shared" si="168"/>
        <v>0</v>
      </c>
      <c r="S409" s="133"/>
      <c r="T409" s="116">
        <f t="shared" si="156"/>
        <v>0</v>
      </c>
      <c r="U409" s="116">
        <f t="shared" si="157"/>
        <v>0</v>
      </c>
      <c r="V409" s="116">
        <f t="shared" si="158"/>
        <v>0</v>
      </c>
      <c r="W409" s="116">
        <f t="shared" si="159"/>
        <v>0</v>
      </c>
      <c r="X409" s="116">
        <f t="shared" si="160"/>
        <v>0</v>
      </c>
      <c r="Y409" s="116">
        <f t="shared" si="161"/>
        <v>0</v>
      </c>
      <c r="Z409" s="116">
        <f t="shared" si="162"/>
        <v>0</v>
      </c>
      <c r="AA409" s="116">
        <f t="shared" si="163"/>
        <v>0</v>
      </c>
      <c r="AB409" s="116">
        <f t="shared" si="169"/>
        <v>0</v>
      </c>
      <c r="AC409" s="116">
        <f t="shared" si="170"/>
        <v>5579.03</v>
      </c>
      <c r="AD409" s="116">
        <f t="shared" si="166"/>
        <v>1359.96</v>
      </c>
      <c r="AE409" s="116">
        <f t="shared" si="167"/>
        <v>0</v>
      </c>
    </row>
    <row r="410" spans="1:31">
      <c r="A410" s="131">
        <v>42285</v>
      </c>
      <c r="B410" s="131">
        <v>42316</v>
      </c>
      <c r="C410" s="123">
        <f t="shared" si="151"/>
        <v>31</v>
      </c>
      <c r="D410" s="132">
        <v>166.9</v>
      </c>
      <c r="E410" s="134"/>
      <c r="F410" s="135"/>
      <c r="G410" s="123"/>
      <c r="H410" s="123"/>
      <c r="I410" s="123"/>
      <c r="J410" s="123"/>
      <c r="K410" s="123"/>
      <c r="L410" s="123"/>
      <c r="M410" s="123"/>
      <c r="N410" s="123"/>
      <c r="O410" s="123">
        <v>24</v>
      </c>
      <c r="P410" s="123">
        <v>7</v>
      </c>
      <c r="Q410" s="123"/>
      <c r="R410" s="133">
        <f t="shared" si="168"/>
        <v>0</v>
      </c>
      <c r="S410" s="133"/>
      <c r="T410" s="116">
        <f t="shared" si="156"/>
        <v>0</v>
      </c>
      <c r="U410" s="116">
        <f t="shared" si="157"/>
        <v>0</v>
      </c>
      <c r="V410" s="116">
        <f t="shared" si="158"/>
        <v>0</v>
      </c>
      <c r="W410" s="116">
        <f t="shared" si="159"/>
        <v>0</v>
      </c>
      <c r="X410" s="116">
        <f t="shared" si="160"/>
        <v>0</v>
      </c>
      <c r="Y410" s="116">
        <f t="shared" si="161"/>
        <v>0</v>
      </c>
      <c r="Z410" s="116">
        <f t="shared" si="162"/>
        <v>0</v>
      </c>
      <c r="AA410" s="116">
        <f t="shared" si="163"/>
        <v>0</v>
      </c>
      <c r="AB410" s="116">
        <f t="shared" si="169"/>
        <v>0</v>
      </c>
      <c r="AC410" s="116">
        <f t="shared" si="170"/>
        <v>2028.14</v>
      </c>
      <c r="AD410" s="116">
        <f t="shared" si="166"/>
        <v>494.39</v>
      </c>
      <c r="AE410" s="116">
        <f t="shared" si="167"/>
        <v>0</v>
      </c>
    </row>
    <row r="411" spans="1:31">
      <c r="A411" s="131">
        <v>42285</v>
      </c>
      <c r="B411" s="131">
        <v>42316</v>
      </c>
      <c r="C411" s="123">
        <f t="shared" si="151"/>
        <v>31</v>
      </c>
      <c r="D411" s="132">
        <v>238.01</v>
      </c>
      <c r="E411" s="134"/>
      <c r="F411" s="135"/>
      <c r="G411" s="123"/>
      <c r="H411" s="123"/>
      <c r="I411" s="123"/>
      <c r="J411" s="123"/>
      <c r="K411" s="123"/>
      <c r="L411" s="123"/>
      <c r="M411" s="123"/>
      <c r="N411" s="123"/>
      <c r="O411" s="123">
        <v>24</v>
      </c>
      <c r="P411" s="123">
        <v>7</v>
      </c>
      <c r="Q411" s="123"/>
      <c r="R411" s="133">
        <f t="shared" si="168"/>
        <v>0</v>
      </c>
      <c r="S411" s="133"/>
      <c r="T411" s="116">
        <f t="shared" si="156"/>
        <v>0</v>
      </c>
      <c r="U411" s="116">
        <f t="shared" si="157"/>
        <v>0</v>
      </c>
      <c r="V411" s="116">
        <f t="shared" si="158"/>
        <v>0</v>
      </c>
      <c r="W411" s="116">
        <f t="shared" si="159"/>
        <v>0</v>
      </c>
      <c r="X411" s="116">
        <f t="shared" si="160"/>
        <v>0</v>
      </c>
      <c r="Y411" s="116">
        <f t="shared" si="161"/>
        <v>0</v>
      </c>
      <c r="Z411" s="116">
        <f t="shared" si="162"/>
        <v>0</v>
      </c>
      <c r="AA411" s="116">
        <f t="shared" si="163"/>
        <v>0</v>
      </c>
      <c r="AB411" s="116">
        <f t="shared" si="169"/>
        <v>0</v>
      </c>
      <c r="AC411" s="116">
        <f t="shared" si="170"/>
        <v>2892.26</v>
      </c>
      <c r="AD411" s="116">
        <f t="shared" si="166"/>
        <v>705.03</v>
      </c>
      <c r="AE411" s="116">
        <f t="shared" si="167"/>
        <v>0</v>
      </c>
    </row>
    <row r="412" spans="1:31">
      <c r="A412" s="131">
        <v>42285</v>
      </c>
      <c r="B412" s="131">
        <v>42316</v>
      </c>
      <c r="C412" s="123">
        <f t="shared" si="151"/>
        <v>31</v>
      </c>
      <c r="D412" s="132">
        <v>3.18</v>
      </c>
      <c r="E412" s="134"/>
      <c r="F412" s="135"/>
      <c r="G412" s="123"/>
      <c r="H412" s="123"/>
      <c r="I412" s="123"/>
      <c r="J412" s="123"/>
      <c r="K412" s="123"/>
      <c r="L412" s="123"/>
      <c r="M412" s="123"/>
      <c r="N412" s="123"/>
      <c r="O412" s="123">
        <v>24</v>
      </c>
      <c r="P412" s="123">
        <v>7</v>
      </c>
      <c r="Q412" s="123"/>
      <c r="R412" s="133">
        <f t="shared" si="168"/>
        <v>0</v>
      </c>
      <c r="S412" s="133"/>
      <c r="T412" s="116">
        <f t="shared" si="156"/>
        <v>0</v>
      </c>
      <c r="U412" s="116">
        <f t="shared" si="157"/>
        <v>0</v>
      </c>
      <c r="V412" s="116">
        <f t="shared" si="158"/>
        <v>0</v>
      </c>
      <c r="W412" s="116">
        <f t="shared" si="159"/>
        <v>0</v>
      </c>
      <c r="X412" s="116">
        <f t="shared" si="160"/>
        <v>0</v>
      </c>
      <c r="Y412" s="116">
        <f t="shared" si="161"/>
        <v>0</v>
      </c>
      <c r="Z412" s="116">
        <f t="shared" si="162"/>
        <v>0</v>
      </c>
      <c r="AA412" s="116">
        <f t="shared" si="163"/>
        <v>0</v>
      </c>
      <c r="AB412" s="116">
        <f t="shared" si="169"/>
        <v>0</v>
      </c>
      <c r="AC412" s="116">
        <f t="shared" si="170"/>
        <v>38.64</v>
      </c>
      <c r="AD412" s="116">
        <f t="shared" si="166"/>
        <v>9.42</v>
      </c>
      <c r="AE412" s="116">
        <f t="shared" si="167"/>
        <v>0</v>
      </c>
    </row>
    <row r="413" spans="1:31">
      <c r="A413" s="131">
        <v>42278</v>
      </c>
      <c r="B413" s="131">
        <v>42309</v>
      </c>
      <c r="C413" s="123">
        <f t="shared" si="151"/>
        <v>31</v>
      </c>
      <c r="D413" s="132">
        <v>2603.31</v>
      </c>
      <c r="E413" s="134"/>
      <c r="F413" s="135"/>
      <c r="G413" s="123"/>
      <c r="H413" s="123"/>
      <c r="I413" s="123"/>
      <c r="J413" s="123"/>
      <c r="K413" s="123"/>
      <c r="L413" s="123"/>
      <c r="M413" s="123"/>
      <c r="N413" s="123"/>
      <c r="O413" s="123">
        <v>31</v>
      </c>
      <c r="P413" s="123"/>
      <c r="Q413" s="123"/>
      <c r="R413" s="133">
        <f t="shared" si="168"/>
        <v>0</v>
      </c>
      <c r="S413" s="133"/>
      <c r="T413" s="116">
        <f t="shared" si="156"/>
        <v>0</v>
      </c>
      <c r="U413" s="116">
        <f t="shared" si="157"/>
        <v>0</v>
      </c>
      <c r="V413" s="116">
        <f t="shared" si="158"/>
        <v>0</v>
      </c>
      <c r="W413" s="116">
        <f t="shared" si="159"/>
        <v>0</v>
      </c>
      <c r="X413" s="116">
        <f t="shared" si="160"/>
        <v>0</v>
      </c>
      <c r="Y413" s="116">
        <f t="shared" si="161"/>
        <v>0</v>
      </c>
      <c r="Z413" s="116">
        <f t="shared" si="162"/>
        <v>0</v>
      </c>
      <c r="AA413" s="116">
        <f t="shared" si="163"/>
        <v>0</v>
      </c>
      <c r="AB413" s="116">
        <f t="shared" si="169"/>
        <v>0</v>
      </c>
      <c r="AC413" s="116">
        <f t="shared" si="170"/>
        <v>40861.870000000003</v>
      </c>
      <c r="AD413" s="116">
        <f t="shared" si="166"/>
        <v>0</v>
      </c>
      <c r="AE413" s="116">
        <f t="shared" si="167"/>
        <v>0</v>
      </c>
    </row>
    <row r="414" spans="1:31">
      <c r="A414" s="131">
        <v>42289</v>
      </c>
      <c r="B414" s="131">
        <v>42320</v>
      </c>
      <c r="C414" s="123">
        <f t="shared" si="151"/>
        <v>31</v>
      </c>
      <c r="D414" s="132">
        <v>758.77</v>
      </c>
      <c r="E414" s="134"/>
      <c r="F414" s="135"/>
      <c r="G414" s="123"/>
      <c r="H414" s="123"/>
      <c r="I414" s="123"/>
      <c r="J414" s="123"/>
      <c r="K414" s="123"/>
      <c r="L414" s="123"/>
      <c r="M414" s="123"/>
      <c r="N414" s="123"/>
      <c r="O414" s="123">
        <v>20</v>
      </c>
      <c r="P414" s="123">
        <v>11</v>
      </c>
      <c r="Q414" s="123"/>
      <c r="R414" s="133">
        <f t="shared" si="168"/>
        <v>0</v>
      </c>
      <c r="S414" s="133"/>
      <c r="T414" s="116">
        <f t="shared" si="156"/>
        <v>0</v>
      </c>
      <c r="U414" s="116">
        <f t="shared" si="157"/>
        <v>0</v>
      </c>
      <c r="V414" s="116">
        <f t="shared" si="158"/>
        <v>0</v>
      </c>
      <c r="W414" s="116">
        <f t="shared" si="159"/>
        <v>0</v>
      </c>
      <c r="X414" s="116">
        <f t="shared" si="160"/>
        <v>0</v>
      </c>
      <c r="Y414" s="116">
        <f t="shared" si="161"/>
        <v>0</v>
      </c>
      <c r="Z414" s="116">
        <f t="shared" si="162"/>
        <v>0</v>
      </c>
      <c r="AA414" s="116">
        <f t="shared" si="163"/>
        <v>0</v>
      </c>
      <c r="AB414" s="116">
        <f t="shared" si="169"/>
        <v>0</v>
      </c>
      <c r="AC414" s="116">
        <f t="shared" si="170"/>
        <v>7683.71</v>
      </c>
      <c r="AD414" s="116">
        <f t="shared" si="166"/>
        <v>3531.96</v>
      </c>
      <c r="AE414" s="116">
        <f t="shared" si="167"/>
        <v>0</v>
      </c>
    </row>
    <row r="415" spans="1:31">
      <c r="A415" s="131">
        <v>42289</v>
      </c>
      <c r="B415" s="131">
        <v>42320</v>
      </c>
      <c r="C415" s="123">
        <f t="shared" ref="C415:C480" si="171">B415-A415</f>
        <v>31</v>
      </c>
      <c r="D415" s="132">
        <v>566.91999999999996</v>
      </c>
      <c r="E415" s="134"/>
      <c r="F415" s="135"/>
      <c r="G415" s="123"/>
      <c r="H415" s="123"/>
      <c r="I415" s="123"/>
      <c r="J415" s="123"/>
      <c r="K415" s="123"/>
      <c r="L415" s="123"/>
      <c r="M415" s="123"/>
      <c r="N415" s="123"/>
      <c r="O415" s="123">
        <v>20</v>
      </c>
      <c r="P415" s="123">
        <v>11</v>
      </c>
      <c r="Q415" s="123"/>
      <c r="R415" s="133">
        <f t="shared" si="168"/>
        <v>0</v>
      </c>
      <c r="S415" s="133"/>
      <c r="T415" s="116">
        <f t="shared" si="156"/>
        <v>0</v>
      </c>
      <c r="U415" s="116">
        <f t="shared" si="157"/>
        <v>0</v>
      </c>
      <c r="V415" s="116">
        <f t="shared" si="158"/>
        <v>0</v>
      </c>
      <c r="W415" s="116">
        <f t="shared" si="159"/>
        <v>0</v>
      </c>
      <c r="X415" s="116">
        <f t="shared" si="160"/>
        <v>0</v>
      </c>
      <c r="Y415" s="116">
        <f t="shared" si="161"/>
        <v>0</v>
      </c>
      <c r="Z415" s="116">
        <f t="shared" si="162"/>
        <v>0</v>
      </c>
      <c r="AA415" s="116">
        <f t="shared" si="163"/>
        <v>0</v>
      </c>
      <c r="AB415" s="116">
        <f t="shared" si="169"/>
        <v>0</v>
      </c>
      <c r="AC415" s="116">
        <f t="shared" si="170"/>
        <v>5740.93</v>
      </c>
      <c r="AD415" s="116">
        <f t="shared" si="166"/>
        <v>2638.92</v>
      </c>
      <c r="AE415" s="116">
        <f t="shared" si="167"/>
        <v>0</v>
      </c>
    </row>
    <row r="416" spans="1:31" ht="15.75" thickBot="1">
      <c r="A416" s="131">
        <v>42289</v>
      </c>
      <c r="B416" s="131">
        <v>42320</v>
      </c>
      <c r="C416" s="123">
        <f t="shared" si="171"/>
        <v>31</v>
      </c>
      <c r="D416" s="132">
        <v>104.16</v>
      </c>
      <c r="E416" s="134"/>
      <c r="F416" s="135"/>
      <c r="G416" s="123"/>
      <c r="H416" s="123"/>
      <c r="I416" s="123"/>
      <c r="J416" s="123"/>
      <c r="K416" s="123"/>
      <c r="L416" s="123"/>
      <c r="M416" s="123"/>
      <c r="N416" s="123"/>
      <c r="O416" s="123">
        <v>20</v>
      </c>
      <c r="P416" s="123">
        <v>11</v>
      </c>
      <c r="Q416" s="123"/>
      <c r="R416" s="133">
        <f t="shared" si="168"/>
        <v>0</v>
      </c>
      <c r="S416" s="133"/>
      <c r="T416" s="116">
        <f t="shared" si="156"/>
        <v>0</v>
      </c>
      <c r="U416" s="116">
        <f t="shared" si="157"/>
        <v>0</v>
      </c>
      <c r="V416" s="116">
        <f t="shared" si="158"/>
        <v>0</v>
      </c>
      <c r="W416" s="116">
        <f t="shared" si="159"/>
        <v>0</v>
      </c>
      <c r="X416" s="116">
        <f t="shared" si="160"/>
        <v>0</v>
      </c>
      <c r="Y416" s="116">
        <f t="shared" si="161"/>
        <v>0</v>
      </c>
      <c r="Z416" s="116">
        <f t="shared" si="162"/>
        <v>0</v>
      </c>
      <c r="AA416" s="116">
        <f t="shared" si="163"/>
        <v>0</v>
      </c>
      <c r="AB416" s="116">
        <f t="shared" si="169"/>
        <v>0</v>
      </c>
      <c r="AC416" s="116">
        <f t="shared" si="170"/>
        <v>1054.78</v>
      </c>
      <c r="AD416" s="116">
        <f t="shared" si="166"/>
        <v>484.85</v>
      </c>
      <c r="AE416" s="116">
        <f t="shared" si="167"/>
        <v>0</v>
      </c>
    </row>
    <row r="417" spans="1:31" ht="15.75" thickBot="1">
      <c r="A417" s="194" t="s">
        <v>46</v>
      </c>
      <c r="B417" s="195"/>
      <c r="C417" s="195"/>
      <c r="D417" s="195"/>
      <c r="E417" s="195"/>
      <c r="F417" s="195"/>
      <c r="G417" s="195"/>
      <c r="H417" s="195"/>
      <c r="I417" s="195"/>
      <c r="J417" s="195"/>
      <c r="K417" s="195"/>
      <c r="L417" s="195"/>
      <c r="M417" s="195"/>
      <c r="N417" s="195"/>
      <c r="O417" s="195"/>
      <c r="P417" s="195"/>
      <c r="Q417" s="195"/>
      <c r="R417" s="195"/>
      <c r="S417" s="195"/>
      <c r="T417" s="195"/>
      <c r="U417" s="195"/>
      <c r="V417" s="195"/>
      <c r="W417" s="195"/>
      <c r="X417" s="195"/>
      <c r="Y417" s="195"/>
      <c r="Z417" s="195"/>
      <c r="AA417" s="195"/>
      <c r="AB417" s="195"/>
      <c r="AC417" s="195"/>
      <c r="AD417" s="195"/>
      <c r="AE417" s="196"/>
    </row>
    <row r="418" spans="1:31">
      <c r="A418" s="131">
        <v>42292</v>
      </c>
      <c r="B418" s="131">
        <v>42323</v>
      </c>
      <c r="C418" s="123">
        <f t="shared" si="171"/>
        <v>31</v>
      </c>
      <c r="D418" s="132">
        <v>24.84</v>
      </c>
      <c r="E418" s="134"/>
      <c r="F418" s="135"/>
      <c r="G418" s="123"/>
      <c r="H418" s="123"/>
      <c r="I418" s="123"/>
      <c r="J418" s="123"/>
      <c r="K418" s="123"/>
      <c r="L418" s="123"/>
      <c r="M418" s="123"/>
      <c r="N418" s="123"/>
      <c r="O418" s="123">
        <v>17</v>
      </c>
      <c r="P418" s="123">
        <v>14</v>
      </c>
      <c r="Q418" s="123"/>
      <c r="R418" s="133">
        <f t="shared" si="168"/>
        <v>0</v>
      </c>
      <c r="S418" s="133"/>
      <c r="T418" s="116">
        <f t="shared" ref="T418:T454" si="172">ROUND((D418*F418/C418)/$C$6,2)</f>
        <v>0</v>
      </c>
      <c r="U418" s="116">
        <f t="shared" ref="U418:U454" si="173">ROUND(($D418*$G418/$C418)/$C$7,2)</f>
        <v>0</v>
      </c>
      <c r="V418" s="116">
        <f t="shared" ref="V418:V454" si="174">ROUND(($D418*$H418/$C418)/$C$8,2)</f>
        <v>0</v>
      </c>
      <c r="W418" s="116">
        <f t="shared" ref="W418:W454" si="175">ROUND(($D418*$I418/$C418)/$C$9,2)</f>
        <v>0</v>
      </c>
      <c r="X418" s="116">
        <f t="shared" ref="X418:X454" si="176">ROUND(($D418*$J418/$C418)/$C$10,2)</f>
        <v>0</v>
      </c>
      <c r="Y418" s="116">
        <f t="shared" ref="Y418:Y454" si="177">ROUND(($D418*$K418/$C418)/$C$11,2)</f>
        <v>0</v>
      </c>
      <c r="Z418" s="116">
        <f t="shared" ref="Z418:Z454" si="178">ROUND(($D418*$L418/$C418)/$C$12,2)</f>
        <v>0</v>
      </c>
      <c r="AA418" s="116">
        <f t="shared" ref="AA418:AA454" si="179">ROUND(($D418*$M418/$C418)/$C$13,2)</f>
        <v>0</v>
      </c>
      <c r="AB418" s="116">
        <f t="shared" ref="AB418:AB454" si="180">ROUND(($D418*$N418/$C418)/$C$14,2)</f>
        <v>0</v>
      </c>
      <c r="AC418" s="116">
        <f>ROUND(($D418*$O418/$C418)/$C$15,2)</f>
        <v>213.81</v>
      </c>
      <c r="AD418" s="116">
        <f>ROUND(($D418*$P418/$C418)/$C$16,2)</f>
        <v>147.16</v>
      </c>
      <c r="AE418" s="116">
        <f t="shared" ref="AE418:AE454" si="181">ROUND(($D418*$Q418/$C418)/$C$17,2)</f>
        <v>0</v>
      </c>
    </row>
    <row r="419" spans="1:31">
      <c r="A419" s="131">
        <v>42296</v>
      </c>
      <c r="B419" s="131">
        <v>42327</v>
      </c>
      <c r="C419" s="123">
        <f t="shared" si="171"/>
        <v>31</v>
      </c>
      <c r="D419" s="132">
        <v>374.67</v>
      </c>
      <c r="E419" s="134"/>
      <c r="F419" s="135"/>
      <c r="G419" s="123"/>
      <c r="H419" s="123"/>
      <c r="I419" s="123"/>
      <c r="J419" s="123"/>
      <c r="K419" s="123"/>
      <c r="L419" s="123"/>
      <c r="M419" s="123"/>
      <c r="N419" s="123"/>
      <c r="O419" s="123">
        <v>13</v>
      </c>
      <c r="P419" s="123">
        <v>18</v>
      </c>
      <c r="Q419" s="123"/>
      <c r="R419" s="133">
        <f t="shared" si="168"/>
        <v>0</v>
      </c>
      <c r="S419" s="133"/>
      <c r="T419" s="116">
        <f t="shared" si="172"/>
        <v>0</v>
      </c>
      <c r="U419" s="116">
        <f t="shared" si="173"/>
        <v>0</v>
      </c>
      <c r="V419" s="116">
        <f t="shared" si="174"/>
        <v>0</v>
      </c>
      <c r="W419" s="116">
        <f t="shared" si="175"/>
        <v>0</v>
      </c>
      <c r="X419" s="116">
        <f t="shared" si="176"/>
        <v>0</v>
      </c>
      <c r="Y419" s="116">
        <f t="shared" si="177"/>
        <v>0</v>
      </c>
      <c r="Z419" s="116">
        <f t="shared" si="178"/>
        <v>0</v>
      </c>
      <c r="AA419" s="116">
        <f t="shared" si="179"/>
        <v>0</v>
      </c>
      <c r="AB419" s="116">
        <f t="shared" si="180"/>
        <v>0</v>
      </c>
      <c r="AC419" s="116">
        <f>ROUND(($D419*$O419/$C419)/$C$15,2)</f>
        <v>2466.17</v>
      </c>
      <c r="AD419" s="116">
        <f>ROUND(($D419*$P419/$C419)/$C$16,2)</f>
        <v>2853.87</v>
      </c>
      <c r="AE419" s="116">
        <f t="shared" si="181"/>
        <v>0</v>
      </c>
    </row>
    <row r="420" spans="1:31">
      <c r="A420" s="131">
        <v>42296</v>
      </c>
      <c r="B420" s="131">
        <v>42327</v>
      </c>
      <c r="C420" s="123">
        <f t="shared" si="171"/>
        <v>31</v>
      </c>
      <c r="D420" s="132">
        <v>1432.17</v>
      </c>
      <c r="E420" s="134"/>
      <c r="F420" s="135"/>
      <c r="G420" s="123"/>
      <c r="H420" s="123"/>
      <c r="I420" s="123"/>
      <c r="J420" s="123"/>
      <c r="K420" s="123"/>
      <c r="L420" s="123"/>
      <c r="M420" s="123"/>
      <c r="N420" s="123"/>
      <c r="O420" s="123">
        <v>13</v>
      </c>
      <c r="P420" s="123">
        <v>18</v>
      </c>
      <c r="Q420" s="123"/>
      <c r="R420" s="133">
        <f t="shared" si="168"/>
        <v>0</v>
      </c>
      <c r="S420" s="133"/>
      <c r="T420" s="116">
        <f t="shared" si="172"/>
        <v>0</v>
      </c>
      <c r="U420" s="116">
        <f t="shared" si="173"/>
        <v>0</v>
      </c>
      <c r="V420" s="116">
        <f t="shared" si="174"/>
        <v>0</v>
      </c>
      <c r="W420" s="116">
        <f t="shared" si="175"/>
        <v>0</v>
      </c>
      <c r="X420" s="116">
        <f t="shared" si="176"/>
        <v>0</v>
      </c>
      <c r="Y420" s="116">
        <f t="shared" si="177"/>
        <v>0</v>
      </c>
      <c r="Z420" s="116">
        <f t="shared" si="178"/>
        <v>0</v>
      </c>
      <c r="AA420" s="116">
        <f t="shared" si="179"/>
        <v>0</v>
      </c>
      <c r="AB420" s="116">
        <f t="shared" si="180"/>
        <v>0</v>
      </c>
      <c r="AC420" s="116">
        <f>ROUND(($D420*$O420/$C420)/$C$15,2)</f>
        <v>9426.89</v>
      </c>
      <c r="AD420" s="116">
        <f>ROUND(($D420*$P420/$C420)/$C$16,2)</f>
        <v>10908.86</v>
      </c>
      <c r="AE420" s="116">
        <f t="shared" si="181"/>
        <v>0</v>
      </c>
    </row>
    <row r="421" spans="1:31">
      <c r="A421" s="131">
        <v>42296</v>
      </c>
      <c r="B421" s="131">
        <v>42327</v>
      </c>
      <c r="C421" s="123">
        <f t="shared" si="171"/>
        <v>31</v>
      </c>
      <c r="D421" s="132">
        <v>357.53</v>
      </c>
      <c r="E421" s="134"/>
      <c r="F421" s="135"/>
      <c r="G421" s="123"/>
      <c r="H421" s="123"/>
      <c r="I421" s="123"/>
      <c r="J421" s="123"/>
      <c r="K421" s="123"/>
      <c r="L421" s="123"/>
      <c r="M421" s="123"/>
      <c r="N421" s="123"/>
      <c r="O421" s="123">
        <v>13</v>
      </c>
      <c r="P421" s="123">
        <v>18</v>
      </c>
      <c r="Q421" s="123"/>
      <c r="R421" s="133">
        <f t="shared" si="168"/>
        <v>0</v>
      </c>
      <c r="S421" s="133"/>
      <c r="T421" s="116">
        <f t="shared" si="172"/>
        <v>0</v>
      </c>
      <c r="U421" s="116">
        <f t="shared" si="173"/>
        <v>0</v>
      </c>
      <c r="V421" s="116">
        <f t="shared" si="174"/>
        <v>0</v>
      </c>
      <c r="W421" s="116">
        <f t="shared" si="175"/>
        <v>0</v>
      </c>
      <c r="X421" s="116">
        <f t="shared" si="176"/>
        <v>0</v>
      </c>
      <c r="Y421" s="116">
        <f t="shared" si="177"/>
        <v>0</v>
      </c>
      <c r="Z421" s="116">
        <f t="shared" si="178"/>
        <v>0</v>
      </c>
      <c r="AA421" s="116">
        <f t="shared" si="179"/>
        <v>0</v>
      </c>
      <c r="AB421" s="116">
        <f t="shared" si="180"/>
        <v>0</v>
      </c>
      <c r="AC421" s="116">
        <f>ROUND(($D421*$O421/$C421)/$C$15,2)</f>
        <v>2353.35</v>
      </c>
      <c r="AD421" s="116">
        <f>ROUND(($D421*$P421/$C421)/$C$16,2)</f>
        <v>2723.31</v>
      </c>
      <c r="AE421" s="116">
        <f t="shared" si="181"/>
        <v>0</v>
      </c>
    </row>
    <row r="422" spans="1:31">
      <c r="A422" s="131">
        <v>42299</v>
      </c>
      <c r="B422" s="131">
        <v>42330</v>
      </c>
      <c r="C422" s="123">
        <f t="shared" si="171"/>
        <v>31</v>
      </c>
      <c r="D422" s="110">
        <v>174897.02</v>
      </c>
      <c r="E422" s="134"/>
      <c r="F422" s="135"/>
      <c r="G422" s="123"/>
      <c r="H422" s="123"/>
      <c r="I422" s="123"/>
      <c r="J422" s="123"/>
      <c r="K422" s="123"/>
      <c r="L422" s="123"/>
      <c r="M422" s="123"/>
      <c r="N422" s="123"/>
      <c r="O422" s="123">
        <v>10</v>
      </c>
      <c r="P422" s="123">
        <v>21</v>
      </c>
      <c r="Q422" s="123"/>
      <c r="R422" s="133">
        <f t="shared" si="168"/>
        <v>0</v>
      </c>
      <c r="S422" s="133"/>
      <c r="T422" s="116">
        <f t="shared" si="172"/>
        <v>0</v>
      </c>
      <c r="U422" s="116">
        <f t="shared" si="173"/>
        <v>0</v>
      </c>
      <c r="V422" s="116">
        <f t="shared" si="174"/>
        <v>0</v>
      </c>
      <c r="W422" s="116">
        <f t="shared" si="175"/>
        <v>0</v>
      </c>
      <c r="X422" s="116">
        <f t="shared" si="176"/>
        <v>0</v>
      </c>
      <c r="Y422" s="116">
        <f t="shared" si="177"/>
        <v>0</v>
      </c>
      <c r="Z422" s="116">
        <f t="shared" si="178"/>
        <v>0</v>
      </c>
      <c r="AA422" s="116">
        <f t="shared" si="179"/>
        <v>0</v>
      </c>
      <c r="AB422" s="116">
        <f t="shared" si="180"/>
        <v>0</v>
      </c>
      <c r="AC422" s="116">
        <f>2408965.9-AD422</f>
        <v>698118.7799999998</v>
      </c>
      <c r="AD422" s="116">
        <v>1710847.12</v>
      </c>
      <c r="AE422" s="116">
        <f t="shared" si="181"/>
        <v>0</v>
      </c>
    </row>
    <row r="423" spans="1:31">
      <c r="A423" s="131">
        <v>42292</v>
      </c>
      <c r="B423" s="131">
        <v>42323</v>
      </c>
      <c r="C423" s="123">
        <f t="shared" si="171"/>
        <v>31</v>
      </c>
      <c r="D423" s="132">
        <v>1907.57</v>
      </c>
      <c r="E423" s="134"/>
      <c r="F423" s="135"/>
      <c r="G423" s="123"/>
      <c r="H423" s="123"/>
      <c r="I423" s="123"/>
      <c r="J423" s="123"/>
      <c r="K423" s="123"/>
      <c r="L423" s="123"/>
      <c r="M423" s="123"/>
      <c r="N423" s="123"/>
      <c r="O423" s="123">
        <v>17</v>
      </c>
      <c r="P423" s="123">
        <v>14</v>
      </c>
      <c r="Q423" s="123"/>
      <c r="R423" s="133">
        <f t="shared" si="168"/>
        <v>0</v>
      </c>
      <c r="S423" s="133"/>
      <c r="T423" s="116">
        <f t="shared" si="172"/>
        <v>0</v>
      </c>
      <c r="U423" s="116">
        <f t="shared" si="173"/>
        <v>0</v>
      </c>
      <c r="V423" s="116">
        <f t="shared" si="174"/>
        <v>0</v>
      </c>
      <c r="W423" s="116">
        <f t="shared" si="175"/>
        <v>0</v>
      </c>
      <c r="X423" s="116">
        <f t="shared" si="176"/>
        <v>0</v>
      </c>
      <c r="Y423" s="116">
        <f t="shared" si="177"/>
        <v>0</v>
      </c>
      <c r="Z423" s="116">
        <f t="shared" si="178"/>
        <v>0</v>
      </c>
      <c r="AA423" s="116">
        <f t="shared" si="179"/>
        <v>0</v>
      </c>
      <c r="AB423" s="116">
        <f t="shared" si="180"/>
        <v>0</v>
      </c>
      <c r="AC423" s="116">
        <f t="shared" ref="AC423:AC429" si="182">ROUND(($D423*$O423/$C423)/$C$15,2)</f>
        <v>16419.509999999998</v>
      </c>
      <c r="AD423" s="116">
        <f t="shared" ref="AD423:AD429" si="183">ROUND(($D423*$P423/$C423)/$C$16,2)</f>
        <v>11301.1</v>
      </c>
      <c r="AE423" s="116">
        <f t="shared" si="181"/>
        <v>0</v>
      </c>
    </row>
    <row r="424" spans="1:31">
      <c r="A424" s="131">
        <v>42292</v>
      </c>
      <c r="B424" s="131">
        <v>42323</v>
      </c>
      <c r="C424" s="123">
        <f t="shared" si="171"/>
        <v>31</v>
      </c>
      <c r="D424" s="132">
        <v>20832.18</v>
      </c>
      <c r="E424" s="134"/>
      <c r="F424" s="135"/>
      <c r="G424" s="123"/>
      <c r="H424" s="123"/>
      <c r="I424" s="123"/>
      <c r="J424" s="123"/>
      <c r="K424" s="123"/>
      <c r="L424" s="123"/>
      <c r="M424" s="123"/>
      <c r="N424" s="123"/>
      <c r="O424" s="123">
        <v>17</v>
      </c>
      <c r="P424" s="123">
        <v>14</v>
      </c>
      <c r="Q424" s="123"/>
      <c r="R424" s="133">
        <f t="shared" si="168"/>
        <v>0</v>
      </c>
      <c r="S424" s="133"/>
      <c r="T424" s="116">
        <f t="shared" si="172"/>
        <v>0</v>
      </c>
      <c r="U424" s="116">
        <f t="shared" si="173"/>
        <v>0</v>
      </c>
      <c r="V424" s="116">
        <f t="shared" si="174"/>
        <v>0</v>
      </c>
      <c r="W424" s="116">
        <f t="shared" si="175"/>
        <v>0</v>
      </c>
      <c r="X424" s="116">
        <f t="shared" si="176"/>
        <v>0</v>
      </c>
      <c r="Y424" s="116">
        <f t="shared" si="177"/>
        <v>0</v>
      </c>
      <c r="Z424" s="116">
        <f t="shared" si="178"/>
        <v>0</v>
      </c>
      <c r="AA424" s="116">
        <f t="shared" si="179"/>
        <v>0</v>
      </c>
      <c r="AB424" s="116">
        <f t="shared" si="180"/>
        <v>0</v>
      </c>
      <c r="AC424" s="116">
        <f t="shared" si="182"/>
        <v>179314.06</v>
      </c>
      <c r="AD424" s="116">
        <f t="shared" si="183"/>
        <v>123417.04</v>
      </c>
      <c r="AE424" s="116">
        <f t="shared" si="181"/>
        <v>0</v>
      </c>
    </row>
    <row r="425" spans="1:31">
      <c r="A425" s="131">
        <v>42292</v>
      </c>
      <c r="B425" s="131">
        <v>42323</v>
      </c>
      <c r="C425" s="123">
        <f t="shared" si="171"/>
        <v>31</v>
      </c>
      <c r="D425" s="132">
        <v>4977.1900000000005</v>
      </c>
      <c r="E425" s="134"/>
      <c r="F425" s="135"/>
      <c r="G425" s="123"/>
      <c r="H425" s="123"/>
      <c r="I425" s="123"/>
      <c r="J425" s="123"/>
      <c r="K425" s="123"/>
      <c r="L425" s="123"/>
      <c r="M425" s="123"/>
      <c r="N425" s="123"/>
      <c r="O425" s="123">
        <v>17</v>
      </c>
      <c r="P425" s="123">
        <v>14</v>
      </c>
      <c r="Q425" s="123"/>
      <c r="R425" s="133">
        <f t="shared" si="168"/>
        <v>0</v>
      </c>
      <c r="S425" s="133"/>
      <c r="T425" s="116">
        <f t="shared" si="172"/>
        <v>0</v>
      </c>
      <c r="U425" s="116">
        <f t="shared" si="173"/>
        <v>0</v>
      </c>
      <c r="V425" s="116">
        <f t="shared" si="174"/>
        <v>0</v>
      </c>
      <c r="W425" s="116">
        <f t="shared" si="175"/>
        <v>0</v>
      </c>
      <c r="X425" s="116">
        <f t="shared" si="176"/>
        <v>0</v>
      </c>
      <c r="Y425" s="116">
        <f t="shared" si="177"/>
        <v>0</v>
      </c>
      <c r="Z425" s="116">
        <f t="shared" si="178"/>
        <v>0</v>
      </c>
      <c r="AA425" s="116">
        <f t="shared" si="179"/>
        <v>0</v>
      </c>
      <c r="AB425" s="116">
        <f t="shared" si="180"/>
        <v>0</v>
      </c>
      <c r="AC425" s="116">
        <f t="shared" si="182"/>
        <v>42841.42</v>
      </c>
      <c r="AD425" s="116">
        <f t="shared" si="183"/>
        <v>29486.6</v>
      </c>
      <c r="AE425" s="116">
        <f t="shared" si="181"/>
        <v>0</v>
      </c>
    </row>
    <row r="426" spans="1:31">
      <c r="A426" s="131">
        <v>42303</v>
      </c>
      <c r="B426" s="131">
        <v>42334</v>
      </c>
      <c r="C426" s="123">
        <f t="shared" si="171"/>
        <v>31</v>
      </c>
      <c r="D426" s="132">
        <v>1117.77</v>
      </c>
      <c r="E426" s="134"/>
      <c r="F426" s="135"/>
      <c r="G426" s="123"/>
      <c r="H426" s="123"/>
      <c r="I426" s="123"/>
      <c r="J426" s="123"/>
      <c r="K426" s="123"/>
      <c r="L426" s="123"/>
      <c r="M426" s="123"/>
      <c r="N426" s="123"/>
      <c r="O426" s="123">
        <v>6</v>
      </c>
      <c r="P426" s="123">
        <v>25</v>
      </c>
      <c r="Q426" s="123"/>
      <c r="R426" s="133">
        <f t="shared" si="168"/>
        <v>0</v>
      </c>
      <c r="S426" s="133"/>
      <c r="T426" s="116">
        <f t="shared" si="172"/>
        <v>0</v>
      </c>
      <c r="U426" s="116">
        <f t="shared" si="173"/>
        <v>0</v>
      </c>
      <c r="V426" s="116">
        <f t="shared" si="174"/>
        <v>0</v>
      </c>
      <c r="W426" s="116">
        <f t="shared" si="175"/>
        <v>0</v>
      </c>
      <c r="X426" s="116">
        <f t="shared" si="176"/>
        <v>0</v>
      </c>
      <c r="Y426" s="116">
        <f t="shared" si="177"/>
        <v>0</v>
      </c>
      <c r="Z426" s="116">
        <f t="shared" si="178"/>
        <v>0</v>
      </c>
      <c r="AA426" s="116">
        <f t="shared" si="179"/>
        <v>0</v>
      </c>
      <c r="AB426" s="116">
        <f t="shared" si="180"/>
        <v>0</v>
      </c>
      <c r="AC426" s="116">
        <f t="shared" si="182"/>
        <v>3395.74</v>
      </c>
      <c r="AD426" s="116">
        <f t="shared" si="183"/>
        <v>11825.1</v>
      </c>
      <c r="AE426" s="116">
        <f t="shared" si="181"/>
        <v>0</v>
      </c>
    </row>
    <row r="427" spans="1:31">
      <c r="A427" s="131">
        <v>42303</v>
      </c>
      <c r="B427" s="131">
        <v>42334</v>
      </c>
      <c r="C427" s="123">
        <f t="shared" si="171"/>
        <v>31</v>
      </c>
      <c r="D427" s="132">
        <v>776.32</v>
      </c>
      <c r="E427" s="134"/>
      <c r="F427" s="135"/>
      <c r="G427" s="123"/>
      <c r="H427" s="123"/>
      <c r="I427" s="123"/>
      <c r="J427" s="123"/>
      <c r="K427" s="123"/>
      <c r="L427" s="123"/>
      <c r="M427" s="123"/>
      <c r="N427" s="123"/>
      <c r="O427" s="123">
        <v>6</v>
      </c>
      <c r="P427" s="123">
        <v>25</v>
      </c>
      <c r="Q427" s="123"/>
      <c r="R427" s="133">
        <f t="shared" si="168"/>
        <v>0</v>
      </c>
      <c r="S427" s="133"/>
      <c r="T427" s="116">
        <f t="shared" si="172"/>
        <v>0</v>
      </c>
      <c r="U427" s="116">
        <f t="shared" si="173"/>
        <v>0</v>
      </c>
      <c r="V427" s="116">
        <f t="shared" si="174"/>
        <v>0</v>
      </c>
      <c r="W427" s="116">
        <f t="shared" si="175"/>
        <v>0</v>
      </c>
      <c r="X427" s="116">
        <f t="shared" si="176"/>
        <v>0</v>
      </c>
      <c r="Y427" s="116">
        <f t="shared" si="177"/>
        <v>0</v>
      </c>
      <c r="Z427" s="116">
        <f t="shared" si="178"/>
        <v>0</v>
      </c>
      <c r="AA427" s="116">
        <f t="shared" si="179"/>
        <v>0</v>
      </c>
      <c r="AB427" s="116">
        <f t="shared" si="180"/>
        <v>0</v>
      </c>
      <c r="AC427" s="116">
        <f t="shared" si="182"/>
        <v>2358.4299999999998</v>
      </c>
      <c r="AD427" s="116">
        <f t="shared" si="183"/>
        <v>8212.84</v>
      </c>
      <c r="AE427" s="116">
        <f t="shared" si="181"/>
        <v>0</v>
      </c>
    </row>
    <row r="428" spans="1:31">
      <c r="A428" s="131">
        <v>42309</v>
      </c>
      <c r="B428" s="131">
        <v>42339</v>
      </c>
      <c r="C428" s="123">
        <f t="shared" si="171"/>
        <v>30</v>
      </c>
      <c r="D428" s="110">
        <v>124336.48</v>
      </c>
      <c r="E428" s="134"/>
      <c r="F428" s="135"/>
      <c r="G428" s="123"/>
      <c r="H428" s="123"/>
      <c r="I428" s="123"/>
      <c r="J428" s="123"/>
      <c r="K428" s="123"/>
      <c r="L428" s="123"/>
      <c r="M428" s="123"/>
      <c r="N428" s="123"/>
      <c r="O428" s="123"/>
      <c r="P428" s="123">
        <v>30</v>
      </c>
      <c r="Q428" s="123"/>
      <c r="R428" s="133">
        <f t="shared" si="168"/>
        <v>0</v>
      </c>
      <c r="S428" s="133"/>
      <c r="T428" s="116">
        <f t="shared" si="172"/>
        <v>0</v>
      </c>
      <c r="U428" s="116">
        <f t="shared" si="173"/>
        <v>0</v>
      </c>
      <c r="V428" s="116">
        <f t="shared" si="174"/>
        <v>0</v>
      </c>
      <c r="W428" s="116">
        <f t="shared" si="175"/>
        <v>0</v>
      </c>
      <c r="X428" s="116">
        <f t="shared" si="176"/>
        <v>0</v>
      </c>
      <c r="Y428" s="116">
        <f t="shared" si="177"/>
        <v>0</v>
      </c>
      <c r="Z428" s="116">
        <f t="shared" si="178"/>
        <v>0</v>
      </c>
      <c r="AA428" s="116">
        <f t="shared" si="179"/>
        <v>0</v>
      </c>
      <c r="AB428" s="116">
        <f t="shared" si="180"/>
        <v>0</v>
      </c>
      <c r="AC428" s="116">
        <f t="shared" si="182"/>
        <v>0</v>
      </c>
      <c r="AD428" s="116">
        <f t="shared" si="183"/>
        <v>1631070.18</v>
      </c>
      <c r="AE428" s="116">
        <f t="shared" si="181"/>
        <v>0</v>
      </c>
    </row>
    <row r="429" spans="1:31">
      <c r="A429" s="131">
        <v>42309</v>
      </c>
      <c r="B429" s="131">
        <v>42339</v>
      </c>
      <c r="C429" s="123">
        <f t="shared" si="171"/>
        <v>30</v>
      </c>
      <c r="D429" s="110">
        <v>199.26</v>
      </c>
      <c r="E429" s="134"/>
      <c r="F429" s="135"/>
      <c r="G429" s="123"/>
      <c r="H429" s="123"/>
      <c r="I429" s="123"/>
      <c r="J429" s="123"/>
      <c r="K429" s="123"/>
      <c r="L429" s="123"/>
      <c r="M429" s="123"/>
      <c r="N429" s="123"/>
      <c r="O429" s="123"/>
      <c r="P429" s="123">
        <v>30</v>
      </c>
      <c r="Q429" s="123"/>
      <c r="R429" s="133">
        <f t="shared" si="168"/>
        <v>0</v>
      </c>
      <c r="S429" s="133"/>
      <c r="T429" s="116">
        <f t="shared" si="172"/>
        <v>0</v>
      </c>
      <c r="U429" s="116">
        <f t="shared" si="173"/>
        <v>0</v>
      </c>
      <c r="V429" s="116">
        <f t="shared" si="174"/>
        <v>0</v>
      </c>
      <c r="W429" s="116">
        <f t="shared" si="175"/>
        <v>0</v>
      </c>
      <c r="X429" s="116">
        <f t="shared" si="176"/>
        <v>0</v>
      </c>
      <c r="Y429" s="116">
        <f t="shared" si="177"/>
        <v>0</v>
      </c>
      <c r="Z429" s="116">
        <f t="shared" si="178"/>
        <v>0</v>
      </c>
      <c r="AA429" s="116">
        <f t="shared" si="179"/>
        <v>0</v>
      </c>
      <c r="AB429" s="116">
        <f t="shared" si="180"/>
        <v>0</v>
      </c>
      <c r="AC429" s="116">
        <f t="shared" si="182"/>
        <v>0</v>
      </c>
      <c r="AD429" s="116">
        <f t="shared" si="183"/>
        <v>2613.9299999999998</v>
      </c>
      <c r="AE429" s="116">
        <f t="shared" si="181"/>
        <v>0</v>
      </c>
    </row>
    <row r="430" spans="1:31">
      <c r="A430" s="131">
        <v>42308</v>
      </c>
      <c r="B430" s="131">
        <v>42338</v>
      </c>
      <c r="C430" s="123">
        <f t="shared" si="171"/>
        <v>30</v>
      </c>
      <c r="D430" s="110">
        <v>3746.77</v>
      </c>
      <c r="E430" s="134"/>
      <c r="F430" s="135"/>
      <c r="G430" s="123"/>
      <c r="H430" s="123"/>
      <c r="I430" s="123"/>
      <c r="J430" s="123"/>
      <c r="K430" s="123"/>
      <c r="L430" s="123"/>
      <c r="M430" s="123"/>
      <c r="N430" s="123"/>
      <c r="O430" s="123">
        <v>1</v>
      </c>
      <c r="P430" s="123">
        <v>29</v>
      </c>
      <c r="Q430" s="123"/>
      <c r="R430" s="133">
        <f t="shared" si="168"/>
        <v>0</v>
      </c>
      <c r="S430" s="133"/>
      <c r="T430" s="116">
        <f t="shared" si="172"/>
        <v>0</v>
      </c>
      <c r="U430" s="116">
        <f t="shared" si="173"/>
        <v>0</v>
      </c>
      <c r="V430" s="116">
        <f t="shared" si="174"/>
        <v>0</v>
      </c>
      <c r="W430" s="116">
        <f t="shared" si="175"/>
        <v>0</v>
      </c>
      <c r="X430" s="116">
        <f t="shared" si="176"/>
        <v>0</v>
      </c>
      <c r="Y430" s="116">
        <f t="shared" si="177"/>
        <v>0</v>
      </c>
      <c r="Z430" s="116">
        <f t="shared" si="178"/>
        <v>0</v>
      </c>
      <c r="AA430" s="116">
        <f t="shared" si="179"/>
        <v>0</v>
      </c>
      <c r="AB430" s="116">
        <f t="shared" si="180"/>
        <v>0</v>
      </c>
      <c r="AC430" s="116">
        <v>6608.35</v>
      </c>
      <c r="AD430" s="116">
        <f>50236.32-AC430</f>
        <v>43627.97</v>
      </c>
      <c r="AE430" s="116">
        <f t="shared" si="181"/>
        <v>0</v>
      </c>
    </row>
    <row r="431" spans="1:31">
      <c r="A431" s="131">
        <v>42309</v>
      </c>
      <c r="B431" s="131">
        <v>42339</v>
      </c>
      <c r="C431" s="123">
        <f t="shared" si="171"/>
        <v>30</v>
      </c>
      <c r="D431" s="132">
        <v>14401.08</v>
      </c>
      <c r="E431" s="134"/>
      <c r="F431" s="135"/>
      <c r="G431" s="123"/>
      <c r="H431" s="123"/>
      <c r="I431" s="123"/>
      <c r="J431" s="123"/>
      <c r="K431" s="123"/>
      <c r="L431" s="123"/>
      <c r="M431" s="123"/>
      <c r="N431" s="123"/>
      <c r="O431" s="123"/>
      <c r="P431" s="123">
        <v>30</v>
      </c>
      <c r="Q431" s="123"/>
      <c r="R431" s="133">
        <f t="shared" si="168"/>
        <v>0</v>
      </c>
      <c r="S431" s="133"/>
      <c r="T431" s="116">
        <f t="shared" si="172"/>
        <v>0</v>
      </c>
      <c r="U431" s="116">
        <f t="shared" si="173"/>
        <v>0</v>
      </c>
      <c r="V431" s="116">
        <f t="shared" si="174"/>
        <v>0</v>
      </c>
      <c r="W431" s="116">
        <f t="shared" si="175"/>
        <v>0</v>
      </c>
      <c r="X431" s="116">
        <f t="shared" si="176"/>
        <v>0</v>
      </c>
      <c r="Y431" s="116">
        <f t="shared" si="177"/>
        <v>0</v>
      </c>
      <c r="Z431" s="116">
        <f t="shared" si="178"/>
        <v>0</v>
      </c>
      <c r="AA431" s="116">
        <f t="shared" si="179"/>
        <v>0</v>
      </c>
      <c r="AB431" s="116">
        <f t="shared" si="180"/>
        <v>0</v>
      </c>
      <c r="AC431" s="116">
        <f t="shared" ref="AC431:AC454" si="184">ROUND(($D431*$O431/$C431)/$C$15,2)</f>
        <v>0</v>
      </c>
      <c r="AD431" s="116">
        <f t="shared" ref="AD431:AD454" si="185">ROUND(($D431*$P431/$C431)/$C$16,2)</f>
        <v>188916.17</v>
      </c>
      <c r="AE431" s="116">
        <f t="shared" si="181"/>
        <v>0</v>
      </c>
    </row>
    <row r="432" spans="1:31">
      <c r="A432" s="131">
        <v>42305</v>
      </c>
      <c r="B432" s="131">
        <v>42336</v>
      </c>
      <c r="C432" s="123">
        <f t="shared" si="171"/>
        <v>31</v>
      </c>
      <c r="D432" s="132">
        <v>748.01</v>
      </c>
      <c r="E432" s="134"/>
      <c r="F432" s="135"/>
      <c r="G432" s="123"/>
      <c r="H432" s="123"/>
      <c r="I432" s="123"/>
      <c r="J432" s="123"/>
      <c r="K432" s="123"/>
      <c r="L432" s="123"/>
      <c r="M432" s="123"/>
      <c r="N432" s="123"/>
      <c r="O432" s="123">
        <v>4</v>
      </c>
      <c r="P432" s="123">
        <v>27</v>
      </c>
      <c r="Q432" s="123"/>
      <c r="R432" s="133">
        <f t="shared" si="168"/>
        <v>0</v>
      </c>
      <c r="S432" s="133"/>
      <c r="T432" s="116">
        <f t="shared" si="172"/>
        <v>0</v>
      </c>
      <c r="U432" s="116">
        <f t="shared" si="173"/>
        <v>0</v>
      </c>
      <c r="V432" s="116">
        <f t="shared" si="174"/>
        <v>0</v>
      </c>
      <c r="W432" s="116">
        <f t="shared" si="175"/>
        <v>0</v>
      </c>
      <c r="X432" s="116">
        <f t="shared" si="176"/>
        <v>0</v>
      </c>
      <c r="Y432" s="116">
        <f t="shared" si="177"/>
        <v>0</v>
      </c>
      <c r="Z432" s="116">
        <f t="shared" si="178"/>
        <v>0</v>
      </c>
      <c r="AA432" s="116">
        <f t="shared" si="179"/>
        <v>0</v>
      </c>
      <c r="AB432" s="116">
        <f t="shared" si="180"/>
        <v>0</v>
      </c>
      <c r="AC432" s="116">
        <f t="shared" si="184"/>
        <v>1514.95</v>
      </c>
      <c r="AD432" s="116">
        <f t="shared" si="185"/>
        <v>8546.41</v>
      </c>
      <c r="AE432" s="116">
        <f t="shared" si="181"/>
        <v>0</v>
      </c>
    </row>
    <row r="433" spans="1:31">
      <c r="A433" s="131">
        <v>42305</v>
      </c>
      <c r="B433" s="131">
        <v>42336</v>
      </c>
      <c r="C433" s="123">
        <f t="shared" si="171"/>
        <v>31</v>
      </c>
      <c r="D433" s="132">
        <v>2142.08</v>
      </c>
      <c r="E433" s="134"/>
      <c r="F433" s="135"/>
      <c r="G433" s="123"/>
      <c r="H433" s="123"/>
      <c r="I433" s="123"/>
      <c r="J433" s="123"/>
      <c r="K433" s="123"/>
      <c r="L433" s="123"/>
      <c r="M433" s="123"/>
      <c r="N433" s="123"/>
      <c r="O433" s="123">
        <v>4</v>
      </c>
      <c r="P433" s="123">
        <v>27</v>
      </c>
      <c r="Q433" s="123"/>
      <c r="R433" s="133">
        <f t="shared" si="168"/>
        <v>0</v>
      </c>
      <c r="S433" s="133"/>
      <c r="T433" s="116">
        <f t="shared" si="172"/>
        <v>0</v>
      </c>
      <c r="U433" s="116">
        <f t="shared" si="173"/>
        <v>0</v>
      </c>
      <c r="V433" s="116">
        <f t="shared" si="174"/>
        <v>0</v>
      </c>
      <c r="W433" s="116">
        <f t="shared" si="175"/>
        <v>0</v>
      </c>
      <c r="X433" s="116">
        <f t="shared" si="176"/>
        <v>0</v>
      </c>
      <c r="Y433" s="116">
        <f t="shared" si="177"/>
        <v>0</v>
      </c>
      <c r="Z433" s="116">
        <f t="shared" si="178"/>
        <v>0</v>
      </c>
      <c r="AA433" s="116">
        <f t="shared" si="179"/>
        <v>0</v>
      </c>
      <c r="AB433" s="116">
        <f t="shared" si="180"/>
        <v>0</v>
      </c>
      <c r="AC433" s="116">
        <f t="shared" si="184"/>
        <v>4338.37</v>
      </c>
      <c r="AD433" s="116">
        <f t="shared" si="185"/>
        <v>24474.39</v>
      </c>
      <c r="AE433" s="116">
        <f t="shared" si="181"/>
        <v>0</v>
      </c>
    </row>
    <row r="434" spans="1:31">
      <c r="A434" s="131">
        <v>42309</v>
      </c>
      <c r="B434" s="131">
        <v>42335</v>
      </c>
      <c r="C434" s="123">
        <f t="shared" si="171"/>
        <v>26</v>
      </c>
      <c r="D434" s="132">
        <v>64.55</v>
      </c>
      <c r="E434" s="134"/>
      <c r="F434" s="135"/>
      <c r="G434" s="123"/>
      <c r="H434" s="123"/>
      <c r="I434" s="123"/>
      <c r="J434" s="123"/>
      <c r="K434" s="123"/>
      <c r="L434" s="123"/>
      <c r="M434" s="123"/>
      <c r="N434" s="123"/>
      <c r="O434" s="123"/>
      <c r="P434" s="123">
        <v>26</v>
      </c>
      <c r="Q434" s="123"/>
      <c r="R434" s="133">
        <f t="shared" si="168"/>
        <v>0</v>
      </c>
      <c r="S434" s="133"/>
      <c r="T434" s="116">
        <f t="shared" si="172"/>
        <v>0</v>
      </c>
      <c r="U434" s="116">
        <f t="shared" si="173"/>
        <v>0</v>
      </c>
      <c r="V434" s="116">
        <f t="shared" si="174"/>
        <v>0</v>
      </c>
      <c r="W434" s="116">
        <f t="shared" si="175"/>
        <v>0</v>
      </c>
      <c r="X434" s="116">
        <f t="shared" si="176"/>
        <v>0</v>
      </c>
      <c r="Y434" s="116">
        <f t="shared" si="177"/>
        <v>0</v>
      </c>
      <c r="Z434" s="116">
        <f t="shared" si="178"/>
        <v>0</v>
      </c>
      <c r="AA434" s="116">
        <f t="shared" si="179"/>
        <v>0</v>
      </c>
      <c r="AB434" s="116">
        <f t="shared" si="180"/>
        <v>0</v>
      </c>
      <c r="AC434" s="116">
        <f t="shared" si="184"/>
        <v>0</v>
      </c>
      <c r="AD434" s="116">
        <f t="shared" si="185"/>
        <v>846.78</v>
      </c>
      <c r="AE434" s="116">
        <f t="shared" si="181"/>
        <v>0</v>
      </c>
    </row>
    <row r="435" spans="1:31">
      <c r="A435" s="131">
        <v>42309</v>
      </c>
      <c r="B435" s="131">
        <v>42339</v>
      </c>
      <c r="C435" s="123">
        <f t="shared" si="171"/>
        <v>30</v>
      </c>
      <c r="D435" s="110">
        <v>38325.81</v>
      </c>
      <c r="E435" s="134"/>
      <c r="F435" s="135"/>
      <c r="G435" s="123"/>
      <c r="H435" s="123"/>
      <c r="I435" s="123"/>
      <c r="J435" s="123"/>
      <c r="K435" s="123"/>
      <c r="L435" s="123"/>
      <c r="M435" s="123"/>
      <c r="N435" s="123"/>
      <c r="O435" s="123"/>
      <c r="P435" s="123">
        <v>30</v>
      </c>
      <c r="Q435" s="123"/>
      <c r="R435" s="133">
        <f t="shared" si="168"/>
        <v>0</v>
      </c>
      <c r="S435" s="133"/>
      <c r="T435" s="116">
        <f t="shared" si="172"/>
        <v>0</v>
      </c>
      <c r="U435" s="116">
        <f t="shared" si="173"/>
        <v>0</v>
      </c>
      <c r="V435" s="116">
        <f t="shared" si="174"/>
        <v>0</v>
      </c>
      <c r="W435" s="116">
        <f t="shared" si="175"/>
        <v>0</v>
      </c>
      <c r="X435" s="116">
        <f t="shared" si="176"/>
        <v>0</v>
      </c>
      <c r="Y435" s="116">
        <f t="shared" si="177"/>
        <v>0</v>
      </c>
      <c r="Z435" s="116">
        <f t="shared" si="178"/>
        <v>0</v>
      </c>
      <c r="AA435" s="116">
        <f t="shared" si="179"/>
        <v>0</v>
      </c>
      <c r="AB435" s="116">
        <f t="shared" si="180"/>
        <v>0</v>
      </c>
      <c r="AC435" s="116">
        <f t="shared" si="184"/>
        <v>0</v>
      </c>
      <c r="AD435" s="116">
        <f t="shared" si="185"/>
        <v>502765.45</v>
      </c>
      <c r="AE435" s="116">
        <f t="shared" si="181"/>
        <v>0</v>
      </c>
    </row>
    <row r="436" spans="1:31">
      <c r="A436" s="131">
        <v>42309</v>
      </c>
      <c r="B436" s="131">
        <v>42339</v>
      </c>
      <c r="C436" s="123">
        <f t="shared" si="171"/>
        <v>30</v>
      </c>
      <c r="D436" s="110">
        <v>3145.21</v>
      </c>
      <c r="E436" s="134"/>
      <c r="F436" s="135"/>
      <c r="G436" s="123"/>
      <c r="H436" s="123"/>
      <c r="I436" s="123"/>
      <c r="J436" s="123"/>
      <c r="K436" s="123"/>
      <c r="L436" s="123"/>
      <c r="M436" s="123"/>
      <c r="N436" s="123"/>
      <c r="O436" s="123"/>
      <c r="P436" s="123">
        <v>30</v>
      </c>
      <c r="Q436" s="123"/>
      <c r="R436" s="133">
        <f t="shared" si="168"/>
        <v>0</v>
      </c>
      <c r="S436" s="133"/>
      <c r="T436" s="116">
        <f t="shared" si="172"/>
        <v>0</v>
      </c>
      <c r="U436" s="116">
        <f t="shared" si="173"/>
        <v>0</v>
      </c>
      <c r="V436" s="116">
        <f t="shared" si="174"/>
        <v>0</v>
      </c>
      <c r="W436" s="116">
        <f t="shared" si="175"/>
        <v>0</v>
      </c>
      <c r="X436" s="116">
        <f t="shared" si="176"/>
        <v>0</v>
      </c>
      <c r="Y436" s="116">
        <f t="shared" si="177"/>
        <v>0</v>
      </c>
      <c r="Z436" s="116">
        <f t="shared" si="178"/>
        <v>0</v>
      </c>
      <c r="AA436" s="116">
        <f t="shared" si="179"/>
        <v>0</v>
      </c>
      <c r="AB436" s="116">
        <f t="shared" si="180"/>
        <v>0</v>
      </c>
      <c r="AC436" s="116">
        <f t="shared" si="184"/>
        <v>0</v>
      </c>
      <c r="AD436" s="116">
        <f t="shared" si="185"/>
        <v>41259.480000000003</v>
      </c>
      <c r="AE436" s="116">
        <f t="shared" si="181"/>
        <v>0</v>
      </c>
    </row>
    <row r="437" spans="1:31">
      <c r="A437" s="131">
        <v>42309</v>
      </c>
      <c r="B437" s="131">
        <v>42339</v>
      </c>
      <c r="C437" s="123">
        <f t="shared" si="171"/>
        <v>30</v>
      </c>
      <c r="D437" s="110">
        <v>630.05000000000007</v>
      </c>
      <c r="E437" s="134"/>
      <c r="F437" s="135"/>
      <c r="G437" s="123"/>
      <c r="H437" s="123"/>
      <c r="I437" s="123"/>
      <c r="J437" s="123"/>
      <c r="K437" s="123"/>
      <c r="L437" s="123"/>
      <c r="M437" s="123"/>
      <c r="N437" s="123"/>
      <c r="O437" s="123"/>
      <c r="P437" s="123">
        <v>30</v>
      </c>
      <c r="Q437" s="123"/>
      <c r="R437" s="133">
        <f t="shared" si="168"/>
        <v>0</v>
      </c>
      <c r="S437" s="133"/>
      <c r="T437" s="116">
        <f t="shared" si="172"/>
        <v>0</v>
      </c>
      <c r="U437" s="116">
        <f t="shared" si="173"/>
        <v>0</v>
      </c>
      <c r="V437" s="116">
        <f t="shared" si="174"/>
        <v>0</v>
      </c>
      <c r="W437" s="116">
        <f t="shared" si="175"/>
        <v>0</v>
      </c>
      <c r="X437" s="116">
        <f t="shared" si="176"/>
        <v>0</v>
      </c>
      <c r="Y437" s="116">
        <f t="shared" si="177"/>
        <v>0</v>
      </c>
      <c r="Z437" s="116">
        <f t="shared" si="178"/>
        <v>0</v>
      </c>
      <c r="AA437" s="116">
        <f t="shared" si="179"/>
        <v>0</v>
      </c>
      <c r="AB437" s="116">
        <f t="shared" si="180"/>
        <v>0</v>
      </c>
      <c r="AC437" s="116">
        <f t="shared" si="184"/>
        <v>0</v>
      </c>
      <c r="AD437" s="116">
        <f t="shared" si="185"/>
        <v>8265.1200000000008</v>
      </c>
      <c r="AE437" s="116">
        <f t="shared" si="181"/>
        <v>0</v>
      </c>
    </row>
    <row r="438" spans="1:31">
      <c r="A438" s="131">
        <v>42309</v>
      </c>
      <c r="B438" s="131">
        <v>42339</v>
      </c>
      <c r="C438" s="123">
        <f t="shared" si="171"/>
        <v>30</v>
      </c>
      <c r="D438" s="110">
        <v>1253.71</v>
      </c>
      <c r="E438" s="134"/>
      <c r="F438" s="135"/>
      <c r="G438" s="123"/>
      <c r="H438" s="123"/>
      <c r="I438" s="123"/>
      <c r="J438" s="123"/>
      <c r="K438" s="123"/>
      <c r="L438" s="123"/>
      <c r="M438" s="123"/>
      <c r="N438" s="123"/>
      <c r="O438" s="123"/>
      <c r="P438" s="123">
        <v>30</v>
      </c>
      <c r="Q438" s="123"/>
      <c r="R438" s="133">
        <f t="shared" si="168"/>
        <v>0</v>
      </c>
      <c r="S438" s="133"/>
      <c r="T438" s="116">
        <f t="shared" si="172"/>
        <v>0</v>
      </c>
      <c r="U438" s="116">
        <f t="shared" si="173"/>
        <v>0</v>
      </c>
      <c r="V438" s="116">
        <f t="shared" si="174"/>
        <v>0</v>
      </c>
      <c r="W438" s="116">
        <f t="shared" si="175"/>
        <v>0</v>
      </c>
      <c r="X438" s="116">
        <f t="shared" si="176"/>
        <v>0</v>
      </c>
      <c r="Y438" s="116">
        <f t="shared" si="177"/>
        <v>0</v>
      </c>
      <c r="Z438" s="116">
        <f t="shared" si="178"/>
        <v>0</v>
      </c>
      <c r="AA438" s="116">
        <f t="shared" si="179"/>
        <v>0</v>
      </c>
      <c r="AB438" s="116">
        <f t="shared" si="180"/>
        <v>0</v>
      </c>
      <c r="AC438" s="116">
        <f t="shared" si="184"/>
        <v>0</v>
      </c>
      <c r="AD438" s="116">
        <f t="shared" si="185"/>
        <v>16446.41</v>
      </c>
      <c r="AE438" s="116">
        <f t="shared" si="181"/>
        <v>0</v>
      </c>
    </row>
    <row r="439" spans="1:31">
      <c r="A439" s="131">
        <v>42309</v>
      </c>
      <c r="B439" s="131">
        <v>42339</v>
      </c>
      <c r="C439" s="123">
        <f t="shared" si="171"/>
        <v>30</v>
      </c>
      <c r="D439" s="110">
        <v>202.05</v>
      </c>
      <c r="E439" s="134"/>
      <c r="F439" s="135"/>
      <c r="G439" s="123"/>
      <c r="H439" s="123"/>
      <c r="I439" s="123"/>
      <c r="J439" s="123"/>
      <c r="K439" s="123"/>
      <c r="L439" s="123"/>
      <c r="M439" s="123"/>
      <c r="N439" s="123"/>
      <c r="O439" s="123"/>
      <c r="P439" s="123">
        <v>30</v>
      </c>
      <c r="Q439" s="123"/>
      <c r="R439" s="133">
        <f t="shared" si="168"/>
        <v>0</v>
      </c>
      <c r="S439" s="133"/>
      <c r="T439" s="116">
        <f t="shared" si="172"/>
        <v>0</v>
      </c>
      <c r="U439" s="116">
        <f t="shared" si="173"/>
        <v>0</v>
      </c>
      <c r="V439" s="116">
        <f t="shared" si="174"/>
        <v>0</v>
      </c>
      <c r="W439" s="116">
        <f t="shared" si="175"/>
        <v>0</v>
      </c>
      <c r="X439" s="116">
        <f t="shared" si="176"/>
        <v>0</v>
      </c>
      <c r="Y439" s="116">
        <f t="shared" si="177"/>
        <v>0</v>
      </c>
      <c r="Z439" s="116">
        <f t="shared" si="178"/>
        <v>0</v>
      </c>
      <c r="AA439" s="116">
        <f t="shared" si="179"/>
        <v>0</v>
      </c>
      <c r="AB439" s="116">
        <f t="shared" si="180"/>
        <v>0</v>
      </c>
      <c r="AC439" s="116">
        <f t="shared" si="184"/>
        <v>0</v>
      </c>
      <c r="AD439" s="116">
        <f t="shared" si="185"/>
        <v>2650.53</v>
      </c>
      <c r="AE439" s="116">
        <f t="shared" si="181"/>
        <v>0</v>
      </c>
    </row>
    <row r="440" spans="1:31">
      <c r="A440" s="131">
        <v>42313</v>
      </c>
      <c r="B440" s="131">
        <v>42343</v>
      </c>
      <c r="C440" s="123">
        <f t="shared" si="171"/>
        <v>30</v>
      </c>
      <c r="D440" s="132">
        <v>746.26</v>
      </c>
      <c r="E440" s="134"/>
      <c r="F440" s="135"/>
      <c r="G440" s="123"/>
      <c r="H440" s="123"/>
      <c r="I440" s="123"/>
      <c r="J440" s="123"/>
      <c r="K440" s="123"/>
      <c r="L440" s="123"/>
      <c r="M440" s="123"/>
      <c r="N440" s="123"/>
      <c r="O440" s="123"/>
      <c r="P440" s="123">
        <v>26</v>
      </c>
      <c r="Q440" s="123">
        <v>4</v>
      </c>
      <c r="R440" s="133">
        <f t="shared" si="168"/>
        <v>0</v>
      </c>
      <c r="S440" s="133"/>
      <c r="T440" s="116">
        <f t="shared" si="172"/>
        <v>0</v>
      </c>
      <c r="U440" s="116">
        <f t="shared" si="173"/>
        <v>0</v>
      </c>
      <c r="V440" s="116">
        <f t="shared" si="174"/>
        <v>0</v>
      </c>
      <c r="W440" s="116">
        <f t="shared" si="175"/>
        <v>0</v>
      </c>
      <c r="X440" s="116">
        <f t="shared" si="176"/>
        <v>0</v>
      </c>
      <c r="Y440" s="116">
        <f t="shared" si="177"/>
        <v>0</v>
      </c>
      <c r="Z440" s="116">
        <f t="shared" si="178"/>
        <v>0</v>
      </c>
      <c r="AA440" s="116">
        <f t="shared" si="179"/>
        <v>0</v>
      </c>
      <c r="AB440" s="116">
        <f t="shared" si="180"/>
        <v>0</v>
      </c>
      <c r="AC440" s="116">
        <f t="shared" si="184"/>
        <v>0</v>
      </c>
      <c r="AD440" s="116">
        <f t="shared" si="185"/>
        <v>8484.31</v>
      </c>
      <c r="AE440" s="116">
        <f t="shared" si="181"/>
        <v>868.1</v>
      </c>
    </row>
    <row r="441" spans="1:31">
      <c r="A441" s="131">
        <v>42309</v>
      </c>
      <c r="B441" s="131">
        <v>42339</v>
      </c>
      <c r="C441" s="123">
        <f t="shared" si="171"/>
        <v>30</v>
      </c>
      <c r="D441" s="110">
        <v>158.55000000000001</v>
      </c>
      <c r="E441" s="134"/>
      <c r="F441" s="135"/>
      <c r="G441" s="123"/>
      <c r="H441" s="123"/>
      <c r="I441" s="123"/>
      <c r="J441" s="123"/>
      <c r="K441" s="123"/>
      <c r="L441" s="123"/>
      <c r="M441" s="123"/>
      <c r="N441" s="123"/>
      <c r="O441" s="123"/>
      <c r="P441" s="123">
        <v>30</v>
      </c>
      <c r="Q441" s="123"/>
      <c r="R441" s="133">
        <f t="shared" si="168"/>
        <v>0</v>
      </c>
      <c r="S441" s="133"/>
      <c r="T441" s="116">
        <f t="shared" si="172"/>
        <v>0</v>
      </c>
      <c r="U441" s="116">
        <f t="shared" si="173"/>
        <v>0</v>
      </c>
      <c r="V441" s="116">
        <f t="shared" si="174"/>
        <v>0</v>
      </c>
      <c r="W441" s="116">
        <f t="shared" si="175"/>
        <v>0</v>
      </c>
      <c r="X441" s="116">
        <f t="shared" si="176"/>
        <v>0</v>
      </c>
      <c r="Y441" s="116">
        <f t="shared" si="177"/>
        <v>0</v>
      </c>
      <c r="Z441" s="116">
        <f t="shared" si="178"/>
        <v>0</v>
      </c>
      <c r="AA441" s="116">
        <f t="shared" si="179"/>
        <v>0</v>
      </c>
      <c r="AB441" s="116">
        <f t="shared" si="180"/>
        <v>0</v>
      </c>
      <c r="AC441" s="116">
        <f t="shared" si="184"/>
        <v>0</v>
      </c>
      <c r="AD441" s="116">
        <f t="shared" si="185"/>
        <v>2079.89</v>
      </c>
      <c r="AE441" s="116">
        <f t="shared" si="181"/>
        <v>0</v>
      </c>
    </row>
    <row r="442" spans="1:31">
      <c r="A442" s="131">
        <v>42309</v>
      </c>
      <c r="B442" s="131">
        <v>42339</v>
      </c>
      <c r="C442" s="123">
        <f t="shared" si="171"/>
        <v>30</v>
      </c>
      <c r="D442" s="110">
        <v>1734.41</v>
      </c>
      <c r="E442" s="134"/>
      <c r="F442" s="135"/>
      <c r="G442" s="123"/>
      <c r="H442" s="123"/>
      <c r="I442" s="123"/>
      <c r="J442" s="123"/>
      <c r="K442" s="123"/>
      <c r="L442" s="123"/>
      <c r="M442" s="123"/>
      <c r="N442" s="123"/>
      <c r="O442" s="123"/>
      <c r="P442" s="123">
        <v>30</v>
      </c>
      <c r="Q442" s="123"/>
      <c r="R442" s="133">
        <f t="shared" si="168"/>
        <v>0</v>
      </c>
      <c r="S442" s="133"/>
      <c r="T442" s="116">
        <f t="shared" si="172"/>
        <v>0</v>
      </c>
      <c r="U442" s="116">
        <f t="shared" si="173"/>
        <v>0</v>
      </c>
      <c r="V442" s="116">
        <f t="shared" si="174"/>
        <v>0</v>
      </c>
      <c r="W442" s="116">
        <f t="shared" si="175"/>
        <v>0</v>
      </c>
      <c r="X442" s="116">
        <f t="shared" si="176"/>
        <v>0</v>
      </c>
      <c r="Y442" s="116">
        <f t="shared" si="177"/>
        <v>0</v>
      </c>
      <c r="Z442" s="116">
        <f t="shared" si="178"/>
        <v>0</v>
      </c>
      <c r="AA442" s="116">
        <f t="shared" si="179"/>
        <v>0</v>
      </c>
      <c r="AB442" s="116">
        <f t="shared" si="180"/>
        <v>0</v>
      </c>
      <c r="AC442" s="116">
        <f t="shared" si="184"/>
        <v>0</v>
      </c>
      <c r="AD442" s="116">
        <f t="shared" si="185"/>
        <v>22752.33</v>
      </c>
      <c r="AE442" s="116">
        <f t="shared" si="181"/>
        <v>0</v>
      </c>
    </row>
    <row r="443" spans="1:31">
      <c r="A443" s="131">
        <v>42313</v>
      </c>
      <c r="B443" s="131">
        <v>42343</v>
      </c>
      <c r="C443" s="123">
        <f t="shared" si="171"/>
        <v>30</v>
      </c>
      <c r="D443" s="132">
        <v>302.25</v>
      </c>
      <c r="E443" s="134"/>
      <c r="F443" s="135"/>
      <c r="G443" s="123"/>
      <c r="H443" s="123"/>
      <c r="I443" s="123"/>
      <c r="J443" s="123"/>
      <c r="K443" s="123"/>
      <c r="L443" s="123"/>
      <c r="M443" s="123"/>
      <c r="N443" s="123"/>
      <c r="O443" s="123"/>
      <c r="P443" s="123">
        <v>26</v>
      </c>
      <c r="Q443" s="123">
        <v>4</v>
      </c>
      <c r="R443" s="133">
        <f t="shared" si="168"/>
        <v>0</v>
      </c>
      <c r="S443" s="133"/>
      <c r="T443" s="116">
        <f t="shared" si="172"/>
        <v>0</v>
      </c>
      <c r="U443" s="116">
        <f t="shared" si="173"/>
        <v>0</v>
      </c>
      <c r="V443" s="116">
        <f t="shared" si="174"/>
        <v>0</v>
      </c>
      <c r="W443" s="116">
        <f t="shared" si="175"/>
        <v>0</v>
      </c>
      <c r="X443" s="116">
        <f t="shared" si="176"/>
        <v>0</v>
      </c>
      <c r="Y443" s="116">
        <f t="shared" si="177"/>
        <v>0</v>
      </c>
      <c r="Z443" s="116">
        <f t="shared" si="178"/>
        <v>0</v>
      </c>
      <c r="AA443" s="116">
        <f t="shared" si="179"/>
        <v>0</v>
      </c>
      <c r="AB443" s="116">
        <f t="shared" si="180"/>
        <v>0</v>
      </c>
      <c r="AC443" s="116">
        <f t="shared" si="184"/>
        <v>0</v>
      </c>
      <c r="AD443" s="116">
        <f t="shared" si="185"/>
        <v>3436.31</v>
      </c>
      <c r="AE443" s="116">
        <f t="shared" si="181"/>
        <v>351.6</v>
      </c>
    </row>
    <row r="444" spans="1:31">
      <c r="A444" s="131">
        <v>42309</v>
      </c>
      <c r="B444" s="131">
        <v>42339</v>
      </c>
      <c r="C444" s="123">
        <f t="shared" si="171"/>
        <v>30</v>
      </c>
      <c r="D444" s="110">
        <v>3083.26</v>
      </c>
      <c r="E444" s="134"/>
      <c r="F444" s="135"/>
      <c r="G444" s="123"/>
      <c r="H444" s="123"/>
      <c r="I444" s="123"/>
      <c r="J444" s="123"/>
      <c r="K444" s="123"/>
      <c r="L444" s="123"/>
      <c r="M444" s="123"/>
      <c r="N444" s="123"/>
      <c r="O444" s="123"/>
      <c r="P444" s="123">
        <v>30</v>
      </c>
      <c r="Q444" s="123"/>
      <c r="R444" s="133">
        <f t="shared" si="168"/>
        <v>0</v>
      </c>
      <c r="S444" s="133"/>
      <c r="T444" s="116">
        <f t="shared" si="172"/>
        <v>0</v>
      </c>
      <c r="U444" s="116">
        <f t="shared" si="173"/>
        <v>0</v>
      </c>
      <c r="V444" s="116">
        <f t="shared" si="174"/>
        <v>0</v>
      </c>
      <c r="W444" s="116">
        <f t="shared" si="175"/>
        <v>0</v>
      </c>
      <c r="X444" s="116">
        <f t="shared" si="176"/>
        <v>0</v>
      </c>
      <c r="Y444" s="116">
        <f t="shared" si="177"/>
        <v>0</v>
      </c>
      <c r="Z444" s="116">
        <f t="shared" si="178"/>
        <v>0</v>
      </c>
      <c r="AA444" s="116">
        <f t="shared" si="179"/>
        <v>0</v>
      </c>
      <c r="AB444" s="116">
        <f t="shared" si="180"/>
        <v>0</v>
      </c>
      <c r="AC444" s="116">
        <f t="shared" si="184"/>
        <v>0</v>
      </c>
      <c r="AD444" s="116">
        <f t="shared" si="185"/>
        <v>40446.81</v>
      </c>
      <c r="AE444" s="116">
        <f t="shared" si="181"/>
        <v>0</v>
      </c>
    </row>
    <row r="445" spans="1:31">
      <c r="A445" s="131">
        <v>42313</v>
      </c>
      <c r="B445" s="131">
        <v>42343</v>
      </c>
      <c r="C445" s="123">
        <f t="shared" si="171"/>
        <v>30</v>
      </c>
      <c r="D445" s="132">
        <v>992.21</v>
      </c>
      <c r="E445" s="134"/>
      <c r="F445" s="135"/>
      <c r="G445" s="123"/>
      <c r="H445" s="123"/>
      <c r="I445" s="123"/>
      <c r="J445" s="123"/>
      <c r="K445" s="123"/>
      <c r="L445" s="123"/>
      <c r="M445" s="123"/>
      <c r="N445" s="123"/>
      <c r="O445" s="123"/>
      <c r="P445" s="123">
        <v>26</v>
      </c>
      <c r="Q445" s="123">
        <v>4</v>
      </c>
      <c r="R445" s="133">
        <f t="shared" si="168"/>
        <v>0</v>
      </c>
      <c r="S445" s="133"/>
      <c r="T445" s="116">
        <f t="shared" si="172"/>
        <v>0</v>
      </c>
      <c r="U445" s="116">
        <f t="shared" si="173"/>
        <v>0</v>
      </c>
      <c r="V445" s="116">
        <f t="shared" si="174"/>
        <v>0</v>
      </c>
      <c r="W445" s="116">
        <f t="shared" si="175"/>
        <v>0</v>
      </c>
      <c r="X445" s="116">
        <f t="shared" si="176"/>
        <v>0</v>
      </c>
      <c r="Y445" s="116">
        <f t="shared" si="177"/>
        <v>0</v>
      </c>
      <c r="Z445" s="116">
        <f t="shared" si="178"/>
        <v>0</v>
      </c>
      <c r="AA445" s="116">
        <f t="shared" si="179"/>
        <v>0</v>
      </c>
      <c r="AB445" s="116">
        <f t="shared" si="180"/>
        <v>0</v>
      </c>
      <c r="AC445" s="116">
        <f t="shared" si="184"/>
        <v>0</v>
      </c>
      <c r="AD445" s="116">
        <f t="shared" si="185"/>
        <v>11280.54</v>
      </c>
      <c r="AE445" s="116">
        <f t="shared" si="181"/>
        <v>1154.2</v>
      </c>
    </row>
    <row r="446" spans="1:31">
      <c r="A446" s="131">
        <v>42316</v>
      </c>
      <c r="B446" s="131">
        <v>42346</v>
      </c>
      <c r="C446" s="123">
        <f t="shared" si="171"/>
        <v>30</v>
      </c>
      <c r="D446" s="132">
        <v>243.22</v>
      </c>
      <c r="E446" s="134"/>
      <c r="F446" s="135"/>
      <c r="G446" s="123"/>
      <c r="H446" s="123"/>
      <c r="I446" s="123"/>
      <c r="J446" s="123"/>
      <c r="K446" s="123"/>
      <c r="L446" s="123"/>
      <c r="M446" s="123"/>
      <c r="N446" s="123"/>
      <c r="O446" s="123"/>
      <c r="P446" s="123">
        <v>23</v>
      </c>
      <c r="Q446" s="123">
        <v>7</v>
      </c>
      <c r="R446" s="133">
        <f t="shared" si="168"/>
        <v>0</v>
      </c>
      <c r="S446" s="133"/>
      <c r="T446" s="116">
        <f t="shared" si="172"/>
        <v>0</v>
      </c>
      <c r="U446" s="116">
        <f t="shared" si="173"/>
        <v>0</v>
      </c>
      <c r="V446" s="116">
        <f t="shared" si="174"/>
        <v>0</v>
      </c>
      <c r="W446" s="116">
        <f t="shared" si="175"/>
        <v>0</v>
      </c>
      <c r="X446" s="116">
        <f t="shared" si="176"/>
        <v>0</v>
      </c>
      <c r="Y446" s="116">
        <f t="shared" si="177"/>
        <v>0</v>
      </c>
      <c r="Z446" s="116">
        <f t="shared" si="178"/>
        <v>0</v>
      </c>
      <c r="AA446" s="116">
        <f t="shared" si="179"/>
        <v>0</v>
      </c>
      <c r="AB446" s="116">
        <f t="shared" si="180"/>
        <v>0</v>
      </c>
      <c r="AC446" s="116">
        <f t="shared" si="184"/>
        <v>0</v>
      </c>
      <c r="AD446" s="116">
        <f t="shared" si="185"/>
        <v>2446.13</v>
      </c>
      <c r="AE446" s="116">
        <f t="shared" si="181"/>
        <v>495.13</v>
      </c>
    </row>
    <row r="447" spans="1:31">
      <c r="A447" s="131">
        <v>42316</v>
      </c>
      <c r="B447" s="131">
        <v>42346</v>
      </c>
      <c r="C447" s="123">
        <f t="shared" si="171"/>
        <v>30</v>
      </c>
      <c r="D447" s="132">
        <v>668.27</v>
      </c>
      <c r="E447" s="134"/>
      <c r="F447" s="135"/>
      <c r="G447" s="123"/>
      <c r="H447" s="123"/>
      <c r="I447" s="123"/>
      <c r="J447" s="123"/>
      <c r="K447" s="123"/>
      <c r="L447" s="123"/>
      <c r="M447" s="123"/>
      <c r="N447" s="123"/>
      <c r="O447" s="123"/>
      <c r="P447" s="123">
        <v>23</v>
      </c>
      <c r="Q447" s="123">
        <v>7</v>
      </c>
      <c r="R447" s="133">
        <f t="shared" si="168"/>
        <v>0</v>
      </c>
      <c r="S447" s="133"/>
      <c r="T447" s="116">
        <f t="shared" si="172"/>
        <v>0</v>
      </c>
      <c r="U447" s="116">
        <f t="shared" si="173"/>
        <v>0</v>
      </c>
      <c r="V447" s="116">
        <f t="shared" si="174"/>
        <v>0</v>
      </c>
      <c r="W447" s="116">
        <f t="shared" si="175"/>
        <v>0</v>
      </c>
      <c r="X447" s="116">
        <f t="shared" si="176"/>
        <v>0</v>
      </c>
      <c r="Y447" s="116">
        <f t="shared" si="177"/>
        <v>0</v>
      </c>
      <c r="Z447" s="116">
        <f t="shared" si="178"/>
        <v>0</v>
      </c>
      <c r="AA447" s="116">
        <f t="shared" si="179"/>
        <v>0</v>
      </c>
      <c r="AB447" s="116">
        <f t="shared" si="180"/>
        <v>0</v>
      </c>
      <c r="AC447" s="116">
        <f t="shared" si="184"/>
        <v>0</v>
      </c>
      <c r="AD447" s="116">
        <f t="shared" si="185"/>
        <v>6720.98</v>
      </c>
      <c r="AE447" s="116">
        <f t="shared" si="181"/>
        <v>1360.41</v>
      </c>
    </row>
    <row r="448" spans="1:31">
      <c r="A448" s="131">
        <v>42316</v>
      </c>
      <c r="B448" s="131">
        <v>42346</v>
      </c>
      <c r="C448" s="123">
        <f t="shared" si="171"/>
        <v>30</v>
      </c>
      <c r="D448" s="132">
        <v>216.57</v>
      </c>
      <c r="E448" s="134"/>
      <c r="F448" s="135"/>
      <c r="G448" s="123"/>
      <c r="H448" s="123"/>
      <c r="I448" s="123"/>
      <c r="J448" s="123"/>
      <c r="K448" s="123"/>
      <c r="L448" s="123"/>
      <c r="M448" s="123"/>
      <c r="N448" s="123"/>
      <c r="O448" s="123"/>
      <c r="P448" s="123">
        <v>23</v>
      </c>
      <c r="Q448" s="123">
        <v>7</v>
      </c>
      <c r="R448" s="133">
        <f t="shared" si="168"/>
        <v>0</v>
      </c>
      <c r="S448" s="133"/>
      <c r="T448" s="116">
        <f t="shared" si="172"/>
        <v>0</v>
      </c>
      <c r="U448" s="116">
        <f t="shared" si="173"/>
        <v>0</v>
      </c>
      <c r="V448" s="116">
        <f t="shared" si="174"/>
        <v>0</v>
      </c>
      <c r="W448" s="116">
        <f t="shared" si="175"/>
        <v>0</v>
      </c>
      <c r="X448" s="116">
        <f t="shared" si="176"/>
        <v>0</v>
      </c>
      <c r="Y448" s="116">
        <f t="shared" si="177"/>
        <v>0</v>
      </c>
      <c r="Z448" s="116">
        <f t="shared" si="178"/>
        <v>0</v>
      </c>
      <c r="AA448" s="116">
        <f t="shared" si="179"/>
        <v>0</v>
      </c>
      <c r="AB448" s="116">
        <f t="shared" si="180"/>
        <v>0</v>
      </c>
      <c r="AC448" s="116">
        <f t="shared" si="184"/>
        <v>0</v>
      </c>
      <c r="AD448" s="116">
        <f t="shared" si="185"/>
        <v>2178.11</v>
      </c>
      <c r="AE448" s="116">
        <f t="shared" si="181"/>
        <v>440.87</v>
      </c>
    </row>
    <row r="449" spans="1:31">
      <c r="A449" s="131">
        <v>42316</v>
      </c>
      <c r="B449" s="131">
        <v>42346</v>
      </c>
      <c r="C449" s="123">
        <f t="shared" si="171"/>
        <v>30</v>
      </c>
      <c r="D449" s="132">
        <v>30.74</v>
      </c>
      <c r="E449" s="110"/>
      <c r="F449" s="123"/>
      <c r="G449" s="123"/>
      <c r="H449" s="123"/>
      <c r="I449" s="123"/>
      <c r="J449" s="123"/>
      <c r="K449" s="123"/>
      <c r="L449" s="123"/>
      <c r="M449" s="123"/>
      <c r="N449" s="123"/>
      <c r="O449" s="123"/>
      <c r="P449" s="123">
        <v>23</v>
      </c>
      <c r="Q449" s="123">
        <v>7</v>
      </c>
      <c r="R449" s="133">
        <f t="shared" si="168"/>
        <v>0</v>
      </c>
      <c r="S449" s="133"/>
      <c r="T449" s="116">
        <f t="shared" si="172"/>
        <v>0</v>
      </c>
      <c r="U449" s="116">
        <f t="shared" si="173"/>
        <v>0</v>
      </c>
      <c r="V449" s="116">
        <f t="shared" si="174"/>
        <v>0</v>
      </c>
      <c r="W449" s="116">
        <f t="shared" si="175"/>
        <v>0</v>
      </c>
      <c r="X449" s="116">
        <f t="shared" si="176"/>
        <v>0</v>
      </c>
      <c r="Y449" s="116">
        <f t="shared" si="177"/>
        <v>0</v>
      </c>
      <c r="Z449" s="116">
        <f t="shared" si="178"/>
        <v>0</v>
      </c>
      <c r="AA449" s="116">
        <f t="shared" si="179"/>
        <v>0</v>
      </c>
      <c r="AB449" s="116">
        <f t="shared" si="180"/>
        <v>0</v>
      </c>
      <c r="AC449" s="116">
        <f t="shared" si="184"/>
        <v>0</v>
      </c>
      <c r="AD449" s="116">
        <f t="shared" si="185"/>
        <v>309.16000000000003</v>
      </c>
      <c r="AE449" s="116">
        <f t="shared" si="181"/>
        <v>62.58</v>
      </c>
    </row>
    <row r="450" spans="1:31">
      <c r="A450" s="131">
        <v>42313</v>
      </c>
      <c r="B450" s="131">
        <v>42343</v>
      </c>
      <c r="C450" s="123">
        <f t="shared" si="171"/>
        <v>30</v>
      </c>
      <c r="D450" s="132">
        <v>18.72</v>
      </c>
      <c r="E450" s="110"/>
      <c r="F450" s="123"/>
      <c r="G450" s="123"/>
      <c r="H450" s="123"/>
      <c r="I450" s="123"/>
      <c r="J450" s="123"/>
      <c r="K450" s="123"/>
      <c r="L450" s="123"/>
      <c r="M450" s="123"/>
      <c r="N450" s="123"/>
      <c r="O450" s="123"/>
      <c r="P450" s="123">
        <v>26</v>
      </c>
      <c r="Q450" s="123">
        <v>4</v>
      </c>
      <c r="R450" s="133">
        <f t="shared" si="168"/>
        <v>0</v>
      </c>
      <c r="S450" s="133"/>
      <c r="T450" s="116">
        <f t="shared" si="172"/>
        <v>0</v>
      </c>
      <c r="U450" s="116">
        <f t="shared" si="173"/>
        <v>0</v>
      </c>
      <c r="V450" s="116">
        <f t="shared" si="174"/>
        <v>0</v>
      </c>
      <c r="W450" s="116">
        <f t="shared" si="175"/>
        <v>0</v>
      </c>
      <c r="X450" s="116">
        <f t="shared" si="176"/>
        <v>0</v>
      </c>
      <c r="Y450" s="116">
        <f t="shared" si="177"/>
        <v>0</v>
      </c>
      <c r="Z450" s="116">
        <f t="shared" si="178"/>
        <v>0</v>
      </c>
      <c r="AA450" s="116">
        <f t="shared" si="179"/>
        <v>0</v>
      </c>
      <c r="AB450" s="116">
        <f t="shared" si="180"/>
        <v>0</v>
      </c>
      <c r="AC450" s="116">
        <f t="shared" si="184"/>
        <v>0</v>
      </c>
      <c r="AD450" s="116">
        <f t="shared" si="185"/>
        <v>212.83</v>
      </c>
      <c r="AE450" s="116">
        <f t="shared" si="181"/>
        <v>21.78</v>
      </c>
    </row>
    <row r="451" spans="1:31">
      <c r="A451" s="131">
        <v>42330</v>
      </c>
      <c r="B451" s="131">
        <v>42339</v>
      </c>
      <c r="C451" s="123">
        <f t="shared" si="171"/>
        <v>9</v>
      </c>
      <c r="D451" s="132">
        <v>912.41</v>
      </c>
      <c r="E451" s="110"/>
      <c r="F451" s="123"/>
      <c r="G451" s="123"/>
      <c r="H451" s="123"/>
      <c r="I451" s="123"/>
      <c r="J451" s="123"/>
      <c r="K451" s="123"/>
      <c r="L451" s="123"/>
      <c r="M451" s="123"/>
      <c r="N451" s="123"/>
      <c r="O451" s="123"/>
      <c r="P451" s="123">
        <v>9</v>
      </c>
      <c r="Q451" s="123"/>
      <c r="R451" s="133">
        <f t="shared" si="168"/>
        <v>0</v>
      </c>
      <c r="S451" s="133"/>
      <c r="T451" s="116">
        <f t="shared" si="172"/>
        <v>0</v>
      </c>
      <c r="U451" s="116">
        <f t="shared" si="173"/>
        <v>0</v>
      </c>
      <c r="V451" s="116">
        <f t="shared" si="174"/>
        <v>0</v>
      </c>
      <c r="W451" s="116">
        <f t="shared" si="175"/>
        <v>0</v>
      </c>
      <c r="X451" s="116">
        <f t="shared" si="176"/>
        <v>0</v>
      </c>
      <c r="Y451" s="116">
        <f t="shared" si="177"/>
        <v>0</v>
      </c>
      <c r="Z451" s="116">
        <f t="shared" si="178"/>
        <v>0</v>
      </c>
      <c r="AA451" s="116">
        <f t="shared" si="179"/>
        <v>0</v>
      </c>
      <c r="AB451" s="116">
        <f t="shared" si="180"/>
        <v>0</v>
      </c>
      <c r="AC451" s="116">
        <f t="shared" si="184"/>
        <v>0</v>
      </c>
      <c r="AD451" s="116">
        <f t="shared" si="185"/>
        <v>11969.17</v>
      </c>
      <c r="AE451" s="116">
        <f t="shared" si="181"/>
        <v>0</v>
      </c>
    </row>
    <row r="452" spans="1:31">
      <c r="A452" s="131">
        <v>42320</v>
      </c>
      <c r="B452" s="131">
        <v>42350</v>
      </c>
      <c r="C452" s="123">
        <f t="shared" si="171"/>
        <v>30</v>
      </c>
      <c r="D452" s="132">
        <v>803.16</v>
      </c>
      <c r="E452" s="110"/>
      <c r="F452" s="123"/>
      <c r="G452" s="123"/>
      <c r="H452" s="123"/>
      <c r="I452" s="123"/>
      <c r="J452" s="123"/>
      <c r="K452" s="123"/>
      <c r="L452" s="123"/>
      <c r="M452" s="123"/>
      <c r="N452" s="123"/>
      <c r="O452" s="123"/>
      <c r="P452" s="123">
        <v>19</v>
      </c>
      <c r="Q452" s="123">
        <v>11</v>
      </c>
      <c r="R452" s="133">
        <f t="shared" ref="R452:R454" si="186">C452-SUM(F452:Q452)</f>
        <v>0</v>
      </c>
      <c r="S452" s="133"/>
      <c r="T452" s="116">
        <f t="shared" si="172"/>
        <v>0</v>
      </c>
      <c r="U452" s="116">
        <f t="shared" si="173"/>
        <v>0</v>
      </c>
      <c r="V452" s="116">
        <f t="shared" si="174"/>
        <v>0</v>
      </c>
      <c r="W452" s="116">
        <f t="shared" si="175"/>
        <v>0</v>
      </c>
      <c r="X452" s="116">
        <f t="shared" si="176"/>
        <v>0</v>
      </c>
      <c r="Y452" s="116">
        <f t="shared" si="177"/>
        <v>0</v>
      </c>
      <c r="Z452" s="116">
        <f t="shared" si="178"/>
        <v>0</v>
      </c>
      <c r="AA452" s="116">
        <f t="shared" si="179"/>
        <v>0</v>
      </c>
      <c r="AB452" s="116">
        <f t="shared" si="180"/>
        <v>0</v>
      </c>
      <c r="AC452" s="116">
        <f t="shared" si="184"/>
        <v>0</v>
      </c>
      <c r="AD452" s="116">
        <f t="shared" si="185"/>
        <v>6672.81</v>
      </c>
      <c r="AE452" s="116">
        <f t="shared" si="181"/>
        <v>2569.29</v>
      </c>
    </row>
    <row r="453" spans="1:31">
      <c r="A453" s="131">
        <v>42320</v>
      </c>
      <c r="B453" s="131">
        <v>42350</v>
      </c>
      <c r="C453" s="123">
        <f t="shared" si="171"/>
        <v>30</v>
      </c>
      <c r="D453" s="132">
        <v>141.68</v>
      </c>
      <c r="E453" s="110"/>
      <c r="F453" s="123"/>
      <c r="G453" s="123"/>
      <c r="H453" s="123"/>
      <c r="I453" s="123"/>
      <c r="J453" s="123"/>
      <c r="K453" s="123"/>
      <c r="L453" s="123"/>
      <c r="M453" s="123"/>
      <c r="N453" s="123"/>
      <c r="O453" s="123"/>
      <c r="P453" s="123">
        <v>19</v>
      </c>
      <c r="Q453" s="123">
        <v>11</v>
      </c>
      <c r="R453" s="133">
        <f t="shared" si="186"/>
        <v>0</v>
      </c>
      <c r="S453" s="133"/>
      <c r="T453" s="116">
        <f t="shared" si="172"/>
        <v>0</v>
      </c>
      <c r="U453" s="116">
        <f t="shared" si="173"/>
        <v>0</v>
      </c>
      <c r="V453" s="116">
        <f t="shared" si="174"/>
        <v>0</v>
      </c>
      <c r="W453" s="116">
        <f t="shared" si="175"/>
        <v>0</v>
      </c>
      <c r="X453" s="116">
        <f t="shared" si="176"/>
        <v>0</v>
      </c>
      <c r="Y453" s="116">
        <f t="shared" si="177"/>
        <v>0</v>
      </c>
      <c r="Z453" s="116">
        <f t="shared" si="178"/>
        <v>0</v>
      </c>
      <c r="AA453" s="116">
        <f t="shared" si="179"/>
        <v>0</v>
      </c>
      <c r="AB453" s="116">
        <f t="shared" si="180"/>
        <v>0</v>
      </c>
      <c r="AC453" s="116">
        <f t="shared" si="184"/>
        <v>0</v>
      </c>
      <c r="AD453" s="116">
        <f t="shared" si="185"/>
        <v>1177.0999999999999</v>
      </c>
      <c r="AE453" s="116">
        <f t="shared" si="181"/>
        <v>453.23</v>
      </c>
    </row>
    <row r="454" spans="1:31" ht="15.75" thickBot="1">
      <c r="A454" s="131">
        <v>42320</v>
      </c>
      <c r="B454" s="131">
        <v>42350</v>
      </c>
      <c r="C454" s="123">
        <f t="shared" si="171"/>
        <v>30</v>
      </c>
      <c r="D454" s="132">
        <v>1126.69</v>
      </c>
      <c r="E454" s="110"/>
      <c r="F454" s="123"/>
      <c r="G454" s="123"/>
      <c r="H454" s="123"/>
      <c r="I454" s="123"/>
      <c r="J454" s="123"/>
      <c r="K454" s="123"/>
      <c r="L454" s="123"/>
      <c r="M454" s="123"/>
      <c r="N454" s="123"/>
      <c r="O454" s="123"/>
      <c r="P454" s="123">
        <v>19</v>
      </c>
      <c r="Q454" s="123">
        <v>11</v>
      </c>
      <c r="R454" s="133">
        <f t="shared" si="186"/>
        <v>0</v>
      </c>
      <c r="S454" s="133"/>
      <c r="T454" s="116">
        <f t="shared" si="172"/>
        <v>0</v>
      </c>
      <c r="U454" s="116">
        <f t="shared" si="173"/>
        <v>0</v>
      </c>
      <c r="V454" s="116">
        <f t="shared" si="174"/>
        <v>0</v>
      </c>
      <c r="W454" s="116">
        <f t="shared" si="175"/>
        <v>0</v>
      </c>
      <c r="X454" s="116">
        <f t="shared" si="176"/>
        <v>0</v>
      </c>
      <c r="Y454" s="116">
        <f t="shared" si="177"/>
        <v>0</v>
      </c>
      <c r="Z454" s="116">
        <f t="shared" si="178"/>
        <v>0</v>
      </c>
      <c r="AA454" s="116">
        <f t="shared" si="179"/>
        <v>0</v>
      </c>
      <c r="AB454" s="116">
        <f t="shared" si="180"/>
        <v>0</v>
      </c>
      <c r="AC454" s="116">
        <f t="shared" si="184"/>
        <v>0</v>
      </c>
      <c r="AD454" s="116">
        <f t="shared" si="185"/>
        <v>9360.75</v>
      </c>
      <c r="AE454" s="116">
        <f t="shared" si="181"/>
        <v>3604.25</v>
      </c>
    </row>
    <row r="455" spans="1:31" ht="15.75" thickBot="1">
      <c r="A455" s="194">
        <v>2016</v>
      </c>
      <c r="B455" s="195"/>
      <c r="C455" s="195"/>
      <c r="D455" s="195"/>
      <c r="E455" s="195"/>
      <c r="F455" s="195"/>
      <c r="G455" s="195"/>
      <c r="H455" s="195"/>
      <c r="I455" s="195"/>
      <c r="J455" s="195"/>
      <c r="K455" s="195"/>
      <c r="L455" s="195"/>
      <c r="M455" s="195"/>
      <c r="N455" s="195"/>
      <c r="O455" s="195"/>
      <c r="P455" s="195"/>
      <c r="Q455" s="195"/>
      <c r="R455" s="195"/>
      <c r="S455" s="195"/>
      <c r="T455" s="195"/>
      <c r="U455" s="195"/>
      <c r="V455" s="195"/>
      <c r="W455" s="195"/>
      <c r="X455" s="195"/>
      <c r="Y455" s="195"/>
      <c r="Z455" s="195"/>
      <c r="AA455" s="195"/>
      <c r="AB455" s="195"/>
      <c r="AC455" s="195"/>
      <c r="AD455" s="195"/>
      <c r="AE455" s="196"/>
    </row>
    <row r="456" spans="1:31">
      <c r="A456" s="131">
        <v>42323</v>
      </c>
      <c r="B456" s="131">
        <v>42353</v>
      </c>
      <c r="C456" s="123">
        <f t="shared" si="171"/>
        <v>30</v>
      </c>
      <c r="D456" s="132">
        <v>1873.77</v>
      </c>
      <c r="E456" s="135"/>
      <c r="F456" s="135"/>
      <c r="G456" s="123"/>
      <c r="H456" s="123"/>
      <c r="I456" s="123"/>
      <c r="J456" s="123"/>
      <c r="K456" s="123"/>
      <c r="L456" s="123"/>
      <c r="M456" s="123"/>
      <c r="N456" s="123"/>
      <c r="O456" s="123"/>
      <c r="P456" s="123">
        <v>19</v>
      </c>
      <c r="Q456" s="123">
        <v>11</v>
      </c>
      <c r="R456" s="133">
        <f t="shared" ref="R456:R478" si="187">C456-SUM(F456:Q456)</f>
        <v>0</v>
      </c>
      <c r="S456" s="133"/>
      <c r="T456" s="116">
        <f t="shared" ref="T456:T478" si="188">ROUND((D456*F456/C456)/$C$6,2)</f>
        <v>0</v>
      </c>
      <c r="U456" s="116">
        <f t="shared" ref="U456:U478" si="189">ROUND(($D456*$G456/$C456)/$C$7,2)</f>
        <v>0</v>
      </c>
      <c r="V456" s="116">
        <f t="shared" ref="V456:V478" si="190">ROUND(($D456*$H456/$C456)/$C$8,2)</f>
        <v>0</v>
      </c>
      <c r="W456" s="116">
        <f t="shared" ref="W456:W478" si="191">ROUND(($D456*$I456/$C456)/$C$9,2)</f>
        <v>0</v>
      </c>
      <c r="X456" s="116">
        <f t="shared" ref="X456:X478" si="192">ROUND(($D456*$J456/$C456)/$C$10,2)</f>
        <v>0</v>
      </c>
      <c r="Y456" s="116">
        <f t="shared" ref="Y456:Y478" si="193">ROUND(($D456*$K456/$C456)/$C$11,2)</f>
        <v>0</v>
      </c>
      <c r="Z456" s="116">
        <f t="shared" ref="Z456:Z478" si="194">ROUND(($D456*$L456/$C456)/$C$12,2)</f>
        <v>0</v>
      </c>
      <c r="AA456" s="116">
        <f t="shared" ref="AA456:AA478" si="195">ROUND(($D456*$M456/$C456)/$C$13,2)</f>
        <v>0</v>
      </c>
      <c r="AB456" s="116">
        <f t="shared" ref="AB456:AB478" si="196">ROUND(($D456*$N456/$C456)/$C$14,2)</f>
        <v>0</v>
      </c>
      <c r="AC456" s="116">
        <f t="shared" ref="AC456:AC478" si="197">ROUND(($D456*$O456/$C456)/$C$15,2)</f>
        <v>0</v>
      </c>
      <c r="AD456" s="116">
        <f t="shared" ref="AD456:AD462" si="198">ROUND(($D456*$P456/$C456)/$C$16,2)</f>
        <v>15567.64</v>
      </c>
      <c r="AE456" s="116">
        <f t="shared" ref="AE456:AE462" si="199">ROUND(($D456*$Q456/$C456)/$C$17,2)</f>
        <v>5994.15</v>
      </c>
    </row>
    <row r="457" spans="1:31">
      <c r="A457" s="131">
        <v>42326</v>
      </c>
      <c r="B457" s="131">
        <v>42356</v>
      </c>
      <c r="C457" s="123">
        <f t="shared" si="171"/>
        <v>30</v>
      </c>
      <c r="D457" s="132">
        <v>501.42</v>
      </c>
      <c r="E457" s="135"/>
      <c r="F457" s="135"/>
      <c r="G457" s="123"/>
      <c r="H457" s="123"/>
      <c r="I457" s="123"/>
      <c r="J457" s="123"/>
      <c r="K457" s="123"/>
      <c r="L457" s="123"/>
      <c r="M457" s="123"/>
      <c r="N457" s="123"/>
      <c r="O457" s="123"/>
      <c r="P457" s="123">
        <v>13</v>
      </c>
      <c r="Q457" s="123">
        <v>17</v>
      </c>
      <c r="R457" s="133">
        <f t="shared" si="187"/>
        <v>0</v>
      </c>
      <c r="S457" s="133"/>
      <c r="T457" s="116">
        <f t="shared" si="188"/>
        <v>0</v>
      </c>
      <c r="U457" s="116">
        <f t="shared" si="189"/>
        <v>0</v>
      </c>
      <c r="V457" s="116">
        <f t="shared" si="190"/>
        <v>0</v>
      </c>
      <c r="W457" s="116">
        <f t="shared" si="191"/>
        <v>0</v>
      </c>
      <c r="X457" s="116">
        <f t="shared" si="192"/>
        <v>0</v>
      </c>
      <c r="Y457" s="116">
        <f t="shared" si="193"/>
        <v>0</v>
      </c>
      <c r="Z457" s="116">
        <f t="shared" si="194"/>
        <v>0</v>
      </c>
      <c r="AA457" s="116">
        <f t="shared" si="195"/>
        <v>0</v>
      </c>
      <c r="AB457" s="116">
        <f t="shared" si="196"/>
        <v>0</v>
      </c>
      <c r="AC457" s="116">
        <f t="shared" si="197"/>
        <v>0</v>
      </c>
      <c r="AD457" s="116">
        <f t="shared" si="198"/>
        <v>2850.35</v>
      </c>
      <c r="AE457" s="116">
        <f t="shared" si="199"/>
        <v>2478.96</v>
      </c>
    </row>
    <row r="458" spans="1:31">
      <c r="A458" s="131">
        <v>42326</v>
      </c>
      <c r="B458" s="131">
        <v>42356</v>
      </c>
      <c r="C458" s="123">
        <f t="shared" si="171"/>
        <v>30</v>
      </c>
      <c r="D458" s="132">
        <v>2023.67</v>
      </c>
      <c r="E458" s="135"/>
      <c r="F458" s="135"/>
      <c r="G458" s="123"/>
      <c r="H458" s="123"/>
      <c r="I458" s="123"/>
      <c r="J458" s="123"/>
      <c r="K458" s="123"/>
      <c r="L458" s="123"/>
      <c r="M458" s="123"/>
      <c r="N458" s="123"/>
      <c r="O458" s="123"/>
      <c r="P458" s="123">
        <v>13</v>
      </c>
      <c r="Q458" s="123">
        <v>17</v>
      </c>
      <c r="R458" s="133">
        <f t="shared" si="187"/>
        <v>0</v>
      </c>
      <c r="S458" s="133"/>
      <c r="T458" s="116">
        <f t="shared" si="188"/>
        <v>0</v>
      </c>
      <c r="U458" s="116">
        <f t="shared" si="189"/>
        <v>0</v>
      </c>
      <c r="V458" s="116">
        <f t="shared" si="190"/>
        <v>0</v>
      </c>
      <c r="W458" s="116">
        <f t="shared" si="191"/>
        <v>0</v>
      </c>
      <c r="X458" s="116">
        <f t="shared" si="192"/>
        <v>0</v>
      </c>
      <c r="Y458" s="116">
        <f t="shared" si="193"/>
        <v>0</v>
      </c>
      <c r="Z458" s="116">
        <f t="shared" si="194"/>
        <v>0</v>
      </c>
      <c r="AA458" s="116">
        <f t="shared" si="195"/>
        <v>0</v>
      </c>
      <c r="AB458" s="116">
        <f t="shared" si="196"/>
        <v>0</v>
      </c>
      <c r="AC458" s="116">
        <f t="shared" si="197"/>
        <v>0</v>
      </c>
      <c r="AD458" s="116">
        <f t="shared" si="198"/>
        <v>11503.66</v>
      </c>
      <c r="AE458" s="116">
        <f t="shared" si="199"/>
        <v>10004.77</v>
      </c>
    </row>
    <row r="459" spans="1:31">
      <c r="A459" s="131">
        <v>42326</v>
      </c>
      <c r="B459" s="131">
        <v>42356</v>
      </c>
      <c r="C459" s="123">
        <f t="shared" si="171"/>
        <v>30</v>
      </c>
      <c r="D459" s="132">
        <v>629.89</v>
      </c>
      <c r="E459" s="135"/>
      <c r="F459" s="135"/>
      <c r="G459" s="123"/>
      <c r="H459" s="123"/>
      <c r="I459" s="123"/>
      <c r="J459" s="123"/>
      <c r="K459" s="123"/>
      <c r="L459" s="123"/>
      <c r="M459" s="123"/>
      <c r="N459" s="123"/>
      <c r="O459" s="123"/>
      <c r="P459" s="123">
        <v>13</v>
      </c>
      <c r="Q459" s="123">
        <v>17</v>
      </c>
      <c r="R459" s="133">
        <f t="shared" si="187"/>
        <v>0</v>
      </c>
      <c r="S459" s="133"/>
      <c r="T459" s="116">
        <f t="shared" si="188"/>
        <v>0</v>
      </c>
      <c r="U459" s="116">
        <f t="shared" si="189"/>
        <v>0</v>
      </c>
      <c r="V459" s="116">
        <f t="shared" si="190"/>
        <v>0</v>
      </c>
      <c r="W459" s="116">
        <f t="shared" si="191"/>
        <v>0</v>
      </c>
      <c r="X459" s="116">
        <f t="shared" si="192"/>
        <v>0</v>
      </c>
      <c r="Y459" s="116">
        <f t="shared" si="193"/>
        <v>0</v>
      </c>
      <c r="Z459" s="116">
        <f t="shared" si="194"/>
        <v>0</v>
      </c>
      <c r="AA459" s="116">
        <f t="shared" si="195"/>
        <v>0</v>
      </c>
      <c r="AB459" s="116">
        <f t="shared" si="196"/>
        <v>0</v>
      </c>
      <c r="AC459" s="116">
        <f t="shared" si="197"/>
        <v>0</v>
      </c>
      <c r="AD459" s="116">
        <f t="shared" si="198"/>
        <v>3580.64</v>
      </c>
      <c r="AE459" s="116">
        <f t="shared" si="199"/>
        <v>3114.1</v>
      </c>
    </row>
    <row r="460" spans="1:31">
      <c r="A460" s="131">
        <v>42323</v>
      </c>
      <c r="B460" s="131">
        <v>42353</v>
      </c>
      <c r="C460" s="123">
        <f t="shared" si="171"/>
        <v>30</v>
      </c>
      <c r="D460" s="110">
        <v>29391.35</v>
      </c>
      <c r="E460" s="135"/>
      <c r="F460" s="135"/>
      <c r="G460" s="123"/>
      <c r="H460" s="123"/>
      <c r="I460" s="123"/>
      <c r="J460" s="123"/>
      <c r="K460" s="123"/>
      <c r="L460" s="123"/>
      <c r="M460" s="123"/>
      <c r="N460" s="123"/>
      <c r="O460" s="123"/>
      <c r="P460" s="123">
        <v>16</v>
      </c>
      <c r="Q460" s="123">
        <v>14</v>
      </c>
      <c r="R460" s="133">
        <f t="shared" si="187"/>
        <v>0</v>
      </c>
      <c r="S460" s="133"/>
      <c r="T460" s="116">
        <f t="shared" si="188"/>
        <v>0</v>
      </c>
      <c r="U460" s="116">
        <f t="shared" si="189"/>
        <v>0</v>
      </c>
      <c r="V460" s="116">
        <f t="shared" si="190"/>
        <v>0</v>
      </c>
      <c r="W460" s="116">
        <f t="shared" si="191"/>
        <v>0</v>
      </c>
      <c r="X460" s="116">
        <f t="shared" si="192"/>
        <v>0</v>
      </c>
      <c r="Y460" s="116">
        <f t="shared" si="193"/>
        <v>0</v>
      </c>
      <c r="Z460" s="116">
        <f t="shared" si="194"/>
        <v>0</v>
      </c>
      <c r="AA460" s="116">
        <f t="shared" si="195"/>
        <v>0</v>
      </c>
      <c r="AB460" s="116">
        <f t="shared" si="196"/>
        <v>0</v>
      </c>
      <c r="AC460" s="116">
        <f t="shared" si="197"/>
        <v>0</v>
      </c>
      <c r="AD460" s="116">
        <f t="shared" si="198"/>
        <v>205632.78</v>
      </c>
      <c r="AE460" s="116">
        <f t="shared" si="199"/>
        <v>119664.66</v>
      </c>
    </row>
    <row r="461" spans="1:31">
      <c r="A461" s="131">
        <v>42323</v>
      </c>
      <c r="B461" s="131">
        <v>42353</v>
      </c>
      <c r="C461" s="123">
        <f t="shared" si="171"/>
        <v>30</v>
      </c>
      <c r="D461" s="132">
        <v>7486.55</v>
      </c>
      <c r="E461" s="135"/>
      <c r="F461" s="135"/>
      <c r="G461" s="123"/>
      <c r="H461" s="123"/>
      <c r="I461" s="123"/>
      <c r="J461" s="123"/>
      <c r="K461" s="123"/>
      <c r="L461" s="123"/>
      <c r="M461" s="123"/>
      <c r="N461" s="123"/>
      <c r="O461" s="123"/>
      <c r="P461" s="123">
        <v>16</v>
      </c>
      <c r="Q461" s="123">
        <v>14</v>
      </c>
      <c r="R461" s="133">
        <f t="shared" si="187"/>
        <v>0</v>
      </c>
      <c r="S461" s="133"/>
      <c r="T461" s="116">
        <f t="shared" si="188"/>
        <v>0</v>
      </c>
      <c r="U461" s="116">
        <f t="shared" si="189"/>
        <v>0</v>
      </c>
      <c r="V461" s="116">
        <f t="shared" si="190"/>
        <v>0</v>
      </c>
      <c r="W461" s="116">
        <f t="shared" si="191"/>
        <v>0</v>
      </c>
      <c r="X461" s="116">
        <f t="shared" si="192"/>
        <v>0</v>
      </c>
      <c r="Y461" s="116">
        <f t="shared" si="193"/>
        <v>0</v>
      </c>
      <c r="Z461" s="116">
        <f t="shared" si="194"/>
        <v>0</v>
      </c>
      <c r="AA461" s="116">
        <f t="shared" si="195"/>
        <v>0</v>
      </c>
      <c r="AB461" s="116">
        <f t="shared" si="196"/>
        <v>0</v>
      </c>
      <c r="AC461" s="116">
        <f t="shared" si="197"/>
        <v>0</v>
      </c>
      <c r="AD461" s="116">
        <f t="shared" si="198"/>
        <v>52378.68</v>
      </c>
      <c r="AE461" s="116">
        <f t="shared" si="199"/>
        <v>30480.92</v>
      </c>
    </row>
    <row r="462" spans="1:31">
      <c r="A462" s="131">
        <v>42323</v>
      </c>
      <c r="B462" s="131">
        <v>42353</v>
      </c>
      <c r="C462" s="123">
        <f t="shared" si="171"/>
        <v>30</v>
      </c>
      <c r="D462" s="132">
        <v>2846.85</v>
      </c>
      <c r="E462" s="135"/>
      <c r="F462" s="135"/>
      <c r="G462" s="123"/>
      <c r="H462" s="123"/>
      <c r="I462" s="123"/>
      <c r="J462" s="123"/>
      <c r="K462" s="123"/>
      <c r="L462" s="123"/>
      <c r="M462" s="123"/>
      <c r="N462" s="123"/>
      <c r="O462" s="123"/>
      <c r="P462" s="123">
        <v>16</v>
      </c>
      <c r="Q462" s="123">
        <v>14</v>
      </c>
      <c r="R462" s="133">
        <f t="shared" si="187"/>
        <v>0</v>
      </c>
      <c r="S462" s="133"/>
      <c r="T462" s="116">
        <f t="shared" si="188"/>
        <v>0</v>
      </c>
      <c r="U462" s="116">
        <f t="shared" si="189"/>
        <v>0</v>
      </c>
      <c r="V462" s="116">
        <f t="shared" si="190"/>
        <v>0</v>
      </c>
      <c r="W462" s="116">
        <f t="shared" si="191"/>
        <v>0</v>
      </c>
      <c r="X462" s="116">
        <f t="shared" si="192"/>
        <v>0</v>
      </c>
      <c r="Y462" s="116">
        <f t="shared" si="193"/>
        <v>0</v>
      </c>
      <c r="Z462" s="116">
        <f t="shared" si="194"/>
        <v>0</v>
      </c>
      <c r="AA462" s="116">
        <f t="shared" si="195"/>
        <v>0</v>
      </c>
      <c r="AB462" s="116">
        <f t="shared" si="196"/>
        <v>0</v>
      </c>
      <c r="AC462" s="116">
        <f t="shared" si="197"/>
        <v>0</v>
      </c>
      <c r="AD462" s="116">
        <f t="shared" si="198"/>
        <v>19917.62</v>
      </c>
      <c r="AE462" s="116">
        <f t="shared" si="199"/>
        <v>11590.73</v>
      </c>
    </row>
    <row r="463" spans="1:31">
      <c r="A463" s="131">
        <v>42330</v>
      </c>
      <c r="B463" s="131">
        <v>42360</v>
      </c>
      <c r="C463" s="123">
        <f t="shared" si="171"/>
        <v>30</v>
      </c>
      <c r="D463" s="110">
        <v>254161.41</v>
      </c>
      <c r="E463" s="135"/>
      <c r="F463" s="135"/>
      <c r="G463" s="123"/>
      <c r="H463" s="123"/>
      <c r="I463" s="123"/>
      <c r="J463" s="123"/>
      <c r="K463" s="123"/>
      <c r="L463" s="123"/>
      <c r="M463" s="123"/>
      <c r="N463" s="123"/>
      <c r="O463" s="123"/>
      <c r="P463" s="123">
        <v>9</v>
      </c>
      <c r="Q463" s="123">
        <v>21</v>
      </c>
      <c r="R463" s="133">
        <f t="shared" si="187"/>
        <v>0</v>
      </c>
      <c r="S463" s="133"/>
      <c r="T463" s="116">
        <f t="shared" si="188"/>
        <v>0</v>
      </c>
      <c r="U463" s="116">
        <f t="shared" si="189"/>
        <v>0</v>
      </c>
      <c r="V463" s="116">
        <f t="shared" si="190"/>
        <v>0</v>
      </c>
      <c r="W463" s="116">
        <f t="shared" si="191"/>
        <v>0</v>
      </c>
      <c r="X463" s="116">
        <f t="shared" si="192"/>
        <v>0</v>
      </c>
      <c r="Y463" s="116">
        <f t="shared" si="193"/>
        <v>0</v>
      </c>
      <c r="Z463" s="116">
        <f t="shared" si="194"/>
        <v>0</v>
      </c>
      <c r="AA463" s="116">
        <f t="shared" si="195"/>
        <v>0</v>
      </c>
      <c r="AB463" s="116">
        <f t="shared" si="196"/>
        <v>0</v>
      </c>
      <c r="AC463" s="116">
        <f t="shared" si="197"/>
        <v>0</v>
      </c>
      <c r="AD463" s="116">
        <f>2436036.37-AE463</f>
        <v>652698.91000000015</v>
      </c>
      <c r="AE463" s="116">
        <v>1783337.46</v>
      </c>
    </row>
    <row r="464" spans="1:31">
      <c r="A464" s="131">
        <v>42334</v>
      </c>
      <c r="B464" s="131">
        <v>42364</v>
      </c>
      <c r="C464" s="123">
        <f t="shared" si="171"/>
        <v>30</v>
      </c>
      <c r="D464" s="132">
        <v>1311.47</v>
      </c>
      <c r="E464" s="135"/>
      <c r="F464" s="135"/>
      <c r="G464" s="123"/>
      <c r="H464" s="123"/>
      <c r="I464" s="123"/>
      <c r="J464" s="123"/>
      <c r="K464" s="123"/>
      <c r="L464" s="123"/>
      <c r="M464" s="123"/>
      <c r="N464" s="123"/>
      <c r="O464" s="123"/>
      <c r="P464" s="123">
        <v>5</v>
      </c>
      <c r="Q464" s="123">
        <v>25</v>
      </c>
      <c r="R464" s="133">
        <f t="shared" si="187"/>
        <v>0</v>
      </c>
      <c r="S464" s="133"/>
      <c r="T464" s="116">
        <f t="shared" si="188"/>
        <v>0</v>
      </c>
      <c r="U464" s="116">
        <f t="shared" si="189"/>
        <v>0</v>
      </c>
      <c r="V464" s="116">
        <f t="shared" si="190"/>
        <v>0</v>
      </c>
      <c r="W464" s="116">
        <f t="shared" si="191"/>
        <v>0</v>
      </c>
      <c r="X464" s="116">
        <f t="shared" si="192"/>
        <v>0</v>
      </c>
      <c r="Y464" s="116">
        <f t="shared" si="193"/>
        <v>0</v>
      </c>
      <c r="Z464" s="116">
        <f t="shared" si="194"/>
        <v>0</v>
      </c>
      <c r="AA464" s="116">
        <f t="shared" si="195"/>
        <v>0</v>
      </c>
      <c r="AB464" s="116">
        <f t="shared" si="196"/>
        <v>0</v>
      </c>
      <c r="AC464" s="116">
        <f t="shared" si="197"/>
        <v>0</v>
      </c>
      <c r="AD464" s="116">
        <f t="shared" ref="AD464:AD470" si="200">ROUND(($D464*$P464/$C464)/$C$16,2)</f>
        <v>2867.35</v>
      </c>
      <c r="AE464" s="116">
        <f t="shared" ref="AE464:AE470" si="201">ROUND(($D464*$Q464/$C464)/$C$17,2)</f>
        <v>9534.91</v>
      </c>
    </row>
    <row r="465" spans="1:31">
      <c r="A465" s="131">
        <v>42334</v>
      </c>
      <c r="B465" s="131">
        <v>42364</v>
      </c>
      <c r="C465" s="123">
        <f t="shared" si="171"/>
        <v>30</v>
      </c>
      <c r="D465" s="132">
        <v>1515.01</v>
      </c>
      <c r="E465" s="135"/>
      <c r="F465" s="135"/>
      <c r="G465" s="123"/>
      <c r="H465" s="123"/>
      <c r="I465" s="123"/>
      <c r="J465" s="123"/>
      <c r="K465" s="123"/>
      <c r="L465" s="123"/>
      <c r="M465" s="123"/>
      <c r="N465" s="123"/>
      <c r="O465" s="123"/>
      <c r="P465" s="123">
        <v>5</v>
      </c>
      <c r="Q465" s="123">
        <v>25</v>
      </c>
      <c r="R465" s="133">
        <f t="shared" si="187"/>
        <v>0</v>
      </c>
      <c r="S465" s="133"/>
      <c r="T465" s="116">
        <f t="shared" si="188"/>
        <v>0</v>
      </c>
      <c r="U465" s="116">
        <f t="shared" si="189"/>
        <v>0</v>
      </c>
      <c r="V465" s="116">
        <f t="shared" si="190"/>
        <v>0</v>
      </c>
      <c r="W465" s="116">
        <f t="shared" si="191"/>
        <v>0</v>
      </c>
      <c r="X465" s="116">
        <f t="shared" si="192"/>
        <v>0</v>
      </c>
      <c r="Y465" s="116">
        <f t="shared" si="193"/>
        <v>0</v>
      </c>
      <c r="Z465" s="116">
        <f t="shared" si="194"/>
        <v>0</v>
      </c>
      <c r="AA465" s="116">
        <f t="shared" si="195"/>
        <v>0</v>
      </c>
      <c r="AB465" s="116">
        <f t="shared" si="196"/>
        <v>0</v>
      </c>
      <c r="AC465" s="116">
        <f t="shared" si="197"/>
        <v>0</v>
      </c>
      <c r="AD465" s="116">
        <f t="shared" si="200"/>
        <v>3312.37</v>
      </c>
      <c r="AE465" s="116">
        <f t="shared" si="201"/>
        <v>11014.73</v>
      </c>
    </row>
    <row r="466" spans="1:31">
      <c r="A466" s="131">
        <v>42336</v>
      </c>
      <c r="B466" s="131">
        <v>42366</v>
      </c>
      <c r="C466" s="123">
        <f t="shared" si="171"/>
        <v>30</v>
      </c>
      <c r="D466" s="132">
        <v>3525.9</v>
      </c>
      <c r="E466" s="135"/>
      <c r="F466" s="135"/>
      <c r="G466" s="123"/>
      <c r="H466" s="123"/>
      <c r="I466" s="123"/>
      <c r="J466" s="123"/>
      <c r="K466" s="123"/>
      <c r="L466" s="123"/>
      <c r="M466" s="123"/>
      <c r="N466" s="123"/>
      <c r="O466" s="123"/>
      <c r="P466" s="123">
        <v>3</v>
      </c>
      <c r="Q466" s="123">
        <v>27</v>
      </c>
      <c r="R466" s="133">
        <f t="shared" si="187"/>
        <v>0</v>
      </c>
      <c r="S466" s="133"/>
      <c r="T466" s="116">
        <f t="shared" si="188"/>
        <v>0</v>
      </c>
      <c r="U466" s="116">
        <f t="shared" si="189"/>
        <v>0</v>
      </c>
      <c r="V466" s="116">
        <f t="shared" si="190"/>
        <v>0</v>
      </c>
      <c r="W466" s="116">
        <f t="shared" si="191"/>
        <v>0</v>
      </c>
      <c r="X466" s="116">
        <f t="shared" si="192"/>
        <v>0</v>
      </c>
      <c r="Y466" s="116">
        <f t="shared" si="193"/>
        <v>0</v>
      </c>
      <c r="Z466" s="116">
        <f t="shared" si="194"/>
        <v>0</v>
      </c>
      <c r="AA466" s="116">
        <f t="shared" si="195"/>
        <v>0</v>
      </c>
      <c r="AB466" s="116">
        <f t="shared" si="196"/>
        <v>0</v>
      </c>
      <c r="AC466" s="116">
        <f t="shared" si="197"/>
        <v>0</v>
      </c>
      <c r="AD466" s="116">
        <f t="shared" si="200"/>
        <v>4625.34</v>
      </c>
      <c r="AE466" s="116">
        <f t="shared" si="201"/>
        <v>27685.48</v>
      </c>
    </row>
    <row r="467" spans="1:31">
      <c r="A467" s="131">
        <v>42336</v>
      </c>
      <c r="B467" s="131">
        <v>42366</v>
      </c>
      <c r="C467" s="123">
        <f t="shared" si="171"/>
        <v>30</v>
      </c>
      <c r="D467" s="132">
        <v>1647.81</v>
      </c>
      <c r="E467" s="135"/>
      <c r="F467" s="135"/>
      <c r="G467" s="123"/>
      <c r="H467" s="123"/>
      <c r="I467" s="123"/>
      <c r="J467" s="123"/>
      <c r="K467" s="123"/>
      <c r="L467" s="123"/>
      <c r="M467" s="123"/>
      <c r="N467" s="123"/>
      <c r="O467" s="123"/>
      <c r="P467" s="123">
        <v>3</v>
      </c>
      <c r="Q467" s="123">
        <v>27</v>
      </c>
      <c r="R467" s="133">
        <f t="shared" si="187"/>
        <v>0</v>
      </c>
      <c r="S467" s="133"/>
      <c r="T467" s="116">
        <f t="shared" si="188"/>
        <v>0</v>
      </c>
      <c r="U467" s="116">
        <f t="shared" si="189"/>
        <v>0</v>
      </c>
      <c r="V467" s="116">
        <f t="shared" si="190"/>
        <v>0</v>
      </c>
      <c r="W467" s="116">
        <f t="shared" si="191"/>
        <v>0</v>
      </c>
      <c r="X467" s="116">
        <f t="shared" si="192"/>
        <v>0</v>
      </c>
      <c r="Y467" s="116">
        <f t="shared" si="193"/>
        <v>0</v>
      </c>
      <c r="Z467" s="116">
        <f t="shared" si="194"/>
        <v>0</v>
      </c>
      <c r="AA467" s="116">
        <f t="shared" si="195"/>
        <v>0</v>
      </c>
      <c r="AB467" s="116">
        <f t="shared" si="196"/>
        <v>0</v>
      </c>
      <c r="AC467" s="116">
        <f t="shared" si="197"/>
        <v>0</v>
      </c>
      <c r="AD467" s="116">
        <f t="shared" si="200"/>
        <v>2161.63</v>
      </c>
      <c r="AE467" s="116">
        <f t="shared" si="201"/>
        <v>12938.66</v>
      </c>
    </row>
    <row r="468" spans="1:31">
      <c r="A468" s="131">
        <v>42339</v>
      </c>
      <c r="B468" s="131">
        <v>42370</v>
      </c>
      <c r="C468" s="123">
        <f t="shared" si="171"/>
        <v>31</v>
      </c>
      <c r="D468" s="132">
        <v>342.22</v>
      </c>
      <c r="E468" s="135"/>
      <c r="F468" s="135"/>
      <c r="G468" s="123"/>
      <c r="H468" s="123"/>
      <c r="I468" s="123"/>
      <c r="J468" s="123"/>
      <c r="K468" s="123"/>
      <c r="L468" s="123"/>
      <c r="M468" s="123"/>
      <c r="N468" s="123"/>
      <c r="O468" s="123"/>
      <c r="P468" s="123"/>
      <c r="Q468" s="123">
        <v>31</v>
      </c>
      <c r="R468" s="133">
        <f t="shared" si="187"/>
        <v>0</v>
      </c>
      <c r="S468" s="133"/>
      <c r="T468" s="116">
        <f t="shared" si="188"/>
        <v>0</v>
      </c>
      <c r="U468" s="116">
        <f t="shared" si="189"/>
        <v>0</v>
      </c>
      <c r="V468" s="116">
        <f t="shared" si="190"/>
        <v>0</v>
      </c>
      <c r="W468" s="116">
        <f t="shared" si="191"/>
        <v>0</v>
      </c>
      <c r="X468" s="116">
        <f t="shared" si="192"/>
        <v>0</v>
      </c>
      <c r="Y468" s="116">
        <f t="shared" si="193"/>
        <v>0</v>
      </c>
      <c r="Z468" s="116">
        <f t="shared" si="194"/>
        <v>0</v>
      </c>
      <c r="AA468" s="116">
        <f t="shared" si="195"/>
        <v>0</v>
      </c>
      <c r="AB468" s="116">
        <f t="shared" si="196"/>
        <v>0</v>
      </c>
      <c r="AC468" s="116">
        <f t="shared" si="197"/>
        <v>0</v>
      </c>
      <c r="AD468" s="116">
        <f t="shared" si="200"/>
        <v>0</v>
      </c>
      <c r="AE468" s="116">
        <f t="shared" si="201"/>
        <v>2985.69</v>
      </c>
    </row>
    <row r="469" spans="1:31">
      <c r="A469" s="131">
        <v>42339</v>
      </c>
      <c r="B469" s="131">
        <v>42370</v>
      </c>
      <c r="C469" s="123">
        <f t="shared" si="171"/>
        <v>31</v>
      </c>
      <c r="D469" s="132">
        <v>2122.58</v>
      </c>
      <c r="E469" s="135"/>
      <c r="F469" s="135"/>
      <c r="G469" s="123"/>
      <c r="H469" s="123"/>
      <c r="I469" s="123"/>
      <c r="J469" s="123"/>
      <c r="K469" s="123"/>
      <c r="L469" s="123"/>
      <c r="M469" s="123"/>
      <c r="N469" s="123"/>
      <c r="O469" s="123"/>
      <c r="P469" s="123"/>
      <c r="Q469" s="123">
        <v>31</v>
      </c>
      <c r="R469" s="133">
        <f t="shared" si="187"/>
        <v>0</v>
      </c>
      <c r="S469" s="133"/>
      <c r="T469" s="116">
        <f t="shared" si="188"/>
        <v>0</v>
      </c>
      <c r="U469" s="116">
        <f t="shared" si="189"/>
        <v>0</v>
      </c>
      <c r="V469" s="116">
        <f t="shared" si="190"/>
        <v>0</v>
      </c>
      <c r="W469" s="116">
        <f t="shared" si="191"/>
        <v>0</v>
      </c>
      <c r="X469" s="116">
        <f t="shared" si="192"/>
        <v>0</v>
      </c>
      <c r="Y469" s="116">
        <f t="shared" si="193"/>
        <v>0</v>
      </c>
      <c r="Z469" s="116">
        <f t="shared" si="194"/>
        <v>0</v>
      </c>
      <c r="AA469" s="116">
        <f t="shared" si="195"/>
        <v>0</v>
      </c>
      <c r="AB469" s="116">
        <f t="shared" si="196"/>
        <v>0</v>
      </c>
      <c r="AC469" s="116">
        <f t="shared" si="197"/>
        <v>0</v>
      </c>
      <c r="AD469" s="116">
        <f t="shared" si="200"/>
        <v>0</v>
      </c>
      <c r="AE469" s="116">
        <f t="shared" si="201"/>
        <v>18518.41</v>
      </c>
    </row>
    <row r="470" spans="1:31">
      <c r="A470" s="131">
        <v>42339</v>
      </c>
      <c r="B470" s="131">
        <v>42370</v>
      </c>
      <c r="C470" s="123">
        <f t="shared" si="171"/>
        <v>31</v>
      </c>
      <c r="D470" s="132">
        <v>299.64</v>
      </c>
      <c r="E470" s="135"/>
      <c r="F470" s="135"/>
      <c r="G470" s="123"/>
      <c r="H470" s="123"/>
      <c r="I470" s="123"/>
      <c r="J470" s="123"/>
      <c r="K470" s="123"/>
      <c r="L470" s="123"/>
      <c r="M470" s="123"/>
      <c r="N470" s="123"/>
      <c r="O470" s="123"/>
      <c r="P470" s="123"/>
      <c r="Q470" s="123">
        <v>31</v>
      </c>
      <c r="R470" s="133">
        <f t="shared" si="187"/>
        <v>0</v>
      </c>
      <c r="S470" s="133"/>
      <c r="T470" s="116">
        <f t="shared" si="188"/>
        <v>0</v>
      </c>
      <c r="U470" s="116">
        <f t="shared" si="189"/>
        <v>0</v>
      </c>
      <c r="V470" s="116">
        <f t="shared" si="190"/>
        <v>0</v>
      </c>
      <c r="W470" s="116">
        <f t="shared" si="191"/>
        <v>0</v>
      </c>
      <c r="X470" s="116">
        <f t="shared" si="192"/>
        <v>0</v>
      </c>
      <c r="Y470" s="116">
        <f t="shared" si="193"/>
        <v>0</v>
      </c>
      <c r="Z470" s="116">
        <f t="shared" si="194"/>
        <v>0</v>
      </c>
      <c r="AA470" s="116">
        <f t="shared" si="195"/>
        <v>0</v>
      </c>
      <c r="AB470" s="116">
        <f t="shared" si="196"/>
        <v>0</v>
      </c>
      <c r="AC470" s="116">
        <f t="shared" si="197"/>
        <v>0</v>
      </c>
      <c r="AD470" s="116">
        <f t="shared" si="200"/>
        <v>0</v>
      </c>
      <c r="AE470" s="116">
        <f t="shared" si="201"/>
        <v>2614.1999999999998</v>
      </c>
    </row>
    <row r="471" spans="1:31">
      <c r="A471" s="131">
        <v>42338</v>
      </c>
      <c r="B471" s="131">
        <v>42369</v>
      </c>
      <c r="C471" s="123">
        <f t="shared" si="171"/>
        <v>31</v>
      </c>
      <c r="D471" s="110">
        <v>8313.7199999999993</v>
      </c>
      <c r="E471" s="135"/>
      <c r="F471" s="135"/>
      <c r="G471" s="123"/>
      <c r="H471" s="123"/>
      <c r="I471" s="123"/>
      <c r="J471" s="123"/>
      <c r="K471" s="123"/>
      <c r="L471" s="123"/>
      <c r="M471" s="123"/>
      <c r="N471" s="123"/>
      <c r="O471" s="123"/>
      <c r="P471" s="123">
        <v>1</v>
      </c>
      <c r="Q471" s="123">
        <v>30</v>
      </c>
      <c r="R471" s="133">
        <f t="shared" si="187"/>
        <v>0</v>
      </c>
      <c r="S471" s="133"/>
      <c r="T471" s="116">
        <f t="shared" si="188"/>
        <v>0</v>
      </c>
      <c r="U471" s="116">
        <f t="shared" si="189"/>
        <v>0</v>
      </c>
      <c r="V471" s="116">
        <f t="shared" si="190"/>
        <v>0</v>
      </c>
      <c r="W471" s="116">
        <f t="shared" si="191"/>
        <v>0</v>
      </c>
      <c r="X471" s="116">
        <f t="shared" si="192"/>
        <v>0</v>
      </c>
      <c r="Y471" s="116">
        <f t="shared" si="193"/>
        <v>0</v>
      </c>
      <c r="Z471" s="116">
        <f t="shared" si="194"/>
        <v>0</v>
      </c>
      <c r="AA471" s="116">
        <f t="shared" si="195"/>
        <v>0</v>
      </c>
      <c r="AB471" s="116">
        <f t="shared" si="196"/>
        <v>0</v>
      </c>
      <c r="AC471" s="116">
        <f t="shared" si="197"/>
        <v>0</v>
      </c>
      <c r="AD471" s="116">
        <v>4902.43</v>
      </c>
      <c r="AE471" s="116">
        <f>74174.88-AD471</f>
        <v>69272.450000000012</v>
      </c>
    </row>
    <row r="472" spans="1:31">
      <c r="A472" s="131">
        <v>42339</v>
      </c>
      <c r="B472" s="131">
        <v>42370</v>
      </c>
      <c r="C472" s="123">
        <f t="shared" si="171"/>
        <v>31</v>
      </c>
      <c r="D472" s="110">
        <v>23453.14</v>
      </c>
      <c r="E472" s="135"/>
      <c r="F472" s="135"/>
      <c r="G472" s="123"/>
      <c r="H472" s="123"/>
      <c r="I472" s="123"/>
      <c r="J472" s="123"/>
      <c r="K472" s="123"/>
      <c r="L472" s="123"/>
      <c r="M472" s="123"/>
      <c r="N472" s="123"/>
      <c r="O472" s="123"/>
      <c r="P472" s="123"/>
      <c r="Q472" s="123">
        <v>31</v>
      </c>
      <c r="R472" s="133">
        <f t="shared" si="187"/>
        <v>0</v>
      </c>
      <c r="S472" s="133"/>
      <c r="T472" s="116">
        <f t="shared" si="188"/>
        <v>0</v>
      </c>
      <c r="U472" s="116">
        <f t="shared" si="189"/>
        <v>0</v>
      </c>
      <c r="V472" s="116">
        <f t="shared" si="190"/>
        <v>0</v>
      </c>
      <c r="W472" s="116">
        <f t="shared" si="191"/>
        <v>0</v>
      </c>
      <c r="X472" s="116">
        <f t="shared" si="192"/>
        <v>0</v>
      </c>
      <c r="Y472" s="116">
        <f t="shared" si="193"/>
        <v>0</v>
      </c>
      <c r="Z472" s="116">
        <f t="shared" si="194"/>
        <v>0</v>
      </c>
      <c r="AA472" s="116">
        <f t="shared" si="195"/>
        <v>0</v>
      </c>
      <c r="AB472" s="116">
        <f t="shared" si="196"/>
        <v>0</v>
      </c>
      <c r="AC472" s="116">
        <f t="shared" si="197"/>
        <v>0</v>
      </c>
      <c r="AD472" s="116">
        <f t="shared" ref="AD472:AD478" si="202">ROUND(($D472*$P472/$C472)/$C$16,2)</f>
        <v>0</v>
      </c>
      <c r="AE472" s="116">
        <f t="shared" ref="AE472:AE478" si="203">ROUND(($D472*$Q472/$C472)/$C$17,2)</f>
        <v>204616.47</v>
      </c>
    </row>
    <row r="473" spans="1:31">
      <c r="A473" s="131">
        <v>42339</v>
      </c>
      <c r="B473" s="131">
        <v>42370</v>
      </c>
      <c r="C473" s="123">
        <f t="shared" si="171"/>
        <v>31</v>
      </c>
      <c r="D473" s="110">
        <v>1088.81</v>
      </c>
      <c r="E473" s="135"/>
      <c r="F473" s="135"/>
      <c r="G473" s="123"/>
      <c r="H473" s="123"/>
      <c r="I473" s="123"/>
      <c r="J473" s="123"/>
      <c r="K473" s="123"/>
      <c r="L473" s="123"/>
      <c r="M473" s="123"/>
      <c r="N473" s="123"/>
      <c r="O473" s="123"/>
      <c r="P473" s="123"/>
      <c r="Q473" s="123">
        <v>31</v>
      </c>
      <c r="R473" s="133">
        <f t="shared" si="187"/>
        <v>0</v>
      </c>
      <c r="S473" s="133"/>
      <c r="T473" s="116">
        <f t="shared" si="188"/>
        <v>0</v>
      </c>
      <c r="U473" s="116">
        <f t="shared" si="189"/>
        <v>0</v>
      </c>
      <c r="V473" s="116">
        <f t="shared" si="190"/>
        <v>0</v>
      </c>
      <c r="W473" s="116">
        <f t="shared" si="191"/>
        <v>0</v>
      </c>
      <c r="X473" s="116">
        <f t="shared" si="192"/>
        <v>0</v>
      </c>
      <c r="Y473" s="116">
        <f t="shared" si="193"/>
        <v>0</v>
      </c>
      <c r="Z473" s="116">
        <f t="shared" si="194"/>
        <v>0</v>
      </c>
      <c r="AA473" s="116">
        <f t="shared" si="195"/>
        <v>0</v>
      </c>
      <c r="AB473" s="116">
        <f t="shared" si="196"/>
        <v>0</v>
      </c>
      <c r="AC473" s="116">
        <f t="shared" si="197"/>
        <v>0</v>
      </c>
      <c r="AD473" s="116">
        <f t="shared" si="202"/>
        <v>0</v>
      </c>
      <c r="AE473" s="116">
        <f t="shared" si="203"/>
        <v>9499.2999999999993</v>
      </c>
    </row>
    <row r="474" spans="1:31">
      <c r="A474" s="131">
        <v>42339</v>
      </c>
      <c r="B474" s="131">
        <v>42370</v>
      </c>
      <c r="C474" s="123">
        <f t="shared" si="171"/>
        <v>31</v>
      </c>
      <c r="D474" s="110">
        <v>193284.99</v>
      </c>
      <c r="E474" s="135"/>
      <c r="F474" s="135"/>
      <c r="G474" s="123"/>
      <c r="H474" s="123"/>
      <c r="I474" s="123"/>
      <c r="J474" s="123"/>
      <c r="K474" s="123"/>
      <c r="L474" s="123"/>
      <c r="M474" s="123"/>
      <c r="N474" s="123"/>
      <c r="O474" s="123"/>
      <c r="P474" s="123"/>
      <c r="Q474" s="123">
        <v>31</v>
      </c>
      <c r="R474" s="133">
        <f t="shared" si="187"/>
        <v>0</v>
      </c>
      <c r="S474" s="133"/>
      <c r="T474" s="116">
        <f t="shared" si="188"/>
        <v>0</v>
      </c>
      <c r="U474" s="116">
        <f t="shared" si="189"/>
        <v>0</v>
      </c>
      <c r="V474" s="116">
        <f t="shared" si="190"/>
        <v>0</v>
      </c>
      <c r="W474" s="116">
        <f t="shared" si="191"/>
        <v>0</v>
      </c>
      <c r="X474" s="116">
        <f t="shared" si="192"/>
        <v>0</v>
      </c>
      <c r="Y474" s="116">
        <f t="shared" si="193"/>
        <v>0</v>
      </c>
      <c r="Z474" s="116">
        <f t="shared" si="194"/>
        <v>0</v>
      </c>
      <c r="AA474" s="116">
        <f t="shared" si="195"/>
        <v>0</v>
      </c>
      <c r="AB474" s="116">
        <f t="shared" si="196"/>
        <v>0</v>
      </c>
      <c r="AC474" s="116">
        <f t="shared" si="197"/>
        <v>0</v>
      </c>
      <c r="AD474" s="116">
        <f t="shared" si="202"/>
        <v>0</v>
      </c>
      <c r="AE474" s="116">
        <f t="shared" si="203"/>
        <v>1686311.2</v>
      </c>
    </row>
    <row r="475" spans="1:31">
      <c r="A475" s="131">
        <v>42339</v>
      </c>
      <c r="B475" s="131">
        <v>42370</v>
      </c>
      <c r="C475" s="123">
        <f t="shared" si="171"/>
        <v>31</v>
      </c>
      <c r="D475" s="110">
        <v>5139.92</v>
      </c>
      <c r="E475" s="135"/>
      <c r="F475" s="135"/>
      <c r="G475" s="123"/>
      <c r="H475" s="123"/>
      <c r="I475" s="123"/>
      <c r="J475" s="123"/>
      <c r="K475" s="123"/>
      <c r="L475" s="123"/>
      <c r="M475" s="123"/>
      <c r="N475" s="123"/>
      <c r="O475" s="123"/>
      <c r="P475" s="123"/>
      <c r="Q475" s="123">
        <v>31</v>
      </c>
      <c r="R475" s="133">
        <f t="shared" si="187"/>
        <v>0</v>
      </c>
      <c r="S475" s="133"/>
      <c r="T475" s="116">
        <f t="shared" si="188"/>
        <v>0</v>
      </c>
      <c r="U475" s="116">
        <f t="shared" si="189"/>
        <v>0</v>
      </c>
      <c r="V475" s="116">
        <f t="shared" si="190"/>
        <v>0</v>
      </c>
      <c r="W475" s="116">
        <f t="shared" si="191"/>
        <v>0</v>
      </c>
      <c r="X475" s="116">
        <f t="shared" si="192"/>
        <v>0</v>
      </c>
      <c r="Y475" s="116">
        <f t="shared" si="193"/>
        <v>0</v>
      </c>
      <c r="Z475" s="116">
        <f t="shared" si="194"/>
        <v>0</v>
      </c>
      <c r="AA475" s="116">
        <f t="shared" si="195"/>
        <v>0</v>
      </c>
      <c r="AB475" s="116">
        <f t="shared" si="196"/>
        <v>0</v>
      </c>
      <c r="AC475" s="116">
        <f t="shared" si="197"/>
        <v>0</v>
      </c>
      <c r="AD475" s="116">
        <f t="shared" si="202"/>
        <v>0</v>
      </c>
      <c r="AE475" s="116">
        <f t="shared" si="203"/>
        <v>44843.13</v>
      </c>
    </row>
    <row r="476" spans="1:31">
      <c r="A476" s="131">
        <v>42339</v>
      </c>
      <c r="B476" s="131">
        <v>42370</v>
      </c>
      <c r="C476" s="123">
        <f t="shared" si="171"/>
        <v>31</v>
      </c>
      <c r="D476" s="110">
        <v>3055.24</v>
      </c>
      <c r="E476" s="135"/>
      <c r="F476" s="135"/>
      <c r="G476" s="123"/>
      <c r="H476" s="123"/>
      <c r="I476" s="123"/>
      <c r="J476" s="123"/>
      <c r="K476" s="123"/>
      <c r="L476" s="123"/>
      <c r="M476" s="123"/>
      <c r="N476" s="123"/>
      <c r="O476" s="123"/>
      <c r="P476" s="123"/>
      <c r="Q476" s="123">
        <v>31</v>
      </c>
      <c r="R476" s="133">
        <f t="shared" si="187"/>
        <v>0</v>
      </c>
      <c r="S476" s="133"/>
      <c r="T476" s="116">
        <f t="shared" si="188"/>
        <v>0</v>
      </c>
      <c r="U476" s="116">
        <f t="shared" si="189"/>
        <v>0</v>
      </c>
      <c r="V476" s="116">
        <f t="shared" si="190"/>
        <v>0</v>
      </c>
      <c r="W476" s="116">
        <f t="shared" si="191"/>
        <v>0</v>
      </c>
      <c r="X476" s="116">
        <f t="shared" si="192"/>
        <v>0</v>
      </c>
      <c r="Y476" s="116">
        <f t="shared" si="193"/>
        <v>0</v>
      </c>
      <c r="Z476" s="116">
        <f t="shared" si="194"/>
        <v>0</v>
      </c>
      <c r="AA476" s="116">
        <f t="shared" si="195"/>
        <v>0</v>
      </c>
      <c r="AB476" s="116">
        <f t="shared" si="196"/>
        <v>0</v>
      </c>
      <c r="AC476" s="116">
        <f t="shared" si="197"/>
        <v>0</v>
      </c>
      <c r="AD476" s="116">
        <f t="shared" si="202"/>
        <v>0</v>
      </c>
      <c r="AE476" s="116">
        <f t="shared" si="203"/>
        <v>26655.38</v>
      </c>
    </row>
    <row r="477" spans="1:31">
      <c r="A477" s="131">
        <v>42339</v>
      </c>
      <c r="B477" s="131">
        <v>42370</v>
      </c>
      <c r="C477" s="123">
        <f t="shared" si="171"/>
        <v>31</v>
      </c>
      <c r="D477" s="110">
        <v>60645.46</v>
      </c>
      <c r="E477" s="135"/>
      <c r="F477" s="135"/>
      <c r="G477" s="123"/>
      <c r="H477" s="123"/>
      <c r="I477" s="123"/>
      <c r="J477" s="123"/>
      <c r="K477" s="123"/>
      <c r="L477" s="123"/>
      <c r="M477" s="123"/>
      <c r="N477" s="123"/>
      <c r="O477" s="123"/>
      <c r="P477" s="123"/>
      <c r="Q477" s="123">
        <v>31</v>
      </c>
      <c r="R477" s="133">
        <f t="shared" si="187"/>
        <v>0</v>
      </c>
      <c r="S477" s="133"/>
      <c r="T477" s="116">
        <f t="shared" si="188"/>
        <v>0</v>
      </c>
      <c r="U477" s="116">
        <f t="shared" si="189"/>
        <v>0</v>
      </c>
      <c r="V477" s="116">
        <f t="shared" si="190"/>
        <v>0</v>
      </c>
      <c r="W477" s="116">
        <f t="shared" si="191"/>
        <v>0</v>
      </c>
      <c r="X477" s="116">
        <f t="shared" si="192"/>
        <v>0</v>
      </c>
      <c r="Y477" s="116">
        <f t="shared" si="193"/>
        <v>0</v>
      </c>
      <c r="Z477" s="116">
        <f t="shared" si="194"/>
        <v>0</v>
      </c>
      <c r="AA477" s="116">
        <f t="shared" si="195"/>
        <v>0</v>
      </c>
      <c r="AB477" s="116">
        <f t="shared" si="196"/>
        <v>0</v>
      </c>
      <c r="AC477" s="116">
        <f t="shared" si="197"/>
        <v>0</v>
      </c>
      <c r="AD477" s="116">
        <f t="shared" si="202"/>
        <v>0</v>
      </c>
      <c r="AE477" s="116">
        <f t="shared" si="203"/>
        <v>529100.16</v>
      </c>
    </row>
    <row r="478" spans="1:31">
      <c r="A478" s="131">
        <v>42339</v>
      </c>
      <c r="B478" s="131">
        <v>42370</v>
      </c>
      <c r="C478" s="123">
        <f t="shared" si="171"/>
        <v>31</v>
      </c>
      <c r="D478" s="110">
        <v>5098.41</v>
      </c>
      <c r="E478" s="135"/>
      <c r="F478" s="135"/>
      <c r="G478" s="123"/>
      <c r="H478" s="123"/>
      <c r="I478" s="123"/>
      <c r="J478" s="123"/>
      <c r="K478" s="123"/>
      <c r="L478" s="123"/>
      <c r="M478" s="123"/>
      <c r="N478" s="123"/>
      <c r="O478" s="123"/>
      <c r="P478" s="123"/>
      <c r="Q478" s="123">
        <v>31</v>
      </c>
      <c r="R478" s="133">
        <f t="shared" si="187"/>
        <v>0</v>
      </c>
      <c r="S478" s="133"/>
      <c r="T478" s="116">
        <f t="shared" si="188"/>
        <v>0</v>
      </c>
      <c r="U478" s="116">
        <f t="shared" si="189"/>
        <v>0</v>
      </c>
      <c r="V478" s="116">
        <f t="shared" si="190"/>
        <v>0</v>
      </c>
      <c r="W478" s="116">
        <f t="shared" si="191"/>
        <v>0</v>
      </c>
      <c r="X478" s="116">
        <f t="shared" si="192"/>
        <v>0</v>
      </c>
      <c r="Y478" s="116">
        <f t="shared" si="193"/>
        <v>0</v>
      </c>
      <c r="Z478" s="116">
        <f t="shared" si="194"/>
        <v>0</v>
      </c>
      <c r="AA478" s="116">
        <f t="shared" si="195"/>
        <v>0</v>
      </c>
      <c r="AB478" s="116">
        <f t="shared" si="196"/>
        <v>0</v>
      </c>
      <c r="AC478" s="116">
        <f t="shared" si="197"/>
        <v>0</v>
      </c>
      <c r="AD478" s="116">
        <f t="shared" si="202"/>
        <v>0</v>
      </c>
      <c r="AE478" s="116">
        <f t="shared" si="203"/>
        <v>44480.98</v>
      </c>
    </row>
    <row r="479" spans="1:31">
      <c r="A479" s="131">
        <v>42346</v>
      </c>
      <c r="B479" s="131">
        <v>42377</v>
      </c>
      <c r="C479" s="123">
        <f t="shared" si="171"/>
        <v>31</v>
      </c>
      <c r="D479" s="132">
        <v>315.75</v>
      </c>
      <c r="E479" s="135"/>
      <c r="F479" s="135"/>
      <c r="G479" s="123"/>
      <c r="H479" s="123"/>
      <c r="I479" s="123"/>
      <c r="J479" s="123"/>
      <c r="K479" s="123"/>
      <c r="L479" s="123"/>
      <c r="M479" s="123"/>
      <c r="N479" s="123"/>
      <c r="O479" s="123"/>
      <c r="P479" s="123"/>
      <c r="Q479" s="123">
        <v>24</v>
      </c>
      <c r="R479" s="133">
        <f t="shared" ref="R479:R524" si="204">C479-SUM(F479:Q479)-(B479-$B$17)+1</f>
        <v>0</v>
      </c>
      <c r="S479" s="133"/>
      <c r="T479" s="116">
        <f t="shared" ref="T479:T524" si="205">ROUND((D479*F479/C479)/$C$6,2)</f>
        <v>0</v>
      </c>
      <c r="U479" s="116">
        <f t="shared" ref="U479:U524" si="206">ROUND(($D479*$G479/$C479)/$C$7,2)</f>
        <v>0</v>
      </c>
      <c r="V479" s="116">
        <f t="shared" ref="V479:V524" si="207">ROUND(($D479*$H479/$C479)/$C$8,2)</f>
        <v>0</v>
      </c>
      <c r="W479" s="116">
        <f t="shared" ref="W479:W524" si="208">ROUND(($D479*$I479/$C479)/$C$9,2)</f>
        <v>0</v>
      </c>
      <c r="X479" s="116">
        <f t="shared" ref="X479:X524" si="209">ROUND(($D479*$J479/$C479)/$C$10,2)</f>
        <v>0</v>
      </c>
      <c r="Y479" s="116">
        <f t="shared" ref="Y479:Y524" si="210">ROUND(($D479*$K479/$C479)/$C$11,2)</f>
        <v>0</v>
      </c>
      <c r="Z479" s="116">
        <f t="shared" ref="Z479:Z524" si="211">ROUND(($D479*$L479/$C479)/$C$12,2)</f>
        <v>0</v>
      </c>
      <c r="AA479" s="116">
        <f t="shared" ref="AA479:AA524" si="212">ROUND(($D479*$M479/$C479)/$C$13,2)</f>
        <v>0</v>
      </c>
      <c r="AB479" s="116">
        <f t="shared" ref="AB479:AB524" si="213">ROUND(($D479*$N479/$C479)/$C$14,2)</f>
        <v>0</v>
      </c>
      <c r="AC479" s="116">
        <f t="shared" ref="AC479:AC524" si="214">ROUND(($D479*$O479/$C479)/$C$15,2)</f>
        <v>0</v>
      </c>
      <c r="AD479" s="116">
        <f t="shared" ref="AD479:AD524" si="215">ROUND(($D479*$P479/$C479)/$C$16,2)</f>
        <v>0</v>
      </c>
      <c r="AE479" s="116">
        <f t="shared" ref="AE479:AE492" si="216">ROUND(($D479*$Q479/$C479)/$C$17,2)</f>
        <v>2132.71</v>
      </c>
    </row>
    <row r="480" spans="1:31">
      <c r="A480" s="131">
        <v>42343</v>
      </c>
      <c r="B480" s="131">
        <v>42374</v>
      </c>
      <c r="C480" s="123">
        <f t="shared" si="171"/>
        <v>31</v>
      </c>
      <c r="D480" s="132">
        <v>1129.58</v>
      </c>
      <c r="E480" s="135"/>
      <c r="F480" s="135"/>
      <c r="G480" s="123"/>
      <c r="H480" s="123"/>
      <c r="I480" s="123"/>
      <c r="J480" s="123"/>
      <c r="K480" s="123"/>
      <c r="L480" s="123"/>
      <c r="M480" s="123"/>
      <c r="N480" s="123"/>
      <c r="O480" s="123"/>
      <c r="P480" s="123"/>
      <c r="Q480" s="123">
        <v>27</v>
      </c>
      <c r="R480" s="133">
        <f t="shared" si="204"/>
        <v>0</v>
      </c>
      <c r="S480" s="133"/>
      <c r="T480" s="116">
        <f t="shared" si="205"/>
        <v>0</v>
      </c>
      <c r="U480" s="116">
        <f t="shared" si="206"/>
        <v>0</v>
      </c>
      <c r="V480" s="116">
        <f t="shared" si="207"/>
        <v>0</v>
      </c>
      <c r="W480" s="116">
        <f t="shared" si="208"/>
        <v>0</v>
      </c>
      <c r="X480" s="116">
        <f t="shared" si="209"/>
        <v>0</v>
      </c>
      <c r="Y480" s="116">
        <f t="shared" si="210"/>
        <v>0</v>
      </c>
      <c r="Z480" s="116">
        <f t="shared" si="211"/>
        <v>0</v>
      </c>
      <c r="AA480" s="116">
        <f t="shared" si="212"/>
        <v>0</v>
      </c>
      <c r="AB480" s="116">
        <f t="shared" si="213"/>
        <v>0</v>
      </c>
      <c r="AC480" s="116">
        <f t="shared" si="214"/>
        <v>0</v>
      </c>
      <c r="AD480" s="116">
        <f t="shared" si="215"/>
        <v>0</v>
      </c>
      <c r="AE480" s="116">
        <f t="shared" si="216"/>
        <v>8583.39</v>
      </c>
    </row>
    <row r="481" spans="1:31">
      <c r="A481" s="131">
        <v>42343</v>
      </c>
      <c r="B481" s="131">
        <v>42374</v>
      </c>
      <c r="C481" s="123">
        <f t="shared" ref="C481:C524" si="217">B481-A481</f>
        <v>31</v>
      </c>
      <c r="D481" s="132">
        <v>442.82</v>
      </c>
      <c r="E481" s="135"/>
      <c r="F481" s="135"/>
      <c r="G481" s="123"/>
      <c r="H481" s="123"/>
      <c r="I481" s="123"/>
      <c r="J481" s="123"/>
      <c r="K481" s="123"/>
      <c r="L481" s="123"/>
      <c r="M481" s="123"/>
      <c r="N481" s="123"/>
      <c r="O481" s="123"/>
      <c r="P481" s="123"/>
      <c r="Q481" s="123">
        <v>27</v>
      </c>
      <c r="R481" s="133">
        <f t="shared" si="204"/>
        <v>0</v>
      </c>
      <c r="S481" s="133"/>
      <c r="T481" s="116">
        <f t="shared" si="205"/>
        <v>0</v>
      </c>
      <c r="U481" s="116">
        <f t="shared" si="206"/>
        <v>0</v>
      </c>
      <c r="V481" s="116">
        <f t="shared" si="207"/>
        <v>0</v>
      </c>
      <c r="W481" s="116">
        <f t="shared" si="208"/>
        <v>0</v>
      </c>
      <c r="X481" s="116">
        <f t="shared" si="209"/>
        <v>0</v>
      </c>
      <c r="Y481" s="116">
        <f t="shared" si="210"/>
        <v>0</v>
      </c>
      <c r="Z481" s="116">
        <f t="shared" si="211"/>
        <v>0</v>
      </c>
      <c r="AA481" s="116">
        <f t="shared" si="212"/>
        <v>0</v>
      </c>
      <c r="AB481" s="116">
        <f t="shared" si="213"/>
        <v>0</v>
      </c>
      <c r="AC481" s="116">
        <f t="shared" si="214"/>
        <v>0</v>
      </c>
      <c r="AD481" s="116">
        <f t="shared" si="215"/>
        <v>0</v>
      </c>
      <c r="AE481" s="116">
        <f t="shared" si="216"/>
        <v>3364.87</v>
      </c>
    </row>
    <row r="482" spans="1:31">
      <c r="A482" s="131">
        <v>42346</v>
      </c>
      <c r="B482" s="131">
        <v>42377</v>
      </c>
      <c r="C482" s="123">
        <f t="shared" si="217"/>
        <v>31</v>
      </c>
      <c r="D482" s="132">
        <v>322.53000000000003</v>
      </c>
      <c r="E482" s="135"/>
      <c r="F482" s="135"/>
      <c r="G482" s="123"/>
      <c r="H482" s="123"/>
      <c r="I482" s="123"/>
      <c r="J482" s="123"/>
      <c r="K482" s="123"/>
      <c r="L482" s="123"/>
      <c r="M482" s="123"/>
      <c r="N482" s="123"/>
      <c r="O482" s="123"/>
      <c r="P482" s="123"/>
      <c r="Q482" s="123">
        <v>24</v>
      </c>
      <c r="R482" s="133">
        <f t="shared" si="204"/>
        <v>0</v>
      </c>
      <c r="S482" s="133"/>
      <c r="T482" s="116">
        <f t="shared" si="205"/>
        <v>0</v>
      </c>
      <c r="U482" s="116">
        <f t="shared" si="206"/>
        <v>0</v>
      </c>
      <c r="V482" s="116">
        <f t="shared" si="207"/>
        <v>0</v>
      </c>
      <c r="W482" s="116">
        <f t="shared" si="208"/>
        <v>0</v>
      </c>
      <c r="X482" s="116">
        <f t="shared" si="209"/>
        <v>0</v>
      </c>
      <c r="Y482" s="116">
        <f t="shared" si="210"/>
        <v>0</v>
      </c>
      <c r="Z482" s="116">
        <f t="shared" si="211"/>
        <v>0</v>
      </c>
      <c r="AA482" s="116">
        <f t="shared" si="212"/>
        <v>0</v>
      </c>
      <c r="AB482" s="116">
        <f t="shared" si="213"/>
        <v>0</v>
      </c>
      <c r="AC482" s="116">
        <f t="shared" si="214"/>
        <v>0</v>
      </c>
      <c r="AD482" s="116">
        <f t="shared" si="215"/>
        <v>0</v>
      </c>
      <c r="AE482" s="116">
        <f t="shared" si="216"/>
        <v>2178.5100000000002</v>
      </c>
    </row>
    <row r="483" spans="1:31">
      <c r="A483" s="131">
        <v>42343</v>
      </c>
      <c r="B483" s="131">
        <v>42374</v>
      </c>
      <c r="C483" s="123">
        <f t="shared" si="217"/>
        <v>31</v>
      </c>
      <c r="D483" s="132">
        <v>1634.16</v>
      </c>
      <c r="E483" s="135"/>
      <c r="F483" s="135"/>
      <c r="G483" s="123"/>
      <c r="H483" s="123"/>
      <c r="I483" s="123"/>
      <c r="J483" s="123"/>
      <c r="K483" s="123"/>
      <c r="L483" s="123"/>
      <c r="M483" s="123"/>
      <c r="N483" s="123"/>
      <c r="O483" s="123"/>
      <c r="P483" s="123"/>
      <c r="Q483" s="123">
        <v>27</v>
      </c>
      <c r="R483" s="133">
        <f t="shared" si="204"/>
        <v>0</v>
      </c>
      <c r="S483" s="133"/>
      <c r="T483" s="116">
        <f t="shared" si="205"/>
        <v>0</v>
      </c>
      <c r="U483" s="116">
        <f t="shared" si="206"/>
        <v>0</v>
      </c>
      <c r="V483" s="116">
        <f t="shared" si="207"/>
        <v>0</v>
      </c>
      <c r="W483" s="116">
        <f t="shared" si="208"/>
        <v>0</v>
      </c>
      <c r="X483" s="116">
        <f t="shared" si="209"/>
        <v>0</v>
      </c>
      <c r="Y483" s="116">
        <f t="shared" si="210"/>
        <v>0</v>
      </c>
      <c r="Z483" s="116">
        <f t="shared" si="211"/>
        <v>0</v>
      </c>
      <c r="AA483" s="116">
        <f t="shared" si="212"/>
        <v>0</v>
      </c>
      <c r="AB483" s="116">
        <f t="shared" si="213"/>
        <v>0</v>
      </c>
      <c r="AC483" s="116">
        <f t="shared" si="214"/>
        <v>0</v>
      </c>
      <c r="AD483" s="116">
        <f t="shared" si="215"/>
        <v>0</v>
      </c>
      <c r="AE483" s="116">
        <f t="shared" si="216"/>
        <v>12417.56</v>
      </c>
    </row>
    <row r="484" spans="1:31">
      <c r="A484" s="131">
        <v>42346</v>
      </c>
      <c r="B484" s="131">
        <v>42377</v>
      </c>
      <c r="C484" s="123">
        <f t="shared" si="217"/>
        <v>31</v>
      </c>
      <c r="D484" s="132">
        <v>956.38</v>
      </c>
      <c r="E484" s="135"/>
      <c r="F484" s="135"/>
      <c r="G484" s="123"/>
      <c r="H484" s="123"/>
      <c r="I484" s="123"/>
      <c r="J484" s="123"/>
      <c r="K484" s="123"/>
      <c r="L484" s="123"/>
      <c r="M484" s="123"/>
      <c r="N484" s="123"/>
      <c r="O484" s="123"/>
      <c r="P484" s="123"/>
      <c r="Q484" s="123">
        <v>24</v>
      </c>
      <c r="R484" s="133">
        <f t="shared" si="204"/>
        <v>0</v>
      </c>
      <c r="S484" s="133"/>
      <c r="T484" s="116">
        <f t="shared" si="205"/>
        <v>0</v>
      </c>
      <c r="U484" s="116">
        <f t="shared" si="206"/>
        <v>0</v>
      </c>
      <c r="V484" s="116">
        <f t="shared" si="207"/>
        <v>0</v>
      </c>
      <c r="W484" s="116">
        <f t="shared" si="208"/>
        <v>0</v>
      </c>
      <c r="X484" s="116">
        <f t="shared" si="209"/>
        <v>0</v>
      </c>
      <c r="Y484" s="116">
        <f t="shared" si="210"/>
        <v>0</v>
      </c>
      <c r="Z484" s="116">
        <f t="shared" si="211"/>
        <v>0</v>
      </c>
      <c r="AA484" s="116">
        <f t="shared" si="212"/>
        <v>0</v>
      </c>
      <c r="AB484" s="116">
        <f t="shared" si="213"/>
        <v>0</v>
      </c>
      <c r="AC484" s="116">
        <f t="shared" si="214"/>
        <v>0</v>
      </c>
      <c r="AD484" s="116">
        <f t="shared" si="215"/>
        <v>0</v>
      </c>
      <c r="AE484" s="116">
        <f t="shared" si="216"/>
        <v>6459.81</v>
      </c>
    </row>
    <row r="485" spans="1:31">
      <c r="A485" s="131">
        <v>42346</v>
      </c>
      <c r="B485" s="131">
        <v>42377</v>
      </c>
      <c r="C485" s="123">
        <f t="shared" si="217"/>
        <v>31</v>
      </c>
      <c r="D485" s="132">
        <v>115.2</v>
      </c>
      <c r="E485" s="135"/>
      <c r="F485" s="135"/>
      <c r="G485" s="123"/>
      <c r="H485" s="123"/>
      <c r="I485" s="123"/>
      <c r="J485" s="123"/>
      <c r="K485" s="123"/>
      <c r="L485" s="123"/>
      <c r="M485" s="123"/>
      <c r="N485" s="123"/>
      <c r="O485" s="123"/>
      <c r="P485" s="123"/>
      <c r="Q485" s="123">
        <v>24</v>
      </c>
      <c r="R485" s="133">
        <f t="shared" si="204"/>
        <v>0</v>
      </c>
      <c r="S485" s="133"/>
      <c r="T485" s="116">
        <f t="shared" si="205"/>
        <v>0</v>
      </c>
      <c r="U485" s="116">
        <f t="shared" si="206"/>
        <v>0</v>
      </c>
      <c r="V485" s="116">
        <f t="shared" si="207"/>
        <v>0</v>
      </c>
      <c r="W485" s="116">
        <f t="shared" si="208"/>
        <v>0</v>
      </c>
      <c r="X485" s="116">
        <f t="shared" si="209"/>
        <v>0</v>
      </c>
      <c r="Y485" s="116">
        <f t="shared" si="210"/>
        <v>0</v>
      </c>
      <c r="Z485" s="116">
        <f t="shared" si="211"/>
        <v>0</v>
      </c>
      <c r="AA485" s="116">
        <f t="shared" si="212"/>
        <v>0</v>
      </c>
      <c r="AB485" s="116">
        <f t="shared" si="213"/>
        <v>0</v>
      </c>
      <c r="AC485" s="116">
        <f t="shared" si="214"/>
        <v>0</v>
      </c>
      <c r="AD485" s="116">
        <f t="shared" si="215"/>
        <v>0</v>
      </c>
      <c r="AE485" s="116">
        <f t="shared" si="216"/>
        <v>778.11</v>
      </c>
    </row>
    <row r="486" spans="1:31">
      <c r="A486" s="131">
        <v>42350</v>
      </c>
      <c r="B486" s="131">
        <v>42381</v>
      </c>
      <c r="C486" s="123">
        <f t="shared" si="217"/>
        <v>31</v>
      </c>
      <c r="D486" s="132">
        <v>1159.3600000000001</v>
      </c>
      <c r="E486" s="135"/>
      <c r="F486" s="135"/>
      <c r="G486" s="123"/>
      <c r="H486" s="123"/>
      <c r="I486" s="123"/>
      <c r="J486" s="123"/>
      <c r="K486" s="123"/>
      <c r="L486" s="123"/>
      <c r="M486" s="123"/>
      <c r="N486" s="123"/>
      <c r="O486" s="123"/>
      <c r="P486" s="123"/>
      <c r="Q486" s="123">
        <v>20</v>
      </c>
      <c r="R486" s="133">
        <f t="shared" si="204"/>
        <v>0</v>
      </c>
      <c r="S486" s="133"/>
      <c r="T486" s="116">
        <f t="shared" si="205"/>
        <v>0</v>
      </c>
      <c r="U486" s="116">
        <f t="shared" si="206"/>
        <v>0</v>
      </c>
      <c r="V486" s="116">
        <f t="shared" si="207"/>
        <v>0</v>
      </c>
      <c r="W486" s="116">
        <f t="shared" si="208"/>
        <v>0</v>
      </c>
      <c r="X486" s="116">
        <f t="shared" si="209"/>
        <v>0</v>
      </c>
      <c r="Y486" s="116">
        <f t="shared" si="210"/>
        <v>0</v>
      </c>
      <c r="Z486" s="116">
        <f t="shared" si="211"/>
        <v>0</v>
      </c>
      <c r="AA486" s="116">
        <f t="shared" si="212"/>
        <v>0</v>
      </c>
      <c r="AB486" s="116">
        <f t="shared" si="213"/>
        <v>0</v>
      </c>
      <c r="AC486" s="116">
        <f t="shared" si="214"/>
        <v>0</v>
      </c>
      <c r="AD486" s="116">
        <f t="shared" si="215"/>
        <v>0</v>
      </c>
      <c r="AE486" s="116">
        <f t="shared" si="216"/>
        <v>6525.69</v>
      </c>
    </row>
    <row r="487" spans="1:31">
      <c r="A487" s="131">
        <v>42350</v>
      </c>
      <c r="B487" s="131">
        <v>42381</v>
      </c>
      <c r="C487" s="123">
        <f t="shared" si="217"/>
        <v>31</v>
      </c>
      <c r="D487" s="132">
        <v>174.23</v>
      </c>
      <c r="E487" s="135"/>
      <c r="F487" s="135"/>
      <c r="G487" s="123"/>
      <c r="H487" s="123"/>
      <c r="I487" s="123"/>
      <c r="J487" s="123"/>
      <c r="K487" s="123"/>
      <c r="L487" s="123"/>
      <c r="M487" s="123"/>
      <c r="N487" s="123"/>
      <c r="O487" s="123"/>
      <c r="P487" s="123"/>
      <c r="Q487" s="123">
        <v>20</v>
      </c>
      <c r="R487" s="133">
        <f t="shared" si="204"/>
        <v>0</v>
      </c>
      <c r="S487" s="133"/>
      <c r="T487" s="116">
        <f t="shared" si="205"/>
        <v>0</v>
      </c>
      <c r="U487" s="116">
        <f t="shared" si="206"/>
        <v>0</v>
      </c>
      <c r="V487" s="116">
        <f t="shared" si="207"/>
        <v>0</v>
      </c>
      <c r="W487" s="116">
        <f t="shared" si="208"/>
        <v>0</v>
      </c>
      <c r="X487" s="116">
        <f t="shared" si="209"/>
        <v>0</v>
      </c>
      <c r="Y487" s="116">
        <f t="shared" si="210"/>
        <v>0</v>
      </c>
      <c r="Z487" s="116">
        <f t="shared" si="211"/>
        <v>0</v>
      </c>
      <c r="AA487" s="116">
        <f t="shared" si="212"/>
        <v>0</v>
      </c>
      <c r="AB487" s="116">
        <f t="shared" si="213"/>
        <v>0</v>
      </c>
      <c r="AC487" s="116">
        <f t="shared" si="214"/>
        <v>0</v>
      </c>
      <c r="AD487" s="116">
        <f t="shared" si="215"/>
        <v>0</v>
      </c>
      <c r="AE487" s="116">
        <f t="shared" si="216"/>
        <v>980.69</v>
      </c>
    </row>
    <row r="488" spans="1:31">
      <c r="A488" s="131">
        <v>42350</v>
      </c>
      <c r="B488" s="131">
        <v>42381</v>
      </c>
      <c r="C488" s="123">
        <f t="shared" si="217"/>
        <v>31</v>
      </c>
      <c r="D488" s="132">
        <v>1569.69</v>
      </c>
      <c r="E488" s="135"/>
      <c r="F488" s="135"/>
      <c r="G488" s="123"/>
      <c r="H488" s="123"/>
      <c r="I488" s="123"/>
      <c r="J488" s="123"/>
      <c r="K488" s="123"/>
      <c r="L488" s="123"/>
      <c r="M488" s="123"/>
      <c r="N488" s="123"/>
      <c r="O488" s="123"/>
      <c r="P488" s="123"/>
      <c r="Q488" s="123">
        <v>20</v>
      </c>
      <c r="R488" s="133">
        <f t="shared" si="204"/>
        <v>0</v>
      </c>
      <c r="S488" s="133"/>
      <c r="T488" s="116">
        <f t="shared" si="205"/>
        <v>0</v>
      </c>
      <c r="U488" s="116">
        <f t="shared" si="206"/>
        <v>0</v>
      </c>
      <c r="V488" s="116">
        <f t="shared" si="207"/>
        <v>0</v>
      </c>
      <c r="W488" s="116">
        <f t="shared" si="208"/>
        <v>0</v>
      </c>
      <c r="X488" s="116">
        <f t="shared" si="209"/>
        <v>0</v>
      </c>
      <c r="Y488" s="116">
        <f t="shared" si="210"/>
        <v>0</v>
      </c>
      <c r="Z488" s="116">
        <f t="shared" si="211"/>
        <v>0</v>
      </c>
      <c r="AA488" s="116">
        <f t="shared" si="212"/>
        <v>0</v>
      </c>
      <c r="AB488" s="116">
        <f t="shared" si="213"/>
        <v>0</v>
      </c>
      <c r="AC488" s="116">
        <f t="shared" si="214"/>
        <v>0</v>
      </c>
      <c r="AD488" s="116">
        <f t="shared" si="215"/>
        <v>0</v>
      </c>
      <c r="AE488" s="116">
        <f t="shared" si="216"/>
        <v>8835.31</v>
      </c>
    </row>
    <row r="489" spans="1:31">
      <c r="A489" s="131">
        <v>42357</v>
      </c>
      <c r="B489" s="131">
        <v>42388</v>
      </c>
      <c r="C489" s="123">
        <f t="shared" si="217"/>
        <v>31</v>
      </c>
      <c r="D489" s="132">
        <v>2319.2000000000003</v>
      </c>
      <c r="E489" s="135"/>
      <c r="F489" s="135"/>
      <c r="G489" s="123"/>
      <c r="H489" s="123"/>
      <c r="I489" s="123"/>
      <c r="J489" s="123"/>
      <c r="K489" s="123"/>
      <c r="L489" s="123"/>
      <c r="M489" s="123"/>
      <c r="N489" s="123"/>
      <c r="O489" s="123"/>
      <c r="P489" s="123"/>
      <c r="Q489" s="123">
        <v>13</v>
      </c>
      <c r="R489" s="133">
        <f t="shared" si="204"/>
        <v>0</v>
      </c>
      <c r="S489" s="133"/>
      <c r="T489" s="116">
        <f t="shared" si="205"/>
        <v>0</v>
      </c>
      <c r="U489" s="116">
        <f t="shared" si="206"/>
        <v>0</v>
      </c>
      <c r="V489" s="116">
        <f t="shared" si="207"/>
        <v>0</v>
      </c>
      <c r="W489" s="116">
        <f t="shared" si="208"/>
        <v>0</v>
      </c>
      <c r="X489" s="116">
        <f t="shared" si="209"/>
        <v>0</v>
      </c>
      <c r="Y489" s="116">
        <f t="shared" si="210"/>
        <v>0</v>
      </c>
      <c r="Z489" s="116">
        <f t="shared" si="211"/>
        <v>0</v>
      </c>
      <c r="AA489" s="116">
        <f t="shared" si="212"/>
        <v>0</v>
      </c>
      <c r="AB489" s="116">
        <f t="shared" si="213"/>
        <v>0</v>
      </c>
      <c r="AC489" s="116">
        <f t="shared" si="214"/>
        <v>0</v>
      </c>
      <c r="AD489" s="116">
        <f t="shared" si="215"/>
        <v>0</v>
      </c>
      <c r="AE489" s="116">
        <f t="shared" si="216"/>
        <v>8485.15</v>
      </c>
    </row>
    <row r="490" spans="1:31">
      <c r="A490" s="131">
        <v>42353</v>
      </c>
      <c r="B490" s="131">
        <v>42384</v>
      </c>
      <c r="C490" s="123">
        <f t="shared" si="217"/>
        <v>31</v>
      </c>
      <c r="D490" s="132">
        <v>2116.7400000000002</v>
      </c>
      <c r="E490" s="135"/>
      <c r="F490" s="135"/>
      <c r="G490" s="123"/>
      <c r="H490" s="123"/>
      <c r="I490" s="123"/>
      <c r="J490" s="123"/>
      <c r="K490" s="123"/>
      <c r="L490" s="123"/>
      <c r="M490" s="123"/>
      <c r="N490" s="123"/>
      <c r="O490" s="123"/>
      <c r="P490" s="123"/>
      <c r="Q490" s="123">
        <v>17</v>
      </c>
      <c r="R490" s="133">
        <f t="shared" si="204"/>
        <v>0</v>
      </c>
      <c r="S490" s="133"/>
      <c r="T490" s="116">
        <f t="shared" si="205"/>
        <v>0</v>
      </c>
      <c r="U490" s="116">
        <f t="shared" si="206"/>
        <v>0</v>
      </c>
      <c r="V490" s="116">
        <f t="shared" si="207"/>
        <v>0</v>
      </c>
      <c r="W490" s="116">
        <f t="shared" si="208"/>
        <v>0</v>
      </c>
      <c r="X490" s="116">
        <f t="shared" si="209"/>
        <v>0</v>
      </c>
      <c r="Y490" s="116">
        <f t="shared" si="210"/>
        <v>0</v>
      </c>
      <c r="Z490" s="116">
        <f t="shared" si="211"/>
        <v>0</v>
      </c>
      <c r="AA490" s="116">
        <f t="shared" si="212"/>
        <v>0</v>
      </c>
      <c r="AB490" s="116">
        <f t="shared" si="213"/>
        <v>0</v>
      </c>
      <c r="AC490" s="116">
        <f t="shared" si="214"/>
        <v>0</v>
      </c>
      <c r="AD490" s="116">
        <f t="shared" si="215"/>
        <v>0</v>
      </c>
      <c r="AE490" s="116">
        <f t="shared" si="216"/>
        <v>10127.32</v>
      </c>
    </row>
    <row r="491" spans="1:31">
      <c r="A491" s="131">
        <v>42357</v>
      </c>
      <c r="B491" s="131">
        <v>42388</v>
      </c>
      <c r="C491" s="123">
        <f t="shared" si="217"/>
        <v>31</v>
      </c>
      <c r="D491" s="132">
        <v>719.56</v>
      </c>
      <c r="E491" s="135"/>
      <c r="F491" s="135"/>
      <c r="G491" s="123"/>
      <c r="H491" s="123"/>
      <c r="I491" s="123"/>
      <c r="J491" s="123"/>
      <c r="K491" s="123"/>
      <c r="L491" s="123"/>
      <c r="M491" s="123"/>
      <c r="N491" s="123"/>
      <c r="O491" s="123"/>
      <c r="P491" s="123"/>
      <c r="Q491" s="123">
        <v>13</v>
      </c>
      <c r="R491" s="133">
        <f t="shared" si="204"/>
        <v>0</v>
      </c>
      <c r="S491" s="133"/>
      <c r="T491" s="116">
        <f t="shared" si="205"/>
        <v>0</v>
      </c>
      <c r="U491" s="116">
        <f t="shared" si="206"/>
        <v>0</v>
      </c>
      <c r="V491" s="116">
        <f t="shared" si="207"/>
        <v>0</v>
      </c>
      <c r="W491" s="116">
        <f t="shared" si="208"/>
        <v>0</v>
      </c>
      <c r="X491" s="116">
        <f t="shared" si="209"/>
        <v>0</v>
      </c>
      <c r="Y491" s="116">
        <f t="shared" si="210"/>
        <v>0</v>
      </c>
      <c r="Z491" s="116">
        <f t="shared" si="211"/>
        <v>0</v>
      </c>
      <c r="AA491" s="116">
        <f t="shared" si="212"/>
        <v>0</v>
      </c>
      <c r="AB491" s="116">
        <f t="shared" si="213"/>
        <v>0</v>
      </c>
      <c r="AC491" s="116">
        <f t="shared" si="214"/>
        <v>0</v>
      </c>
      <c r="AD491" s="116">
        <f t="shared" si="215"/>
        <v>0</v>
      </c>
      <c r="AE491" s="116">
        <f t="shared" si="216"/>
        <v>2632.62</v>
      </c>
    </row>
    <row r="492" spans="1:31">
      <c r="A492" s="131">
        <v>42357</v>
      </c>
      <c r="B492" s="131">
        <v>42388</v>
      </c>
      <c r="C492" s="123">
        <f t="shared" si="217"/>
        <v>31</v>
      </c>
      <c r="D492" s="132">
        <v>762.88</v>
      </c>
      <c r="E492" s="135"/>
      <c r="F492" s="135"/>
      <c r="G492" s="123"/>
      <c r="H492" s="123"/>
      <c r="I492" s="123"/>
      <c r="J492" s="123"/>
      <c r="K492" s="123"/>
      <c r="L492" s="123"/>
      <c r="M492" s="123"/>
      <c r="N492" s="123"/>
      <c r="O492" s="123"/>
      <c r="P492" s="123"/>
      <c r="Q492" s="123">
        <v>13</v>
      </c>
      <c r="R492" s="133">
        <f t="shared" si="204"/>
        <v>0</v>
      </c>
      <c r="S492" s="133"/>
      <c r="T492" s="116">
        <f t="shared" si="205"/>
        <v>0</v>
      </c>
      <c r="U492" s="116">
        <f t="shared" si="206"/>
        <v>0</v>
      </c>
      <c r="V492" s="116">
        <f t="shared" si="207"/>
        <v>0</v>
      </c>
      <c r="W492" s="116">
        <f t="shared" si="208"/>
        <v>0</v>
      </c>
      <c r="X492" s="116">
        <f t="shared" si="209"/>
        <v>0</v>
      </c>
      <c r="Y492" s="116">
        <f t="shared" si="210"/>
        <v>0</v>
      </c>
      <c r="Z492" s="116">
        <f t="shared" si="211"/>
        <v>0</v>
      </c>
      <c r="AA492" s="116">
        <f t="shared" si="212"/>
        <v>0</v>
      </c>
      <c r="AB492" s="116">
        <f t="shared" si="213"/>
        <v>0</v>
      </c>
      <c r="AC492" s="116">
        <f t="shared" si="214"/>
        <v>0</v>
      </c>
      <c r="AD492" s="116">
        <f t="shared" si="215"/>
        <v>0</v>
      </c>
      <c r="AE492" s="116">
        <f t="shared" si="216"/>
        <v>2791.11</v>
      </c>
    </row>
    <row r="493" spans="1:31">
      <c r="A493" s="131">
        <v>42360</v>
      </c>
      <c r="B493" s="131">
        <v>42391</v>
      </c>
      <c r="C493" s="123">
        <f t="shared" si="217"/>
        <v>31</v>
      </c>
      <c r="D493" s="110">
        <v>239895.78</v>
      </c>
      <c r="E493" s="135"/>
      <c r="F493" s="135"/>
      <c r="G493" s="123"/>
      <c r="H493" s="123"/>
      <c r="I493" s="123"/>
      <c r="J493" s="123"/>
      <c r="K493" s="123"/>
      <c r="L493" s="123"/>
      <c r="M493" s="123"/>
      <c r="N493" s="123"/>
      <c r="O493" s="123"/>
      <c r="P493" s="123"/>
      <c r="Q493" s="123">
        <v>10</v>
      </c>
      <c r="R493" s="133">
        <f t="shared" si="204"/>
        <v>0</v>
      </c>
      <c r="S493" s="133"/>
      <c r="T493" s="116">
        <f t="shared" si="205"/>
        <v>0</v>
      </c>
      <c r="U493" s="116">
        <f t="shared" si="206"/>
        <v>0</v>
      </c>
      <c r="V493" s="116">
        <f t="shared" si="207"/>
        <v>0</v>
      </c>
      <c r="W493" s="116">
        <f t="shared" si="208"/>
        <v>0</v>
      </c>
      <c r="X493" s="116">
        <f t="shared" si="209"/>
        <v>0</v>
      </c>
      <c r="Y493" s="116">
        <f t="shared" si="210"/>
        <v>0</v>
      </c>
      <c r="Z493" s="116">
        <f t="shared" si="211"/>
        <v>0</v>
      </c>
      <c r="AA493" s="116">
        <f t="shared" si="212"/>
        <v>0</v>
      </c>
      <c r="AB493" s="116">
        <f t="shared" si="213"/>
        <v>0</v>
      </c>
      <c r="AC493" s="116">
        <f t="shared" si="214"/>
        <v>0</v>
      </c>
      <c r="AD493" s="116">
        <f t="shared" si="215"/>
        <v>0</v>
      </c>
      <c r="AE493" s="116">
        <v>858072.18</v>
      </c>
    </row>
    <row r="494" spans="1:31">
      <c r="A494" s="131">
        <v>42370</v>
      </c>
      <c r="B494" s="131">
        <v>42390</v>
      </c>
      <c r="C494" s="123">
        <f t="shared" si="217"/>
        <v>20</v>
      </c>
      <c r="D494" s="132">
        <v>35.1</v>
      </c>
      <c r="E494" s="135"/>
      <c r="F494" s="135"/>
      <c r="G494" s="123"/>
      <c r="H494" s="123"/>
      <c r="I494" s="123"/>
      <c r="J494" s="123"/>
      <c r="K494" s="123"/>
      <c r="L494" s="123"/>
      <c r="M494" s="123"/>
      <c r="N494" s="123"/>
      <c r="O494" s="123"/>
      <c r="P494" s="123"/>
      <c r="Q494" s="123"/>
      <c r="R494" s="133">
        <f t="shared" si="204"/>
        <v>0</v>
      </c>
      <c r="S494" s="133"/>
      <c r="T494" s="116">
        <f t="shared" si="205"/>
        <v>0</v>
      </c>
      <c r="U494" s="116">
        <f t="shared" si="206"/>
        <v>0</v>
      </c>
      <c r="V494" s="116">
        <f t="shared" si="207"/>
        <v>0</v>
      </c>
      <c r="W494" s="116">
        <f t="shared" si="208"/>
        <v>0</v>
      </c>
      <c r="X494" s="116">
        <f t="shared" si="209"/>
        <v>0</v>
      </c>
      <c r="Y494" s="116">
        <f t="shared" si="210"/>
        <v>0</v>
      </c>
      <c r="Z494" s="116">
        <f t="shared" si="211"/>
        <v>0</v>
      </c>
      <c r="AA494" s="116">
        <f t="shared" si="212"/>
        <v>0</v>
      </c>
      <c r="AB494" s="116">
        <f t="shared" si="213"/>
        <v>0</v>
      </c>
      <c r="AC494" s="116">
        <f t="shared" si="214"/>
        <v>0</v>
      </c>
      <c r="AD494" s="116">
        <f t="shared" si="215"/>
        <v>0</v>
      </c>
      <c r="AE494" s="116">
        <f t="shared" ref="AE494:AE501" si="218">ROUND(($D494*$Q494/$C494)/$C$17,2)</f>
        <v>0</v>
      </c>
    </row>
    <row r="495" spans="1:31">
      <c r="A495" s="131">
        <v>42353</v>
      </c>
      <c r="B495" s="131">
        <v>42384</v>
      </c>
      <c r="C495" s="123">
        <f t="shared" si="217"/>
        <v>31</v>
      </c>
      <c r="D495" s="132">
        <v>3696.56</v>
      </c>
      <c r="E495" s="135"/>
      <c r="F495" s="135"/>
      <c r="G495" s="123"/>
      <c r="H495" s="123"/>
      <c r="I495" s="123"/>
      <c r="J495" s="123"/>
      <c r="K495" s="123"/>
      <c r="L495" s="123"/>
      <c r="M495" s="123"/>
      <c r="N495" s="123"/>
      <c r="O495" s="123"/>
      <c r="P495" s="123"/>
      <c r="Q495" s="123">
        <v>17</v>
      </c>
      <c r="R495" s="133">
        <f t="shared" si="204"/>
        <v>0</v>
      </c>
      <c r="S495" s="133"/>
      <c r="T495" s="116">
        <f t="shared" si="205"/>
        <v>0</v>
      </c>
      <c r="U495" s="116">
        <f t="shared" si="206"/>
        <v>0</v>
      </c>
      <c r="V495" s="116">
        <f t="shared" si="207"/>
        <v>0</v>
      </c>
      <c r="W495" s="116">
        <f t="shared" si="208"/>
        <v>0</v>
      </c>
      <c r="X495" s="116">
        <f t="shared" si="209"/>
        <v>0</v>
      </c>
      <c r="Y495" s="116">
        <f t="shared" si="210"/>
        <v>0</v>
      </c>
      <c r="Z495" s="116">
        <f t="shared" si="211"/>
        <v>0</v>
      </c>
      <c r="AA495" s="116">
        <f t="shared" si="212"/>
        <v>0</v>
      </c>
      <c r="AB495" s="116">
        <f t="shared" si="213"/>
        <v>0</v>
      </c>
      <c r="AC495" s="116">
        <f t="shared" si="214"/>
        <v>0</v>
      </c>
      <c r="AD495" s="116">
        <f t="shared" si="215"/>
        <v>0</v>
      </c>
      <c r="AE495" s="116">
        <f t="shared" si="218"/>
        <v>17685.79</v>
      </c>
    </row>
    <row r="496" spans="1:31">
      <c r="A496" s="131">
        <v>42353</v>
      </c>
      <c r="B496" s="131">
        <v>42384</v>
      </c>
      <c r="C496" s="123">
        <f t="shared" si="217"/>
        <v>31</v>
      </c>
      <c r="D496" s="132">
        <v>8662.76</v>
      </c>
      <c r="E496" s="135"/>
      <c r="F496" s="135"/>
      <c r="G496" s="123"/>
      <c r="H496" s="123"/>
      <c r="I496" s="123"/>
      <c r="J496" s="123"/>
      <c r="K496" s="123"/>
      <c r="L496" s="123"/>
      <c r="M496" s="123"/>
      <c r="N496" s="123"/>
      <c r="O496" s="123"/>
      <c r="P496" s="123"/>
      <c r="Q496" s="123">
        <v>17</v>
      </c>
      <c r="R496" s="133">
        <f t="shared" si="204"/>
        <v>0</v>
      </c>
      <c r="S496" s="133"/>
      <c r="T496" s="116">
        <f t="shared" si="205"/>
        <v>0</v>
      </c>
      <c r="U496" s="116">
        <f t="shared" si="206"/>
        <v>0</v>
      </c>
      <c r="V496" s="116">
        <f t="shared" si="207"/>
        <v>0</v>
      </c>
      <c r="W496" s="116">
        <f t="shared" si="208"/>
        <v>0</v>
      </c>
      <c r="X496" s="116">
        <f t="shared" si="209"/>
        <v>0</v>
      </c>
      <c r="Y496" s="116">
        <f t="shared" si="210"/>
        <v>0</v>
      </c>
      <c r="Z496" s="116">
        <f t="shared" si="211"/>
        <v>0</v>
      </c>
      <c r="AA496" s="116">
        <f t="shared" si="212"/>
        <v>0</v>
      </c>
      <c r="AB496" s="116">
        <f t="shared" si="213"/>
        <v>0</v>
      </c>
      <c r="AC496" s="116">
        <f t="shared" si="214"/>
        <v>0</v>
      </c>
      <c r="AD496" s="116">
        <f t="shared" si="215"/>
        <v>0</v>
      </c>
      <c r="AE496" s="116">
        <f t="shared" si="218"/>
        <v>41446.050000000003</v>
      </c>
    </row>
    <row r="497" spans="1:31">
      <c r="A497" s="131">
        <v>42353</v>
      </c>
      <c r="B497" s="131">
        <v>42384</v>
      </c>
      <c r="C497" s="123">
        <f t="shared" si="217"/>
        <v>31</v>
      </c>
      <c r="D497" s="110">
        <v>33233.440000000002</v>
      </c>
      <c r="E497" s="135"/>
      <c r="F497" s="135"/>
      <c r="G497" s="123"/>
      <c r="H497" s="123"/>
      <c r="I497" s="123"/>
      <c r="J497" s="123"/>
      <c r="K497" s="123"/>
      <c r="L497" s="123"/>
      <c r="M497" s="123"/>
      <c r="N497" s="123"/>
      <c r="O497" s="123"/>
      <c r="P497" s="123"/>
      <c r="Q497" s="123">
        <v>17</v>
      </c>
      <c r="R497" s="133">
        <f t="shared" si="204"/>
        <v>0</v>
      </c>
      <c r="S497" s="133"/>
      <c r="T497" s="116">
        <f t="shared" si="205"/>
        <v>0</v>
      </c>
      <c r="U497" s="116">
        <f t="shared" si="206"/>
        <v>0</v>
      </c>
      <c r="V497" s="116">
        <f t="shared" si="207"/>
        <v>0</v>
      </c>
      <c r="W497" s="116">
        <f t="shared" si="208"/>
        <v>0</v>
      </c>
      <c r="X497" s="116">
        <f t="shared" si="209"/>
        <v>0</v>
      </c>
      <c r="Y497" s="116">
        <f t="shared" si="210"/>
        <v>0</v>
      </c>
      <c r="Z497" s="116">
        <f t="shared" si="211"/>
        <v>0</v>
      </c>
      <c r="AA497" s="116">
        <f t="shared" si="212"/>
        <v>0</v>
      </c>
      <c r="AB497" s="116">
        <f t="shared" si="213"/>
        <v>0</v>
      </c>
      <c r="AC497" s="116">
        <f t="shared" si="214"/>
        <v>0</v>
      </c>
      <c r="AD497" s="116">
        <f t="shared" si="215"/>
        <v>0</v>
      </c>
      <c r="AE497" s="116">
        <f t="shared" si="218"/>
        <v>159001.82999999999</v>
      </c>
    </row>
    <row r="498" spans="1:31">
      <c r="A498" s="131">
        <v>42364</v>
      </c>
      <c r="B498" s="131">
        <v>42395</v>
      </c>
      <c r="C498" s="123">
        <f t="shared" si="217"/>
        <v>31</v>
      </c>
      <c r="D498" s="132">
        <v>1567.19</v>
      </c>
      <c r="E498" s="135"/>
      <c r="F498" s="135"/>
      <c r="G498" s="123"/>
      <c r="H498" s="123"/>
      <c r="I498" s="123"/>
      <c r="J498" s="123"/>
      <c r="K498" s="123"/>
      <c r="L498" s="123"/>
      <c r="M498" s="123"/>
      <c r="N498" s="123"/>
      <c r="O498" s="123"/>
      <c r="P498" s="123"/>
      <c r="Q498" s="123">
        <v>6</v>
      </c>
      <c r="R498" s="133">
        <f t="shared" si="204"/>
        <v>0</v>
      </c>
      <c r="S498" s="133"/>
      <c r="T498" s="116">
        <f t="shared" si="205"/>
        <v>0</v>
      </c>
      <c r="U498" s="116">
        <f t="shared" si="206"/>
        <v>0</v>
      </c>
      <c r="V498" s="116">
        <f t="shared" si="207"/>
        <v>0</v>
      </c>
      <c r="W498" s="116">
        <f t="shared" si="208"/>
        <v>0</v>
      </c>
      <c r="X498" s="116">
        <f t="shared" si="209"/>
        <v>0</v>
      </c>
      <c r="Y498" s="116">
        <f t="shared" si="210"/>
        <v>0</v>
      </c>
      <c r="Z498" s="116">
        <f t="shared" si="211"/>
        <v>0</v>
      </c>
      <c r="AA498" s="116">
        <f t="shared" si="212"/>
        <v>0</v>
      </c>
      <c r="AB498" s="116">
        <f t="shared" si="213"/>
        <v>0</v>
      </c>
      <c r="AC498" s="116">
        <f t="shared" si="214"/>
        <v>0</v>
      </c>
      <c r="AD498" s="116">
        <f t="shared" si="215"/>
        <v>0</v>
      </c>
      <c r="AE498" s="116">
        <f t="shared" si="218"/>
        <v>2646.37</v>
      </c>
    </row>
    <row r="499" spans="1:31">
      <c r="A499" s="131">
        <v>42364</v>
      </c>
      <c r="B499" s="131">
        <v>42395</v>
      </c>
      <c r="C499" s="123">
        <f t="shared" si="217"/>
        <v>31</v>
      </c>
      <c r="D499" s="132">
        <v>1306.3900000000001</v>
      </c>
      <c r="E499" s="135"/>
      <c r="F499" s="135"/>
      <c r="G499" s="123"/>
      <c r="H499" s="123"/>
      <c r="I499" s="123"/>
      <c r="J499" s="123"/>
      <c r="K499" s="123"/>
      <c r="L499" s="123"/>
      <c r="M499" s="123"/>
      <c r="N499" s="123"/>
      <c r="O499" s="123"/>
      <c r="P499" s="123"/>
      <c r="Q499" s="123">
        <v>6</v>
      </c>
      <c r="R499" s="133">
        <f t="shared" si="204"/>
        <v>0</v>
      </c>
      <c r="S499" s="133"/>
      <c r="T499" s="116">
        <f t="shared" si="205"/>
        <v>0</v>
      </c>
      <c r="U499" s="116">
        <f t="shared" si="206"/>
        <v>0</v>
      </c>
      <c r="V499" s="116">
        <f t="shared" si="207"/>
        <v>0</v>
      </c>
      <c r="W499" s="116">
        <f t="shared" si="208"/>
        <v>0</v>
      </c>
      <c r="X499" s="116">
        <f t="shared" si="209"/>
        <v>0</v>
      </c>
      <c r="Y499" s="116">
        <f t="shared" si="210"/>
        <v>0</v>
      </c>
      <c r="Z499" s="116">
        <f t="shared" si="211"/>
        <v>0</v>
      </c>
      <c r="AA499" s="116">
        <f t="shared" si="212"/>
        <v>0</v>
      </c>
      <c r="AB499" s="116">
        <f t="shared" si="213"/>
        <v>0</v>
      </c>
      <c r="AC499" s="116">
        <f t="shared" si="214"/>
        <v>0</v>
      </c>
      <c r="AD499" s="116">
        <f t="shared" si="215"/>
        <v>0</v>
      </c>
      <c r="AE499" s="116">
        <f t="shared" si="218"/>
        <v>2205.98</v>
      </c>
    </row>
    <row r="500" spans="1:31">
      <c r="A500" s="131">
        <v>42366</v>
      </c>
      <c r="B500" s="131">
        <v>42397</v>
      </c>
      <c r="C500" s="123">
        <f t="shared" si="217"/>
        <v>31</v>
      </c>
      <c r="D500" s="132">
        <v>1502.16</v>
      </c>
      <c r="E500" s="135"/>
      <c r="F500" s="135"/>
      <c r="G500" s="123"/>
      <c r="H500" s="123"/>
      <c r="I500" s="123"/>
      <c r="J500" s="123"/>
      <c r="K500" s="123"/>
      <c r="L500" s="123"/>
      <c r="M500" s="123"/>
      <c r="N500" s="123"/>
      <c r="O500" s="123"/>
      <c r="P500" s="123"/>
      <c r="Q500" s="123">
        <v>4</v>
      </c>
      <c r="R500" s="133">
        <f t="shared" si="204"/>
        <v>0</v>
      </c>
      <c r="S500" s="133"/>
      <c r="T500" s="116">
        <f t="shared" si="205"/>
        <v>0</v>
      </c>
      <c r="U500" s="116">
        <f t="shared" si="206"/>
        <v>0</v>
      </c>
      <c r="V500" s="116">
        <f t="shared" si="207"/>
        <v>0</v>
      </c>
      <c r="W500" s="116">
        <f t="shared" si="208"/>
        <v>0</v>
      </c>
      <c r="X500" s="116">
        <f t="shared" si="209"/>
        <v>0</v>
      </c>
      <c r="Y500" s="116">
        <f t="shared" si="210"/>
        <v>0</v>
      </c>
      <c r="Z500" s="116">
        <f t="shared" si="211"/>
        <v>0</v>
      </c>
      <c r="AA500" s="116">
        <f t="shared" si="212"/>
        <v>0</v>
      </c>
      <c r="AB500" s="116">
        <f t="shared" si="213"/>
        <v>0</v>
      </c>
      <c r="AC500" s="116">
        <f t="shared" si="214"/>
        <v>0</v>
      </c>
      <c r="AD500" s="116">
        <f t="shared" si="215"/>
        <v>0</v>
      </c>
      <c r="AE500" s="116">
        <f t="shared" si="218"/>
        <v>1691.04</v>
      </c>
    </row>
    <row r="501" spans="1:31">
      <c r="A501" s="131">
        <v>42366</v>
      </c>
      <c r="B501" s="131">
        <v>42397</v>
      </c>
      <c r="C501" s="123">
        <f t="shared" si="217"/>
        <v>31</v>
      </c>
      <c r="D501" s="132">
        <v>1471</v>
      </c>
      <c r="E501" s="135"/>
      <c r="F501" s="135"/>
      <c r="G501" s="123"/>
      <c r="H501" s="123"/>
      <c r="I501" s="123"/>
      <c r="J501" s="123"/>
      <c r="K501" s="123"/>
      <c r="L501" s="123"/>
      <c r="M501" s="123"/>
      <c r="N501" s="123"/>
      <c r="O501" s="123"/>
      <c r="P501" s="123"/>
      <c r="Q501" s="123">
        <v>4</v>
      </c>
      <c r="R501" s="133">
        <f t="shared" si="204"/>
        <v>0</v>
      </c>
      <c r="S501" s="133"/>
      <c r="T501" s="116">
        <f t="shared" si="205"/>
        <v>0</v>
      </c>
      <c r="U501" s="116">
        <f t="shared" si="206"/>
        <v>0</v>
      </c>
      <c r="V501" s="116">
        <f t="shared" si="207"/>
        <v>0</v>
      </c>
      <c r="W501" s="116">
        <f t="shared" si="208"/>
        <v>0</v>
      </c>
      <c r="X501" s="116">
        <f t="shared" si="209"/>
        <v>0</v>
      </c>
      <c r="Y501" s="116">
        <f t="shared" si="210"/>
        <v>0</v>
      </c>
      <c r="Z501" s="116">
        <f t="shared" si="211"/>
        <v>0</v>
      </c>
      <c r="AA501" s="116">
        <f t="shared" si="212"/>
        <v>0</v>
      </c>
      <c r="AB501" s="116">
        <f t="shared" si="213"/>
        <v>0</v>
      </c>
      <c r="AC501" s="116">
        <f t="shared" si="214"/>
        <v>0</v>
      </c>
      <c r="AD501" s="116">
        <f t="shared" si="215"/>
        <v>0</v>
      </c>
      <c r="AE501" s="116">
        <f t="shared" si="218"/>
        <v>1655.96</v>
      </c>
    </row>
    <row r="502" spans="1:31">
      <c r="A502" s="131">
        <v>42369</v>
      </c>
      <c r="B502" s="131">
        <v>42400</v>
      </c>
      <c r="C502" s="123">
        <f t="shared" si="217"/>
        <v>31</v>
      </c>
      <c r="D502" s="110">
        <v>11252.45</v>
      </c>
      <c r="E502" s="135"/>
      <c r="F502" s="135"/>
      <c r="G502" s="123"/>
      <c r="H502" s="123"/>
      <c r="I502" s="123"/>
      <c r="J502" s="123"/>
      <c r="K502" s="123"/>
      <c r="L502" s="123"/>
      <c r="M502" s="123"/>
      <c r="N502" s="123"/>
      <c r="O502" s="123"/>
      <c r="P502" s="123"/>
      <c r="Q502" s="123">
        <v>1</v>
      </c>
      <c r="R502" s="133">
        <f t="shared" si="204"/>
        <v>0</v>
      </c>
      <c r="S502" s="133"/>
      <c r="T502" s="116">
        <f t="shared" si="205"/>
        <v>0</v>
      </c>
      <c r="U502" s="116">
        <f t="shared" si="206"/>
        <v>0</v>
      </c>
      <c r="V502" s="116">
        <f t="shared" si="207"/>
        <v>0</v>
      </c>
      <c r="W502" s="116">
        <f t="shared" si="208"/>
        <v>0</v>
      </c>
      <c r="X502" s="116">
        <f t="shared" si="209"/>
        <v>0</v>
      </c>
      <c r="Y502" s="116">
        <f t="shared" si="210"/>
        <v>0</v>
      </c>
      <c r="Z502" s="116">
        <f t="shared" si="211"/>
        <v>0</v>
      </c>
      <c r="AA502" s="116">
        <f t="shared" si="212"/>
        <v>0</v>
      </c>
      <c r="AB502" s="116">
        <f t="shared" si="213"/>
        <v>0</v>
      </c>
      <c r="AC502" s="116">
        <f t="shared" si="214"/>
        <v>0</v>
      </c>
      <c r="AD502" s="116">
        <f t="shared" si="215"/>
        <v>0</v>
      </c>
      <c r="AE502" s="116">
        <v>1574.65</v>
      </c>
    </row>
    <row r="503" spans="1:31">
      <c r="A503" s="131">
        <v>42370</v>
      </c>
      <c r="B503" s="131">
        <v>42401</v>
      </c>
      <c r="C503" s="123">
        <f t="shared" si="217"/>
        <v>31</v>
      </c>
      <c r="D503" s="132">
        <v>220.18</v>
      </c>
      <c r="E503" s="135"/>
      <c r="F503" s="135"/>
      <c r="G503" s="123"/>
      <c r="H503" s="123"/>
      <c r="I503" s="123"/>
      <c r="J503" s="123"/>
      <c r="K503" s="123"/>
      <c r="L503" s="123"/>
      <c r="M503" s="123"/>
      <c r="N503" s="123"/>
      <c r="O503" s="123"/>
      <c r="P503" s="123"/>
      <c r="Q503" s="123"/>
      <c r="R503" s="133">
        <f t="shared" si="204"/>
        <v>0</v>
      </c>
      <c r="S503" s="133"/>
      <c r="T503" s="116">
        <f t="shared" si="205"/>
        <v>0</v>
      </c>
      <c r="U503" s="116">
        <f t="shared" si="206"/>
        <v>0</v>
      </c>
      <c r="V503" s="116">
        <f t="shared" si="207"/>
        <v>0</v>
      </c>
      <c r="W503" s="116">
        <f t="shared" si="208"/>
        <v>0</v>
      </c>
      <c r="X503" s="116">
        <f t="shared" si="209"/>
        <v>0</v>
      </c>
      <c r="Y503" s="116">
        <f t="shared" si="210"/>
        <v>0</v>
      </c>
      <c r="Z503" s="116">
        <f t="shared" si="211"/>
        <v>0</v>
      </c>
      <c r="AA503" s="116">
        <f t="shared" si="212"/>
        <v>0</v>
      </c>
      <c r="AB503" s="116">
        <f t="shared" si="213"/>
        <v>0</v>
      </c>
      <c r="AC503" s="116">
        <f t="shared" si="214"/>
        <v>0</v>
      </c>
      <c r="AD503" s="116">
        <f t="shared" si="215"/>
        <v>0</v>
      </c>
      <c r="AE503" s="116">
        <f t="shared" ref="AE503:AE524" si="219">ROUND(($D503*$Q503/$C503)/$C$17,2)</f>
        <v>0</v>
      </c>
    </row>
    <row r="504" spans="1:31">
      <c r="A504" s="131">
        <v>42353</v>
      </c>
      <c r="B504" s="131">
        <v>42384</v>
      </c>
      <c r="C504" s="123">
        <f t="shared" si="217"/>
        <v>31</v>
      </c>
      <c r="D504" s="132">
        <v>2017.13</v>
      </c>
      <c r="E504" s="135"/>
      <c r="F504" s="135"/>
      <c r="G504" s="123"/>
      <c r="H504" s="123"/>
      <c r="I504" s="123"/>
      <c r="J504" s="123"/>
      <c r="K504" s="123"/>
      <c r="L504" s="123"/>
      <c r="M504" s="123"/>
      <c r="N504" s="123"/>
      <c r="O504" s="123"/>
      <c r="P504" s="123"/>
      <c r="Q504" s="123">
        <v>17</v>
      </c>
      <c r="R504" s="133">
        <f t="shared" si="204"/>
        <v>0</v>
      </c>
      <c r="S504" s="133"/>
      <c r="T504" s="116">
        <f t="shared" si="205"/>
        <v>0</v>
      </c>
      <c r="U504" s="116">
        <f t="shared" si="206"/>
        <v>0</v>
      </c>
      <c r="V504" s="116">
        <f t="shared" si="207"/>
        <v>0</v>
      </c>
      <c r="W504" s="116">
        <f t="shared" si="208"/>
        <v>0</v>
      </c>
      <c r="X504" s="116">
        <f t="shared" si="209"/>
        <v>0</v>
      </c>
      <c r="Y504" s="116">
        <f t="shared" si="210"/>
        <v>0</v>
      </c>
      <c r="Z504" s="116">
        <f t="shared" si="211"/>
        <v>0</v>
      </c>
      <c r="AA504" s="116">
        <f t="shared" si="212"/>
        <v>0</v>
      </c>
      <c r="AB504" s="116">
        <f t="shared" si="213"/>
        <v>0</v>
      </c>
      <c r="AC504" s="116">
        <f t="shared" si="214"/>
        <v>0</v>
      </c>
      <c r="AD504" s="116">
        <f t="shared" si="215"/>
        <v>0</v>
      </c>
      <c r="AE504" s="116">
        <f t="shared" si="219"/>
        <v>9650.74</v>
      </c>
    </row>
    <row r="505" spans="1:31">
      <c r="A505" s="131">
        <v>42370</v>
      </c>
      <c r="B505" s="131">
        <v>42401</v>
      </c>
      <c r="C505" s="123">
        <f t="shared" si="217"/>
        <v>31</v>
      </c>
      <c r="D505" s="132">
        <v>129866.63</v>
      </c>
      <c r="E505" s="135"/>
      <c r="F505" s="135"/>
      <c r="G505" s="123"/>
      <c r="H505" s="123"/>
      <c r="I505" s="123"/>
      <c r="J505" s="123"/>
      <c r="K505" s="123"/>
      <c r="L505" s="123"/>
      <c r="M505" s="123"/>
      <c r="N505" s="123"/>
      <c r="O505" s="123"/>
      <c r="P505" s="123"/>
      <c r="Q505" s="123"/>
      <c r="R505" s="133">
        <f t="shared" si="204"/>
        <v>0</v>
      </c>
      <c r="S505" s="133"/>
      <c r="T505" s="116">
        <f t="shared" si="205"/>
        <v>0</v>
      </c>
      <c r="U505" s="116">
        <f t="shared" si="206"/>
        <v>0</v>
      </c>
      <c r="V505" s="116">
        <f t="shared" si="207"/>
        <v>0</v>
      </c>
      <c r="W505" s="116">
        <f t="shared" si="208"/>
        <v>0</v>
      </c>
      <c r="X505" s="116">
        <f t="shared" si="209"/>
        <v>0</v>
      </c>
      <c r="Y505" s="116">
        <f t="shared" si="210"/>
        <v>0</v>
      </c>
      <c r="Z505" s="116">
        <f t="shared" si="211"/>
        <v>0</v>
      </c>
      <c r="AA505" s="116">
        <f t="shared" si="212"/>
        <v>0</v>
      </c>
      <c r="AB505" s="116">
        <f t="shared" si="213"/>
        <v>0</v>
      </c>
      <c r="AC505" s="116">
        <f t="shared" si="214"/>
        <v>0</v>
      </c>
      <c r="AD505" s="116">
        <f t="shared" si="215"/>
        <v>0</v>
      </c>
      <c r="AE505" s="116">
        <f t="shared" si="219"/>
        <v>0</v>
      </c>
    </row>
    <row r="506" spans="1:31">
      <c r="A506" s="131">
        <v>42370</v>
      </c>
      <c r="B506" s="131">
        <v>42401</v>
      </c>
      <c r="C506" s="123">
        <f t="shared" si="217"/>
        <v>31</v>
      </c>
      <c r="D506" s="132">
        <v>45988.51</v>
      </c>
      <c r="E506" s="135"/>
      <c r="F506" s="135"/>
      <c r="G506" s="123"/>
      <c r="H506" s="123"/>
      <c r="I506" s="123"/>
      <c r="J506" s="123"/>
      <c r="K506" s="123"/>
      <c r="L506" s="123"/>
      <c r="M506" s="123"/>
      <c r="N506" s="123"/>
      <c r="O506" s="123"/>
      <c r="P506" s="123"/>
      <c r="Q506" s="123"/>
      <c r="R506" s="133">
        <f t="shared" si="204"/>
        <v>0</v>
      </c>
      <c r="S506" s="133"/>
      <c r="T506" s="116">
        <f t="shared" si="205"/>
        <v>0</v>
      </c>
      <c r="U506" s="116">
        <f t="shared" si="206"/>
        <v>0</v>
      </c>
      <c r="V506" s="116">
        <f t="shared" si="207"/>
        <v>0</v>
      </c>
      <c r="W506" s="116">
        <f t="shared" si="208"/>
        <v>0</v>
      </c>
      <c r="X506" s="116">
        <f t="shared" si="209"/>
        <v>0</v>
      </c>
      <c r="Y506" s="116">
        <f t="shared" si="210"/>
        <v>0</v>
      </c>
      <c r="Z506" s="116">
        <f t="shared" si="211"/>
        <v>0</v>
      </c>
      <c r="AA506" s="116">
        <f t="shared" si="212"/>
        <v>0</v>
      </c>
      <c r="AB506" s="116">
        <f t="shared" si="213"/>
        <v>0</v>
      </c>
      <c r="AC506" s="116">
        <f t="shared" si="214"/>
        <v>0</v>
      </c>
      <c r="AD506" s="116">
        <f t="shared" si="215"/>
        <v>0</v>
      </c>
      <c r="AE506" s="116">
        <f t="shared" si="219"/>
        <v>0</v>
      </c>
    </row>
    <row r="507" spans="1:31">
      <c r="A507" s="131">
        <v>42370</v>
      </c>
      <c r="B507" s="131">
        <v>42401</v>
      </c>
      <c r="C507" s="123">
        <f t="shared" si="217"/>
        <v>31</v>
      </c>
      <c r="D507" s="132">
        <v>3712.01</v>
      </c>
      <c r="E507" s="135"/>
      <c r="F507" s="135"/>
      <c r="G507" s="123"/>
      <c r="H507" s="123"/>
      <c r="I507" s="123"/>
      <c r="J507" s="123"/>
      <c r="K507" s="123"/>
      <c r="L507" s="123"/>
      <c r="M507" s="123"/>
      <c r="N507" s="123"/>
      <c r="O507" s="123"/>
      <c r="P507" s="123"/>
      <c r="Q507" s="123"/>
      <c r="R507" s="133">
        <f t="shared" si="204"/>
        <v>0</v>
      </c>
      <c r="S507" s="133"/>
      <c r="T507" s="116">
        <f t="shared" si="205"/>
        <v>0</v>
      </c>
      <c r="U507" s="116">
        <f t="shared" si="206"/>
        <v>0</v>
      </c>
      <c r="V507" s="116">
        <f t="shared" si="207"/>
        <v>0</v>
      </c>
      <c r="W507" s="116">
        <f t="shared" si="208"/>
        <v>0</v>
      </c>
      <c r="X507" s="116">
        <f t="shared" si="209"/>
        <v>0</v>
      </c>
      <c r="Y507" s="116">
        <f t="shared" si="210"/>
        <v>0</v>
      </c>
      <c r="Z507" s="116">
        <f t="shared" si="211"/>
        <v>0</v>
      </c>
      <c r="AA507" s="116">
        <f t="shared" si="212"/>
        <v>0</v>
      </c>
      <c r="AB507" s="116">
        <f t="shared" si="213"/>
        <v>0</v>
      </c>
      <c r="AC507" s="116">
        <f t="shared" si="214"/>
        <v>0</v>
      </c>
      <c r="AD507" s="116">
        <f t="shared" si="215"/>
        <v>0</v>
      </c>
      <c r="AE507" s="116">
        <f t="shared" si="219"/>
        <v>0</v>
      </c>
    </row>
    <row r="508" spans="1:31">
      <c r="A508" s="131">
        <v>42370</v>
      </c>
      <c r="B508" s="131">
        <v>42401</v>
      </c>
      <c r="C508" s="123">
        <f t="shared" si="217"/>
        <v>31</v>
      </c>
      <c r="D508" s="132">
        <v>2096.62</v>
      </c>
      <c r="E508" s="135"/>
      <c r="F508" s="135"/>
      <c r="G508" s="123"/>
      <c r="H508" s="123"/>
      <c r="I508" s="123"/>
      <c r="J508" s="123"/>
      <c r="K508" s="123"/>
      <c r="L508" s="123"/>
      <c r="M508" s="123"/>
      <c r="N508" s="123"/>
      <c r="O508" s="123"/>
      <c r="P508" s="123"/>
      <c r="Q508" s="123"/>
      <c r="R508" s="133">
        <f t="shared" si="204"/>
        <v>0</v>
      </c>
      <c r="S508" s="133"/>
      <c r="T508" s="116">
        <f t="shared" si="205"/>
        <v>0</v>
      </c>
      <c r="U508" s="116">
        <f t="shared" si="206"/>
        <v>0</v>
      </c>
      <c r="V508" s="116">
        <f t="shared" si="207"/>
        <v>0</v>
      </c>
      <c r="W508" s="116">
        <f t="shared" si="208"/>
        <v>0</v>
      </c>
      <c r="X508" s="116">
        <f t="shared" si="209"/>
        <v>0</v>
      </c>
      <c r="Y508" s="116">
        <f t="shared" si="210"/>
        <v>0</v>
      </c>
      <c r="Z508" s="116">
        <f t="shared" si="211"/>
        <v>0</v>
      </c>
      <c r="AA508" s="116">
        <f t="shared" si="212"/>
        <v>0</v>
      </c>
      <c r="AB508" s="116">
        <f t="shared" si="213"/>
        <v>0</v>
      </c>
      <c r="AC508" s="116">
        <f t="shared" si="214"/>
        <v>0</v>
      </c>
      <c r="AD508" s="116">
        <f t="shared" si="215"/>
        <v>0</v>
      </c>
      <c r="AE508" s="116">
        <f t="shared" si="219"/>
        <v>0</v>
      </c>
    </row>
    <row r="509" spans="1:31">
      <c r="A509" s="131">
        <v>42370</v>
      </c>
      <c r="B509" s="131">
        <v>42401</v>
      </c>
      <c r="C509" s="123">
        <f t="shared" si="217"/>
        <v>31</v>
      </c>
      <c r="D509" s="132">
        <v>300.29000000000002</v>
      </c>
      <c r="E509" s="135"/>
      <c r="F509" s="135"/>
      <c r="G509" s="123"/>
      <c r="H509" s="123"/>
      <c r="I509" s="123"/>
      <c r="J509" s="123"/>
      <c r="K509" s="123"/>
      <c r="L509" s="123"/>
      <c r="M509" s="123"/>
      <c r="N509" s="123"/>
      <c r="O509" s="123"/>
      <c r="P509" s="123"/>
      <c r="Q509" s="123"/>
      <c r="R509" s="133">
        <f t="shared" si="204"/>
        <v>0</v>
      </c>
      <c r="S509" s="133"/>
      <c r="T509" s="116">
        <f t="shared" si="205"/>
        <v>0</v>
      </c>
      <c r="U509" s="116">
        <f t="shared" si="206"/>
        <v>0</v>
      </c>
      <c r="V509" s="116">
        <f t="shared" si="207"/>
        <v>0</v>
      </c>
      <c r="W509" s="116">
        <f t="shared" si="208"/>
        <v>0</v>
      </c>
      <c r="X509" s="116">
        <f t="shared" si="209"/>
        <v>0</v>
      </c>
      <c r="Y509" s="116">
        <f t="shared" si="210"/>
        <v>0</v>
      </c>
      <c r="Z509" s="116">
        <f t="shared" si="211"/>
        <v>0</v>
      </c>
      <c r="AA509" s="116">
        <f t="shared" si="212"/>
        <v>0</v>
      </c>
      <c r="AB509" s="116">
        <f t="shared" si="213"/>
        <v>0</v>
      </c>
      <c r="AC509" s="116">
        <f t="shared" si="214"/>
        <v>0</v>
      </c>
      <c r="AD509" s="116">
        <f t="shared" si="215"/>
        <v>0</v>
      </c>
      <c r="AE509" s="116">
        <f t="shared" si="219"/>
        <v>0</v>
      </c>
    </row>
    <row r="510" spans="1:31">
      <c r="A510" s="131">
        <v>42370</v>
      </c>
      <c r="B510" s="131">
        <v>42401</v>
      </c>
      <c r="C510" s="123">
        <f t="shared" si="217"/>
        <v>31</v>
      </c>
      <c r="D510" s="132">
        <v>1460.37</v>
      </c>
      <c r="E510" s="135"/>
      <c r="F510" s="135"/>
      <c r="G510" s="123"/>
      <c r="H510" s="123"/>
      <c r="I510" s="123"/>
      <c r="J510" s="123"/>
      <c r="K510" s="123"/>
      <c r="L510" s="123"/>
      <c r="M510" s="123"/>
      <c r="N510" s="123"/>
      <c r="O510" s="123"/>
      <c r="P510" s="123"/>
      <c r="Q510" s="123"/>
      <c r="R510" s="133">
        <f t="shared" si="204"/>
        <v>0</v>
      </c>
      <c r="S510" s="133"/>
      <c r="T510" s="116">
        <f t="shared" si="205"/>
        <v>0</v>
      </c>
      <c r="U510" s="116">
        <f t="shared" si="206"/>
        <v>0</v>
      </c>
      <c r="V510" s="116">
        <f t="shared" si="207"/>
        <v>0</v>
      </c>
      <c r="W510" s="116">
        <f t="shared" si="208"/>
        <v>0</v>
      </c>
      <c r="X510" s="116">
        <f t="shared" si="209"/>
        <v>0</v>
      </c>
      <c r="Y510" s="116">
        <f t="shared" si="210"/>
        <v>0</v>
      </c>
      <c r="Z510" s="116">
        <f t="shared" si="211"/>
        <v>0</v>
      </c>
      <c r="AA510" s="116">
        <f t="shared" si="212"/>
        <v>0</v>
      </c>
      <c r="AB510" s="116">
        <f t="shared" si="213"/>
        <v>0</v>
      </c>
      <c r="AC510" s="116">
        <f t="shared" si="214"/>
        <v>0</v>
      </c>
      <c r="AD510" s="116">
        <f t="shared" si="215"/>
        <v>0</v>
      </c>
      <c r="AE510" s="116">
        <f t="shared" si="219"/>
        <v>0</v>
      </c>
    </row>
    <row r="511" spans="1:31">
      <c r="A511" s="131">
        <v>42370</v>
      </c>
      <c r="B511" s="131">
        <v>42401</v>
      </c>
      <c r="C511" s="123">
        <f t="shared" si="217"/>
        <v>31</v>
      </c>
      <c r="D511" s="132">
        <v>888.23</v>
      </c>
      <c r="E511" s="135"/>
      <c r="F511" s="135"/>
      <c r="G511" s="123"/>
      <c r="H511" s="123"/>
      <c r="I511" s="123"/>
      <c r="J511" s="123"/>
      <c r="K511" s="123"/>
      <c r="L511" s="123"/>
      <c r="M511" s="123"/>
      <c r="N511" s="123"/>
      <c r="O511" s="123"/>
      <c r="P511" s="123"/>
      <c r="Q511" s="123"/>
      <c r="R511" s="133">
        <f t="shared" si="204"/>
        <v>0</v>
      </c>
      <c r="S511" s="133"/>
      <c r="T511" s="116">
        <f t="shared" si="205"/>
        <v>0</v>
      </c>
      <c r="U511" s="116">
        <f t="shared" si="206"/>
        <v>0</v>
      </c>
      <c r="V511" s="116">
        <f t="shared" si="207"/>
        <v>0</v>
      </c>
      <c r="W511" s="116">
        <f t="shared" si="208"/>
        <v>0</v>
      </c>
      <c r="X511" s="116">
        <f t="shared" si="209"/>
        <v>0</v>
      </c>
      <c r="Y511" s="116">
        <f t="shared" si="210"/>
        <v>0</v>
      </c>
      <c r="Z511" s="116">
        <f t="shared" si="211"/>
        <v>0</v>
      </c>
      <c r="AA511" s="116">
        <f t="shared" si="212"/>
        <v>0</v>
      </c>
      <c r="AB511" s="116">
        <f t="shared" si="213"/>
        <v>0</v>
      </c>
      <c r="AC511" s="116">
        <f t="shared" si="214"/>
        <v>0</v>
      </c>
      <c r="AD511" s="116">
        <f t="shared" si="215"/>
        <v>0</v>
      </c>
      <c r="AE511" s="116">
        <f t="shared" si="219"/>
        <v>0</v>
      </c>
    </row>
    <row r="512" spans="1:31">
      <c r="A512" s="131">
        <v>42370</v>
      </c>
      <c r="B512" s="131">
        <v>42401</v>
      </c>
      <c r="C512" s="123">
        <f t="shared" si="217"/>
        <v>31</v>
      </c>
      <c r="D512" s="132">
        <v>679.48</v>
      </c>
      <c r="E512" s="135"/>
      <c r="F512" s="135"/>
      <c r="G512" s="123"/>
      <c r="H512" s="123"/>
      <c r="I512" s="123"/>
      <c r="J512" s="123"/>
      <c r="K512" s="123"/>
      <c r="L512" s="123"/>
      <c r="M512" s="123"/>
      <c r="N512" s="123"/>
      <c r="O512" s="123"/>
      <c r="P512" s="123"/>
      <c r="Q512" s="123"/>
      <c r="R512" s="133">
        <f t="shared" si="204"/>
        <v>0</v>
      </c>
      <c r="S512" s="133"/>
      <c r="T512" s="116">
        <f t="shared" si="205"/>
        <v>0</v>
      </c>
      <c r="U512" s="116">
        <f t="shared" si="206"/>
        <v>0</v>
      </c>
      <c r="V512" s="116">
        <f t="shared" si="207"/>
        <v>0</v>
      </c>
      <c r="W512" s="116">
        <f t="shared" si="208"/>
        <v>0</v>
      </c>
      <c r="X512" s="116">
        <f t="shared" si="209"/>
        <v>0</v>
      </c>
      <c r="Y512" s="116">
        <f t="shared" si="210"/>
        <v>0</v>
      </c>
      <c r="Z512" s="116">
        <f t="shared" si="211"/>
        <v>0</v>
      </c>
      <c r="AA512" s="116">
        <f t="shared" si="212"/>
        <v>0</v>
      </c>
      <c r="AB512" s="116">
        <f t="shared" si="213"/>
        <v>0</v>
      </c>
      <c r="AC512" s="116">
        <f t="shared" si="214"/>
        <v>0</v>
      </c>
      <c r="AD512" s="116">
        <f t="shared" si="215"/>
        <v>0</v>
      </c>
      <c r="AE512" s="116">
        <f t="shared" si="219"/>
        <v>0</v>
      </c>
    </row>
    <row r="513" spans="1:31">
      <c r="A513" s="131">
        <v>42360</v>
      </c>
      <c r="B513" s="131">
        <v>42391</v>
      </c>
      <c r="C513" s="123">
        <f t="shared" si="217"/>
        <v>31</v>
      </c>
      <c r="D513" s="132">
        <v>2843.49</v>
      </c>
      <c r="E513" s="135"/>
      <c r="F513" s="135"/>
      <c r="G513" s="123"/>
      <c r="H513" s="123"/>
      <c r="I513" s="123"/>
      <c r="J513" s="123"/>
      <c r="K513" s="123"/>
      <c r="L513" s="123"/>
      <c r="M513" s="123"/>
      <c r="N513" s="123"/>
      <c r="O513" s="123"/>
      <c r="P513" s="123"/>
      <c r="Q513" s="123">
        <v>10</v>
      </c>
      <c r="R513" s="133">
        <f t="shared" si="204"/>
        <v>0</v>
      </c>
      <c r="S513" s="133"/>
      <c r="T513" s="116">
        <f t="shared" si="205"/>
        <v>0</v>
      </c>
      <c r="U513" s="116">
        <f t="shared" si="206"/>
        <v>0</v>
      </c>
      <c r="V513" s="116">
        <f t="shared" si="207"/>
        <v>0</v>
      </c>
      <c r="W513" s="116">
        <f t="shared" si="208"/>
        <v>0</v>
      </c>
      <c r="X513" s="116">
        <f t="shared" si="209"/>
        <v>0</v>
      </c>
      <c r="Y513" s="116">
        <f t="shared" si="210"/>
        <v>0</v>
      </c>
      <c r="Z513" s="116">
        <f t="shared" si="211"/>
        <v>0</v>
      </c>
      <c r="AA513" s="116">
        <f t="shared" si="212"/>
        <v>0</v>
      </c>
      <c r="AB513" s="116">
        <f t="shared" si="213"/>
        <v>0</v>
      </c>
      <c r="AC513" s="116">
        <f t="shared" si="214"/>
        <v>0</v>
      </c>
      <c r="AD513" s="116">
        <f t="shared" si="215"/>
        <v>0</v>
      </c>
      <c r="AE513" s="116">
        <f t="shared" si="219"/>
        <v>8002.57</v>
      </c>
    </row>
    <row r="514" spans="1:31">
      <c r="A514" s="131">
        <v>42370</v>
      </c>
      <c r="B514" s="131">
        <v>42401</v>
      </c>
      <c r="C514" s="123">
        <f t="shared" si="217"/>
        <v>31</v>
      </c>
      <c r="D514" s="132">
        <v>16792.990000000002</v>
      </c>
      <c r="E514" s="135"/>
      <c r="F514" s="135"/>
      <c r="G514" s="123"/>
      <c r="H514" s="123"/>
      <c r="I514" s="123"/>
      <c r="J514" s="123"/>
      <c r="K514" s="123"/>
      <c r="L514" s="123"/>
      <c r="M514" s="123"/>
      <c r="N514" s="123"/>
      <c r="O514" s="123"/>
      <c r="P514" s="123"/>
      <c r="Q514" s="123"/>
      <c r="R514" s="133">
        <f t="shared" si="204"/>
        <v>0</v>
      </c>
      <c r="S514" s="133"/>
      <c r="T514" s="116">
        <f t="shared" si="205"/>
        <v>0</v>
      </c>
      <c r="U514" s="116">
        <f t="shared" si="206"/>
        <v>0</v>
      </c>
      <c r="V514" s="116">
        <f t="shared" si="207"/>
        <v>0</v>
      </c>
      <c r="W514" s="116">
        <f t="shared" si="208"/>
        <v>0</v>
      </c>
      <c r="X514" s="116">
        <f t="shared" si="209"/>
        <v>0</v>
      </c>
      <c r="Y514" s="116">
        <f t="shared" si="210"/>
        <v>0</v>
      </c>
      <c r="Z514" s="116">
        <f t="shared" si="211"/>
        <v>0</v>
      </c>
      <c r="AA514" s="116">
        <f t="shared" si="212"/>
        <v>0</v>
      </c>
      <c r="AB514" s="116">
        <f t="shared" si="213"/>
        <v>0</v>
      </c>
      <c r="AC514" s="116">
        <f t="shared" si="214"/>
        <v>0</v>
      </c>
      <c r="AD514" s="116">
        <f t="shared" si="215"/>
        <v>0</v>
      </c>
      <c r="AE514" s="116">
        <f t="shared" si="219"/>
        <v>0</v>
      </c>
    </row>
    <row r="515" spans="1:31">
      <c r="A515" s="131">
        <v>42366</v>
      </c>
      <c r="B515" s="131">
        <v>42397</v>
      </c>
      <c r="C515" s="123">
        <f t="shared" si="217"/>
        <v>31</v>
      </c>
      <c r="D515" s="132">
        <v>2172.08</v>
      </c>
      <c r="E515" s="135"/>
      <c r="F515" s="135"/>
      <c r="G515" s="123"/>
      <c r="H515" s="123"/>
      <c r="I515" s="123"/>
      <c r="J515" s="123"/>
      <c r="K515" s="123"/>
      <c r="L515" s="123"/>
      <c r="M515" s="123"/>
      <c r="N515" s="123"/>
      <c r="O515" s="123"/>
      <c r="P515" s="123"/>
      <c r="Q515" s="123">
        <v>4</v>
      </c>
      <c r="R515" s="133">
        <f>C515-SUM(F515:Q515)-(B515-$B$17)+1</f>
        <v>0</v>
      </c>
      <c r="S515" s="133"/>
      <c r="T515" s="116">
        <f t="shared" si="205"/>
        <v>0</v>
      </c>
      <c r="U515" s="116">
        <f t="shared" si="206"/>
        <v>0</v>
      </c>
      <c r="V515" s="116">
        <f t="shared" si="207"/>
        <v>0</v>
      </c>
      <c r="W515" s="116">
        <f t="shared" si="208"/>
        <v>0</v>
      </c>
      <c r="X515" s="116">
        <f t="shared" si="209"/>
        <v>0</v>
      </c>
      <c r="Y515" s="116">
        <f t="shared" si="210"/>
        <v>0</v>
      </c>
      <c r="Z515" s="116">
        <f t="shared" si="211"/>
        <v>0</v>
      </c>
      <c r="AA515" s="116">
        <f t="shared" si="212"/>
        <v>0</v>
      </c>
      <c r="AB515" s="116">
        <f t="shared" si="213"/>
        <v>0</v>
      </c>
      <c r="AC515" s="116">
        <f t="shared" si="214"/>
        <v>0</v>
      </c>
      <c r="AD515" s="116">
        <f t="shared" si="215"/>
        <v>0</v>
      </c>
      <c r="AE515" s="116">
        <f t="shared" si="219"/>
        <v>2445.1999999999998</v>
      </c>
    </row>
    <row r="516" spans="1:31">
      <c r="A516" s="131">
        <v>42374</v>
      </c>
      <c r="B516" s="131">
        <v>42405</v>
      </c>
      <c r="C516" s="123">
        <f t="shared" si="217"/>
        <v>31</v>
      </c>
      <c r="D516" s="132">
        <v>1190.25</v>
      </c>
      <c r="E516" s="135"/>
      <c r="F516" s="135"/>
      <c r="G516" s="123"/>
      <c r="H516" s="123"/>
      <c r="I516" s="123"/>
      <c r="J516" s="123"/>
      <c r="K516" s="123"/>
      <c r="L516" s="123"/>
      <c r="M516" s="123"/>
      <c r="N516" s="123"/>
      <c r="O516" s="123"/>
      <c r="P516" s="123"/>
      <c r="Q516" s="123"/>
      <c r="R516" s="133">
        <f>C516-SUM(F516:Q516)-(B516-$B$17)+5</f>
        <v>0</v>
      </c>
      <c r="S516" s="133"/>
      <c r="T516" s="116">
        <f t="shared" si="205"/>
        <v>0</v>
      </c>
      <c r="U516" s="116">
        <f t="shared" si="206"/>
        <v>0</v>
      </c>
      <c r="V516" s="116">
        <f t="shared" si="207"/>
        <v>0</v>
      </c>
      <c r="W516" s="116">
        <f t="shared" si="208"/>
        <v>0</v>
      </c>
      <c r="X516" s="116">
        <f t="shared" si="209"/>
        <v>0</v>
      </c>
      <c r="Y516" s="116">
        <f t="shared" si="210"/>
        <v>0</v>
      </c>
      <c r="Z516" s="116">
        <f t="shared" si="211"/>
        <v>0</v>
      </c>
      <c r="AA516" s="116">
        <f t="shared" si="212"/>
        <v>0</v>
      </c>
      <c r="AB516" s="116">
        <f t="shared" si="213"/>
        <v>0</v>
      </c>
      <c r="AC516" s="116">
        <f t="shared" si="214"/>
        <v>0</v>
      </c>
      <c r="AD516" s="116">
        <f t="shared" si="215"/>
        <v>0</v>
      </c>
      <c r="AE516" s="116">
        <f t="shared" si="219"/>
        <v>0</v>
      </c>
    </row>
    <row r="517" spans="1:31">
      <c r="A517" s="131">
        <v>42374</v>
      </c>
      <c r="B517" s="131">
        <v>42405</v>
      </c>
      <c r="C517" s="123">
        <f t="shared" si="217"/>
        <v>31</v>
      </c>
      <c r="D517" s="132">
        <v>881.14</v>
      </c>
      <c r="E517" s="135"/>
      <c r="F517" s="135"/>
      <c r="G517" s="123"/>
      <c r="H517" s="123"/>
      <c r="I517" s="123"/>
      <c r="J517" s="123"/>
      <c r="K517" s="123"/>
      <c r="L517" s="123"/>
      <c r="M517" s="123"/>
      <c r="N517" s="123"/>
      <c r="O517" s="123"/>
      <c r="P517" s="123"/>
      <c r="Q517" s="123"/>
      <c r="R517" s="133">
        <f>C517-SUM(F517:Q517)-(B517-$B$17)+5</f>
        <v>0</v>
      </c>
      <c r="S517" s="133"/>
      <c r="T517" s="116">
        <f t="shared" si="205"/>
        <v>0</v>
      </c>
      <c r="U517" s="116">
        <f t="shared" si="206"/>
        <v>0</v>
      </c>
      <c r="V517" s="116">
        <f t="shared" si="207"/>
        <v>0</v>
      </c>
      <c r="W517" s="116">
        <f t="shared" si="208"/>
        <v>0</v>
      </c>
      <c r="X517" s="116">
        <f t="shared" si="209"/>
        <v>0</v>
      </c>
      <c r="Y517" s="116">
        <f t="shared" si="210"/>
        <v>0</v>
      </c>
      <c r="Z517" s="116">
        <f t="shared" si="211"/>
        <v>0</v>
      </c>
      <c r="AA517" s="116">
        <f t="shared" si="212"/>
        <v>0</v>
      </c>
      <c r="AB517" s="116">
        <f t="shared" si="213"/>
        <v>0</v>
      </c>
      <c r="AC517" s="116">
        <f t="shared" si="214"/>
        <v>0</v>
      </c>
      <c r="AD517" s="116">
        <f t="shared" si="215"/>
        <v>0</v>
      </c>
      <c r="AE517" s="116">
        <f t="shared" si="219"/>
        <v>0</v>
      </c>
    </row>
    <row r="518" spans="1:31">
      <c r="A518" s="131">
        <v>42374</v>
      </c>
      <c r="B518" s="131">
        <v>42405</v>
      </c>
      <c r="C518" s="123">
        <f t="shared" si="217"/>
        <v>31</v>
      </c>
      <c r="D518" s="132">
        <v>136.66</v>
      </c>
      <c r="E518" s="135"/>
      <c r="F518" s="135"/>
      <c r="G518" s="123"/>
      <c r="H518" s="123"/>
      <c r="I518" s="123"/>
      <c r="J518" s="123"/>
      <c r="K518" s="123"/>
      <c r="L518" s="123"/>
      <c r="M518" s="123"/>
      <c r="N518" s="123"/>
      <c r="O518" s="123"/>
      <c r="P518" s="123"/>
      <c r="Q518" s="123"/>
      <c r="R518" s="133">
        <f>C518-SUM(F518:Q518)-(B518-$B$17)+5</f>
        <v>0</v>
      </c>
      <c r="S518" s="133"/>
      <c r="T518" s="116">
        <f t="shared" si="205"/>
        <v>0</v>
      </c>
      <c r="U518" s="116">
        <f t="shared" si="206"/>
        <v>0</v>
      </c>
      <c r="V518" s="116">
        <f t="shared" si="207"/>
        <v>0</v>
      </c>
      <c r="W518" s="116">
        <f t="shared" si="208"/>
        <v>0</v>
      </c>
      <c r="X518" s="116">
        <f t="shared" si="209"/>
        <v>0</v>
      </c>
      <c r="Y518" s="116">
        <f t="shared" si="210"/>
        <v>0</v>
      </c>
      <c r="Z518" s="116">
        <f t="shared" si="211"/>
        <v>0</v>
      </c>
      <c r="AA518" s="116">
        <f t="shared" si="212"/>
        <v>0</v>
      </c>
      <c r="AB518" s="116">
        <f t="shared" si="213"/>
        <v>0</v>
      </c>
      <c r="AC518" s="116">
        <f t="shared" si="214"/>
        <v>0</v>
      </c>
      <c r="AD518" s="116">
        <f t="shared" si="215"/>
        <v>0</v>
      </c>
      <c r="AE518" s="116">
        <f t="shared" si="219"/>
        <v>0</v>
      </c>
    </row>
    <row r="519" spans="1:31">
      <c r="A519" s="131">
        <v>42377</v>
      </c>
      <c r="B519" s="131">
        <v>42408</v>
      </c>
      <c r="C519" s="123">
        <f t="shared" si="217"/>
        <v>31</v>
      </c>
      <c r="D519" s="132">
        <v>234.69</v>
      </c>
      <c r="E519" s="135"/>
      <c r="F519" s="135"/>
      <c r="G519" s="123"/>
      <c r="H519" s="123"/>
      <c r="I519" s="123"/>
      <c r="J519" s="123"/>
      <c r="K519" s="123"/>
      <c r="L519" s="123"/>
      <c r="M519" s="123"/>
      <c r="N519" s="123"/>
      <c r="O519" s="123"/>
      <c r="P519" s="123"/>
      <c r="Q519" s="123"/>
      <c r="R519" s="133">
        <f>C519-SUM(F519:Q519)-(B519-$B$17)+8</f>
        <v>0</v>
      </c>
      <c r="S519" s="133"/>
      <c r="T519" s="116">
        <f t="shared" si="205"/>
        <v>0</v>
      </c>
      <c r="U519" s="116">
        <f t="shared" si="206"/>
        <v>0</v>
      </c>
      <c r="V519" s="116">
        <f t="shared" si="207"/>
        <v>0</v>
      </c>
      <c r="W519" s="116">
        <f t="shared" si="208"/>
        <v>0</v>
      </c>
      <c r="X519" s="116">
        <f t="shared" si="209"/>
        <v>0</v>
      </c>
      <c r="Y519" s="116">
        <f t="shared" si="210"/>
        <v>0</v>
      </c>
      <c r="Z519" s="116">
        <f t="shared" si="211"/>
        <v>0</v>
      </c>
      <c r="AA519" s="116">
        <f t="shared" si="212"/>
        <v>0</v>
      </c>
      <c r="AB519" s="116">
        <f t="shared" si="213"/>
        <v>0</v>
      </c>
      <c r="AC519" s="116">
        <f t="shared" si="214"/>
        <v>0</v>
      </c>
      <c r="AD519" s="116">
        <f t="shared" si="215"/>
        <v>0</v>
      </c>
      <c r="AE519" s="116">
        <f t="shared" si="219"/>
        <v>0</v>
      </c>
    </row>
    <row r="520" spans="1:31">
      <c r="A520" s="131">
        <v>42377</v>
      </c>
      <c r="B520" s="131">
        <v>42408</v>
      </c>
      <c r="C520" s="123">
        <f t="shared" si="217"/>
        <v>31</v>
      </c>
      <c r="D520" s="132">
        <v>290.12</v>
      </c>
      <c r="E520" s="135"/>
      <c r="F520" s="135"/>
      <c r="G520" s="123"/>
      <c r="H520" s="123"/>
      <c r="I520" s="123"/>
      <c r="J520" s="123"/>
      <c r="K520" s="123"/>
      <c r="L520" s="123"/>
      <c r="M520" s="123"/>
      <c r="N520" s="123"/>
      <c r="O520" s="123"/>
      <c r="P520" s="123"/>
      <c r="Q520" s="123"/>
      <c r="R520" s="133">
        <f>C520-SUM(F520:Q520)-(B520-$B$17)+8</f>
        <v>0</v>
      </c>
      <c r="S520" s="133"/>
      <c r="T520" s="116">
        <f t="shared" si="205"/>
        <v>0</v>
      </c>
      <c r="U520" s="116">
        <f t="shared" si="206"/>
        <v>0</v>
      </c>
      <c r="V520" s="116">
        <f t="shared" si="207"/>
        <v>0</v>
      </c>
      <c r="W520" s="116">
        <f t="shared" si="208"/>
        <v>0</v>
      </c>
      <c r="X520" s="116">
        <f t="shared" si="209"/>
        <v>0</v>
      </c>
      <c r="Y520" s="116">
        <f t="shared" si="210"/>
        <v>0</v>
      </c>
      <c r="Z520" s="116">
        <f t="shared" si="211"/>
        <v>0</v>
      </c>
      <c r="AA520" s="116">
        <f t="shared" si="212"/>
        <v>0</v>
      </c>
      <c r="AB520" s="116">
        <f t="shared" si="213"/>
        <v>0</v>
      </c>
      <c r="AC520" s="116">
        <f t="shared" si="214"/>
        <v>0</v>
      </c>
      <c r="AD520" s="116">
        <f t="shared" si="215"/>
        <v>0</v>
      </c>
      <c r="AE520" s="116">
        <f t="shared" si="219"/>
        <v>0</v>
      </c>
    </row>
    <row r="521" spans="1:31">
      <c r="A521" s="131">
        <v>42377</v>
      </c>
      <c r="B521" s="131">
        <v>42408</v>
      </c>
      <c r="C521" s="123">
        <f t="shared" si="217"/>
        <v>31</v>
      </c>
      <c r="D521" s="132">
        <v>255</v>
      </c>
      <c r="E521" s="135"/>
      <c r="F521" s="135"/>
      <c r="G521" s="123"/>
      <c r="H521" s="123"/>
      <c r="I521" s="123"/>
      <c r="J521" s="123"/>
      <c r="K521" s="123"/>
      <c r="L521" s="123"/>
      <c r="M521" s="123"/>
      <c r="N521" s="123"/>
      <c r="O521" s="123"/>
      <c r="P521" s="123"/>
      <c r="Q521" s="123"/>
      <c r="R521" s="133">
        <f>C521-SUM(F521:Q521)-(B521-$B$17)+8</f>
        <v>0</v>
      </c>
      <c r="S521" s="133"/>
      <c r="T521" s="116">
        <f t="shared" si="205"/>
        <v>0</v>
      </c>
      <c r="U521" s="116">
        <f t="shared" si="206"/>
        <v>0</v>
      </c>
      <c r="V521" s="116">
        <f t="shared" si="207"/>
        <v>0</v>
      </c>
      <c r="W521" s="116">
        <f t="shared" si="208"/>
        <v>0</v>
      </c>
      <c r="X521" s="116">
        <f t="shared" si="209"/>
        <v>0</v>
      </c>
      <c r="Y521" s="116">
        <f t="shared" si="210"/>
        <v>0</v>
      </c>
      <c r="Z521" s="116">
        <f t="shared" si="211"/>
        <v>0</v>
      </c>
      <c r="AA521" s="116">
        <f t="shared" si="212"/>
        <v>0</v>
      </c>
      <c r="AB521" s="116">
        <f t="shared" si="213"/>
        <v>0</v>
      </c>
      <c r="AC521" s="116">
        <f t="shared" si="214"/>
        <v>0</v>
      </c>
      <c r="AD521" s="116">
        <f t="shared" si="215"/>
        <v>0</v>
      </c>
      <c r="AE521" s="116">
        <f t="shared" si="219"/>
        <v>0</v>
      </c>
    </row>
    <row r="522" spans="1:31">
      <c r="A522" s="131">
        <v>42377</v>
      </c>
      <c r="B522" s="131">
        <v>42408</v>
      </c>
      <c r="C522" s="123">
        <f t="shared" si="217"/>
        <v>31</v>
      </c>
      <c r="D522" s="132">
        <v>993.07</v>
      </c>
      <c r="E522" s="135"/>
      <c r="F522" s="135"/>
      <c r="G522" s="123"/>
      <c r="H522" s="123"/>
      <c r="I522" s="123"/>
      <c r="J522" s="123"/>
      <c r="K522" s="123"/>
      <c r="L522" s="123"/>
      <c r="M522" s="123"/>
      <c r="N522" s="123"/>
      <c r="O522" s="123"/>
      <c r="P522" s="123"/>
      <c r="Q522" s="123"/>
      <c r="R522" s="133">
        <f>C522-SUM(F522:Q522)-(B522-$B$17)+8</f>
        <v>0</v>
      </c>
      <c r="S522" s="133"/>
      <c r="T522" s="116">
        <f t="shared" si="205"/>
        <v>0</v>
      </c>
      <c r="U522" s="116">
        <f t="shared" si="206"/>
        <v>0</v>
      </c>
      <c r="V522" s="116">
        <f t="shared" si="207"/>
        <v>0</v>
      </c>
      <c r="W522" s="116">
        <f t="shared" si="208"/>
        <v>0</v>
      </c>
      <c r="X522" s="116">
        <f t="shared" si="209"/>
        <v>0</v>
      </c>
      <c r="Y522" s="116">
        <f t="shared" si="210"/>
        <v>0</v>
      </c>
      <c r="Z522" s="116">
        <f t="shared" si="211"/>
        <v>0</v>
      </c>
      <c r="AA522" s="116">
        <f t="shared" si="212"/>
        <v>0</v>
      </c>
      <c r="AB522" s="116">
        <f t="shared" si="213"/>
        <v>0</v>
      </c>
      <c r="AC522" s="116">
        <f t="shared" si="214"/>
        <v>0</v>
      </c>
      <c r="AD522" s="116">
        <f t="shared" si="215"/>
        <v>0</v>
      </c>
      <c r="AE522" s="116">
        <f t="shared" si="219"/>
        <v>0</v>
      </c>
    </row>
    <row r="523" spans="1:31">
      <c r="A523" s="131">
        <v>42370</v>
      </c>
      <c r="B523" s="131">
        <v>42401</v>
      </c>
      <c r="C523" s="123">
        <f t="shared" si="217"/>
        <v>31</v>
      </c>
      <c r="D523" s="132">
        <v>1679.68</v>
      </c>
      <c r="E523" s="135"/>
      <c r="F523" s="135"/>
      <c r="G523" s="123"/>
      <c r="H523" s="123"/>
      <c r="I523" s="123"/>
      <c r="J523" s="123"/>
      <c r="K523" s="123"/>
      <c r="L523" s="123"/>
      <c r="M523" s="123"/>
      <c r="N523" s="123"/>
      <c r="O523" s="123"/>
      <c r="P523" s="123"/>
      <c r="Q523" s="123"/>
      <c r="R523" s="133">
        <f t="shared" si="204"/>
        <v>0</v>
      </c>
      <c r="S523" s="133"/>
      <c r="T523" s="116">
        <f t="shared" si="205"/>
        <v>0</v>
      </c>
      <c r="U523" s="116">
        <f t="shared" si="206"/>
        <v>0</v>
      </c>
      <c r="V523" s="116">
        <f t="shared" si="207"/>
        <v>0</v>
      </c>
      <c r="W523" s="116">
        <f t="shared" si="208"/>
        <v>0</v>
      </c>
      <c r="X523" s="116">
        <f t="shared" si="209"/>
        <v>0</v>
      </c>
      <c r="Y523" s="116">
        <f t="shared" si="210"/>
        <v>0</v>
      </c>
      <c r="Z523" s="116">
        <f t="shared" si="211"/>
        <v>0</v>
      </c>
      <c r="AA523" s="116">
        <f t="shared" si="212"/>
        <v>0</v>
      </c>
      <c r="AB523" s="116">
        <f t="shared" si="213"/>
        <v>0</v>
      </c>
      <c r="AC523" s="116">
        <f t="shared" si="214"/>
        <v>0</v>
      </c>
      <c r="AD523" s="116">
        <f t="shared" si="215"/>
        <v>0</v>
      </c>
      <c r="AE523" s="116">
        <f t="shared" si="219"/>
        <v>0</v>
      </c>
    </row>
    <row r="524" spans="1:31">
      <c r="A524" s="131">
        <v>42370</v>
      </c>
      <c r="B524" s="131">
        <v>42401</v>
      </c>
      <c r="C524" s="123">
        <f t="shared" si="217"/>
        <v>31</v>
      </c>
      <c r="D524" s="132">
        <v>2560.1</v>
      </c>
      <c r="E524" s="135"/>
      <c r="F524" s="135"/>
      <c r="G524" s="123"/>
      <c r="H524" s="123"/>
      <c r="I524" s="123"/>
      <c r="J524" s="123"/>
      <c r="K524" s="123"/>
      <c r="L524" s="123"/>
      <c r="M524" s="123"/>
      <c r="N524" s="123"/>
      <c r="O524" s="123"/>
      <c r="P524" s="123"/>
      <c r="Q524" s="123"/>
      <c r="R524" s="133">
        <f t="shared" si="204"/>
        <v>0</v>
      </c>
      <c r="S524" s="133"/>
      <c r="T524" s="136">
        <f t="shared" si="205"/>
        <v>0</v>
      </c>
      <c r="U524" s="136">
        <f t="shared" si="206"/>
        <v>0</v>
      </c>
      <c r="V524" s="136">
        <f t="shared" si="207"/>
        <v>0</v>
      </c>
      <c r="W524" s="136">
        <f t="shared" si="208"/>
        <v>0</v>
      </c>
      <c r="X524" s="136">
        <f t="shared" si="209"/>
        <v>0</v>
      </c>
      <c r="Y524" s="136">
        <f t="shared" si="210"/>
        <v>0</v>
      </c>
      <c r="Z524" s="136">
        <f t="shared" si="211"/>
        <v>0</v>
      </c>
      <c r="AA524" s="136">
        <f t="shared" si="212"/>
        <v>0</v>
      </c>
      <c r="AB524" s="136">
        <f t="shared" si="213"/>
        <v>0</v>
      </c>
      <c r="AC524" s="136">
        <f t="shared" si="214"/>
        <v>0</v>
      </c>
      <c r="AD524" s="136">
        <f t="shared" si="215"/>
        <v>0</v>
      </c>
      <c r="AE524" s="136">
        <f t="shared" si="219"/>
        <v>0</v>
      </c>
    </row>
    <row r="525" spans="1:31">
      <c r="B525" s="135"/>
      <c r="C525" s="135"/>
      <c r="D525" s="110"/>
      <c r="E525" s="110"/>
      <c r="F525" s="123"/>
      <c r="G525" s="123"/>
      <c r="H525" s="123"/>
      <c r="I525" s="123"/>
      <c r="J525" s="123"/>
      <c r="K525" s="123"/>
      <c r="L525" s="123"/>
      <c r="M525" s="123"/>
      <c r="N525" s="123"/>
      <c r="O525" s="123"/>
      <c r="P525" s="123"/>
      <c r="Q525" s="123"/>
      <c r="R525" s="110"/>
      <c r="S525" s="110"/>
      <c r="T525" s="116"/>
      <c r="U525" s="116"/>
      <c r="V525" s="116"/>
      <c r="W525" s="116"/>
      <c r="X525" s="116"/>
      <c r="Y525" s="116"/>
      <c r="Z525" s="116"/>
      <c r="AA525" s="116"/>
      <c r="AB525" s="116"/>
      <c r="AC525" s="116"/>
      <c r="AD525" s="116"/>
      <c r="AE525" s="116"/>
    </row>
    <row r="526" spans="1:31">
      <c r="B526" s="135"/>
      <c r="C526" s="135"/>
      <c r="D526" s="110"/>
      <c r="E526" s="110"/>
      <c r="F526" s="123"/>
      <c r="G526" s="123"/>
      <c r="H526" s="123"/>
      <c r="I526" s="123"/>
      <c r="J526" s="123"/>
      <c r="K526" s="123"/>
      <c r="L526" s="123"/>
      <c r="M526" s="123"/>
      <c r="N526" s="123"/>
      <c r="O526" s="123"/>
      <c r="P526" s="123"/>
      <c r="Q526" s="123"/>
      <c r="R526" s="110"/>
      <c r="S526" s="110"/>
      <c r="T526" s="116"/>
      <c r="U526" s="116"/>
      <c r="V526" s="116"/>
      <c r="W526" s="116"/>
      <c r="X526" s="116"/>
      <c r="Y526" s="116"/>
      <c r="Z526" s="116"/>
      <c r="AA526" s="116"/>
      <c r="AB526" s="116"/>
      <c r="AC526" s="116"/>
      <c r="AD526" s="116"/>
      <c r="AE526" s="116"/>
    </row>
    <row r="527" spans="1:31" ht="15.75" thickBot="1">
      <c r="A527" s="117" t="s">
        <v>50</v>
      </c>
      <c r="B527" s="135"/>
      <c r="C527" s="135"/>
      <c r="D527" s="110">
        <f>SUM(D23:D526)</f>
        <v>5929994.1299999934</v>
      </c>
      <c r="F527" s="123">
        <f t="shared" ref="F527:Q527" si="220">COUNT(F23:F524)</f>
        <v>60</v>
      </c>
      <c r="G527" s="123">
        <f t="shared" si="220"/>
        <v>63</v>
      </c>
      <c r="H527" s="123">
        <f t="shared" si="220"/>
        <v>62</v>
      </c>
      <c r="I527" s="123">
        <f t="shared" si="220"/>
        <v>59</v>
      </c>
      <c r="J527" s="123">
        <f t="shared" si="220"/>
        <v>67</v>
      </c>
      <c r="K527" s="123">
        <f t="shared" si="220"/>
        <v>68</v>
      </c>
      <c r="L527" s="123">
        <f t="shared" si="220"/>
        <v>64</v>
      </c>
      <c r="M527" s="123">
        <f t="shared" si="220"/>
        <v>66</v>
      </c>
      <c r="N527" s="123">
        <f t="shared" si="220"/>
        <v>57</v>
      </c>
      <c r="O527" s="123">
        <f t="shared" si="220"/>
        <v>59</v>
      </c>
      <c r="P527" s="123">
        <f t="shared" si="220"/>
        <v>60</v>
      </c>
      <c r="Q527" s="123">
        <f t="shared" si="220"/>
        <v>60</v>
      </c>
      <c r="R527" s="110"/>
      <c r="S527" s="110"/>
      <c r="T527" s="137">
        <f>SUM(T10:T526)</f>
        <v>6999474.2700000005</v>
      </c>
      <c r="U527" s="137">
        <f t="shared" ref="U527:AE527" si="221">SUM(U23:U526)</f>
        <v>6135983.0700000003</v>
      </c>
      <c r="V527" s="137">
        <f t="shared" si="221"/>
        <v>6298516.3399999989</v>
      </c>
      <c r="W527" s="137">
        <f t="shared" si="221"/>
        <v>5413511.6599999974</v>
      </c>
      <c r="X527" s="137">
        <f t="shared" si="221"/>
        <v>5354586.3899999997</v>
      </c>
      <c r="Y527" s="137">
        <f t="shared" si="221"/>
        <v>5764916.5500000007</v>
      </c>
      <c r="Z527" s="137">
        <f t="shared" si="221"/>
        <v>5884280.7099999972</v>
      </c>
      <c r="AA527" s="137">
        <f t="shared" si="221"/>
        <v>6141355.9000000032</v>
      </c>
      <c r="AB527" s="137">
        <f t="shared" si="221"/>
        <v>5797888.1099999994</v>
      </c>
      <c r="AC527" s="137">
        <f t="shared" si="221"/>
        <v>5878091.8199999975</v>
      </c>
      <c r="AD527" s="137">
        <f t="shared" si="221"/>
        <v>5506495.2199999988</v>
      </c>
      <c r="AE527" s="137">
        <f t="shared" si="221"/>
        <v>5860489.5500000017</v>
      </c>
    </row>
    <row r="528" spans="1:31" ht="15.75" thickTop="1">
      <c r="B528" s="135"/>
      <c r="C528" s="135"/>
      <c r="R528" s="113" t="s">
        <v>220</v>
      </c>
      <c r="U528" s="138">
        <f>U527-T527</f>
        <v>-863491.20000000019</v>
      </c>
      <c r="V528" s="138">
        <f t="shared" ref="V528:AE528" si="222">V527-U527</f>
        <v>162533.26999999862</v>
      </c>
      <c r="W528" s="138">
        <f t="shared" si="222"/>
        <v>-885004.68000000156</v>
      </c>
      <c r="X528" s="138">
        <f t="shared" si="222"/>
        <v>-58925.26999999769</v>
      </c>
      <c r="Y528" s="138">
        <f t="shared" si="222"/>
        <v>410330.16000000108</v>
      </c>
      <c r="Z528" s="138">
        <f t="shared" si="222"/>
        <v>119364.15999999642</v>
      </c>
      <c r="AA528" s="138">
        <f t="shared" si="222"/>
        <v>257075.190000006</v>
      </c>
      <c r="AB528" s="138">
        <f t="shared" si="222"/>
        <v>-343467.79000000376</v>
      </c>
      <c r="AC528" s="138">
        <f t="shared" si="222"/>
        <v>80203.7099999981</v>
      </c>
      <c r="AD528" s="138">
        <f t="shared" si="222"/>
        <v>-371596.5999999987</v>
      </c>
      <c r="AE528" s="138">
        <f t="shared" si="222"/>
        <v>353994.33000000287</v>
      </c>
    </row>
    <row r="529" spans="2:31">
      <c r="B529" s="135"/>
      <c r="C529" s="135"/>
      <c r="D529" s="110"/>
      <c r="R529" s="113" t="s">
        <v>221</v>
      </c>
      <c r="U529" s="139">
        <f>U528/T527</f>
        <v>-0.12336515096583106</v>
      </c>
      <c r="V529" s="139">
        <f t="shared" ref="V529:AE529" si="223">V528/U527</f>
        <v>2.6488546031793177E-2</v>
      </c>
      <c r="W529" s="139">
        <f t="shared" si="223"/>
        <v>-0.14051002366693896</v>
      </c>
      <c r="X529" s="139">
        <f t="shared" si="223"/>
        <v>-1.0884851405307164E-2</v>
      </c>
      <c r="Y529" s="139">
        <f t="shared" si="223"/>
        <v>7.6631532318969853E-2</v>
      </c>
      <c r="Z529" s="139">
        <f t="shared" si="223"/>
        <v>2.0705271093645998E-2</v>
      </c>
      <c r="AA529" s="139">
        <f t="shared" si="223"/>
        <v>4.3688464685772296E-2</v>
      </c>
      <c r="AB529" s="139">
        <f t="shared" si="223"/>
        <v>-5.5927029078383747E-2</v>
      </c>
      <c r="AC529" s="139">
        <f t="shared" si="223"/>
        <v>1.3833262815414716E-2</v>
      </c>
      <c r="AD529" s="139">
        <f t="shared" si="223"/>
        <v>-6.3217215956997225E-2</v>
      </c>
      <c r="AE529" s="139">
        <f t="shared" si="223"/>
        <v>6.4286686150978434E-2</v>
      </c>
    </row>
    <row r="530" spans="2:31">
      <c r="B530" s="135"/>
      <c r="C530" s="135"/>
      <c r="D530" s="110"/>
    </row>
    <row r="531" spans="2:31">
      <c r="B531" s="135"/>
      <c r="C531" s="135"/>
      <c r="D531" s="110"/>
    </row>
    <row r="532" spans="2:31">
      <c r="B532" s="135"/>
      <c r="C532" s="135"/>
      <c r="D532" s="116"/>
      <c r="R532" s="113" t="s">
        <v>222</v>
      </c>
      <c r="T532" s="140">
        <v>15971522</v>
      </c>
      <c r="U532" s="140">
        <v>15605324</v>
      </c>
      <c r="V532" s="140">
        <v>12010079</v>
      </c>
      <c r="W532" s="140">
        <v>6437703</v>
      </c>
      <c r="X532" s="140">
        <v>5537807</v>
      </c>
      <c r="Y532" s="140">
        <v>7488668</v>
      </c>
      <c r="Z532" s="140">
        <v>9977982</v>
      </c>
      <c r="AA532" s="140">
        <v>10984819</v>
      </c>
      <c r="AB532" s="140">
        <v>11756856</v>
      </c>
      <c r="AC532" s="140">
        <v>13307124</v>
      </c>
      <c r="AD532" s="140">
        <v>10532160</v>
      </c>
      <c r="AE532" s="140">
        <v>10080129</v>
      </c>
    </row>
    <row r="533" spans="2:31">
      <c r="B533" s="135"/>
      <c r="C533" s="135"/>
      <c r="D533" s="149"/>
      <c r="R533" s="113" t="s">
        <v>223</v>
      </c>
      <c r="T533" s="140">
        <v>3142910</v>
      </c>
      <c r="U533" s="140">
        <v>2425050</v>
      </c>
      <c r="V533" s="140">
        <v>4039040</v>
      </c>
      <c r="W533" s="140">
        <v>5125210</v>
      </c>
      <c r="X533" s="140">
        <v>6005330</v>
      </c>
      <c r="Y533" s="140">
        <v>4549120</v>
      </c>
      <c r="Z533" s="140">
        <v>4363930</v>
      </c>
      <c r="AA533" s="140">
        <v>2925290</v>
      </c>
      <c r="AB533" s="140">
        <v>1856210</v>
      </c>
      <c r="AC533" s="140">
        <v>468710</v>
      </c>
      <c r="AD533" s="140">
        <v>1718670</v>
      </c>
      <c r="AE533" s="140">
        <v>4071860</v>
      </c>
    </row>
    <row r="534" spans="2:31">
      <c r="B534" s="135"/>
      <c r="C534" s="135"/>
      <c r="R534" s="113" t="s">
        <v>224</v>
      </c>
      <c r="T534" s="140">
        <v>1797875.64</v>
      </c>
      <c r="U534" s="140">
        <v>1486869.12</v>
      </c>
      <c r="V534" s="140">
        <v>1629448.93</v>
      </c>
      <c r="W534" s="140">
        <v>2884780.8</v>
      </c>
      <c r="X534" s="140">
        <v>1715113.62</v>
      </c>
      <c r="Y534" s="140">
        <v>1272005.46</v>
      </c>
      <c r="Z534" s="140">
        <v>978860.52</v>
      </c>
      <c r="AA534" s="140">
        <v>868008.24</v>
      </c>
      <c r="AB534" s="140">
        <v>616572</v>
      </c>
      <c r="AC534" s="140">
        <v>620518.14</v>
      </c>
      <c r="AD534" s="140">
        <v>1688882.58</v>
      </c>
      <c r="AE534" s="140">
        <v>2072784.78</v>
      </c>
    </row>
    <row r="535" spans="2:31">
      <c r="B535" s="135"/>
      <c r="C535" s="135"/>
      <c r="R535" s="113" t="s">
        <v>225</v>
      </c>
      <c r="T535" s="140">
        <v>247915.47</v>
      </c>
      <c r="U535" s="141">
        <v>148298.42000000001</v>
      </c>
      <c r="V535" s="140">
        <v>210427.54</v>
      </c>
      <c r="W535" s="140">
        <v>210284.4</v>
      </c>
      <c r="X535" s="140">
        <v>149773.29999999999</v>
      </c>
      <c r="Y535" s="140">
        <v>168592.06</v>
      </c>
      <c r="Z535" s="140">
        <v>137439.79999999999</v>
      </c>
      <c r="AA535" s="140">
        <v>149720.20000000001</v>
      </c>
      <c r="AB535" s="140">
        <v>117550.62</v>
      </c>
      <c r="AC535" s="140">
        <v>100282.1</v>
      </c>
      <c r="AD535" s="140">
        <v>230561.54</v>
      </c>
      <c r="AE535" s="140">
        <v>259449.8</v>
      </c>
    </row>
    <row r="536" spans="2:31" ht="15.75" thickBot="1">
      <c r="B536" s="135"/>
      <c r="C536" s="135"/>
      <c r="T536" s="142">
        <f>SUM(T532:T535)</f>
        <v>21160223.109999999</v>
      </c>
      <c r="U536" s="142">
        <f t="shared" ref="U536:AE536" si="224">SUM(U532:U535)</f>
        <v>19665541.540000003</v>
      </c>
      <c r="V536" s="142">
        <f t="shared" si="224"/>
        <v>17888995.469999999</v>
      </c>
      <c r="W536" s="142">
        <f t="shared" si="224"/>
        <v>14657978.200000001</v>
      </c>
      <c r="X536" s="142">
        <f t="shared" si="224"/>
        <v>13408023.920000002</v>
      </c>
      <c r="Y536" s="142">
        <f t="shared" si="224"/>
        <v>13478385.520000001</v>
      </c>
      <c r="Z536" s="142">
        <f t="shared" si="224"/>
        <v>15458212.32</v>
      </c>
      <c r="AA536" s="142">
        <f t="shared" si="224"/>
        <v>14927837.439999999</v>
      </c>
      <c r="AB536" s="142">
        <f t="shared" si="224"/>
        <v>14347188.619999999</v>
      </c>
      <c r="AC536" s="142">
        <f t="shared" si="224"/>
        <v>14496634.24</v>
      </c>
      <c r="AD536" s="142">
        <f t="shared" si="224"/>
        <v>14170274.119999999</v>
      </c>
      <c r="AE536" s="142">
        <f t="shared" si="224"/>
        <v>16484223.58</v>
      </c>
    </row>
    <row r="537" spans="2:31" ht="15.75" thickTop="1">
      <c r="B537" s="135"/>
      <c r="C537" s="135"/>
      <c r="R537" s="113" t="s">
        <v>220</v>
      </c>
      <c r="U537" s="138">
        <f>U536-T536</f>
        <v>-1494681.5699999966</v>
      </c>
      <c r="V537" s="138">
        <f t="shared" ref="V537:AE537" si="225">V536-U536</f>
        <v>-1776546.070000004</v>
      </c>
      <c r="W537" s="138">
        <f t="shared" si="225"/>
        <v>-3231017.2699999977</v>
      </c>
      <c r="X537" s="138">
        <f t="shared" si="225"/>
        <v>-1249954.2799999993</v>
      </c>
      <c r="Y537" s="138">
        <f t="shared" si="225"/>
        <v>70361.599999999627</v>
      </c>
      <c r="Z537" s="138">
        <f t="shared" si="225"/>
        <v>1979826.7999999989</v>
      </c>
      <c r="AA537" s="138">
        <f t="shared" si="225"/>
        <v>-530374.88000000082</v>
      </c>
      <c r="AB537" s="138">
        <f t="shared" si="225"/>
        <v>-580648.8200000003</v>
      </c>
      <c r="AC537" s="138">
        <f t="shared" si="225"/>
        <v>149445.62000000104</v>
      </c>
      <c r="AD537" s="138">
        <f t="shared" si="225"/>
        <v>-326360.12000000104</v>
      </c>
      <c r="AE537" s="138">
        <f t="shared" si="225"/>
        <v>2313949.4600000009</v>
      </c>
    </row>
    <row r="538" spans="2:31">
      <c r="B538" s="135"/>
      <c r="C538" s="135"/>
      <c r="R538" s="113" t="s">
        <v>221</v>
      </c>
      <c r="U538" s="139">
        <f>U537/T536</f>
        <v>-7.0636380449771011E-2</v>
      </c>
      <c r="V538" s="139">
        <f t="shared" ref="V538:AE538" si="226">V537/U536</f>
        <v>-9.0338019239718514E-2</v>
      </c>
      <c r="W538" s="139">
        <f t="shared" si="226"/>
        <v>-0.18061479614204395</v>
      </c>
      <c r="X538" s="139">
        <f t="shared" si="226"/>
        <v>-8.5274671782497216E-2</v>
      </c>
      <c r="Y538" s="139">
        <f t="shared" si="226"/>
        <v>5.2477233349088196E-3</v>
      </c>
      <c r="Z538" s="139">
        <f t="shared" si="226"/>
        <v>0.14688901701633467</v>
      </c>
      <c r="AA538" s="139">
        <f t="shared" si="226"/>
        <v>-3.4310233875737117E-2</v>
      </c>
      <c r="AB538" s="139">
        <f t="shared" si="226"/>
        <v>-3.8897048707411452E-2</v>
      </c>
      <c r="AC538" s="139">
        <f t="shared" si="226"/>
        <v>1.0416369642737788E-2</v>
      </c>
      <c r="AD538" s="139">
        <f t="shared" si="226"/>
        <v>-2.2512820189633277E-2</v>
      </c>
      <c r="AE538" s="139">
        <f t="shared" si="226"/>
        <v>0.16329602662619494</v>
      </c>
    </row>
    <row r="539" spans="2:31">
      <c r="B539" s="135"/>
      <c r="C539" s="135"/>
    </row>
    <row r="540" spans="2:31">
      <c r="B540" s="135"/>
      <c r="C540" s="135"/>
      <c r="S540" s="143" t="s">
        <v>238</v>
      </c>
      <c r="T540" s="141">
        <f t="shared" ref="T540:AE540" si="227">SUM(T456:T524)</f>
        <v>0</v>
      </c>
      <c r="U540" s="141">
        <f t="shared" si="227"/>
        <v>0</v>
      </c>
      <c r="V540" s="141">
        <f t="shared" si="227"/>
        <v>0</v>
      </c>
      <c r="W540" s="141">
        <f t="shared" si="227"/>
        <v>0</v>
      </c>
      <c r="X540" s="141">
        <f t="shared" si="227"/>
        <v>0</v>
      </c>
      <c r="Y540" s="141">
        <f t="shared" si="227"/>
        <v>0</v>
      </c>
      <c r="Z540" s="141">
        <f t="shared" si="227"/>
        <v>0</v>
      </c>
      <c r="AA540" s="141">
        <f t="shared" si="227"/>
        <v>0</v>
      </c>
      <c r="AB540" s="141">
        <f t="shared" si="227"/>
        <v>0</v>
      </c>
      <c r="AC540" s="141">
        <f t="shared" si="227"/>
        <v>0</v>
      </c>
      <c r="AD540" s="141">
        <f t="shared" si="227"/>
        <v>981999.40000000014</v>
      </c>
      <c r="AE540" s="141">
        <f t="shared" si="227"/>
        <v>5849108.1100000022</v>
      </c>
    </row>
    <row r="541" spans="2:31">
      <c r="B541" s="135"/>
      <c r="C541" s="135"/>
      <c r="S541" s="143" t="s">
        <v>239</v>
      </c>
      <c r="T541" s="110">
        <f>ROUND($C6*T$540,2)</f>
        <v>0</v>
      </c>
      <c r="U541" s="110">
        <f>ROUND($C7*U$540,2)</f>
        <v>0</v>
      </c>
      <c r="V541" s="110">
        <f>ROUND($C8*V$540,2)</f>
        <v>0</v>
      </c>
      <c r="W541" s="110">
        <f>ROUND($C9*W$540,2)</f>
        <v>0</v>
      </c>
      <c r="X541" s="110">
        <f>ROUND($C10*X$540,2)</f>
        <v>0</v>
      </c>
      <c r="Y541" s="110">
        <f>ROUND($C11*Y$540,2)</f>
        <v>0</v>
      </c>
      <c r="Z541" s="110">
        <f>ROUND($C12*Z$540,2)</f>
        <v>0</v>
      </c>
      <c r="AA541" s="110">
        <f>ROUND($C13*AA$540,2)</f>
        <v>0</v>
      </c>
      <c r="AB541" s="110">
        <f>ROUND($C14*AB$540,2)</f>
        <v>0</v>
      </c>
      <c r="AC541" s="110">
        <f>ROUND($C15*AC$540,2)</f>
        <v>0</v>
      </c>
      <c r="AD541" s="110">
        <f>ROUND($C16*AD$540,2)</f>
        <v>74857.81</v>
      </c>
      <c r="AE541" s="144">
        <f>ROUND($C17*AE$540,2)</f>
        <v>670424.77</v>
      </c>
    </row>
    <row r="542" spans="2:31">
      <c r="B542" s="135"/>
      <c r="C542" s="135"/>
    </row>
    <row r="543" spans="2:31">
      <c r="B543" s="135"/>
      <c r="C543" s="135"/>
      <c r="S543" s="143" t="s">
        <v>240</v>
      </c>
      <c r="AE543" s="116">
        <f>SUM(T541:AE541)</f>
        <v>745282.58000000007</v>
      </c>
    </row>
    <row r="544" spans="2:31">
      <c r="B544" s="135"/>
      <c r="C544" s="135"/>
      <c r="S544" s="143" t="s">
        <v>241</v>
      </c>
      <c r="AE544" s="144">
        <v>723223.5</v>
      </c>
    </row>
    <row r="545" spans="2:31">
      <c r="B545" s="135"/>
      <c r="C545" s="135"/>
    </row>
    <row r="546" spans="2:31" ht="15.75" thickBot="1">
      <c r="B546" s="135"/>
      <c r="C546" s="135"/>
      <c r="S546" s="143" t="s">
        <v>51</v>
      </c>
      <c r="AE546" s="145">
        <f>AE544-AE543</f>
        <v>-22059.080000000075</v>
      </c>
    </row>
    <row r="547" spans="2:31" ht="15.75" thickTop="1">
      <c r="B547" s="135"/>
      <c r="C547" s="135"/>
    </row>
    <row r="548" spans="2:31">
      <c r="B548" s="135"/>
      <c r="C548" s="135"/>
    </row>
    <row r="549" spans="2:31">
      <c r="B549" s="135"/>
      <c r="C549" s="135"/>
    </row>
    <row r="550" spans="2:31">
      <c r="B550" s="135"/>
      <c r="C550" s="135"/>
    </row>
    <row r="551" spans="2:31">
      <c r="B551" s="135"/>
      <c r="C551" s="135"/>
    </row>
    <row r="552" spans="2:31">
      <c r="B552" s="135"/>
      <c r="C552" s="135"/>
    </row>
    <row r="553" spans="2:31">
      <c r="B553" s="135"/>
      <c r="C553" s="135"/>
      <c r="T553" s="110"/>
      <c r="U553" s="149"/>
      <c r="V553" s="149"/>
      <c r="W553" s="149"/>
      <c r="X553" s="149"/>
      <c r="Y553" s="149"/>
      <c r="Z553" s="149"/>
      <c r="AA553" s="149"/>
      <c r="AB553" s="149"/>
      <c r="AC553" s="149"/>
      <c r="AD553" s="149"/>
      <c r="AE553" s="149"/>
    </row>
    <row r="554" spans="2:31">
      <c r="B554" s="135"/>
      <c r="C554" s="126">
        <v>5.5490000000000005E-2</v>
      </c>
      <c r="S554" s="113" t="s">
        <v>231</v>
      </c>
      <c r="T554" s="141">
        <f>+T536-T527</f>
        <v>14160748.84</v>
      </c>
      <c r="U554" s="141">
        <f t="shared" ref="U554:AE554" si="228">+U536-U527</f>
        <v>13529558.470000003</v>
      </c>
      <c r="V554" s="141">
        <f t="shared" si="228"/>
        <v>11590479.129999999</v>
      </c>
      <c r="W554" s="141">
        <f t="shared" si="228"/>
        <v>9244466.5400000028</v>
      </c>
      <c r="X554" s="141">
        <f t="shared" si="228"/>
        <v>8053437.5300000021</v>
      </c>
      <c r="Y554" s="141">
        <f t="shared" si="228"/>
        <v>7713468.9700000007</v>
      </c>
      <c r="Z554" s="141">
        <f t="shared" si="228"/>
        <v>9573931.6100000031</v>
      </c>
      <c r="AA554" s="141">
        <f t="shared" si="228"/>
        <v>8786481.5399999954</v>
      </c>
      <c r="AB554" s="141">
        <f t="shared" si="228"/>
        <v>8549300.5099999998</v>
      </c>
      <c r="AC554" s="141">
        <f t="shared" si="228"/>
        <v>8618542.4200000018</v>
      </c>
      <c r="AD554" s="141">
        <f t="shared" si="228"/>
        <v>8663778.9000000004</v>
      </c>
      <c r="AE554" s="141">
        <f t="shared" si="228"/>
        <v>10623734.029999997</v>
      </c>
    </row>
    <row r="555" spans="2:31">
      <c r="B555" s="135"/>
      <c r="C555" s="126">
        <v>6.9809999999999997E-2</v>
      </c>
      <c r="T555" s="110"/>
      <c r="U555" s="149"/>
      <c r="V555" s="149"/>
      <c r="W555" s="149"/>
      <c r="X555" s="149"/>
      <c r="Y555" s="149"/>
      <c r="Z555" s="149"/>
      <c r="AA555" s="149"/>
      <c r="AB555" s="149"/>
      <c r="AC555" s="149"/>
      <c r="AD555" s="149"/>
      <c r="AE555" s="149"/>
    </row>
    <row r="556" spans="2:31">
      <c r="B556" s="135"/>
      <c r="C556" s="126">
        <v>3.6040000000000003E-2</v>
      </c>
      <c r="S556" s="113" t="s">
        <v>232</v>
      </c>
      <c r="T556" s="113">
        <f>+T554*C554</f>
        <v>785779.95313160005</v>
      </c>
      <c r="U556" s="113">
        <f>+U554*C555</f>
        <v>944498.47679070011</v>
      </c>
      <c r="V556" s="113">
        <f>+V554*C556</f>
        <v>417720.8678452</v>
      </c>
      <c r="W556" s="113">
        <f>+W554*C557</f>
        <v>619841.48150700016</v>
      </c>
      <c r="X556" s="113">
        <f>+X554*C558</f>
        <v>758311.67782480014</v>
      </c>
      <c r="Y556" s="113">
        <f>+Y554*C559</f>
        <v>711798.91655160009</v>
      </c>
      <c r="Z556" s="113">
        <f>+Z554*C560</f>
        <v>850931.04149680026</v>
      </c>
      <c r="AA556" s="113">
        <f>+AA554*C561</f>
        <v>773649.69959699968</v>
      </c>
      <c r="AB556" s="113">
        <f>+AB554*C562</f>
        <v>707027.15217700007</v>
      </c>
      <c r="AC556" s="113">
        <f>+AC554*C563</f>
        <v>549087.33757820015</v>
      </c>
      <c r="AD556" s="113">
        <f>+AD554*C564</f>
        <v>660439.86554700008</v>
      </c>
      <c r="AE556" s="113">
        <f>+AE554*C565</f>
        <v>1217692.3945185996</v>
      </c>
    </row>
    <row r="557" spans="2:31">
      <c r="B557" s="135"/>
      <c r="C557" s="126">
        <v>6.7049999999999998E-2</v>
      </c>
    </row>
    <row r="558" spans="2:31">
      <c r="B558" s="135"/>
      <c r="C558" s="126">
        <v>9.4159999999999994E-2</v>
      </c>
      <c r="S558" s="113" t="s">
        <v>233</v>
      </c>
      <c r="T558" s="113">
        <v>1023307.91</v>
      </c>
      <c r="U558" s="113">
        <v>672485.23</v>
      </c>
      <c r="V558" s="113">
        <v>500877.35</v>
      </c>
      <c r="W558" s="113">
        <v>776259.46</v>
      </c>
      <c r="X558" s="113">
        <v>891309.7</v>
      </c>
      <c r="Y558" s="113">
        <v>772348.59</v>
      </c>
      <c r="Z558" s="113">
        <v>736076.67</v>
      </c>
      <c r="AA558" s="113">
        <v>745965.94</v>
      </c>
      <c r="AB558" s="113">
        <v>741643.63</v>
      </c>
      <c r="AC558" s="113">
        <v>526318.18999999994</v>
      </c>
      <c r="AD558" s="113">
        <v>531661</v>
      </c>
      <c r="AE558" s="113">
        <v>921027.5</v>
      </c>
    </row>
    <row r="559" spans="2:31">
      <c r="B559" s="135"/>
      <c r="C559" s="126">
        <v>9.2280000000000001E-2</v>
      </c>
    </row>
    <row r="560" spans="2:31">
      <c r="B560" s="135"/>
      <c r="C560" s="126">
        <v>8.8880000000000001E-2</v>
      </c>
      <c r="T560" s="110">
        <f>+T556-T558</f>
        <v>-237527.95686839998</v>
      </c>
      <c r="U560" s="110">
        <f t="shared" ref="U560:AE560" si="229">+U556-U558</f>
        <v>272013.24679070013</v>
      </c>
      <c r="V560" s="110">
        <f t="shared" si="229"/>
        <v>-83156.482154799975</v>
      </c>
      <c r="W560" s="110">
        <f t="shared" si="229"/>
        <v>-156417.9784929998</v>
      </c>
      <c r="X560" s="110">
        <f t="shared" si="229"/>
        <v>-132998.02217519982</v>
      </c>
      <c r="Y560" s="110">
        <f t="shared" si="229"/>
        <v>-60549.673448399873</v>
      </c>
      <c r="Z560" s="110">
        <f t="shared" si="229"/>
        <v>114854.37149680022</v>
      </c>
      <c r="AA560" s="110">
        <f t="shared" si="229"/>
        <v>27683.759596999735</v>
      </c>
      <c r="AB560" s="110">
        <f t="shared" si="229"/>
        <v>-34616.477822999936</v>
      </c>
      <c r="AC560" s="110">
        <f t="shared" si="229"/>
        <v>22769.147578200209</v>
      </c>
      <c r="AD560" s="110">
        <f t="shared" si="229"/>
        <v>128778.86554700008</v>
      </c>
      <c r="AE560" s="110">
        <f t="shared" si="229"/>
        <v>296664.89451859961</v>
      </c>
    </row>
    <row r="561" spans="2:31">
      <c r="B561" s="135"/>
      <c r="C561" s="126">
        <v>8.8050000000000003E-2</v>
      </c>
    </row>
    <row r="562" spans="2:31">
      <c r="B562" s="135"/>
      <c r="C562" s="126">
        <v>8.270000000000001E-2</v>
      </c>
    </row>
    <row r="563" spans="2:31">
      <c r="B563" s="135"/>
      <c r="C563" s="126">
        <v>6.3710000000000003E-2</v>
      </c>
    </row>
    <row r="564" spans="2:31">
      <c r="B564" s="135"/>
      <c r="C564" s="126">
        <v>7.6230000000000006E-2</v>
      </c>
    </row>
    <row r="565" spans="2:31">
      <c r="B565" s="135"/>
      <c r="C565" s="126">
        <v>0.11462</v>
      </c>
    </row>
    <row r="566" spans="2:31">
      <c r="B566" s="135"/>
      <c r="AD566" s="116">
        <f>SUM(AD456:AD524)</f>
        <v>981999.40000000014</v>
      </c>
      <c r="AE566" s="116">
        <f>SUM(AE456:AE524)</f>
        <v>5849108.1100000022</v>
      </c>
    </row>
    <row r="567" spans="2:31">
      <c r="B567" s="135"/>
      <c r="AD567" s="113">
        <v>7.6230000000000006E-2</v>
      </c>
      <c r="AE567" s="113">
        <v>0.11462</v>
      </c>
    </row>
    <row r="568" spans="2:31">
      <c r="B568" s="135"/>
    </row>
    <row r="569" spans="2:31">
      <c r="B569" s="135"/>
      <c r="AD569" s="116">
        <f>+AD567*AD566</f>
        <v>74857.814262000014</v>
      </c>
      <c r="AE569" s="116">
        <f>+AE567*AE566</f>
        <v>670424.7715682002</v>
      </c>
    </row>
    <row r="570" spans="2:31">
      <c r="B570" s="135"/>
    </row>
    <row r="571" spans="2:31">
      <c r="B571" s="135"/>
      <c r="AE571" s="116">
        <f>+AE569+AD569</f>
        <v>745282.58583020023</v>
      </c>
    </row>
    <row r="572" spans="2:31">
      <c r="B572" s="135"/>
      <c r="C572" s="135"/>
    </row>
    <row r="573" spans="2:31">
      <c r="B573" s="135"/>
      <c r="C573" s="135"/>
    </row>
    <row r="574" spans="2:31">
      <c r="B574" s="135"/>
      <c r="C574" s="135"/>
    </row>
    <row r="575" spans="2:31">
      <c r="B575" s="135"/>
      <c r="C575" s="135"/>
    </row>
    <row r="576" spans="2:31">
      <c r="B576" s="135"/>
      <c r="C576" s="135"/>
    </row>
    <row r="577" spans="2:3">
      <c r="B577" s="135"/>
      <c r="C577" s="135"/>
    </row>
    <row r="578" spans="2:3">
      <c r="B578" s="135"/>
      <c r="C578" s="135"/>
    </row>
    <row r="579" spans="2:3">
      <c r="B579" s="135"/>
      <c r="C579" s="135"/>
    </row>
    <row r="580" spans="2:3">
      <c r="B580" s="135"/>
      <c r="C580" s="135"/>
    </row>
    <row r="581" spans="2:3">
      <c r="B581" s="135"/>
      <c r="C581" s="135"/>
    </row>
    <row r="582" spans="2:3">
      <c r="B582" s="135"/>
      <c r="C582" s="135"/>
    </row>
    <row r="583" spans="2:3">
      <c r="B583" s="135"/>
      <c r="C583" s="135"/>
    </row>
    <row r="584" spans="2:3">
      <c r="B584" s="135"/>
      <c r="C584" s="135"/>
    </row>
    <row r="585" spans="2:3">
      <c r="B585" s="135"/>
      <c r="C585" s="135"/>
    </row>
    <row r="586" spans="2:3">
      <c r="B586" s="135"/>
      <c r="C586" s="135"/>
    </row>
    <row r="587" spans="2:3">
      <c r="B587" s="135"/>
      <c r="C587" s="135"/>
    </row>
    <row r="588" spans="2:3">
      <c r="B588" s="135"/>
      <c r="C588" s="135"/>
    </row>
    <row r="589" spans="2:3">
      <c r="B589" s="135"/>
      <c r="C589" s="135"/>
    </row>
    <row r="590" spans="2:3">
      <c r="B590" s="135"/>
      <c r="C590" s="135"/>
    </row>
    <row r="591" spans="2:3">
      <c r="B591" s="135"/>
      <c r="C591" s="135"/>
    </row>
    <row r="592" spans="2:3">
      <c r="B592" s="135"/>
      <c r="C592" s="135"/>
    </row>
    <row r="593" spans="2:3">
      <c r="B593" s="135"/>
      <c r="C593" s="135"/>
    </row>
    <row r="594" spans="2:3">
      <c r="B594" s="135"/>
      <c r="C594" s="135"/>
    </row>
    <row r="595" spans="2:3">
      <c r="B595" s="135"/>
      <c r="C595" s="135"/>
    </row>
    <row r="596" spans="2:3">
      <c r="B596" s="135"/>
      <c r="C596" s="135"/>
    </row>
    <row r="597" spans="2:3">
      <c r="B597" s="135"/>
      <c r="C597" s="135"/>
    </row>
    <row r="598" spans="2:3">
      <c r="B598" s="135"/>
      <c r="C598" s="135"/>
    </row>
    <row r="599" spans="2:3">
      <c r="B599" s="135"/>
      <c r="C599" s="135"/>
    </row>
    <row r="600" spans="2:3">
      <c r="B600" s="135"/>
      <c r="C600" s="135"/>
    </row>
    <row r="601" spans="2:3">
      <c r="B601" s="135"/>
      <c r="C601" s="135"/>
    </row>
    <row r="602" spans="2:3">
      <c r="B602" s="135"/>
      <c r="C602" s="135"/>
    </row>
    <row r="603" spans="2:3">
      <c r="B603" s="135"/>
      <c r="C603" s="135"/>
    </row>
    <row r="604" spans="2:3">
      <c r="B604" s="135"/>
      <c r="C604" s="135"/>
    </row>
    <row r="605" spans="2:3">
      <c r="B605" s="135"/>
      <c r="C605" s="135"/>
    </row>
    <row r="606" spans="2:3">
      <c r="B606" s="135"/>
      <c r="C606" s="135"/>
    </row>
    <row r="607" spans="2:3">
      <c r="B607" s="135"/>
      <c r="C607" s="135"/>
    </row>
    <row r="608" spans="2:3">
      <c r="B608" s="135"/>
      <c r="C608" s="135"/>
    </row>
    <row r="609" spans="2:3">
      <c r="B609" s="135"/>
      <c r="C609" s="135"/>
    </row>
    <row r="610" spans="2:3">
      <c r="B610" s="135"/>
      <c r="C610" s="135"/>
    </row>
    <row r="611" spans="2:3">
      <c r="B611" s="135"/>
      <c r="C611" s="135"/>
    </row>
    <row r="612" spans="2:3">
      <c r="B612" s="135"/>
      <c r="C612" s="135"/>
    </row>
    <row r="613" spans="2:3">
      <c r="B613" s="135"/>
      <c r="C613" s="135"/>
    </row>
    <row r="614" spans="2:3">
      <c r="B614" s="135"/>
      <c r="C614" s="135"/>
    </row>
    <row r="615" spans="2:3">
      <c r="B615" s="135"/>
      <c r="C615" s="135"/>
    </row>
    <row r="616" spans="2:3">
      <c r="B616" s="135"/>
      <c r="C616" s="135"/>
    </row>
    <row r="617" spans="2:3">
      <c r="B617" s="135"/>
      <c r="C617" s="135"/>
    </row>
    <row r="618" spans="2:3">
      <c r="B618" s="135"/>
      <c r="C618" s="135"/>
    </row>
    <row r="619" spans="2:3">
      <c r="B619" s="135"/>
      <c r="C619" s="135"/>
    </row>
    <row r="620" spans="2:3">
      <c r="B620" s="135"/>
      <c r="C620" s="135"/>
    </row>
    <row r="621" spans="2:3">
      <c r="B621" s="135"/>
      <c r="C621" s="135"/>
    </row>
    <row r="622" spans="2:3">
      <c r="B622" s="135"/>
      <c r="C622" s="135"/>
    </row>
    <row r="623" spans="2:3">
      <c r="B623" s="135"/>
      <c r="C623" s="135"/>
    </row>
    <row r="624" spans="2:3">
      <c r="B624" s="135"/>
      <c r="C624" s="135"/>
    </row>
    <row r="625" spans="2:3">
      <c r="B625" s="135"/>
      <c r="C625" s="135"/>
    </row>
    <row r="626" spans="2:3">
      <c r="B626" s="135"/>
      <c r="C626" s="135"/>
    </row>
    <row r="627" spans="2:3">
      <c r="B627" s="135"/>
      <c r="C627" s="135"/>
    </row>
    <row r="628" spans="2:3">
      <c r="B628" s="135"/>
      <c r="C628" s="135"/>
    </row>
    <row r="629" spans="2:3">
      <c r="B629" s="135"/>
      <c r="C629" s="135"/>
    </row>
    <row r="630" spans="2:3">
      <c r="B630" s="135"/>
      <c r="C630" s="135"/>
    </row>
    <row r="631" spans="2:3">
      <c r="B631" s="135"/>
      <c r="C631" s="135"/>
    </row>
    <row r="632" spans="2:3">
      <c r="B632" s="135"/>
      <c r="C632" s="135"/>
    </row>
    <row r="633" spans="2:3">
      <c r="B633" s="135"/>
      <c r="C633" s="135"/>
    </row>
    <row r="634" spans="2:3">
      <c r="B634" s="135"/>
      <c r="C634" s="135"/>
    </row>
    <row r="635" spans="2:3">
      <c r="B635" s="135"/>
      <c r="C635" s="135"/>
    </row>
    <row r="636" spans="2:3">
      <c r="B636" s="135"/>
      <c r="C636" s="135"/>
    </row>
    <row r="637" spans="2:3">
      <c r="B637" s="135"/>
      <c r="C637" s="135"/>
    </row>
    <row r="638" spans="2:3">
      <c r="B638" s="135"/>
      <c r="C638" s="135"/>
    </row>
    <row r="639" spans="2:3">
      <c r="B639" s="135"/>
      <c r="C639" s="135"/>
    </row>
    <row r="640" spans="2:3">
      <c r="B640" s="135"/>
      <c r="C640" s="135"/>
    </row>
    <row r="641" spans="2:3">
      <c r="B641" s="135"/>
      <c r="C641" s="135"/>
    </row>
    <row r="642" spans="2:3">
      <c r="B642" s="135"/>
      <c r="C642" s="135"/>
    </row>
    <row r="643" spans="2:3">
      <c r="B643" s="135"/>
      <c r="C643" s="135"/>
    </row>
    <row r="644" spans="2:3">
      <c r="B644" s="135"/>
      <c r="C644" s="135"/>
    </row>
    <row r="645" spans="2:3">
      <c r="B645" s="135"/>
      <c r="C645" s="135"/>
    </row>
    <row r="646" spans="2:3">
      <c r="B646" s="135"/>
      <c r="C646" s="135"/>
    </row>
    <row r="647" spans="2:3">
      <c r="B647" s="135"/>
      <c r="C647" s="135"/>
    </row>
    <row r="648" spans="2:3">
      <c r="B648" s="135"/>
      <c r="C648" s="135"/>
    </row>
    <row r="649" spans="2:3">
      <c r="B649" s="135"/>
      <c r="C649" s="135"/>
    </row>
    <row r="650" spans="2:3">
      <c r="B650" s="135"/>
      <c r="C650" s="135"/>
    </row>
    <row r="651" spans="2:3">
      <c r="B651" s="135"/>
      <c r="C651" s="135"/>
    </row>
    <row r="652" spans="2:3">
      <c r="B652" s="135"/>
      <c r="C652" s="135"/>
    </row>
    <row r="653" spans="2:3">
      <c r="B653" s="135"/>
      <c r="C653" s="135"/>
    </row>
    <row r="654" spans="2:3">
      <c r="B654" s="135"/>
      <c r="C654" s="135"/>
    </row>
    <row r="655" spans="2:3">
      <c r="B655" s="135"/>
      <c r="C655" s="135"/>
    </row>
    <row r="656" spans="2:3">
      <c r="B656" s="135"/>
      <c r="C656" s="135"/>
    </row>
    <row r="657" spans="2:3">
      <c r="B657" s="135"/>
      <c r="C657" s="135"/>
    </row>
    <row r="658" spans="2:3">
      <c r="B658" s="135"/>
      <c r="C658" s="135"/>
    </row>
    <row r="659" spans="2:3">
      <c r="B659" s="135"/>
      <c r="C659" s="135"/>
    </row>
    <row r="660" spans="2:3">
      <c r="B660" s="135"/>
      <c r="C660" s="135"/>
    </row>
    <row r="661" spans="2:3">
      <c r="B661" s="135"/>
      <c r="C661" s="135"/>
    </row>
    <row r="662" spans="2:3">
      <c r="B662" s="135"/>
      <c r="C662" s="135"/>
    </row>
    <row r="663" spans="2:3">
      <c r="B663" s="135"/>
      <c r="C663" s="135"/>
    </row>
    <row r="664" spans="2:3">
      <c r="B664" s="135"/>
      <c r="C664" s="135"/>
    </row>
    <row r="665" spans="2:3">
      <c r="B665" s="135"/>
      <c r="C665" s="135"/>
    </row>
    <row r="666" spans="2:3">
      <c r="B666" s="135"/>
      <c r="C666" s="135"/>
    </row>
    <row r="667" spans="2:3">
      <c r="B667" s="135"/>
      <c r="C667" s="135"/>
    </row>
    <row r="668" spans="2:3">
      <c r="B668" s="135"/>
      <c r="C668" s="135"/>
    </row>
    <row r="669" spans="2:3">
      <c r="B669" s="135"/>
      <c r="C669" s="135"/>
    </row>
    <row r="670" spans="2:3">
      <c r="B670" s="135"/>
      <c r="C670" s="135"/>
    </row>
    <row r="671" spans="2:3">
      <c r="B671" s="135"/>
      <c r="C671" s="135"/>
    </row>
    <row r="672" spans="2:3">
      <c r="B672" s="135"/>
      <c r="C672" s="135"/>
    </row>
    <row r="673" spans="2:3">
      <c r="B673" s="135"/>
      <c r="C673" s="135"/>
    </row>
    <row r="674" spans="2:3">
      <c r="B674" s="135"/>
      <c r="C674" s="135"/>
    </row>
    <row r="675" spans="2:3">
      <c r="B675" s="135"/>
      <c r="C675" s="135"/>
    </row>
    <row r="676" spans="2:3">
      <c r="B676" s="135"/>
      <c r="C676" s="135"/>
    </row>
    <row r="677" spans="2:3">
      <c r="B677" s="135"/>
      <c r="C677" s="135"/>
    </row>
    <row r="678" spans="2:3">
      <c r="B678" s="135"/>
      <c r="C678" s="135"/>
    </row>
    <row r="679" spans="2:3">
      <c r="B679" s="135"/>
      <c r="C679" s="135"/>
    </row>
    <row r="680" spans="2:3">
      <c r="B680" s="135"/>
      <c r="C680" s="135"/>
    </row>
    <row r="681" spans="2:3">
      <c r="B681" s="135"/>
      <c r="C681" s="135"/>
    </row>
    <row r="682" spans="2:3">
      <c r="B682" s="135"/>
      <c r="C682" s="135"/>
    </row>
    <row r="683" spans="2:3">
      <c r="B683" s="135"/>
      <c r="C683" s="135"/>
    </row>
    <row r="684" spans="2:3">
      <c r="B684" s="135"/>
      <c r="C684" s="135"/>
    </row>
    <row r="685" spans="2:3">
      <c r="B685" s="135"/>
      <c r="C685" s="135"/>
    </row>
    <row r="686" spans="2:3">
      <c r="B686" s="135"/>
      <c r="C686" s="135"/>
    </row>
    <row r="687" spans="2:3">
      <c r="B687" s="135"/>
      <c r="C687" s="135"/>
    </row>
    <row r="688" spans="2:3">
      <c r="B688" s="135"/>
      <c r="C688" s="135"/>
    </row>
    <row r="689" spans="2:3">
      <c r="B689" s="135"/>
      <c r="C689" s="135"/>
    </row>
    <row r="690" spans="2:3">
      <c r="B690" s="135"/>
      <c r="C690" s="135"/>
    </row>
    <row r="691" spans="2:3">
      <c r="B691" s="135"/>
      <c r="C691" s="135"/>
    </row>
    <row r="692" spans="2:3">
      <c r="B692" s="135"/>
      <c r="C692" s="135"/>
    </row>
    <row r="693" spans="2:3">
      <c r="B693" s="135"/>
      <c r="C693" s="135"/>
    </row>
    <row r="694" spans="2:3">
      <c r="B694" s="135"/>
      <c r="C694" s="135"/>
    </row>
    <row r="695" spans="2:3">
      <c r="B695" s="135"/>
      <c r="C695" s="135"/>
    </row>
    <row r="696" spans="2:3">
      <c r="B696" s="135"/>
      <c r="C696" s="135"/>
    </row>
    <row r="697" spans="2:3">
      <c r="B697" s="135"/>
      <c r="C697" s="135"/>
    </row>
    <row r="698" spans="2:3">
      <c r="B698" s="135"/>
      <c r="C698" s="135"/>
    </row>
    <row r="699" spans="2:3">
      <c r="B699" s="135"/>
      <c r="C699" s="135"/>
    </row>
    <row r="700" spans="2:3">
      <c r="B700" s="135"/>
      <c r="C700" s="135"/>
    </row>
    <row r="701" spans="2:3">
      <c r="B701" s="135"/>
      <c r="C701" s="135"/>
    </row>
    <row r="702" spans="2:3">
      <c r="B702" s="135"/>
      <c r="C702" s="135"/>
    </row>
    <row r="703" spans="2:3">
      <c r="B703" s="135"/>
      <c r="C703" s="135"/>
    </row>
    <row r="704" spans="2:3">
      <c r="B704" s="135"/>
      <c r="C704" s="135"/>
    </row>
    <row r="705" spans="2:3">
      <c r="B705" s="135"/>
      <c r="C705" s="135"/>
    </row>
    <row r="706" spans="2:3">
      <c r="B706" s="135"/>
      <c r="C706" s="135"/>
    </row>
    <row r="707" spans="2:3">
      <c r="B707" s="135"/>
      <c r="C707" s="135"/>
    </row>
    <row r="708" spans="2:3">
      <c r="B708" s="135"/>
      <c r="C708" s="135"/>
    </row>
    <row r="709" spans="2:3">
      <c r="B709" s="135"/>
      <c r="C709" s="135"/>
    </row>
    <row r="710" spans="2:3">
      <c r="B710" s="135"/>
      <c r="C710" s="135"/>
    </row>
    <row r="711" spans="2:3">
      <c r="B711" s="135"/>
      <c r="C711" s="135"/>
    </row>
    <row r="712" spans="2:3">
      <c r="B712" s="135"/>
      <c r="C712" s="135"/>
    </row>
    <row r="713" spans="2:3">
      <c r="B713" s="135"/>
      <c r="C713" s="135"/>
    </row>
    <row r="714" spans="2:3">
      <c r="B714" s="135"/>
      <c r="C714" s="135"/>
    </row>
    <row r="715" spans="2:3">
      <c r="B715" s="135"/>
      <c r="C715" s="135"/>
    </row>
    <row r="716" spans="2:3">
      <c r="B716" s="135"/>
      <c r="C716" s="135"/>
    </row>
    <row r="717" spans="2:3">
      <c r="B717" s="135"/>
      <c r="C717" s="135"/>
    </row>
    <row r="718" spans="2:3">
      <c r="B718" s="135"/>
      <c r="C718" s="135"/>
    </row>
    <row r="719" spans="2:3">
      <c r="B719" s="135"/>
      <c r="C719" s="135"/>
    </row>
    <row r="720" spans="2:3">
      <c r="B720" s="135"/>
      <c r="C720" s="135"/>
    </row>
    <row r="721" spans="2:3">
      <c r="B721" s="135"/>
      <c r="C721" s="135"/>
    </row>
    <row r="722" spans="2:3">
      <c r="B722" s="135"/>
      <c r="C722" s="135"/>
    </row>
    <row r="723" spans="2:3">
      <c r="B723" s="135"/>
      <c r="C723" s="135"/>
    </row>
    <row r="724" spans="2:3">
      <c r="B724" s="135"/>
      <c r="C724" s="135"/>
    </row>
    <row r="725" spans="2:3">
      <c r="B725" s="135"/>
      <c r="C725" s="135"/>
    </row>
    <row r="726" spans="2:3">
      <c r="B726" s="135"/>
      <c r="C726" s="135"/>
    </row>
    <row r="727" spans="2:3">
      <c r="B727" s="135"/>
      <c r="C727" s="135"/>
    </row>
    <row r="728" spans="2:3">
      <c r="B728" s="135"/>
      <c r="C728" s="135"/>
    </row>
    <row r="729" spans="2:3">
      <c r="B729" s="135"/>
      <c r="C729" s="135"/>
    </row>
    <row r="730" spans="2:3">
      <c r="B730" s="135"/>
      <c r="C730" s="135"/>
    </row>
    <row r="731" spans="2:3">
      <c r="B731" s="135"/>
      <c r="C731" s="135"/>
    </row>
    <row r="732" spans="2:3">
      <c r="B732" s="135"/>
      <c r="C732" s="135"/>
    </row>
    <row r="733" spans="2:3">
      <c r="B733" s="135"/>
      <c r="C733" s="135"/>
    </row>
    <row r="734" spans="2:3">
      <c r="B734" s="135"/>
      <c r="C734" s="135"/>
    </row>
    <row r="735" spans="2:3">
      <c r="B735" s="135"/>
      <c r="C735" s="135"/>
    </row>
    <row r="736" spans="2:3">
      <c r="B736" s="135"/>
      <c r="C736" s="135"/>
    </row>
    <row r="737" spans="2:3">
      <c r="B737" s="135"/>
      <c r="C737" s="135"/>
    </row>
    <row r="738" spans="2:3">
      <c r="B738" s="135"/>
      <c r="C738" s="135"/>
    </row>
    <row r="739" spans="2:3">
      <c r="B739" s="135"/>
      <c r="C739" s="135"/>
    </row>
    <row r="740" spans="2:3">
      <c r="B740" s="135"/>
      <c r="C740" s="135"/>
    </row>
    <row r="741" spans="2:3">
      <c r="B741" s="135"/>
      <c r="C741" s="135"/>
    </row>
    <row r="742" spans="2:3">
      <c r="B742" s="135"/>
      <c r="C742" s="135"/>
    </row>
    <row r="743" spans="2:3">
      <c r="B743" s="135"/>
      <c r="C743" s="135"/>
    </row>
    <row r="744" spans="2:3">
      <c r="B744" s="135"/>
      <c r="C744" s="135"/>
    </row>
    <row r="745" spans="2:3">
      <c r="B745" s="135"/>
      <c r="C745" s="135"/>
    </row>
    <row r="746" spans="2:3">
      <c r="B746" s="135"/>
      <c r="C746" s="135"/>
    </row>
    <row r="747" spans="2:3">
      <c r="B747" s="135"/>
      <c r="C747" s="135"/>
    </row>
    <row r="748" spans="2:3">
      <c r="B748" s="135"/>
      <c r="C748" s="135"/>
    </row>
    <row r="749" spans="2:3">
      <c r="B749" s="135"/>
      <c r="C749" s="135"/>
    </row>
    <row r="750" spans="2:3">
      <c r="B750" s="135"/>
      <c r="C750" s="135"/>
    </row>
    <row r="751" spans="2:3">
      <c r="B751" s="135"/>
      <c r="C751" s="135"/>
    </row>
    <row r="752" spans="2:3">
      <c r="B752" s="135"/>
      <c r="C752" s="135"/>
    </row>
    <row r="753" spans="2:3">
      <c r="B753" s="135"/>
      <c r="C753" s="135"/>
    </row>
    <row r="754" spans="2:3">
      <c r="B754" s="135"/>
      <c r="C754" s="135"/>
    </row>
    <row r="755" spans="2:3">
      <c r="B755" s="135"/>
      <c r="C755" s="135"/>
    </row>
    <row r="756" spans="2:3">
      <c r="B756" s="135"/>
      <c r="C756" s="135"/>
    </row>
    <row r="757" spans="2:3">
      <c r="B757" s="135"/>
      <c r="C757" s="135"/>
    </row>
    <row r="758" spans="2:3">
      <c r="B758" s="135"/>
      <c r="C758" s="135"/>
    </row>
    <row r="759" spans="2:3">
      <c r="B759" s="135"/>
      <c r="C759" s="135"/>
    </row>
    <row r="760" spans="2:3">
      <c r="B760" s="135"/>
      <c r="C760" s="135"/>
    </row>
    <row r="761" spans="2:3">
      <c r="B761" s="135"/>
      <c r="C761" s="135"/>
    </row>
    <row r="762" spans="2:3">
      <c r="B762" s="135"/>
      <c r="C762" s="135"/>
    </row>
    <row r="763" spans="2:3">
      <c r="B763" s="135"/>
      <c r="C763" s="135"/>
    </row>
    <row r="764" spans="2:3">
      <c r="B764" s="135"/>
      <c r="C764" s="135"/>
    </row>
    <row r="765" spans="2:3">
      <c r="B765" s="135"/>
      <c r="C765" s="135"/>
    </row>
    <row r="766" spans="2:3">
      <c r="B766" s="135"/>
      <c r="C766" s="135"/>
    </row>
    <row r="767" spans="2:3">
      <c r="B767" s="135"/>
      <c r="C767" s="135"/>
    </row>
    <row r="768" spans="2:3">
      <c r="B768" s="135"/>
      <c r="C768" s="135"/>
    </row>
    <row r="769" spans="1:3">
      <c r="B769" s="135"/>
      <c r="C769" s="135"/>
    </row>
    <row r="770" spans="1:3">
      <c r="B770" s="135"/>
      <c r="C770" s="135"/>
    </row>
    <row r="771" spans="1:3">
      <c r="B771" s="135"/>
      <c r="C771" s="135"/>
    </row>
    <row r="772" spans="1:3">
      <c r="B772" s="135"/>
      <c r="C772" s="135"/>
    </row>
    <row r="773" spans="1:3">
      <c r="B773" s="135"/>
      <c r="C773" s="135"/>
    </row>
    <row r="774" spans="1:3">
      <c r="B774" s="135"/>
      <c r="C774" s="135"/>
    </row>
    <row r="775" spans="1:3">
      <c r="B775" s="135"/>
      <c r="C775" s="135"/>
    </row>
    <row r="776" spans="1:3">
      <c r="B776" s="135"/>
      <c r="C776" s="135"/>
    </row>
    <row r="777" spans="1:3">
      <c r="B777" s="135"/>
      <c r="C777" s="135"/>
    </row>
    <row r="778" spans="1:3">
      <c r="A778" s="131"/>
      <c r="B778" s="131"/>
      <c r="C778" s="123"/>
    </row>
    <row r="779" spans="1:3">
      <c r="A779" s="131"/>
      <c r="B779" s="131"/>
      <c r="C779" s="123"/>
    </row>
    <row r="780" spans="1:3">
      <c r="A780" s="131"/>
      <c r="B780" s="131"/>
      <c r="C780" s="123"/>
    </row>
    <row r="781" spans="1:3">
      <c r="A781" s="131"/>
      <c r="B781" s="131"/>
      <c r="C781" s="123"/>
    </row>
    <row r="782" spans="1:3">
      <c r="A782" s="131"/>
      <c r="B782" s="131"/>
      <c r="C782" s="123"/>
    </row>
    <row r="783" spans="1:3">
      <c r="A783" s="131"/>
      <c r="B783" s="131"/>
      <c r="C783" s="123"/>
    </row>
    <row r="784" spans="1:3">
      <c r="A784" s="131"/>
      <c r="B784" s="131"/>
      <c r="C784" s="123"/>
    </row>
    <row r="785" spans="1:3">
      <c r="A785" s="131"/>
      <c r="B785" s="131"/>
      <c r="C785" s="123"/>
    </row>
    <row r="786" spans="1:3">
      <c r="A786" s="131"/>
      <c r="B786" s="131"/>
      <c r="C786" s="123"/>
    </row>
    <row r="787" spans="1:3">
      <c r="A787" s="131"/>
      <c r="B787" s="131"/>
      <c r="C787" s="123"/>
    </row>
    <row r="788" spans="1:3">
      <c r="A788" s="131"/>
      <c r="B788" s="131"/>
      <c r="C788" s="123"/>
    </row>
    <row r="789" spans="1:3">
      <c r="A789" s="131"/>
      <c r="B789" s="131"/>
      <c r="C789" s="123"/>
    </row>
    <row r="790" spans="1:3">
      <c r="A790" s="131"/>
      <c r="B790" s="131"/>
      <c r="C790" s="123"/>
    </row>
    <row r="791" spans="1:3">
      <c r="A791" s="131"/>
      <c r="B791" s="131"/>
      <c r="C791" s="123"/>
    </row>
    <row r="792" spans="1:3">
      <c r="A792" s="131"/>
      <c r="B792" s="131"/>
      <c r="C792" s="123"/>
    </row>
    <row r="793" spans="1:3">
      <c r="A793" s="131"/>
      <c r="B793" s="131"/>
      <c r="C793" s="123"/>
    </row>
    <row r="794" spans="1:3">
      <c r="A794" s="131"/>
      <c r="B794" s="131"/>
      <c r="C794" s="123"/>
    </row>
    <row r="795" spans="1:3">
      <c r="A795" s="131"/>
      <c r="B795" s="131"/>
      <c r="C795" s="123"/>
    </row>
    <row r="796" spans="1:3">
      <c r="A796" s="131"/>
      <c r="B796" s="131"/>
      <c r="C796" s="123"/>
    </row>
    <row r="797" spans="1:3">
      <c r="A797" s="131"/>
      <c r="B797" s="131"/>
      <c r="C797" s="123"/>
    </row>
    <row r="798" spans="1:3">
      <c r="A798" s="131"/>
      <c r="B798" s="131"/>
      <c r="C798" s="123"/>
    </row>
    <row r="799" spans="1:3">
      <c r="A799" s="131"/>
      <c r="B799" s="131"/>
      <c r="C799" s="123"/>
    </row>
    <row r="800" spans="1:3">
      <c r="A800" s="131"/>
      <c r="B800" s="131"/>
      <c r="C800" s="123"/>
    </row>
    <row r="801" spans="1:3">
      <c r="A801" s="131"/>
      <c r="B801" s="131"/>
      <c r="C801" s="123"/>
    </row>
    <row r="802" spans="1:3">
      <c r="A802" s="131"/>
      <c r="B802" s="131"/>
      <c r="C802" s="123"/>
    </row>
    <row r="803" spans="1:3">
      <c r="A803" s="131"/>
      <c r="B803" s="131"/>
      <c r="C803" s="123"/>
    </row>
    <row r="804" spans="1:3">
      <c r="A804" s="131"/>
      <c r="B804" s="131"/>
      <c r="C804" s="123"/>
    </row>
    <row r="805" spans="1:3">
      <c r="A805" s="131"/>
      <c r="B805" s="131"/>
      <c r="C805" s="123"/>
    </row>
    <row r="806" spans="1:3">
      <c r="A806" s="131"/>
      <c r="B806" s="131"/>
      <c r="C806" s="123"/>
    </row>
    <row r="807" spans="1:3">
      <c r="A807" s="131"/>
      <c r="B807" s="131"/>
      <c r="C807" s="123"/>
    </row>
    <row r="808" spans="1:3">
      <c r="A808" s="131"/>
      <c r="B808" s="131"/>
      <c r="C808" s="123"/>
    </row>
    <row r="809" spans="1:3">
      <c r="A809" s="131"/>
      <c r="B809" s="131"/>
      <c r="C809" s="123"/>
    </row>
    <row r="810" spans="1:3">
      <c r="A810" s="131"/>
      <c r="B810" s="131"/>
      <c r="C810" s="123"/>
    </row>
    <row r="811" spans="1:3">
      <c r="A811" s="131"/>
      <c r="B811" s="131"/>
      <c r="C811" s="123"/>
    </row>
    <row r="812" spans="1:3">
      <c r="A812" s="131"/>
      <c r="B812" s="131"/>
      <c r="C812" s="123"/>
    </row>
    <row r="813" spans="1:3">
      <c r="A813" s="131"/>
      <c r="B813" s="131"/>
      <c r="C813" s="123"/>
    </row>
    <row r="814" spans="1:3">
      <c r="A814" s="131"/>
      <c r="B814" s="131"/>
      <c r="C814" s="123"/>
    </row>
    <row r="815" spans="1:3">
      <c r="A815" s="131"/>
      <c r="B815" s="131"/>
      <c r="C815" s="123"/>
    </row>
    <row r="816" spans="1:3">
      <c r="A816" s="131"/>
      <c r="B816" s="131"/>
      <c r="C816" s="123"/>
    </row>
    <row r="817" spans="1:3">
      <c r="A817" s="131"/>
      <c r="B817" s="131"/>
      <c r="C817" s="123"/>
    </row>
    <row r="818" spans="1:3">
      <c r="A818" s="131"/>
      <c r="B818" s="131"/>
      <c r="C818" s="123"/>
    </row>
    <row r="819" spans="1:3">
      <c r="A819" s="131"/>
      <c r="B819" s="131"/>
      <c r="C819" s="123"/>
    </row>
    <row r="820" spans="1:3">
      <c r="A820" s="131"/>
      <c r="B820" s="131"/>
      <c r="C820" s="123"/>
    </row>
    <row r="821" spans="1:3">
      <c r="A821" s="131"/>
      <c r="B821" s="131"/>
      <c r="C821" s="123"/>
    </row>
    <row r="822" spans="1:3">
      <c r="A822" s="131"/>
      <c r="B822" s="131"/>
      <c r="C822" s="123"/>
    </row>
    <row r="823" spans="1:3">
      <c r="A823" s="131"/>
      <c r="B823" s="131"/>
      <c r="C823" s="123"/>
    </row>
    <row r="824" spans="1:3">
      <c r="A824" s="131"/>
      <c r="B824" s="131"/>
      <c r="C824" s="123"/>
    </row>
    <row r="825" spans="1:3">
      <c r="A825" s="131"/>
      <c r="B825" s="131"/>
      <c r="C825" s="123"/>
    </row>
    <row r="826" spans="1:3">
      <c r="A826" s="131"/>
      <c r="B826" s="131"/>
      <c r="C826" s="123"/>
    </row>
    <row r="827" spans="1:3">
      <c r="A827" s="131"/>
      <c r="B827" s="131"/>
      <c r="C827" s="123"/>
    </row>
    <row r="828" spans="1:3">
      <c r="A828" s="131"/>
      <c r="B828" s="131"/>
      <c r="C828" s="123"/>
    </row>
    <row r="829" spans="1:3">
      <c r="A829" s="131"/>
      <c r="B829" s="131"/>
      <c r="C829" s="123"/>
    </row>
    <row r="830" spans="1:3">
      <c r="A830" s="131"/>
      <c r="B830" s="131"/>
      <c r="C830" s="123"/>
    </row>
    <row r="831" spans="1:3">
      <c r="A831" s="131"/>
      <c r="B831" s="131"/>
      <c r="C831" s="123"/>
    </row>
    <row r="832" spans="1:3">
      <c r="A832" s="131"/>
      <c r="B832" s="131"/>
      <c r="C832" s="123"/>
    </row>
    <row r="833" spans="1:3">
      <c r="A833" s="131"/>
      <c r="B833" s="131"/>
      <c r="C833" s="123"/>
    </row>
    <row r="834" spans="1:3">
      <c r="A834" s="131"/>
      <c r="B834" s="131"/>
      <c r="C834" s="123"/>
    </row>
    <row r="835" spans="1:3">
      <c r="A835" s="131"/>
      <c r="B835" s="131"/>
      <c r="C835" s="123"/>
    </row>
    <row r="836" spans="1:3">
      <c r="A836" s="131"/>
      <c r="B836" s="131"/>
      <c r="C836" s="123"/>
    </row>
    <row r="837" spans="1:3">
      <c r="A837" s="131"/>
      <c r="B837" s="131"/>
      <c r="C837" s="123"/>
    </row>
    <row r="838" spans="1:3">
      <c r="A838" s="131"/>
      <c r="B838" s="131"/>
      <c r="C838" s="123"/>
    </row>
    <row r="839" spans="1:3">
      <c r="A839" s="131"/>
      <c r="B839" s="131"/>
      <c r="C839" s="123"/>
    </row>
    <row r="840" spans="1:3">
      <c r="A840" s="131"/>
      <c r="B840" s="131"/>
      <c r="C840" s="123"/>
    </row>
    <row r="841" spans="1:3">
      <c r="A841" s="131"/>
      <c r="B841" s="131"/>
      <c r="C841" s="123"/>
    </row>
    <row r="842" spans="1:3">
      <c r="A842" s="131"/>
      <c r="B842" s="131"/>
      <c r="C842" s="123"/>
    </row>
    <row r="843" spans="1:3">
      <c r="A843" s="131"/>
      <c r="B843" s="131"/>
      <c r="C843" s="123"/>
    </row>
    <row r="844" spans="1:3">
      <c r="A844" s="131"/>
      <c r="B844" s="131"/>
      <c r="C844" s="123"/>
    </row>
    <row r="845" spans="1:3">
      <c r="A845" s="131"/>
      <c r="B845" s="131"/>
      <c r="C845" s="123"/>
    </row>
    <row r="846" spans="1:3">
      <c r="A846" s="131"/>
      <c r="B846" s="131"/>
      <c r="C846" s="123"/>
    </row>
  </sheetData>
  <mergeCells count="20">
    <mergeCell ref="A455:AE455"/>
    <mergeCell ref="A220:AE220"/>
    <mergeCell ref="A263:AE263"/>
    <mergeCell ref="A302:AE302"/>
    <mergeCell ref="A346:AE346"/>
    <mergeCell ref="A380:AE380"/>
    <mergeCell ref="A417:AE417"/>
    <mergeCell ref="A1:AE1"/>
    <mergeCell ref="A2:AE2"/>
    <mergeCell ref="A178:AE178"/>
    <mergeCell ref="A4:C4"/>
    <mergeCell ref="F19:Q19"/>
    <mergeCell ref="T19:AE19"/>
    <mergeCell ref="F21:Q21"/>
    <mergeCell ref="T21:AE21"/>
    <mergeCell ref="A22:AE22"/>
    <mergeCell ref="A36:AE36"/>
    <mergeCell ref="A68:AE68"/>
    <mergeCell ref="A106:AE106"/>
    <mergeCell ref="A147:AE14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5"/>
  <sheetViews>
    <sheetView workbookViewId="0">
      <selection sqref="A1:L1"/>
    </sheetView>
  </sheetViews>
  <sheetFormatPr defaultRowHeight="15"/>
  <cols>
    <col min="1" max="2" width="11.7109375" style="152" customWidth="1"/>
    <col min="3" max="3" width="12.28515625" style="113" customWidth="1"/>
    <col min="4" max="4" width="18.42578125" style="113" customWidth="1"/>
    <col min="5" max="5" width="0.85546875" style="113" customWidth="1"/>
    <col min="6" max="8" width="10.7109375" style="113" customWidth="1"/>
    <col min="9" max="9" width="3.28515625" style="113" customWidth="1"/>
    <col min="10" max="12" width="30.7109375" style="113" customWidth="1"/>
    <col min="13" max="16384" width="9.140625" style="113"/>
  </cols>
  <sheetData>
    <row r="1" spans="1:12">
      <c r="A1" s="188" t="s">
        <v>0</v>
      </c>
      <c r="B1" s="188"/>
      <c r="C1" s="188"/>
      <c r="D1" s="188"/>
      <c r="E1" s="188"/>
      <c r="F1" s="188"/>
      <c r="G1" s="188"/>
      <c r="H1" s="188"/>
      <c r="I1" s="188"/>
      <c r="J1" s="188"/>
      <c r="K1" s="188"/>
      <c r="L1" s="188"/>
    </row>
    <row r="2" spans="1:12">
      <c r="A2" s="188" t="s">
        <v>245</v>
      </c>
      <c r="B2" s="188"/>
      <c r="C2" s="188"/>
      <c r="D2" s="188"/>
      <c r="E2" s="188"/>
      <c r="F2" s="188"/>
      <c r="G2" s="188"/>
      <c r="H2" s="188"/>
      <c r="I2" s="188"/>
      <c r="J2" s="188"/>
      <c r="K2" s="188"/>
      <c r="L2" s="188"/>
    </row>
    <row r="3" spans="1:12" ht="15.75" thickBot="1"/>
    <row r="4" spans="1:12" ht="15.75" thickBot="1">
      <c r="A4" s="189" t="s">
        <v>200</v>
      </c>
      <c r="B4" s="190"/>
      <c r="C4" s="191"/>
    </row>
    <row r="5" spans="1:12">
      <c r="A5" s="119" t="s">
        <v>201</v>
      </c>
      <c r="B5" s="119" t="s">
        <v>202</v>
      </c>
      <c r="C5" s="119" t="s">
        <v>203</v>
      </c>
    </row>
    <row r="6" spans="1:12">
      <c r="A6" s="120">
        <v>41640</v>
      </c>
      <c r="B6" s="120">
        <v>41670</v>
      </c>
      <c r="C6" s="126">
        <v>3.6260000000000001E-2</v>
      </c>
    </row>
    <row r="7" spans="1:12">
      <c r="A7" s="120">
        <v>41671</v>
      </c>
      <c r="B7" s="120">
        <v>41698</v>
      </c>
      <c r="C7" s="126">
        <v>2.231E-2</v>
      </c>
    </row>
    <row r="8" spans="1:12">
      <c r="A8" s="120">
        <v>41699</v>
      </c>
      <c r="B8" s="120">
        <v>41729</v>
      </c>
      <c r="C8" s="126">
        <v>1.103E-2</v>
      </c>
    </row>
    <row r="9" spans="1:12">
      <c r="A9" s="120">
        <v>41730</v>
      </c>
      <c r="B9" s="120">
        <v>41759</v>
      </c>
      <c r="C9" s="126">
        <v>-9.6500000000000006E-3</v>
      </c>
    </row>
    <row r="10" spans="1:12">
      <c r="A10" s="120">
        <v>41760</v>
      </c>
      <c r="B10" s="120">
        <v>41790</v>
      </c>
      <c r="C10" s="126">
        <v>5.3560000000000003E-2</v>
      </c>
    </row>
    <row r="11" spans="1:12">
      <c r="A11" s="120">
        <v>41791</v>
      </c>
      <c r="B11" s="120">
        <v>41820</v>
      </c>
      <c r="C11" s="126">
        <v>7.1900000000000006E-2</v>
      </c>
    </row>
    <row r="12" spans="1:12">
      <c r="A12" s="120">
        <v>41821</v>
      </c>
      <c r="B12" s="120">
        <v>41851</v>
      </c>
      <c r="C12" s="126">
        <v>5.9760000000000001E-2</v>
      </c>
    </row>
    <row r="13" spans="1:12">
      <c r="A13" s="120">
        <v>41852</v>
      </c>
      <c r="B13" s="120">
        <v>41882</v>
      </c>
      <c r="C13" s="126">
        <v>6.1080000000000002E-2</v>
      </c>
    </row>
    <row r="14" spans="1:12">
      <c r="A14" s="120">
        <v>41883</v>
      </c>
      <c r="B14" s="120">
        <v>41912</v>
      </c>
      <c r="C14" s="126">
        <v>8.0490000000000006E-2</v>
      </c>
    </row>
    <row r="15" spans="1:12">
      <c r="A15" s="120">
        <v>41913</v>
      </c>
      <c r="B15" s="120">
        <v>41943</v>
      </c>
      <c r="C15" s="126">
        <v>7.492E-2</v>
      </c>
    </row>
    <row r="16" spans="1:12">
      <c r="A16" s="120">
        <v>41944</v>
      </c>
      <c r="B16" s="120">
        <v>41973</v>
      </c>
      <c r="C16" s="126">
        <v>9.9010000000000001E-2</v>
      </c>
    </row>
    <row r="17" spans="1:12">
      <c r="A17" s="120">
        <v>41974</v>
      </c>
      <c r="B17" s="120">
        <v>42004</v>
      </c>
      <c r="C17" s="126">
        <v>7.3179999999999995E-2</v>
      </c>
    </row>
    <row r="18" spans="1:12">
      <c r="A18" s="126"/>
      <c r="B18" s="126"/>
    </row>
    <row r="19" spans="1:12">
      <c r="F19" s="192" t="s">
        <v>204</v>
      </c>
      <c r="G19" s="192"/>
      <c r="H19" s="192"/>
      <c r="I19" s="153"/>
      <c r="J19" s="192" t="s">
        <v>246</v>
      </c>
      <c r="K19" s="192"/>
      <c r="L19" s="192"/>
    </row>
    <row r="20" spans="1:12" ht="30">
      <c r="A20" s="128" t="s">
        <v>206</v>
      </c>
      <c r="B20" s="128" t="s">
        <v>207</v>
      </c>
      <c r="C20" s="128" t="s">
        <v>208</v>
      </c>
      <c r="D20" s="128" t="s">
        <v>210</v>
      </c>
      <c r="E20" s="128"/>
      <c r="F20" s="128">
        <v>10</v>
      </c>
      <c r="G20" s="128">
        <v>11</v>
      </c>
      <c r="H20" s="128">
        <v>12</v>
      </c>
      <c r="I20" s="128"/>
      <c r="J20" s="128" t="s">
        <v>44</v>
      </c>
      <c r="K20" s="128" t="s">
        <v>45</v>
      </c>
      <c r="L20" s="128" t="s">
        <v>46</v>
      </c>
    </row>
    <row r="21" spans="1:12">
      <c r="A21" s="129" t="s">
        <v>212</v>
      </c>
      <c r="B21" s="129" t="s">
        <v>213</v>
      </c>
      <c r="C21" s="129" t="s">
        <v>214</v>
      </c>
      <c r="D21" s="129" t="s">
        <v>215</v>
      </c>
      <c r="E21" s="129"/>
      <c r="F21" s="193" t="s">
        <v>216</v>
      </c>
      <c r="G21" s="193"/>
      <c r="H21" s="193"/>
      <c r="I21" s="154"/>
      <c r="J21" s="193" t="s">
        <v>217</v>
      </c>
      <c r="K21" s="193"/>
      <c r="L21" s="193"/>
    </row>
    <row r="22" spans="1:12">
      <c r="A22" s="131">
        <v>41927</v>
      </c>
      <c r="B22" s="131">
        <v>41988</v>
      </c>
      <c r="C22" s="123">
        <f t="shared" ref="C22:C37" si="0">B22-A22</f>
        <v>61</v>
      </c>
      <c r="D22" s="110">
        <v>7994.48</v>
      </c>
      <c r="E22" s="129"/>
      <c r="F22" s="157">
        <v>17</v>
      </c>
      <c r="G22" s="157">
        <v>30</v>
      </c>
      <c r="H22" s="157">
        <v>14</v>
      </c>
      <c r="I22" s="147"/>
      <c r="J22" s="158">
        <f>ROUND(($D22*F22/$C22)/$C$15,2)</f>
        <v>29737.98</v>
      </c>
      <c r="K22" s="158">
        <f>ROUND(($D22*G22/$C22)/$C$16,2)</f>
        <v>39710.25</v>
      </c>
      <c r="L22" s="158">
        <f>ROUND(($D22*H22/$C22)/$C$17,2)</f>
        <v>25072.41</v>
      </c>
    </row>
    <row r="23" spans="1:12">
      <c r="A23" s="131">
        <v>41958</v>
      </c>
      <c r="B23" s="131">
        <v>41988</v>
      </c>
      <c r="C23" s="123">
        <f t="shared" si="0"/>
        <v>30</v>
      </c>
      <c r="D23" s="110">
        <v>39712.18</v>
      </c>
      <c r="E23" s="129"/>
      <c r="F23" s="157"/>
      <c r="G23" s="157">
        <v>16</v>
      </c>
      <c r="H23" s="157">
        <v>14</v>
      </c>
      <c r="I23" s="147"/>
      <c r="J23" s="158">
        <f t="shared" ref="J23:J66" si="1">ROUND(($D23*F23/$C23)/$C$15,2)</f>
        <v>0</v>
      </c>
      <c r="K23" s="158">
        <f t="shared" ref="K23:K66" si="2">ROUND(($D23*G23/$C23)/$C$16,2)</f>
        <v>213916.06</v>
      </c>
      <c r="L23" s="158">
        <f t="shared" ref="L23:L66" si="3">ROUND(($D23*H23/$C23)/$C$17,2)</f>
        <v>253243.38</v>
      </c>
    </row>
    <row r="24" spans="1:12">
      <c r="A24" s="131">
        <v>41968</v>
      </c>
      <c r="B24" s="131">
        <v>41991</v>
      </c>
      <c r="C24" s="123">
        <f t="shared" si="0"/>
        <v>23</v>
      </c>
      <c r="D24" s="110">
        <v>892.48</v>
      </c>
      <c r="E24" s="129"/>
      <c r="F24" s="157"/>
      <c r="G24" s="157">
        <v>6</v>
      </c>
      <c r="H24" s="157">
        <v>17</v>
      </c>
      <c r="I24" s="147"/>
      <c r="J24" s="158">
        <f t="shared" si="1"/>
        <v>0</v>
      </c>
      <c r="K24" s="158">
        <f t="shared" si="2"/>
        <v>2351.4899999999998</v>
      </c>
      <c r="L24" s="158">
        <f t="shared" si="3"/>
        <v>9014.2000000000007</v>
      </c>
    </row>
    <row r="25" spans="1:12">
      <c r="A25" s="131">
        <v>41968</v>
      </c>
      <c r="B25" s="131">
        <v>41998</v>
      </c>
      <c r="C25" s="123">
        <f t="shared" si="0"/>
        <v>30</v>
      </c>
      <c r="D25" s="110">
        <v>217632.36</v>
      </c>
      <c r="E25" s="129"/>
      <c r="F25" s="157"/>
      <c r="G25" s="157">
        <v>6</v>
      </c>
      <c r="H25" s="157">
        <v>24</v>
      </c>
      <c r="I25" s="147"/>
      <c r="J25" s="158">
        <f t="shared" si="1"/>
        <v>0</v>
      </c>
      <c r="K25" s="158">
        <f t="shared" si="2"/>
        <v>439616.93</v>
      </c>
      <c r="L25" s="158">
        <f t="shared" si="3"/>
        <v>2379145.7799999998</v>
      </c>
    </row>
    <row r="26" spans="1:12">
      <c r="A26" s="131">
        <v>41940</v>
      </c>
      <c r="B26" s="131">
        <v>42001</v>
      </c>
      <c r="C26" s="123">
        <f t="shared" si="0"/>
        <v>61</v>
      </c>
      <c r="D26" s="110">
        <v>3675.83</v>
      </c>
      <c r="E26" s="129"/>
      <c r="F26" s="157">
        <v>4</v>
      </c>
      <c r="G26" s="157">
        <v>30</v>
      </c>
      <c r="H26" s="157">
        <v>27</v>
      </c>
      <c r="I26" s="147"/>
      <c r="J26" s="158">
        <f t="shared" si="1"/>
        <v>3217.27</v>
      </c>
      <c r="K26" s="158">
        <f t="shared" si="2"/>
        <v>18258.61</v>
      </c>
      <c r="L26" s="158">
        <f t="shared" si="3"/>
        <v>22232.94</v>
      </c>
    </row>
    <row r="27" spans="1:12">
      <c r="A27" s="131">
        <v>41971</v>
      </c>
      <c r="B27" s="131">
        <v>42001</v>
      </c>
      <c r="C27" s="123">
        <f t="shared" si="0"/>
        <v>30</v>
      </c>
      <c r="D27" s="110">
        <v>425.9</v>
      </c>
      <c r="E27" s="129"/>
      <c r="F27" s="157"/>
      <c r="G27" s="157">
        <v>3</v>
      </c>
      <c r="H27" s="157">
        <v>27</v>
      </c>
      <c r="I27" s="147"/>
      <c r="J27" s="158">
        <f t="shared" si="1"/>
        <v>0</v>
      </c>
      <c r="K27" s="158">
        <f t="shared" si="2"/>
        <v>430.16</v>
      </c>
      <c r="L27" s="158">
        <f t="shared" si="3"/>
        <v>5237.91</v>
      </c>
    </row>
    <row r="28" spans="1:12">
      <c r="A28" s="131">
        <v>41971</v>
      </c>
      <c r="B28" s="131">
        <v>42001</v>
      </c>
      <c r="C28" s="123">
        <f t="shared" si="0"/>
        <v>30</v>
      </c>
      <c r="D28" s="110">
        <v>1150.0899999999999</v>
      </c>
      <c r="E28" s="129"/>
      <c r="F28" s="157"/>
      <c r="G28" s="157">
        <v>3</v>
      </c>
      <c r="H28" s="157">
        <v>27</v>
      </c>
      <c r="I28" s="147"/>
      <c r="J28" s="158">
        <f t="shared" si="1"/>
        <v>0</v>
      </c>
      <c r="K28" s="158">
        <f t="shared" si="2"/>
        <v>1161.5899999999999</v>
      </c>
      <c r="L28" s="158">
        <f t="shared" si="3"/>
        <v>14144.32</v>
      </c>
    </row>
    <row r="29" spans="1:12">
      <c r="A29" s="131">
        <v>41940</v>
      </c>
      <c r="B29" s="131">
        <v>42001</v>
      </c>
      <c r="C29" s="123">
        <f t="shared" si="0"/>
        <v>61</v>
      </c>
      <c r="D29" s="110">
        <v>1933.65</v>
      </c>
      <c r="E29" s="129"/>
      <c r="F29" s="157">
        <v>4</v>
      </c>
      <c r="G29" s="157">
        <v>30</v>
      </c>
      <c r="H29" s="157">
        <v>27</v>
      </c>
      <c r="I29" s="147"/>
      <c r="J29" s="158">
        <f t="shared" si="1"/>
        <v>1692.43</v>
      </c>
      <c r="K29" s="158">
        <f t="shared" si="2"/>
        <v>9604.84</v>
      </c>
      <c r="L29" s="158">
        <f t="shared" si="3"/>
        <v>11695.52</v>
      </c>
    </row>
    <row r="30" spans="1:12">
      <c r="A30" s="131">
        <v>41950</v>
      </c>
      <c r="B30" s="131">
        <v>41995</v>
      </c>
      <c r="C30" s="123">
        <f t="shared" si="0"/>
        <v>45</v>
      </c>
      <c r="D30" s="110">
        <v>26.419</v>
      </c>
      <c r="E30" s="129"/>
      <c r="F30" s="157"/>
      <c r="G30" s="157">
        <v>24</v>
      </c>
      <c r="H30" s="157">
        <v>21</v>
      </c>
      <c r="I30" s="147"/>
      <c r="J30" s="158">
        <f t="shared" si="1"/>
        <v>0</v>
      </c>
      <c r="K30" s="158">
        <f t="shared" si="2"/>
        <v>142.31</v>
      </c>
      <c r="L30" s="158">
        <f t="shared" si="3"/>
        <v>168.47</v>
      </c>
    </row>
    <row r="31" spans="1:12">
      <c r="A31" s="131">
        <v>41974</v>
      </c>
      <c r="B31" s="131">
        <v>42005</v>
      </c>
      <c r="C31" s="123">
        <f t="shared" si="0"/>
        <v>31</v>
      </c>
      <c r="D31" s="110">
        <v>1730.96</v>
      </c>
      <c r="E31" s="129"/>
      <c r="F31" s="157"/>
      <c r="G31" s="157"/>
      <c r="H31" s="157">
        <v>31</v>
      </c>
      <c r="I31" s="147"/>
      <c r="J31" s="158">
        <f t="shared" si="1"/>
        <v>0</v>
      </c>
      <c r="K31" s="158">
        <f t="shared" si="2"/>
        <v>0</v>
      </c>
      <c r="L31" s="158">
        <f t="shared" si="3"/>
        <v>23653.46</v>
      </c>
    </row>
    <row r="32" spans="1:12">
      <c r="A32" s="131">
        <v>41973</v>
      </c>
      <c r="B32" s="131">
        <v>42004</v>
      </c>
      <c r="C32" s="123">
        <f t="shared" si="0"/>
        <v>31</v>
      </c>
      <c r="D32" s="110">
        <v>10205.86</v>
      </c>
      <c r="E32" s="129"/>
      <c r="F32" s="157"/>
      <c r="G32" s="157">
        <v>1</v>
      </c>
      <c r="H32" s="157">
        <v>30</v>
      </c>
      <c r="I32" s="147"/>
      <c r="J32" s="158">
        <f t="shared" si="1"/>
        <v>0</v>
      </c>
      <c r="K32" s="158">
        <f t="shared" si="2"/>
        <v>3325.13</v>
      </c>
      <c r="L32" s="158">
        <f t="shared" si="3"/>
        <v>134963.63</v>
      </c>
    </row>
    <row r="33" spans="1:12">
      <c r="A33" s="131">
        <v>41974</v>
      </c>
      <c r="B33" s="131">
        <v>42005</v>
      </c>
      <c r="C33" s="123">
        <f t="shared" si="0"/>
        <v>31</v>
      </c>
      <c r="D33" s="110">
        <v>848.7</v>
      </c>
      <c r="E33" s="129"/>
      <c r="F33" s="157"/>
      <c r="G33" s="157"/>
      <c r="H33" s="157">
        <v>31</v>
      </c>
      <c r="I33" s="147"/>
      <c r="J33" s="158">
        <f t="shared" si="1"/>
        <v>0</v>
      </c>
      <c r="K33" s="158">
        <f t="shared" si="2"/>
        <v>0</v>
      </c>
      <c r="L33" s="158">
        <f t="shared" si="3"/>
        <v>11597.43</v>
      </c>
    </row>
    <row r="34" spans="1:12">
      <c r="A34" s="131">
        <v>41974</v>
      </c>
      <c r="B34" s="131">
        <v>42005</v>
      </c>
      <c r="C34" s="123">
        <f t="shared" si="0"/>
        <v>31</v>
      </c>
      <c r="D34" s="110">
        <v>14980.89</v>
      </c>
      <c r="E34" s="129"/>
      <c r="F34" s="157"/>
      <c r="G34" s="157"/>
      <c r="H34" s="157">
        <v>31</v>
      </c>
      <c r="I34" s="147"/>
      <c r="J34" s="158">
        <f t="shared" si="1"/>
        <v>0</v>
      </c>
      <c r="K34" s="158">
        <f t="shared" si="2"/>
        <v>0</v>
      </c>
      <c r="L34" s="158">
        <f t="shared" si="3"/>
        <v>204712.9</v>
      </c>
    </row>
    <row r="35" spans="1:12">
      <c r="A35" s="131">
        <v>41974</v>
      </c>
      <c r="B35" s="131">
        <v>42005</v>
      </c>
      <c r="C35" s="123">
        <f t="shared" si="0"/>
        <v>31</v>
      </c>
      <c r="D35" s="110">
        <v>128536.06</v>
      </c>
      <c r="E35" s="129"/>
      <c r="F35" s="157"/>
      <c r="G35" s="157"/>
      <c r="H35" s="157">
        <v>31</v>
      </c>
      <c r="I35" s="147"/>
      <c r="J35" s="158">
        <f t="shared" si="1"/>
        <v>0</v>
      </c>
      <c r="K35" s="158">
        <f t="shared" si="2"/>
        <v>0</v>
      </c>
      <c r="L35" s="158">
        <f t="shared" si="3"/>
        <v>1756437</v>
      </c>
    </row>
    <row r="36" spans="1:12">
      <c r="A36" s="131">
        <v>41974</v>
      </c>
      <c r="B36" s="131">
        <v>42005</v>
      </c>
      <c r="C36" s="123">
        <f t="shared" si="0"/>
        <v>31</v>
      </c>
      <c r="D36" s="110">
        <v>255.4</v>
      </c>
      <c r="E36" s="129"/>
      <c r="F36" s="157"/>
      <c r="G36" s="157"/>
      <c r="H36" s="157">
        <v>31</v>
      </c>
      <c r="I36" s="147"/>
      <c r="J36" s="158">
        <f t="shared" si="1"/>
        <v>0</v>
      </c>
      <c r="K36" s="158">
        <f t="shared" si="2"/>
        <v>0</v>
      </c>
      <c r="L36" s="158">
        <f t="shared" si="3"/>
        <v>3490.02</v>
      </c>
    </row>
    <row r="37" spans="1:12">
      <c r="A37" s="131">
        <v>41974</v>
      </c>
      <c r="B37" s="131">
        <v>42005</v>
      </c>
      <c r="C37" s="123">
        <f t="shared" si="0"/>
        <v>31</v>
      </c>
      <c r="D37" s="110">
        <v>35509.57</v>
      </c>
      <c r="E37" s="129"/>
      <c r="F37" s="157"/>
      <c r="G37" s="157"/>
      <c r="H37" s="157">
        <v>31</v>
      </c>
      <c r="I37" s="147"/>
      <c r="J37" s="158">
        <f t="shared" si="1"/>
        <v>0</v>
      </c>
      <c r="K37" s="158">
        <f t="shared" si="2"/>
        <v>0</v>
      </c>
      <c r="L37" s="158">
        <f t="shared" si="3"/>
        <v>485235.99</v>
      </c>
    </row>
    <row r="38" spans="1:12">
      <c r="A38" s="131">
        <v>41974</v>
      </c>
      <c r="B38" s="131">
        <v>42005</v>
      </c>
      <c r="C38" s="123">
        <f t="shared" ref="C38:C65" si="4">B38-A38</f>
        <v>31</v>
      </c>
      <c r="D38" s="110">
        <v>2292.54</v>
      </c>
      <c r="E38" s="129"/>
      <c r="F38" s="157"/>
      <c r="G38" s="157"/>
      <c r="H38" s="157">
        <v>31</v>
      </c>
      <c r="I38" s="147"/>
      <c r="J38" s="158">
        <f t="shared" si="1"/>
        <v>0</v>
      </c>
      <c r="K38" s="158">
        <f t="shared" si="2"/>
        <v>0</v>
      </c>
      <c r="L38" s="158">
        <f t="shared" si="3"/>
        <v>31327.41</v>
      </c>
    </row>
    <row r="39" spans="1:12">
      <c r="A39" s="131">
        <v>41971</v>
      </c>
      <c r="B39" s="131">
        <v>42009</v>
      </c>
      <c r="C39" s="123">
        <f>B39-A39</f>
        <v>38</v>
      </c>
      <c r="D39" s="110">
        <v>1142.8</v>
      </c>
      <c r="E39" s="110"/>
      <c r="F39" s="123"/>
      <c r="G39" s="123">
        <v>3</v>
      </c>
      <c r="H39" s="123">
        <v>31</v>
      </c>
      <c r="I39" s="133"/>
      <c r="J39" s="158">
        <f t="shared" si="1"/>
        <v>0</v>
      </c>
      <c r="K39" s="158">
        <f t="shared" si="2"/>
        <v>911.23</v>
      </c>
      <c r="L39" s="158">
        <f t="shared" si="3"/>
        <v>12739.6</v>
      </c>
    </row>
    <row r="40" spans="1:12">
      <c r="A40" s="131">
        <v>41950</v>
      </c>
      <c r="B40" s="131">
        <v>42009</v>
      </c>
      <c r="C40" s="123">
        <f t="shared" si="4"/>
        <v>59</v>
      </c>
      <c r="D40" s="110">
        <v>3014.43</v>
      </c>
      <c r="E40" s="110"/>
      <c r="F40" s="123"/>
      <c r="G40" s="123">
        <v>24</v>
      </c>
      <c r="H40" s="123">
        <v>31</v>
      </c>
      <c r="I40" s="133"/>
      <c r="J40" s="158">
        <f t="shared" si="1"/>
        <v>0</v>
      </c>
      <c r="K40" s="158">
        <f t="shared" si="2"/>
        <v>12384.7</v>
      </c>
      <c r="L40" s="158">
        <f t="shared" si="3"/>
        <v>21643.25</v>
      </c>
    </row>
    <row r="41" spans="1:12">
      <c r="A41" s="131">
        <v>41950</v>
      </c>
      <c r="B41" s="131">
        <v>42009</v>
      </c>
      <c r="C41" s="123">
        <f t="shared" si="4"/>
        <v>59</v>
      </c>
      <c r="D41" s="110">
        <v>789.43</v>
      </c>
      <c r="E41" s="110"/>
      <c r="F41" s="123"/>
      <c r="G41" s="123">
        <v>24</v>
      </c>
      <c r="H41" s="123">
        <v>31</v>
      </c>
      <c r="I41" s="133"/>
      <c r="J41" s="158">
        <f t="shared" si="1"/>
        <v>0</v>
      </c>
      <c r="K41" s="158">
        <f t="shared" si="2"/>
        <v>3243.35</v>
      </c>
      <c r="L41" s="158">
        <f t="shared" si="3"/>
        <v>5668.01</v>
      </c>
    </row>
    <row r="42" spans="1:12">
      <c r="A42" s="131">
        <v>41978</v>
      </c>
      <c r="B42" s="131">
        <v>42010</v>
      </c>
      <c r="C42" s="123">
        <f t="shared" si="4"/>
        <v>32</v>
      </c>
      <c r="D42" s="110">
        <v>51.21</v>
      </c>
      <c r="E42" s="110"/>
      <c r="F42" s="123"/>
      <c r="G42" s="123"/>
      <c r="H42" s="123">
        <v>27</v>
      </c>
      <c r="I42" s="133"/>
      <c r="J42" s="158">
        <f t="shared" si="1"/>
        <v>0</v>
      </c>
      <c r="K42" s="158">
        <f t="shared" si="2"/>
        <v>0</v>
      </c>
      <c r="L42" s="158">
        <f t="shared" si="3"/>
        <v>590.44000000000005</v>
      </c>
    </row>
    <row r="43" spans="1:12">
      <c r="A43" s="131">
        <v>41957</v>
      </c>
      <c r="B43" s="131">
        <v>42004</v>
      </c>
      <c r="C43" s="123">
        <f t="shared" si="4"/>
        <v>47</v>
      </c>
      <c r="D43" s="110">
        <v>117.37</v>
      </c>
      <c r="E43" s="110"/>
      <c r="F43" s="123"/>
      <c r="G43" s="123">
        <v>17</v>
      </c>
      <c r="H43" s="123">
        <v>30</v>
      </c>
      <c r="I43" s="133"/>
      <c r="J43" s="158">
        <f t="shared" si="1"/>
        <v>0</v>
      </c>
      <c r="K43" s="158">
        <f t="shared" si="2"/>
        <v>428.77</v>
      </c>
      <c r="L43" s="158">
        <f t="shared" si="3"/>
        <v>1023.74</v>
      </c>
    </row>
    <row r="44" spans="1:12">
      <c r="A44" s="131">
        <v>41974</v>
      </c>
      <c r="B44" s="131">
        <v>42009</v>
      </c>
      <c r="C44" s="123">
        <f t="shared" si="4"/>
        <v>35</v>
      </c>
      <c r="D44" s="110">
        <v>61.73</v>
      </c>
      <c r="E44" s="110"/>
      <c r="F44" s="123"/>
      <c r="G44" s="123"/>
      <c r="H44" s="123">
        <v>31</v>
      </c>
      <c r="I44" s="133"/>
      <c r="J44" s="158">
        <f t="shared" si="1"/>
        <v>0</v>
      </c>
      <c r="K44" s="158">
        <f t="shared" si="2"/>
        <v>0</v>
      </c>
      <c r="L44" s="158">
        <f t="shared" si="3"/>
        <v>747.13</v>
      </c>
    </row>
    <row r="45" spans="1:12">
      <c r="A45" s="131">
        <v>41981</v>
      </c>
      <c r="B45" s="131">
        <v>42012</v>
      </c>
      <c r="C45" s="123">
        <f t="shared" si="4"/>
        <v>31</v>
      </c>
      <c r="D45" s="110">
        <v>384.88</v>
      </c>
      <c r="E45" s="110"/>
      <c r="F45" s="123"/>
      <c r="G45" s="123"/>
      <c r="H45" s="123">
        <v>24</v>
      </c>
      <c r="I45" s="133"/>
      <c r="J45" s="158">
        <f t="shared" si="1"/>
        <v>0</v>
      </c>
      <c r="K45" s="158">
        <f t="shared" si="2"/>
        <v>0</v>
      </c>
      <c r="L45" s="158">
        <f t="shared" si="3"/>
        <v>4071.76</v>
      </c>
    </row>
    <row r="46" spans="1:12">
      <c r="A46" s="131">
        <v>41981</v>
      </c>
      <c r="B46" s="131">
        <v>42012</v>
      </c>
      <c r="C46" s="123">
        <f t="shared" si="4"/>
        <v>31</v>
      </c>
      <c r="D46" s="110">
        <v>299.35000000000002</v>
      </c>
      <c r="E46" s="110"/>
      <c r="F46" s="123"/>
      <c r="G46" s="123"/>
      <c r="H46" s="123">
        <v>24</v>
      </c>
      <c r="I46" s="133"/>
      <c r="J46" s="158">
        <f t="shared" si="1"/>
        <v>0</v>
      </c>
      <c r="K46" s="158">
        <f t="shared" si="2"/>
        <v>0</v>
      </c>
      <c r="L46" s="158">
        <f t="shared" si="3"/>
        <v>3166.91</v>
      </c>
    </row>
    <row r="47" spans="1:12">
      <c r="A47" s="131">
        <v>41981</v>
      </c>
      <c r="B47" s="131">
        <v>42012</v>
      </c>
      <c r="C47" s="123">
        <f t="shared" si="4"/>
        <v>31</v>
      </c>
      <c r="D47" s="110">
        <v>802.13</v>
      </c>
      <c r="E47" s="110"/>
      <c r="F47" s="123"/>
      <c r="G47" s="123"/>
      <c r="H47" s="123">
        <v>24</v>
      </c>
      <c r="I47" s="133"/>
      <c r="J47" s="158">
        <f t="shared" si="1"/>
        <v>0</v>
      </c>
      <c r="K47" s="158">
        <f t="shared" si="2"/>
        <v>0</v>
      </c>
      <c r="L47" s="158">
        <f t="shared" si="3"/>
        <v>8485.98</v>
      </c>
    </row>
    <row r="48" spans="1:12">
      <c r="A48" s="131">
        <v>41981</v>
      </c>
      <c r="B48" s="131">
        <v>42012</v>
      </c>
      <c r="C48" s="123">
        <f t="shared" si="4"/>
        <v>31</v>
      </c>
      <c r="D48" s="110">
        <v>135</v>
      </c>
      <c r="E48" s="110"/>
      <c r="F48" s="123"/>
      <c r="G48" s="123"/>
      <c r="H48" s="123">
        <v>24</v>
      </c>
      <c r="I48" s="133"/>
      <c r="J48" s="158">
        <f t="shared" si="1"/>
        <v>0</v>
      </c>
      <c r="K48" s="158">
        <f t="shared" si="2"/>
        <v>0</v>
      </c>
      <c r="L48" s="158">
        <f t="shared" si="3"/>
        <v>1428.21</v>
      </c>
    </row>
    <row r="49" spans="1:12">
      <c r="A49" s="131">
        <v>41978</v>
      </c>
      <c r="B49" s="131">
        <v>42016</v>
      </c>
      <c r="C49" s="123">
        <f t="shared" si="4"/>
        <v>38</v>
      </c>
      <c r="D49" s="110">
        <v>306.72000000000003</v>
      </c>
      <c r="E49" s="110"/>
      <c r="F49" s="123"/>
      <c r="G49" s="123"/>
      <c r="H49" s="123">
        <v>27</v>
      </c>
      <c r="I49" s="133"/>
      <c r="J49" s="158">
        <f t="shared" si="1"/>
        <v>0</v>
      </c>
      <c r="K49" s="158">
        <f t="shared" si="2"/>
        <v>0</v>
      </c>
      <c r="L49" s="158">
        <f t="shared" si="3"/>
        <v>2978.04</v>
      </c>
    </row>
    <row r="50" spans="1:12">
      <c r="A50" s="131">
        <v>41981</v>
      </c>
      <c r="B50" s="131">
        <v>42012</v>
      </c>
      <c r="C50" s="123">
        <f t="shared" si="4"/>
        <v>31</v>
      </c>
      <c r="D50" s="110">
        <v>1498.25</v>
      </c>
      <c r="E50" s="110"/>
      <c r="F50" s="123"/>
      <c r="G50" s="123"/>
      <c r="H50" s="123">
        <v>24</v>
      </c>
      <c r="I50" s="133"/>
      <c r="J50" s="158">
        <f t="shared" si="1"/>
        <v>0</v>
      </c>
      <c r="K50" s="158">
        <f t="shared" si="2"/>
        <v>0</v>
      </c>
      <c r="L50" s="158">
        <f t="shared" si="3"/>
        <v>15850.44</v>
      </c>
    </row>
    <row r="51" spans="1:12">
      <c r="A51" s="131">
        <v>41981</v>
      </c>
      <c r="B51" s="131">
        <v>42012</v>
      </c>
      <c r="C51" s="123">
        <f t="shared" si="4"/>
        <v>31</v>
      </c>
      <c r="D51" s="110">
        <v>1294.5899999999999</v>
      </c>
      <c r="E51" s="110"/>
      <c r="F51" s="123"/>
      <c r="G51" s="123"/>
      <c r="H51" s="123">
        <v>24</v>
      </c>
      <c r="I51" s="133"/>
      <c r="J51" s="158">
        <f t="shared" si="1"/>
        <v>0</v>
      </c>
      <c r="K51" s="158">
        <f t="shared" si="2"/>
        <v>0</v>
      </c>
      <c r="L51" s="158">
        <f t="shared" si="3"/>
        <v>13695.86</v>
      </c>
    </row>
    <row r="52" spans="1:12">
      <c r="A52" s="131">
        <v>41978</v>
      </c>
      <c r="B52" s="131">
        <v>42016</v>
      </c>
      <c r="C52" s="123">
        <f t="shared" si="4"/>
        <v>38</v>
      </c>
      <c r="D52" s="110">
        <v>82.71</v>
      </c>
      <c r="E52" s="110"/>
      <c r="F52" s="123"/>
      <c r="G52" s="123"/>
      <c r="H52" s="123">
        <v>27</v>
      </c>
      <c r="I52" s="133"/>
      <c r="J52" s="158">
        <f t="shared" si="1"/>
        <v>0</v>
      </c>
      <c r="K52" s="158">
        <f t="shared" si="2"/>
        <v>0</v>
      </c>
      <c r="L52" s="158">
        <f t="shared" si="3"/>
        <v>803.06</v>
      </c>
    </row>
    <row r="53" spans="1:12">
      <c r="A53" s="131">
        <v>41957</v>
      </c>
      <c r="B53" s="131">
        <v>42023</v>
      </c>
      <c r="C53" s="123">
        <f t="shared" si="4"/>
        <v>66</v>
      </c>
      <c r="D53" s="110">
        <v>4034.23</v>
      </c>
      <c r="E53" s="110"/>
      <c r="F53" s="123"/>
      <c r="G53" s="123">
        <v>17</v>
      </c>
      <c r="H53" s="123">
        <v>31</v>
      </c>
      <c r="I53" s="133"/>
      <c r="J53" s="158">
        <f t="shared" si="1"/>
        <v>0</v>
      </c>
      <c r="K53" s="158">
        <f t="shared" si="2"/>
        <v>10495.1</v>
      </c>
      <c r="L53" s="158">
        <f t="shared" si="3"/>
        <v>25893.22</v>
      </c>
    </row>
    <row r="54" spans="1:12">
      <c r="A54" s="131">
        <v>41957</v>
      </c>
      <c r="B54" s="131">
        <v>42023</v>
      </c>
      <c r="C54" s="123">
        <f t="shared" si="4"/>
        <v>66</v>
      </c>
      <c r="D54" s="110">
        <v>605.16</v>
      </c>
      <c r="E54" s="110"/>
      <c r="F54" s="123"/>
      <c r="G54" s="123">
        <v>17</v>
      </c>
      <c r="H54" s="123">
        <v>31</v>
      </c>
      <c r="I54" s="133"/>
      <c r="J54" s="158">
        <f t="shared" si="1"/>
        <v>0</v>
      </c>
      <c r="K54" s="158">
        <f t="shared" si="2"/>
        <v>1574.33</v>
      </c>
      <c r="L54" s="158">
        <f t="shared" si="3"/>
        <v>3884.15</v>
      </c>
    </row>
    <row r="55" spans="1:12">
      <c r="A55" s="131">
        <v>41957</v>
      </c>
      <c r="B55" s="131">
        <v>42023</v>
      </c>
      <c r="C55" s="123">
        <f t="shared" si="4"/>
        <v>66</v>
      </c>
      <c r="D55" s="110">
        <v>1412.52</v>
      </c>
      <c r="E55" s="110"/>
      <c r="F55" s="123"/>
      <c r="G55" s="123">
        <v>17</v>
      </c>
      <c r="H55" s="123">
        <v>31</v>
      </c>
      <c r="I55" s="133"/>
      <c r="J55" s="158">
        <f t="shared" si="1"/>
        <v>0</v>
      </c>
      <c r="K55" s="158">
        <f t="shared" si="2"/>
        <v>3674.69</v>
      </c>
      <c r="L55" s="158">
        <f t="shared" si="3"/>
        <v>9066.09</v>
      </c>
    </row>
    <row r="56" spans="1:12">
      <c r="A56" s="131">
        <v>41974</v>
      </c>
      <c r="B56" s="131">
        <v>42005</v>
      </c>
      <c r="C56" s="123">
        <f t="shared" si="4"/>
        <v>31</v>
      </c>
      <c r="D56" s="110">
        <v>192.39</v>
      </c>
      <c r="E56" s="110"/>
      <c r="F56" s="123"/>
      <c r="G56" s="123"/>
      <c r="H56" s="123">
        <v>31</v>
      </c>
      <c r="I56" s="133"/>
      <c r="J56" s="158">
        <f t="shared" si="1"/>
        <v>0</v>
      </c>
      <c r="K56" s="158">
        <f t="shared" si="2"/>
        <v>0</v>
      </c>
      <c r="L56" s="158">
        <f t="shared" si="3"/>
        <v>2629</v>
      </c>
    </row>
    <row r="57" spans="1:12">
      <c r="A57" s="131">
        <v>41974</v>
      </c>
      <c r="B57" s="131">
        <v>42005</v>
      </c>
      <c r="C57" s="123">
        <f t="shared" si="4"/>
        <v>31</v>
      </c>
      <c r="D57" s="110">
        <v>2528.5100000000002</v>
      </c>
      <c r="E57" s="110"/>
      <c r="F57" s="123"/>
      <c r="G57" s="123"/>
      <c r="H57" s="123">
        <v>31</v>
      </c>
      <c r="I57" s="133"/>
      <c r="J57" s="158">
        <f t="shared" si="1"/>
        <v>0</v>
      </c>
      <c r="K57" s="158">
        <f t="shared" si="2"/>
        <v>0</v>
      </c>
      <c r="L57" s="158">
        <f t="shared" si="3"/>
        <v>34551.93</v>
      </c>
    </row>
    <row r="58" spans="1:12">
      <c r="A58" s="131">
        <v>41988</v>
      </c>
      <c r="B58" s="131">
        <v>42019</v>
      </c>
      <c r="C58" s="123">
        <f t="shared" si="4"/>
        <v>31</v>
      </c>
      <c r="D58" s="110">
        <v>31494.92</v>
      </c>
      <c r="E58" s="110"/>
      <c r="F58" s="123"/>
      <c r="G58" s="123"/>
      <c r="H58" s="123">
        <v>17</v>
      </c>
      <c r="I58" s="133"/>
      <c r="J58" s="158">
        <f t="shared" si="1"/>
        <v>0</v>
      </c>
      <c r="K58" s="158">
        <f t="shared" si="2"/>
        <v>0</v>
      </c>
      <c r="L58" s="158">
        <f t="shared" si="3"/>
        <v>236012.68</v>
      </c>
    </row>
    <row r="59" spans="1:12">
      <c r="A59" s="131">
        <v>41988</v>
      </c>
      <c r="B59" s="131">
        <v>42019</v>
      </c>
      <c r="C59" s="123">
        <f t="shared" si="4"/>
        <v>31</v>
      </c>
      <c r="D59" s="110">
        <v>7727.83</v>
      </c>
      <c r="E59" s="110"/>
      <c r="F59" s="123"/>
      <c r="G59" s="123"/>
      <c r="H59" s="123">
        <v>17</v>
      </c>
      <c r="I59" s="133"/>
      <c r="J59" s="158">
        <f t="shared" si="1"/>
        <v>0</v>
      </c>
      <c r="K59" s="158">
        <f t="shared" si="2"/>
        <v>0</v>
      </c>
      <c r="L59" s="158">
        <f t="shared" si="3"/>
        <v>57909.84</v>
      </c>
    </row>
    <row r="60" spans="1:12">
      <c r="A60" s="131">
        <v>41998</v>
      </c>
      <c r="B60" s="131">
        <v>42026</v>
      </c>
      <c r="C60" s="123">
        <f t="shared" si="4"/>
        <v>28</v>
      </c>
      <c r="D60" s="110">
        <v>154986.93</v>
      </c>
      <c r="E60" s="110"/>
      <c r="F60" s="123"/>
      <c r="G60" s="123"/>
      <c r="H60" s="123">
        <v>7</v>
      </c>
      <c r="I60" s="133"/>
      <c r="J60" s="158">
        <f t="shared" si="1"/>
        <v>0</v>
      </c>
      <c r="K60" s="158">
        <f t="shared" si="2"/>
        <v>0</v>
      </c>
      <c r="L60" s="158">
        <f>ROUND(($D60*H60/$C60)/$C$17,2)</f>
        <v>529471.61</v>
      </c>
    </row>
    <row r="61" spans="1:12">
      <c r="A61" s="131">
        <v>42001</v>
      </c>
      <c r="B61" s="131">
        <v>42030</v>
      </c>
      <c r="C61" s="123">
        <f t="shared" si="4"/>
        <v>29</v>
      </c>
      <c r="D61" s="110">
        <v>1950.65</v>
      </c>
      <c r="E61" s="110"/>
      <c r="F61" s="123"/>
      <c r="G61" s="123"/>
      <c r="H61" s="123">
        <v>4</v>
      </c>
      <c r="I61" s="133"/>
      <c r="J61" s="158">
        <f t="shared" si="1"/>
        <v>0</v>
      </c>
      <c r="K61" s="158">
        <f t="shared" si="2"/>
        <v>0</v>
      </c>
      <c r="L61" s="158">
        <f t="shared" si="3"/>
        <v>3676.62</v>
      </c>
    </row>
    <row r="62" spans="1:12">
      <c r="A62" s="131">
        <v>42001</v>
      </c>
      <c r="B62" s="131">
        <v>42030</v>
      </c>
      <c r="C62" s="123">
        <f t="shared" si="4"/>
        <v>29</v>
      </c>
      <c r="D62" s="110">
        <v>785.18</v>
      </c>
      <c r="E62" s="110"/>
      <c r="F62" s="123"/>
      <c r="G62" s="123"/>
      <c r="H62" s="123">
        <v>4</v>
      </c>
      <c r="I62" s="133"/>
      <c r="J62" s="158">
        <f t="shared" si="1"/>
        <v>0</v>
      </c>
      <c r="K62" s="158">
        <f t="shared" si="2"/>
        <v>0</v>
      </c>
      <c r="L62" s="158">
        <f t="shared" si="3"/>
        <v>1479.92</v>
      </c>
    </row>
    <row r="63" spans="1:12">
      <c r="A63" s="131">
        <v>42001</v>
      </c>
      <c r="B63" s="131">
        <v>42032</v>
      </c>
      <c r="C63" s="123">
        <f t="shared" si="4"/>
        <v>31</v>
      </c>
      <c r="D63" s="110">
        <v>332.7</v>
      </c>
      <c r="E63" s="110"/>
      <c r="F63" s="123"/>
      <c r="G63" s="123"/>
      <c r="H63" s="123">
        <v>4</v>
      </c>
      <c r="I63" s="133"/>
      <c r="J63" s="158">
        <f t="shared" si="1"/>
        <v>0</v>
      </c>
      <c r="K63" s="158">
        <f t="shared" si="2"/>
        <v>0</v>
      </c>
      <c r="L63" s="158">
        <f t="shared" si="3"/>
        <v>586.62</v>
      </c>
    </row>
    <row r="64" spans="1:12">
      <c r="A64" s="131">
        <v>42001</v>
      </c>
      <c r="B64" s="131">
        <v>42032</v>
      </c>
      <c r="C64" s="123">
        <f t="shared" si="4"/>
        <v>31</v>
      </c>
      <c r="D64" s="110">
        <v>981.86</v>
      </c>
      <c r="E64" s="110"/>
      <c r="F64" s="123"/>
      <c r="G64" s="123"/>
      <c r="H64" s="123">
        <v>4</v>
      </c>
      <c r="I64" s="133"/>
      <c r="J64" s="158">
        <f t="shared" si="1"/>
        <v>0</v>
      </c>
      <c r="K64" s="158">
        <f t="shared" si="2"/>
        <v>0</v>
      </c>
      <c r="L64" s="158">
        <f t="shared" si="3"/>
        <v>1731.23</v>
      </c>
    </row>
    <row r="65" spans="1:12">
      <c r="A65" s="131">
        <v>41988</v>
      </c>
      <c r="B65" s="131">
        <v>42036</v>
      </c>
      <c r="C65" s="123">
        <f t="shared" si="4"/>
        <v>48</v>
      </c>
      <c r="D65" s="110">
        <v>5670.61</v>
      </c>
      <c r="E65" s="110"/>
      <c r="F65" s="123"/>
      <c r="G65" s="123"/>
      <c r="H65" s="123">
        <v>17</v>
      </c>
      <c r="I65" s="133"/>
      <c r="J65" s="158">
        <f t="shared" si="1"/>
        <v>0</v>
      </c>
      <c r="K65" s="158">
        <f t="shared" si="2"/>
        <v>0</v>
      </c>
      <c r="L65" s="158">
        <f t="shared" si="3"/>
        <v>27443.85</v>
      </c>
    </row>
    <row r="66" spans="1:12">
      <c r="A66" s="131">
        <v>41958</v>
      </c>
      <c r="B66" s="131">
        <v>42019</v>
      </c>
      <c r="C66" s="123">
        <f>B66-A66</f>
        <v>61</v>
      </c>
      <c r="D66" s="110">
        <v>121.91</v>
      </c>
      <c r="E66" s="110"/>
      <c r="F66" s="123"/>
      <c r="G66" s="123">
        <v>16</v>
      </c>
      <c r="H66" s="123">
        <v>31</v>
      </c>
      <c r="I66" s="133"/>
      <c r="J66" s="159">
        <f t="shared" si="1"/>
        <v>0</v>
      </c>
      <c r="K66" s="159">
        <f t="shared" si="2"/>
        <v>322.95999999999998</v>
      </c>
      <c r="L66" s="159">
        <f t="shared" si="3"/>
        <v>846.6</v>
      </c>
    </row>
    <row r="67" spans="1:12">
      <c r="B67" s="135"/>
      <c r="C67" s="135"/>
    </row>
    <row r="68" spans="1:12">
      <c r="A68" s="155" t="s">
        <v>247</v>
      </c>
      <c r="B68" s="135"/>
      <c r="C68" s="135"/>
      <c r="J68" s="140">
        <f>SUM(J22:J66)</f>
        <v>34647.68</v>
      </c>
      <c r="K68" s="140">
        <f>SUM(K22:K66)</f>
        <v>761552.49999999977</v>
      </c>
      <c r="L68" s="140">
        <f>SUM(L22:L66)</f>
        <v>6399448.5599999996</v>
      </c>
    </row>
    <row r="69" spans="1:12">
      <c r="A69" s="155" t="s">
        <v>248</v>
      </c>
      <c r="B69" s="135"/>
      <c r="C69" s="135"/>
      <c r="J69" s="156">
        <f>C15</f>
        <v>7.492E-2</v>
      </c>
      <c r="K69" s="156">
        <f>C16</f>
        <v>9.9010000000000001E-2</v>
      </c>
      <c r="L69" s="156">
        <f>C17</f>
        <v>7.3179999999999995E-2</v>
      </c>
    </row>
    <row r="70" spans="1:12">
      <c r="B70" s="135"/>
      <c r="C70" s="135"/>
    </row>
    <row r="71" spans="1:12">
      <c r="A71" s="155" t="s">
        <v>249</v>
      </c>
      <c r="B71" s="135"/>
      <c r="C71" s="135"/>
      <c r="J71" s="110">
        <f>J68*J69</f>
        <v>2595.8041856</v>
      </c>
      <c r="K71" s="110">
        <f>K68*K69</f>
        <v>75401.313024999981</v>
      </c>
      <c r="L71" s="144">
        <f>L68*L69</f>
        <v>468311.64562079991</v>
      </c>
    </row>
    <row r="72" spans="1:12">
      <c r="B72" s="135"/>
      <c r="C72" s="135"/>
    </row>
    <row r="73" spans="1:12">
      <c r="A73" s="155" t="s">
        <v>250</v>
      </c>
      <c r="B73" s="135"/>
      <c r="C73" s="135"/>
      <c r="L73" s="110">
        <f>SUM(J71:L71)</f>
        <v>546308.76283139992</v>
      </c>
    </row>
    <row r="74" spans="1:12">
      <c r="A74" s="155" t="s">
        <v>251</v>
      </c>
      <c r="B74" s="135"/>
      <c r="C74" s="135"/>
      <c r="L74" s="144">
        <v>559233.25</v>
      </c>
    </row>
    <row r="75" spans="1:12">
      <c r="B75" s="135"/>
      <c r="C75" s="135"/>
    </row>
    <row r="76" spans="1:12" ht="15.75" thickBot="1">
      <c r="A76" s="155" t="s">
        <v>51</v>
      </c>
      <c r="B76" s="135"/>
      <c r="C76" s="135"/>
      <c r="L76" s="145">
        <f>L74-L73</f>
        <v>12924.487168600084</v>
      </c>
    </row>
    <row r="77" spans="1:12" ht="15.75" thickTop="1">
      <c r="B77" s="135"/>
      <c r="C77" s="135"/>
    </row>
    <row r="78" spans="1:12">
      <c r="B78" s="135"/>
      <c r="C78" s="135"/>
    </row>
    <row r="79" spans="1:12">
      <c r="B79" s="135"/>
      <c r="C79" s="135"/>
    </row>
    <row r="80" spans="1:12">
      <c r="B80" s="135"/>
      <c r="C80" s="135"/>
    </row>
    <row r="81" spans="2:3">
      <c r="B81" s="135"/>
      <c r="C81" s="135"/>
    </row>
    <row r="82" spans="2:3">
      <c r="B82" s="135"/>
      <c r="C82" s="135"/>
    </row>
    <row r="83" spans="2:3">
      <c r="B83" s="135"/>
      <c r="C83" s="135"/>
    </row>
    <row r="84" spans="2:3">
      <c r="B84" s="135"/>
      <c r="C84" s="135"/>
    </row>
    <row r="85" spans="2:3">
      <c r="B85" s="135"/>
      <c r="C85" s="135"/>
    </row>
    <row r="86" spans="2:3">
      <c r="B86" s="135"/>
      <c r="C86" s="135"/>
    </row>
    <row r="87" spans="2:3">
      <c r="B87" s="135"/>
      <c r="C87" s="135"/>
    </row>
    <row r="88" spans="2:3">
      <c r="B88" s="135"/>
      <c r="C88" s="135"/>
    </row>
    <row r="89" spans="2:3">
      <c r="B89" s="135"/>
      <c r="C89" s="135"/>
    </row>
    <row r="90" spans="2:3">
      <c r="B90" s="135"/>
      <c r="C90" s="135"/>
    </row>
    <row r="91" spans="2:3">
      <c r="B91" s="135"/>
      <c r="C91" s="135"/>
    </row>
    <row r="92" spans="2:3">
      <c r="B92" s="135"/>
      <c r="C92" s="135"/>
    </row>
    <row r="93" spans="2:3">
      <c r="B93" s="135"/>
      <c r="C93" s="135"/>
    </row>
    <row r="94" spans="2:3">
      <c r="B94" s="135"/>
      <c r="C94" s="135"/>
    </row>
    <row r="95" spans="2:3">
      <c r="B95" s="135"/>
      <c r="C95" s="135"/>
    </row>
    <row r="96" spans="2:3">
      <c r="B96" s="135"/>
      <c r="C96" s="135"/>
    </row>
    <row r="97" spans="2:3">
      <c r="B97" s="135"/>
      <c r="C97" s="135"/>
    </row>
    <row r="98" spans="2:3">
      <c r="B98" s="135"/>
      <c r="C98" s="135"/>
    </row>
    <row r="99" spans="2:3">
      <c r="B99" s="135"/>
      <c r="C99" s="135"/>
    </row>
    <row r="100" spans="2:3">
      <c r="B100" s="135"/>
      <c r="C100" s="135"/>
    </row>
    <row r="101" spans="2:3">
      <c r="B101" s="135"/>
      <c r="C101" s="135"/>
    </row>
    <row r="102" spans="2:3">
      <c r="B102" s="135"/>
      <c r="C102" s="135"/>
    </row>
    <row r="103" spans="2:3">
      <c r="B103" s="135"/>
      <c r="C103" s="135"/>
    </row>
    <row r="104" spans="2:3">
      <c r="B104" s="135"/>
      <c r="C104" s="135"/>
    </row>
    <row r="105" spans="2:3">
      <c r="B105" s="135"/>
      <c r="C105" s="135"/>
    </row>
    <row r="106" spans="2:3">
      <c r="B106" s="135"/>
      <c r="C106" s="135"/>
    </row>
    <row r="107" spans="2:3">
      <c r="B107" s="135"/>
      <c r="C107" s="135"/>
    </row>
    <row r="108" spans="2:3">
      <c r="B108" s="135"/>
      <c r="C108" s="135"/>
    </row>
    <row r="109" spans="2:3">
      <c r="B109" s="135"/>
      <c r="C109" s="135"/>
    </row>
    <row r="110" spans="2:3">
      <c r="B110" s="135"/>
      <c r="C110" s="135"/>
    </row>
    <row r="111" spans="2:3">
      <c r="B111" s="135"/>
      <c r="C111" s="135"/>
    </row>
    <row r="112" spans="2:3">
      <c r="B112" s="135"/>
      <c r="C112" s="135"/>
    </row>
    <row r="113" spans="2:3">
      <c r="B113" s="135"/>
      <c r="C113" s="135"/>
    </row>
    <row r="114" spans="2:3">
      <c r="B114" s="135"/>
      <c r="C114" s="135"/>
    </row>
    <row r="115" spans="2:3">
      <c r="B115" s="135"/>
      <c r="C115" s="135"/>
    </row>
    <row r="116" spans="2:3">
      <c r="B116" s="135"/>
      <c r="C116" s="135"/>
    </row>
    <row r="117" spans="2:3">
      <c r="B117" s="135"/>
      <c r="C117" s="135"/>
    </row>
    <row r="118" spans="2:3">
      <c r="B118" s="135"/>
      <c r="C118" s="135"/>
    </row>
    <row r="119" spans="2:3">
      <c r="B119" s="135"/>
      <c r="C119" s="135"/>
    </row>
    <row r="120" spans="2:3">
      <c r="B120" s="135"/>
      <c r="C120" s="135"/>
    </row>
    <row r="121" spans="2:3">
      <c r="B121" s="135"/>
      <c r="C121" s="135"/>
    </row>
    <row r="122" spans="2:3">
      <c r="B122" s="135"/>
      <c r="C122" s="135"/>
    </row>
    <row r="123" spans="2:3">
      <c r="B123" s="135"/>
      <c r="C123" s="135"/>
    </row>
    <row r="124" spans="2:3">
      <c r="B124" s="135"/>
      <c r="C124" s="135"/>
    </row>
    <row r="125" spans="2:3">
      <c r="B125" s="135"/>
      <c r="C125" s="135"/>
    </row>
    <row r="126" spans="2:3">
      <c r="B126" s="135"/>
      <c r="C126" s="135"/>
    </row>
    <row r="127" spans="2:3">
      <c r="B127" s="135"/>
      <c r="C127" s="135"/>
    </row>
    <row r="128" spans="2:3">
      <c r="B128" s="135"/>
      <c r="C128" s="135"/>
    </row>
    <row r="129" spans="2:3">
      <c r="B129" s="135"/>
      <c r="C129" s="135"/>
    </row>
    <row r="130" spans="2:3">
      <c r="B130" s="135"/>
      <c r="C130" s="135"/>
    </row>
    <row r="131" spans="2:3">
      <c r="B131" s="135"/>
      <c r="C131" s="135"/>
    </row>
    <row r="132" spans="2:3">
      <c r="B132" s="135"/>
      <c r="C132" s="135"/>
    </row>
    <row r="133" spans="2:3">
      <c r="B133" s="135"/>
      <c r="C133" s="135"/>
    </row>
    <row r="134" spans="2:3">
      <c r="B134" s="135"/>
      <c r="C134" s="135"/>
    </row>
    <row r="135" spans="2:3">
      <c r="B135" s="135"/>
      <c r="C135" s="135"/>
    </row>
    <row r="136" spans="2:3">
      <c r="B136" s="135"/>
      <c r="C136" s="135"/>
    </row>
    <row r="137" spans="2:3">
      <c r="B137" s="135"/>
      <c r="C137" s="135"/>
    </row>
    <row r="138" spans="2:3">
      <c r="B138" s="135"/>
      <c r="C138" s="135"/>
    </row>
    <row r="139" spans="2:3">
      <c r="B139" s="135"/>
      <c r="C139" s="135"/>
    </row>
    <row r="140" spans="2:3">
      <c r="B140" s="135"/>
      <c r="C140" s="135"/>
    </row>
    <row r="141" spans="2:3">
      <c r="B141" s="135"/>
      <c r="C141" s="135"/>
    </row>
    <row r="142" spans="2:3">
      <c r="B142" s="135"/>
      <c r="C142" s="135"/>
    </row>
    <row r="143" spans="2:3">
      <c r="B143" s="135"/>
      <c r="C143" s="135"/>
    </row>
    <row r="144" spans="2:3">
      <c r="B144" s="135"/>
      <c r="C144" s="135"/>
    </row>
    <row r="145" spans="2:3">
      <c r="B145" s="135"/>
      <c r="C145" s="135"/>
    </row>
    <row r="146" spans="2:3">
      <c r="B146" s="135"/>
      <c r="C146" s="135"/>
    </row>
    <row r="147" spans="2:3">
      <c r="B147" s="135"/>
      <c r="C147" s="135"/>
    </row>
    <row r="148" spans="2:3">
      <c r="B148" s="135"/>
      <c r="C148" s="135"/>
    </row>
    <row r="149" spans="2:3">
      <c r="B149" s="135"/>
      <c r="C149" s="135"/>
    </row>
    <row r="150" spans="2:3">
      <c r="B150" s="135"/>
      <c r="C150" s="135"/>
    </row>
    <row r="151" spans="2:3">
      <c r="B151" s="135"/>
      <c r="C151" s="135"/>
    </row>
    <row r="152" spans="2:3">
      <c r="B152" s="135"/>
      <c r="C152" s="135"/>
    </row>
    <row r="153" spans="2:3">
      <c r="B153" s="135"/>
      <c r="C153" s="135"/>
    </row>
    <row r="154" spans="2:3">
      <c r="B154" s="135"/>
      <c r="C154" s="135"/>
    </row>
    <row r="155" spans="2:3">
      <c r="B155" s="135"/>
      <c r="C155" s="135"/>
    </row>
    <row r="156" spans="2:3">
      <c r="B156" s="135"/>
      <c r="C156" s="135"/>
    </row>
    <row r="157" spans="2:3">
      <c r="B157" s="135"/>
      <c r="C157" s="135"/>
    </row>
    <row r="158" spans="2:3">
      <c r="B158" s="135"/>
      <c r="C158" s="135"/>
    </row>
    <row r="159" spans="2:3">
      <c r="B159" s="135"/>
      <c r="C159" s="135"/>
    </row>
    <row r="160" spans="2:3">
      <c r="B160" s="135"/>
      <c r="C160" s="135"/>
    </row>
    <row r="161" spans="2:3">
      <c r="B161" s="135"/>
      <c r="C161" s="135"/>
    </row>
    <row r="162" spans="2:3">
      <c r="B162" s="135"/>
      <c r="C162" s="135"/>
    </row>
    <row r="163" spans="2:3">
      <c r="B163" s="135"/>
      <c r="C163" s="135"/>
    </row>
    <row r="164" spans="2:3">
      <c r="B164" s="135"/>
      <c r="C164" s="135"/>
    </row>
    <row r="165" spans="2:3">
      <c r="B165" s="135"/>
      <c r="C165" s="135"/>
    </row>
    <row r="166" spans="2:3">
      <c r="B166" s="135"/>
      <c r="C166" s="135"/>
    </row>
    <row r="167" spans="2:3">
      <c r="B167" s="135"/>
      <c r="C167" s="135"/>
    </row>
    <row r="168" spans="2:3">
      <c r="B168" s="135"/>
      <c r="C168" s="135"/>
    </row>
    <row r="169" spans="2:3">
      <c r="B169" s="135"/>
      <c r="C169" s="135"/>
    </row>
    <row r="170" spans="2:3">
      <c r="B170" s="135"/>
      <c r="C170" s="135"/>
    </row>
    <row r="171" spans="2:3">
      <c r="B171" s="135"/>
      <c r="C171" s="135"/>
    </row>
    <row r="172" spans="2:3">
      <c r="B172" s="135"/>
      <c r="C172" s="135"/>
    </row>
    <row r="173" spans="2:3">
      <c r="B173" s="135"/>
      <c r="C173" s="135"/>
    </row>
    <row r="174" spans="2:3">
      <c r="B174" s="135"/>
      <c r="C174" s="135"/>
    </row>
    <row r="175" spans="2:3">
      <c r="B175" s="135"/>
      <c r="C175" s="135"/>
    </row>
    <row r="176" spans="2:3">
      <c r="B176" s="135"/>
      <c r="C176" s="135"/>
    </row>
    <row r="177" spans="2:3">
      <c r="B177" s="135"/>
      <c r="C177" s="135"/>
    </row>
    <row r="178" spans="2:3">
      <c r="B178" s="135"/>
      <c r="C178" s="135"/>
    </row>
    <row r="179" spans="2:3">
      <c r="B179" s="135"/>
      <c r="C179" s="135"/>
    </row>
    <row r="180" spans="2:3">
      <c r="B180" s="135"/>
      <c r="C180" s="135"/>
    </row>
    <row r="181" spans="2:3">
      <c r="B181" s="135"/>
      <c r="C181" s="135"/>
    </row>
    <row r="182" spans="2:3">
      <c r="B182" s="135"/>
      <c r="C182" s="135"/>
    </row>
    <row r="183" spans="2:3">
      <c r="B183" s="135"/>
      <c r="C183" s="135"/>
    </row>
    <row r="184" spans="2:3">
      <c r="B184" s="135"/>
      <c r="C184" s="135"/>
    </row>
    <row r="185" spans="2:3">
      <c r="B185" s="135"/>
      <c r="C185" s="135"/>
    </row>
    <row r="186" spans="2:3">
      <c r="B186" s="135"/>
      <c r="C186" s="135"/>
    </row>
    <row r="187" spans="2:3">
      <c r="B187" s="135"/>
      <c r="C187" s="135"/>
    </row>
    <row r="188" spans="2:3">
      <c r="B188" s="135"/>
      <c r="C188" s="135"/>
    </row>
    <row r="189" spans="2:3">
      <c r="B189" s="135"/>
      <c r="C189" s="135"/>
    </row>
    <row r="190" spans="2:3">
      <c r="B190" s="135"/>
      <c r="C190" s="135"/>
    </row>
    <row r="191" spans="2:3">
      <c r="B191" s="135"/>
      <c r="C191" s="135"/>
    </row>
    <row r="192" spans="2:3">
      <c r="B192" s="135"/>
      <c r="C192" s="135"/>
    </row>
    <row r="193" spans="1:3">
      <c r="B193" s="135"/>
      <c r="C193" s="135"/>
    </row>
    <row r="194" spans="1:3">
      <c r="B194" s="135"/>
      <c r="C194" s="135"/>
    </row>
    <row r="195" spans="1:3">
      <c r="B195" s="135"/>
      <c r="C195" s="135"/>
    </row>
    <row r="196" spans="1:3">
      <c r="B196" s="135"/>
      <c r="C196" s="135"/>
    </row>
    <row r="197" spans="1:3">
      <c r="A197" s="131"/>
      <c r="B197" s="131"/>
      <c r="C197" s="123"/>
    </row>
    <row r="198" spans="1:3">
      <c r="A198" s="131"/>
      <c r="B198" s="131"/>
      <c r="C198" s="123"/>
    </row>
    <row r="199" spans="1:3">
      <c r="A199" s="131"/>
      <c r="B199" s="131"/>
      <c r="C199" s="123"/>
    </row>
    <row r="200" spans="1:3">
      <c r="A200" s="131"/>
      <c r="B200" s="131"/>
      <c r="C200" s="123"/>
    </row>
    <row r="201" spans="1:3">
      <c r="A201" s="131"/>
      <c r="B201" s="131"/>
      <c r="C201" s="123"/>
    </row>
    <row r="202" spans="1:3">
      <c r="A202" s="131"/>
      <c r="B202" s="131"/>
      <c r="C202" s="123"/>
    </row>
    <row r="203" spans="1:3">
      <c r="A203" s="131"/>
      <c r="B203" s="131"/>
      <c r="C203" s="123"/>
    </row>
    <row r="204" spans="1:3">
      <c r="A204" s="131"/>
      <c r="B204" s="131"/>
      <c r="C204" s="123"/>
    </row>
    <row r="205" spans="1:3">
      <c r="A205" s="131"/>
      <c r="B205" s="131"/>
      <c r="C205" s="123"/>
    </row>
    <row r="206" spans="1:3">
      <c r="A206" s="131"/>
      <c r="B206" s="131"/>
      <c r="C206" s="123"/>
    </row>
    <row r="207" spans="1:3">
      <c r="A207" s="131"/>
      <c r="B207" s="131"/>
      <c r="C207" s="123"/>
    </row>
    <row r="208" spans="1:3">
      <c r="A208" s="131"/>
      <c r="B208" s="131"/>
      <c r="C208" s="123"/>
    </row>
    <row r="209" spans="1:3">
      <c r="A209" s="131"/>
      <c r="B209" s="131"/>
      <c r="C209" s="123"/>
    </row>
    <row r="210" spans="1:3">
      <c r="A210" s="131"/>
      <c r="B210" s="131"/>
      <c r="C210" s="123"/>
    </row>
    <row r="211" spans="1:3">
      <c r="A211" s="131"/>
      <c r="B211" s="131"/>
      <c r="C211" s="123"/>
    </row>
    <row r="212" spans="1:3">
      <c r="A212" s="131"/>
      <c r="B212" s="131"/>
      <c r="C212" s="123"/>
    </row>
    <row r="213" spans="1:3">
      <c r="A213" s="131"/>
      <c r="B213" s="131"/>
      <c r="C213" s="123"/>
    </row>
    <row r="214" spans="1:3">
      <c r="A214" s="131"/>
      <c r="B214" s="131"/>
      <c r="C214" s="123"/>
    </row>
    <row r="215" spans="1:3">
      <c r="A215" s="131"/>
      <c r="B215" s="131"/>
      <c r="C215" s="123"/>
    </row>
    <row r="216" spans="1:3">
      <c r="A216" s="131"/>
      <c r="B216" s="131"/>
      <c r="C216" s="123"/>
    </row>
    <row r="217" spans="1:3">
      <c r="A217" s="131"/>
      <c r="B217" s="131"/>
      <c r="C217" s="123"/>
    </row>
    <row r="218" spans="1:3">
      <c r="A218" s="131"/>
      <c r="B218" s="131"/>
      <c r="C218" s="123"/>
    </row>
    <row r="219" spans="1:3">
      <c r="A219" s="131"/>
      <c r="B219" s="131"/>
      <c r="C219" s="123"/>
    </row>
    <row r="220" spans="1:3">
      <c r="A220" s="131"/>
      <c r="B220" s="131"/>
      <c r="C220" s="123"/>
    </row>
    <row r="221" spans="1:3">
      <c r="A221" s="131"/>
      <c r="B221" s="131"/>
      <c r="C221" s="123"/>
    </row>
    <row r="222" spans="1:3">
      <c r="A222" s="131"/>
      <c r="B222" s="131"/>
      <c r="C222" s="123"/>
    </row>
    <row r="223" spans="1:3">
      <c r="A223" s="131"/>
      <c r="B223" s="131"/>
      <c r="C223" s="123"/>
    </row>
    <row r="224" spans="1:3">
      <c r="A224" s="131"/>
      <c r="B224" s="131"/>
      <c r="C224" s="123"/>
    </row>
    <row r="225" spans="1:3">
      <c r="A225" s="131"/>
      <c r="B225" s="131"/>
      <c r="C225" s="123"/>
    </row>
    <row r="226" spans="1:3">
      <c r="A226" s="131"/>
      <c r="B226" s="131"/>
      <c r="C226" s="123"/>
    </row>
    <row r="227" spans="1:3">
      <c r="A227" s="131"/>
      <c r="B227" s="131"/>
      <c r="C227" s="123"/>
    </row>
    <row r="228" spans="1:3">
      <c r="A228" s="131"/>
      <c r="B228" s="131"/>
      <c r="C228" s="123"/>
    </row>
    <row r="229" spans="1:3">
      <c r="A229" s="131"/>
      <c r="B229" s="131"/>
      <c r="C229" s="123"/>
    </row>
    <row r="230" spans="1:3">
      <c r="A230" s="131"/>
      <c r="B230" s="131"/>
      <c r="C230" s="123"/>
    </row>
    <row r="231" spans="1:3">
      <c r="A231" s="131"/>
      <c r="B231" s="131"/>
      <c r="C231" s="123"/>
    </row>
    <row r="232" spans="1:3">
      <c r="A232" s="131"/>
      <c r="B232" s="131"/>
      <c r="C232" s="123"/>
    </row>
    <row r="233" spans="1:3">
      <c r="A233" s="131"/>
      <c r="B233" s="131"/>
      <c r="C233" s="123"/>
    </row>
    <row r="234" spans="1:3">
      <c r="A234" s="131"/>
      <c r="B234" s="131"/>
      <c r="C234" s="123"/>
    </row>
    <row r="235" spans="1:3">
      <c r="A235" s="131"/>
      <c r="B235" s="131"/>
      <c r="C235" s="123"/>
    </row>
    <row r="236" spans="1:3">
      <c r="A236" s="131"/>
      <c r="B236" s="131"/>
      <c r="C236" s="123"/>
    </row>
    <row r="237" spans="1:3">
      <c r="A237" s="131"/>
      <c r="B237" s="131"/>
      <c r="C237" s="123"/>
    </row>
    <row r="238" spans="1:3">
      <c r="A238" s="131"/>
      <c r="B238" s="131"/>
      <c r="C238" s="123"/>
    </row>
    <row r="239" spans="1:3">
      <c r="A239" s="131"/>
      <c r="B239" s="131"/>
      <c r="C239" s="123"/>
    </row>
    <row r="240" spans="1:3">
      <c r="A240" s="131"/>
      <c r="B240" s="131"/>
      <c r="C240" s="123"/>
    </row>
    <row r="241" spans="1:3">
      <c r="A241" s="131"/>
      <c r="B241" s="131"/>
      <c r="C241" s="123"/>
    </row>
    <row r="242" spans="1:3">
      <c r="A242" s="131"/>
      <c r="B242" s="131"/>
      <c r="C242" s="123"/>
    </row>
    <row r="243" spans="1:3">
      <c r="A243" s="131"/>
      <c r="B243" s="131"/>
      <c r="C243" s="123"/>
    </row>
    <row r="244" spans="1:3">
      <c r="A244" s="131"/>
      <c r="B244" s="131"/>
      <c r="C244" s="123"/>
    </row>
    <row r="245" spans="1:3">
      <c r="A245" s="131"/>
      <c r="B245" s="131"/>
      <c r="C245" s="123"/>
    </row>
    <row r="246" spans="1:3">
      <c r="A246" s="131"/>
      <c r="B246" s="131"/>
      <c r="C246" s="123"/>
    </row>
    <row r="247" spans="1:3">
      <c r="A247" s="131"/>
      <c r="B247" s="131"/>
      <c r="C247" s="123"/>
    </row>
    <row r="248" spans="1:3">
      <c r="A248" s="131"/>
      <c r="B248" s="131"/>
      <c r="C248" s="123"/>
    </row>
    <row r="249" spans="1:3">
      <c r="A249" s="131"/>
      <c r="B249" s="131"/>
      <c r="C249" s="123"/>
    </row>
    <row r="250" spans="1:3">
      <c r="A250" s="131"/>
      <c r="B250" s="131"/>
      <c r="C250" s="123"/>
    </row>
    <row r="251" spans="1:3">
      <c r="A251" s="131"/>
      <c r="B251" s="131"/>
      <c r="C251" s="123"/>
    </row>
    <row r="252" spans="1:3">
      <c r="A252" s="131"/>
      <c r="B252" s="131"/>
      <c r="C252" s="123"/>
    </row>
    <row r="253" spans="1:3">
      <c r="A253" s="131"/>
      <c r="B253" s="131"/>
      <c r="C253" s="123"/>
    </row>
    <row r="254" spans="1:3">
      <c r="A254" s="131"/>
      <c r="B254" s="131"/>
      <c r="C254" s="123"/>
    </row>
    <row r="255" spans="1:3">
      <c r="A255" s="131"/>
      <c r="B255" s="131"/>
      <c r="C255" s="123"/>
    </row>
    <row r="256" spans="1:3">
      <c r="A256" s="131"/>
      <c r="B256" s="131"/>
      <c r="C256" s="123"/>
    </row>
    <row r="257" spans="1:3">
      <c r="A257" s="131"/>
      <c r="B257" s="131"/>
      <c r="C257" s="123"/>
    </row>
    <row r="258" spans="1:3">
      <c r="A258" s="131"/>
      <c r="B258" s="131"/>
      <c r="C258" s="123"/>
    </row>
    <row r="259" spans="1:3">
      <c r="A259" s="131"/>
      <c r="B259" s="131"/>
      <c r="C259" s="123"/>
    </row>
    <row r="260" spans="1:3">
      <c r="A260" s="131"/>
      <c r="B260" s="131"/>
      <c r="C260" s="123"/>
    </row>
    <row r="261" spans="1:3">
      <c r="A261" s="131"/>
      <c r="B261" s="131"/>
      <c r="C261" s="123"/>
    </row>
    <row r="262" spans="1:3">
      <c r="A262" s="131"/>
      <c r="B262" s="131"/>
      <c r="C262" s="123"/>
    </row>
    <row r="263" spans="1:3">
      <c r="A263" s="131"/>
      <c r="B263" s="131"/>
      <c r="C263" s="123"/>
    </row>
    <row r="264" spans="1:3">
      <c r="A264" s="131"/>
      <c r="B264" s="131"/>
      <c r="C264" s="123"/>
    </row>
    <row r="265" spans="1:3">
      <c r="A265" s="131"/>
      <c r="B265" s="131"/>
      <c r="C265" s="123"/>
    </row>
  </sheetData>
  <mergeCells count="7">
    <mergeCell ref="F21:H21"/>
    <mergeCell ref="J21:L21"/>
    <mergeCell ref="A1:L1"/>
    <mergeCell ref="A2:L2"/>
    <mergeCell ref="A4:C4"/>
    <mergeCell ref="F19:H19"/>
    <mergeCell ref="J19:L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0"/>
  <sheetViews>
    <sheetView workbookViewId="0">
      <selection sqref="A1:E1"/>
    </sheetView>
  </sheetViews>
  <sheetFormatPr defaultRowHeight="15"/>
  <cols>
    <col min="1" max="1" width="23.140625" customWidth="1"/>
    <col min="2" max="2" width="21.5703125" customWidth="1"/>
    <col min="3" max="5" width="15.7109375" customWidth="1"/>
  </cols>
  <sheetData>
    <row r="1" spans="1:5">
      <c r="A1" s="166" t="s">
        <v>0</v>
      </c>
      <c r="B1" s="166"/>
      <c r="C1" s="166"/>
      <c r="D1" s="166"/>
      <c r="E1" s="166"/>
    </row>
    <row r="2" spans="1:5">
      <c r="A2" s="166" t="s">
        <v>185</v>
      </c>
      <c r="B2" s="166"/>
      <c r="C2" s="166"/>
      <c r="D2" s="166"/>
      <c r="E2" s="166"/>
    </row>
    <row r="3" spans="1:5">
      <c r="A3" s="166" t="s">
        <v>67</v>
      </c>
      <c r="B3" s="166"/>
      <c r="C3" s="166"/>
      <c r="D3" s="166"/>
      <c r="E3" s="166"/>
    </row>
    <row r="5" spans="1:5" ht="60.75" thickBot="1">
      <c r="C5" s="61" t="s">
        <v>181</v>
      </c>
      <c r="D5" s="61" t="s">
        <v>180</v>
      </c>
      <c r="E5" s="61" t="s">
        <v>198</v>
      </c>
    </row>
    <row r="6" spans="1:5">
      <c r="A6" s="181">
        <v>2015</v>
      </c>
      <c r="B6" s="1" t="s">
        <v>35</v>
      </c>
      <c r="C6" s="60">
        <v>477784.04</v>
      </c>
      <c r="D6" s="60">
        <v>360604.39</v>
      </c>
      <c r="E6" s="63">
        <f>C6-D6</f>
        <v>117179.64999999997</v>
      </c>
    </row>
    <row r="7" spans="1:5">
      <c r="A7" s="182"/>
      <c r="B7" s="1" t="s">
        <v>36</v>
      </c>
      <c r="C7" s="60">
        <v>380671.13</v>
      </c>
      <c r="D7" s="60">
        <v>400835.15</v>
      </c>
      <c r="E7" s="63">
        <f t="shared" ref="E7:E41" si="0">C7-D7</f>
        <v>-20164.020000000019</v>
      </c>
    </row>
    <row r="8" spans="1:5">
      <c r="A8" s="182"/>
      <c r="B8" s="1" t="s">
        <v>37</v>
      </c>
      <c r="C8" s="60">
        <v>450716.94</v>
      </c>
      <c r="D8" s="60">
        <v>276493</v>
      </c>
      <c r="E8" s="63">
        <f t="shared" si="0"/>
        <v>174223.94</v>
      </c>
    </row>
    <row r="9" spans="1:5">
      <c r="A9" s="182"/>
      <c r="B9" s="1" t="s">
        <v>38</v>
      </c>
      <c r="C9" s="60">
        <v>257004.67</v>
      </c>
      <c r="D9" s="60">
        <v>350409.78</v>
      </c>
      <c r="E9" s="63">
        <f t="shared" si="0"/>
        <v>-93405.110000000015</v>
      </c>
    </row>
    <row r="10" spans="1:5">
      <c r="A10" s="182"/>
      <c r="B10" s="1" t="s">
        <v>39</v>
      </c>
      <c r="C10" s="60">
        <v>332791.95</v>
      </c>
      <c r="D10" s="60">
        <v>510823.06</v>
      </c>
      <c r="E10" s="63">
        <f t="shared" si="0"/>
        <v>-178031.11</v>
      </c>
    </row>
    <row r="11" spans="1:5">
      <c r="A11" s="182"/>
      <c r="B11" s="1" t="s">
        <v>40</v>
      </c>
      <c r="C11" s="60">
        <v>483990.49</v>
      </c>
      <c r="D11" s="60">
        <v>525630.75</v>
      </c>
      <c r="E11" s="63">
        <f t="shared" si="0"/>
        <v>-41640.260000000009</v>
      </c>
    </row>
    <row r="12" spans="1:5">
      <c r="A12" s="182"/>
      <c r="B12" s="1" t="s">
        <v>41</v>
      </c>
      <c r="C12" s="60">
        <v>521980.04</v>
      </c>
      <c r="D12" s="60">
        <v>550731.36</v>
      </c>
      <c r="E12" s="63">
        <f t="shared" si="0"/>
        <v>-28751.320000000007</v>
      </c>
    </row>
    <row r="13" spans="1:5">
      <c r="A13" s="182"/>
      <c r="B13" s="1" t="s">
        <v>42</v>
      </c>
      <c r="C13" s="60">
        <v>527815.91</v>
      </c>
      <c r="D13" s="60">
        <v>473243.11</v>
      </c>
      <c r="E13" s="63">
        <f t="shared" si="0"/>
        <v>54572.800000000047</v>
      </c>
    </row>
    <row r="14" spans="1:5">
      <c r="A14" s="182"/>
      <c r="B14" s="1" t="s">
        <v>43</v>
      </c>
      <c r="C14" s="60">
        <v>538066.13</v>
      </c>
      <c r="D14" s="60">
        <v>454672.05</v>
      </c>
      <c r="E14" s="63">
        <f t="shared" si="0"/>
        <v>83394.080000000016</v>
      </c>
    </row>
    <row r="15" spans="1:5">
      <c r="A15" s="182"/>
      <c r="B15" s="1" t="s">
        <v>44</v>
      </c>
      <c r="C15" s="60">
        <v>494660.19</v>
      </c>
      <c r="D15" s="60">
        <v>435718</v>
      </c>
      <c r="E15" s="63">
        <f t="shared" si="0"/>
        <v>58942.19</v>
      </c>
    </row>
    <row r="16" spans="1:5">
      <c r="A16" s="182"/>
      <c r="B16" s="1" t="s">
        <v>45</v>
      </c>
      <c r="C16" s="60">
        <v>385569.32</v>
      </c>
      <c r="D16" s="60">
        <v>418339.34</v>
      </c>
      <c r="E16" s="63">
        <f t="shared" si="0"/>
        <v>-32770.020000000019</v>
      </c>
    </row>
    <row r="17" spans="1:5" ht="15.75" thickBot="1">
      <c r="A17" s="183"/>
      <c r="B17" s="1" t="s">
        <v>46</v>
      </c>
      <c r="C17" s="60">
        <f>571060.97+559233.25-723223.5</f>
        <v>407070.71999999997</v>
      </c>
      <c r="D17" s="110">
        <v>521162.71</v>
      </c>
      <c r="E17" s="63">
        <f t="shared" si="0"/>
        <v>-114091.99000000005</v>
      </c>
    </row>
    <row r="18" spans="1:5">
      <c r="A18" s="181">
        <v>2016</v>
      </c>
      <c r="B18" s="1" t="s">
        <v>35</v>
      </c>
      <c r="C18" s="60">
        <v>609759.23</v>
      </c>
      <c r="D18" s="60">
        <v>520461.64</v>
      </c>
      <c r="E18" s="63">
        <f t="shared" si="0"/>
        <v>89297.589999999967</v>
      </c>
    </row>
    <row r="19" spans="1:5">
      <c r="A19" s="182"/>
      <c r="B19" s="1" t="s">
        <v>36</v>
      </c>
      <c r="C19" s="60">
        <v>533959.88</v>
      </c>
      <c r="D19" s="60">
        <v>542511.01</v>
      </c>
      <c r="E19" s="63">
        <f t="shared" si="0"/>
        <v>-8551.1300000000047</v>
      </c>
    </row>
    <row r="20" spans="1:5">
      <c r="A20" s="182"/>
      <c r="B20" s="1" t="s">
        <v>37</v>
      </c>
      <c r="C20" s="60">
        <v>622223.63</v>
      </c>
      <c r="D20" s="60">
        <v>641535.93999999994</v>
      </c>
      <c r="E20" s="63">
        <f t="shared" si="0"/>
        <v>-19312.309999999939</v>
      </c>
    </row>
    <row r="21" spans="1:5">
      <c r="A21" s="182"/>
      <c r="B21" s="1" t="s">
        <v>38</v>
      </c>
      <c r="C21" s="60">
        <v>535557.19999999995</v>
      </c>
      <c r="D21" s="60">
        <v>656966.12</v>
      </c>
      <c r="E21" s="63">
        <f t="shared" si="0"/>
        <v>-121408.92000000004</v>
      </c>
    </row>
    <row r="22" spans="1:5">
      <c r="A22" s="182"/>
      <c r="B22" s="1" t="s">
        <v>39</v>
      </c>
      <c r="C22" s="60">
        <v>623544.32999999996</v>
      </c>
      <c r="D22" s="60">
        <v>606647.66</v>
      </c>
      <c r="E22" s="63">
        <f t="shared" si="0"/>
        <v>16896.669999999925</v>
      </c>
    </row>
    <row r="23" spans="1:5">
      <c r="A23" s="182"/>
      <c r="B23" s="1" t="s">
        <v>40</v>
      </c>
      <c r="C23" s="60">
        <v>563074.88</v>
      </c>
      <c r="D23" s="60">
        <v>604873.82999999996</v>
      </c>
      <c r="E23" s="63">
        <f t="shared" si="0"/>
        <v>-41798.949999999953</v>
      </c>
    </row>
    <row r="24" spans="1:5">
      <c r="A24" s="182"/>
      <c r="B24" s="1" t="s">
        <v>41</v>
      </c>
      <c r="C24" s="60">
        <v>619111.53</v>
      </c>
      <c r="D24" s="60">
        <v>506705.94</v>
      </c>
      <c r="E24" s="63">
        <f t="shared" si="0"/>
        <v>112405.59000000003</v>
      </c>
    </row>
    <row r="25" spans="1:5">
      <c r="A25" s="182"/>
      <c r="B25" s="1" t="s">
        <v>42</v>
      </c>
      <c r="C25" s="60">
        <v>500449.94</v>
      </c>
      <c r="D25" s="60">
        <v>495635.13</v>
      </c>
      <c r="E25" s="63">
        <f t="shared" si="0"/>
        <v>4814.8099999999977</v>
      </c>
    </row>
    <row r="26" spans="1:5">
      <c r="A26" s="182"/>
      <c r="B26" s="1" t="s">
        <v>43</v>
      </c>
      <c r="C26" s="60">
        <v>584533.18000000005</v>
      </c>
      <c r="D26" s="60">
        <v>494972.98</v>
      </c>
      <c r="E26" s="63">
        <f t="shared" si="0"/>
        <v>89560.20000000007</v>
      </c>
    </row>
    <row r="27" spans="1:5">
      <c r="A27" s="182"/>
      <c r="B27" s="1" t="s">
        <v>44</v>
      </c>
      <c r="C27" s="60">
        <v>433383.74</v>
      </c>
      <c r="D27" s="60">
        <v>556360.78</v>
      </c>
      <c r="E27" s="63">
        <f t="shared" si="0"/>
        <v>-122977.04000000004</v>
      </c>
    </row>
    <row r="28" spans="1:5">
      <c r="A28" s="182"/>
      <c r="B28" s="1" t="s">
        <v>45</v>
      </c>
      <c r="C28" s="60">
        <v>432493.02</v>
      </c>
      <c r="D28" s="60">
        <v>506598.40000000002</v>
      </c>
      <c r="E28" s="63">
        <f t="shared" si="0"/>
        <v>-74105.38</v>
      </c>
    </row>
    <row r="29" spans="1:5" ht="15.75" thickBot="1">
      <c r="A29" s="183"/>
      <c r="B29" s="1" t="s">
        <v>46</v>
      </c>
      <c r="C29" s="60">
        <f>924532.24+723223.5+59952.3-913235.76</f>
        <v>794472.28</v>
      </c>
      <c r="D29" s="60">
        <v>745495.1</v>
      </c>
      <c r="E29" s="63">
        <f t="shared" si="0"/>
        <v>48977.180000000051</v>
      </c>
    </row>
    <row r="30" spans="1:5">
      <c r="A30" s="181">
        <v>2017</v>
      </c>
      <c r="B30" s="1" t="s">
        <v>35</v>
      </c>
      <c r="C30" s="60">
        <v>689181.71</v>
      </c>
      <c r="D30" s="60">
        <v>551977.91</v>
      </c>
      <c r="E30" s="63">
        <f t="shared" si="0"/>
        <v>137203.79999999993</v>
      </c>
    </row>
    <row r="31" spans="1:5">
      <c r="A31" s="182"/>
      <c r="B31" s="1" t="s">
        <v>36</v>
      </c>
      <c r="C31" s="60">
        <v>459629.05</v>
      </c>
      <c r="D31" s="60">
        <v>523576.34</v>
      </c>
      <c r="E31" s="63">
        <f t="shared" si="0"/>
        <v>-63947.290000000037</v>
      </c>
    </row>
    <row r="32" spans="1:5">
      <c r="A32" s="182"/>
      <c r="B32" s="1" t="s">
        <v>37</v>
      </c>
      <c r="C32" s="60">
        <v>572131.19999999995</v>
      </c>
      <c r="D32" s="60">
        <v>496120.42</v>
      </c>
      <c r="E32" s="63">
        <f t="shared" si="0"/>
        <v>76010.77999999997</v>
      </c>
    </row>
    <row r="33" spans="1:5">
      <c r="A33" s="182"/>
      <c r="B33" s="1" t="s">
        <v>38</v>
      </c>
      <c r="C33" s="60">
        <v>495684.46</v>
      </c>
      <c r="D33" s="60">
        <v>390892.6</v>
      </c>
      <c r="E33" s="63">
        <f t="shared" si="0"/>
        <v>104791.86000000004</v>
      </c>
    </row>
    <row r="34" spans="1:5">
      <c r="A34" s="182"/>
      <c r="B34" s="1" t="s">
        <v>39</v>
      </c>
      <c r="C34" s="60">
        <v>392948.58</v>
      </c>
      <c r="D34" s="60">
        <v>555325.42000000004</v>
      </c>
      <c r="E34" s="63">
        <f t="shared" si="0"/>
        <v>-162376.84000000003</v>
      </c>
    </row>
    <row r="35" spans="1:5">
      <c r="A35" s="182"/>
      <c r="B35" s="1" t="s">
        <v>40</v>
      </c>
      <c r="C35" s="60">
        <v>505235.01</v>
      </c>
      <c r="D35" s="60">
        <v>624546.16</v>
      </c>
      <c r="E35" s="63">
        <f t="shared" si="0"/>
        <v>-119311.15000000002</v>
      </c>
    </row>
    <row r="36" spans="1:5">
      <c r="A36" s="182"/>
      <c r="B36" s="1" t="s">
        <v>41</v>
      </c>
      <c r="C36" s="60">
        <v>639786.03</v>
      </c>
      <c r="D36" s="60">
        <v>647516.54</v>
      </c>
      <c r="E36" s="63">
        <f t="shared" si="0"/>
        <v>-7730.5100000000093</v>
      </c>
    </row>
    <row r="37" spans="1:5">
      <c r="A37" s="182"/>
      <c r="B37" s="1" t="s">
        <v>42</v>
      </c>
      <c r="C37" s="60">
        <v>617323.30000000005</v>
      </c>
      <c r="D37" s="60">
        <v>641347.86</v>
      </c>
      <c r="E37" s="63">
        <f t="shared" si="0"/>
        <v>-24024.559999999939</v>
      </c>
    </row>
    <row r="38" spans="1:5">
      <c r="A38" s="182"/>
      <c r="B38" s="1" t="s">
        <v>43</v>
      </c>
      <c r="C38" s="60">
        <v>645925.54</v>
      </c>
      <c r="D38" s="60">
        <v>575206.5</v>
      </c>
      <c r="E38" s="63">
        <f t="shared" si="0"/>
        <v>70719.040000000037</v>
      </c>
    </row>
    <row r="39" spans="1:5">
      <c r="A39" s="182"/>
      <c r="B39" s="1" t="s">
        <v>44</v>
      </c>
      <c r="C39" s="60">
        <v>762342.54</v>
      </c>
      <c r="D39" s="60">
        <v>542770.55000000005</v>
      </c>
      <c r="E39" s="63">
        <f t="shared" si="0"/>
        <v>219571.99</v>
      </c>
    </row>
    <row r="40" spans="1:5">
      <c r="A40" s="182"/>
      <c r="B40" s="1" t="s">
        <v>45</v>
      </c>
      <c r="C40" s="60">
        <v>554912.87</v>
      </c>
      <c r="D40" s="60">
        <v>655435.82999999996</v>
      </c>
      <c r="E40" s="63">
        <f t="shared" si="0"/>
        <v>-100522.95999999996</v>
      </c>
    </row>
    <row r="41" spans="1:5" ht="15.75" thickBot="1">
      <c r="A41" s="183"/>
      <c r="B41" s="1" t="s">
        <v>46</v>
      </c>
      <c r="C41" s="62">
        <f>539975.53-601041.34-59952-174549+913235.76</f>
        <v>617668.95000000007</v>
      </c>
      <c r="D41" s="62">
        <v>543514.54</v>
      </c>
      <c r="E41" s="69">
        <f t="shared" si="0"/>
        <v>74154.410000000033</v>
      </c>
    </row>
    <row r="43" spans="1:5" ht="15.75" thickBot="1">
      <c r="C43" s="71">
        <f t="shared" ref="C43:D43" si="1">SUM(C6:C41)</f>
        <v>19063453.609999999</v>
      </c>
      <c r="D43" s="71">
        <f t="shared" si="1"/>
        <v>18905657.899999995</v>
      </c>
      <c r="E43" s="79">
        <f>-SUM(E6:E41)</f>
        <v>-157795.71</v>
      </c>
    </row>
    <row r="44" spans="1:5">
      <c r="A44" s="1" t="s">
        <v>195</v>
      </c>
      <c r="C44" s="60"/>
      <c r="E44" s="79">
        <v>25744</v>
      </c>
    </row>
    <row r="45" spans="1:5">
      <c r="A45" s="1" t="s">
        <v>196</v>
      </c>
      <c r="C45" s="60"/>
      <c r="E45" s="79">
        <v>59952</v>
      </c>
    </row>
    <row r="46" spans="1:5">
      <c r="A46" s="1" t="s">
        <v>197</v>
      </c>
      <c r="C46" s="60"/>
      <c r="E46" s="79">
        <v>174549</v>
      </c>
    </row>
    <row r="47" spans="1:5">
      <c r="A47" s="1" t="s">
        <v>199</v>
      </c>
      <c r="C47" s="60"/>
      <c r="E47" s="79">
        <v>-7588</v>
      </c>
    </row>
    <row r="48" spans="1:5">
      <c r="A48" s="1" t="s">
        <v>194</v>
      </c>
      <c r="C48" s="107">
        <v>2015</v>
      </c>
      <c r="E48" s="79">
        <v>93215</v>
      </c>
    </row>
    <row r="49" spans="1:6">
      <c r="A49" s="1" t="s">
        <v>194</v>
      </c>
      <c r="C49" s="107">
        <v>2016</v>
      </c>
      <c r="E49" s="79">
        <v>-75706</v>
      </c>
    </row>
    <row r="50" spans="1:6">
      <c r="A50" s="1" t="s">
        <v>194</v>
      </c>
      <c r="C50" s="107">
        <v>2017</v>
      </c>
      <c r="E50" s="62">
        <v>366</v>
      </c>
    </row>
    <row r="51" spans="1:6">
      <c r="C51" s="60"/>
    </row>
    <row r="52" spans="1:6">
      <c r="A52" s="1" t="s">
        <v>182</v>
      </c>
      <c r="C52" s="60"/>
      <c r="E52" s="108">
        <f>SUM(E43:E50)</f>
        <v>112736.29000000001</v>
      </c>
    </row>
    <row r="53" spans="1:6">
      <c r="A53" s="1" t="s">
        <v>183</v>
      </c>
      <c r="C53" s="60"/>
      <c r="E53" s="62">
        <v>141052.39000000001</v>
      </c>
    </row>
    <row r="55" spans="1:6" ht="15.75" thickBot="1">
      <c r="A55" s="1" t="s">
        <v>51</v>
      </c>
      <c r="E55" s="71">
        <f>E52-E53</f>
        <v>-28316.100000000006</v>
      </c>
      <c r="F55" s="1" t="s">
        <v>53</v>
      </c>
    </row>
    <row r="57" spans="1:6">
      <c r="E57" s="63"/>
    </row>
    <row r="60" spans="1:6" ht="18" customHeight="1"/>
  </sheetData>
  <mergeCells count="6">
    <mergeCell ref="A30:A41"/>
    <mergeCell ref="A1:E1"/>
    <mergeCell ref="A2:E2"/>
    <mergeCell ref="A3:E3"/>
    <mergeCell ref="A6:A17"/>
    <mergeCell ref="A18:A29"/>
  </mergeCells>
  <printOptions horizontalCentered="1" verticalCentered="1"/>
  <pageMargins left="0.70866141732283472" right="0.70866141732283472" top="0.74803149606299213" bottom="0.74803149606299213" header="0.31496062992125984" footer="0.31496062992125984"/>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sqref="A1:E1"/>
    </sheetView>
  </sheetViews>
  <sheetFormatPr defaultRowHeight="15"/>
  <cols>
    <col min="1" max="1" width="39.7109375" customWidth="1"/>
    <col min="2" max="5" width="15.7109375" customWidth="1"/>
  </cols>
  <sheetData>
    <row r="1" spans="1:5">
      <c r="A1" s="166" t="s">
        <v>0</v>
      </c>
      <c r="B1" s="166"/>
      <c r="C1" s="166"/>
      <c r="D1" s="166"/>
      <c r="E1" s="166"/>
    </row>
    <row r="2" spans="1:5">
      <c r="A2" s="166" t="s">
        <v>186</v>
      </c>
      <c r="B2" s="166"/>
      <c r="C2" s="166"/>
      <c r="D2" s="166"/>
      <c r="E2" s="166"/>
    </row>
    <row r="3" spans="1:5">
      <c r="A3" s="166" t="s">
        <v>67</v>
      </c>
      <c r="B3" s="166"/>
      <c r="C3" s="166"/>
      <c r="D3" s="166"/>
      <c r="E3" s="166"/>
    </row>
    <row r="4" spans="1:5" ht="15.75" thickBot="1">
      <c r="A4" s="1"/>
    </row>
    <row r="5" spans="1:5" ht="15.75" thickBot="1">
      <c r="B5" s="163" t="s">
        <v>179</v>
      </c>
      <c r="C5" s="164"/>
      <c r="D5" s="164"/>
      <c r="E5" s="165"/>
    </row>
    <row r="6" spans="1:5" ht="15.75" thickBot="1">
      <c r="B6" s="59">
        <v>2015</v>
      </c>
      <c r="C6" s="59">
        <v>2016</v>
      </c>
      <c r="D6" s="59">
        <v>2017</v>
      </c>
      <c r="E6" s="59" t="s">
        <v>50</v>
      </c>
    </row>
    <row r="8" spans="1:5">
      <c r="A8" s="1" t="s">
        <v>174</v>
      </c>
      <c r="B8" s="60">
        <f>'Appendix C - 1 - Account 1588'!E38</f>
        <v>-2572.8609896732737</v>
      </c>
      <c r="C8" s="60">
        <f>'Appendix C - 1 - Account 1588'!J38</f>
        <v>-13552.341254711258</v>
      </c>
      <c r="D8" s="60">
        <f>'Appendix C - 1 - Account 1588'!O38</f>
        <v>-10701.90375657957</v>
      </c>
      <c r="E8" s="60">
        <f>SUM(B8:D8)</f>
        <v>-26827.106000964101</v>
      </c>
    </row>
    <row r="9" spans="1:5">
      <c r="A9" s="1" t="s">
        <v>173</v>
      </c>
      <c r="B9" s="60">
        <f>-('Appendix C - 2 - Account 1588'!N17+'Appendix C - 2 - Account 1588'!Q17+'Appendix C - 2 - Account 1588'!T17)</f>
        <v>323184.29000000004</v>
      </c>
      <c r="C9" s="60">
        <f>-('Appendix C - 2 - Account 1588'!N29+'Appendix C - 2 - Account 1588'!Q29+'Appendix C - 2 - Account 1588'!T29)</f>
        <v>-181630.69999999998</v>
      </c>
      <c r="D9" s="60">
        <f>-('Appendix C - 2 - Account 1588'!N41+'Appendix C - 2 - Account 1588'!Q41+'Appendix C - 2 - Account 1588'!T41)</f>
        <v>184759.87</v>
      </c>
      <c r="E9" s="60">
        <f>SUM(B9:D9)</f>
        <v>326313.46000000008</v>
      </c>
    </row>
    <row r="10" spans="1:5">
      <c r="A10" s="1" t="s">
        <v>177</v>
      </c>
      <c r="B10" s="62">
        <f>-(-SUM('Appendix C - 2 - Account 1588'!E6:E17)+SUM('Appendix C - 2 - Account 1588'!H6:H17)+SUM('Appendix C - 2 - Account 1588'!K6:K17)+SUM('Appendix C - 2 - Account 1588'!Q6:Q16)+SUM('Appendix C - 2 - Account 1588'!N6:N16)+SUM('Appendix C - 2 - Account 1588'!T6:T16))</f>
        <v>-183893.15000000002</v>
      </c>
      <c r="C10" s="62">
        <f>-(-SUM('Appendix C - 2 - Account 1588'!E18:E29)+SUM('Appendix C - 2 - Account 1588'!H18:H29)+SUM('Appendix C - 2 - Account 1588'!K18:K29)+SUM('Appendix C - 2 - Account 1588'!N18:N28)+SUM('Appendix C - 2 - Account 1588'!Q18:Q28)+SUM('Appendix C - 2 - Account 1588'!T18:T28))</f>
        <v>2504.4199999999837</v>
      </c>
      <c r="D10" s="62">
        <f>-(-SUM('Appendix C - 2 - Account 1588'!E30:E41)+SUM('Appendix C - 2 - Account 1588'!H30:H41)+SUM('Appendix C - 2 - Account 1588'!K30:K41)+SUM('Appendix C - 2 - Account 1588'!N30:N40)+SUM('Appendix C - 2 - Account 1588'!Q30:Q40)+SUM('Appendix C - 2 - Account 1588'!T30:T40))</f>
        <v>0</v>
      </c>
      <c r="E10" s="62">
        <f>SUM(B10:D10)</f>
        <v>-181388.73000000004</v>
      </c>
    </row>
    <row r="12" spans="1:5" ht="15.75" thickBot="1">
      <c r="A12" s="1" t="s">
        <v>50</v>
      </c>
      <c r="B12" s="71">
        <f>SUM(B8:B10)</f>
        <v>136718.27901032672</v>
      </c>
      <c r="C12" s="71">
        <f>SUM(C8:C10)</f>
        <v>-192678.62125471127</v>
      </c>
      <c r="D12" s="71">
        <f>SUM(D8:D10)</f>
        <v>174057.96624342044</v>
      </c>
      <c r="E12" s="108">
        <f>SUM(E8:E10)</f>
        <v>118097.62399903592</v>
      </c>
    </row>
    <row r="13" spans="1:5">
      <c r="A13" s="1" t="s">
        <v>178</v>
      </c>
      <c r="E13" s="62">
        <v>125555.03</v>
      </c>
    </row>
    <row r="15" spans="1:5" ht="15.75" thickBot="1">
      <c r="A15" s="1" t="s">
        <v>51</v>
      </c>
      <c r="E15" s="109">
        <f>E12-E13</f>
        <v>-7457.4060009640816</v>
      </c>
    </row>
    <row r="17" spans="1:1">
      <c r="A17" s="1" t="s">
        <v>193</v>
      </c>
    </row>
  </sheetData>
  <mergeCells count="4">
    <mergeCell ref="B5:E5"/>
    <mergeCell ref="A1:E1"/>
    <mergeCell ref="A2:E2"/>
    <mergeCell ref="A3: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sqref="A1:O1"/>
    </sheetView>
  </sheetViews>
  <sheetFormatPr defaultRowHeight="15"/>
  <cols>
    <col min="1" max="1" width="21.42578125" customWidth="1"/>
    <col min="2" max="5" width="15.7109375" customWidth="1"/>
    <col min="6" max="6" width="5.7109375" customWidth="1"/>
    <col min="7" max="10" width="15.7109375" customWidth="1"/>
    <col min="11" max="11" width="5.7109375" customWidth="1"/>
    <col min="12" max="15" width="15.7109375" customWidth="1"/>
  </cols>
  <sheetData>
    <row r="1" spans="1:15">
      <c r="A1" s="166" t="s">
        <v>0</v>
      </c>
      <c r="B1" s="166"/>
      <c r="C1" s="166"/>
      <c r="D1" s="166"/>
      <c r="E1" s="166"/>
      <c r="F1" s="166"/>
      <c r="G1" s="166"/>
      <c r="H1" s="166"/>
      <c r="I1" s="166"/>
      <c r="J1" s="166"/>
      <c r="K1" s="166"/>
      <c r="L1" s="166"/>
      <c r="M1" s="166"/>
      <c r="N1" s="166"/>
      <c r="O1" s="166"/>
    </row>
    <row r="2" spans="1:15">
      <c r="A2" s="166" t="s">
        <v>187</v>
      </c>
      <c r="B2" s="166"/>
      <c r="C2" s="166"/>
      <c r="D2" s="166"/>
      <c r="E2" s="166"/>
      <c r="F2" s="166"/>
      <c r="G2" s="166"/>
      <c r="H2" s="166"/>
      <c r="I2" s="166"/>
      <c r="J2" s="166"/>
      <c r="K2" s="166"/>
      <c r="L2" s="166"/>
      <c r="M2" s="166"/>
      <c r="N2" s="166"/>
      <c r="O2" s="166"/>
    </row>
    <row r="3" spans="1:15">
      <c r="A3" s="166" t="s">
        <v>67</v>
      </c>
      <c r="B3" s="166"/>
      <c r="C3" s="166"/>
      <c r="D3" s="166"/>
      <c r="E3" s="166"/>
      <c r="F3" s="166"/>
      <c r="G3" s="166"/>
      <c r="H3" s="166"/>
      <c r="I3" s="166"/>
      <c r="J3" s="166"/>
      <c r="K3" s="166"/>
      <c r="L3" s="166"/>
      <c r="M3" s="166"/>
      <c r="N3" s="166"/>
      <c r="O3" s="166"/>
    </row>
    <row r="6" spans="1:15" ht="15.75" thickBot="1"/>
    <row r="7" spans="1:15" ht="15.75" thickBot="1">
      <c r="B7" s="163">
        <v>2015</v>
      </c>
      <c r="C7" s="164"/>
      <c r="D7" s="164"/>
      <c r="E7" s="165"/>
      <c r="G7" s="163">
        <v>2016</v>
      </c>
      <c r="H7" s="164"/>
      <c r="I7" s="164"/>
      <c r="J7" s="165"/>
      <c r="L7" s="163">
        <v>2017</v>
      </c>
      <c r="M7" s="164"/>
      <c r="N7" s="164"/>
      <c r="O7" s="165"/>
    </row>
    <row r="8" spans="1:15" ht="27" thickBot="1">
      <c r="B8" s="66" t="s">
        <v>88</v>
      </c>
      <c r="C8" s="66" t="s">
        <v>86</v>
      </c>
      <c r="D8" s="66" t="s">
        <v>89</v>
      </c>
      <c r="E8" s="66" t="s">
        <v>90</v>
      </c>
      <c r="G8" s="66" t="s">
        <v>85</v>
      </c>
      <c r="H8" s="66" t="s">
        <v>71</v>
      </c>
      <c r="I8" s="66" t="s">
        <v>86</v>
      </c>
      <c r="J8" s="66" t="s">
        <v>87</v>
      </c>
      <c r="L8" s="66" t="s">
        <v>69</v>
      </c>
      <c r="M8" s="66" t="s">
        <v>70</v>
      </c>
      <c r="N8" s="66" t="s">
        <v>71</v>
      </c>
      <c r="O8" s="66" t="s">
        <v>72</v>
      </c>
    </row>
    <row r="9" spans="1:15">
      <c r="B9" s="67"/>
      <c r="C9" s="67"/>
      <c r="D9" s="67"/>
      <c r="E9" s="67"/>
      <c r="G9" s="67"/>
      <c r="H9" s="67"/>
      <c r="I9" s="67"/>
      <c r="J9" s="67"/>
      <c r="L9" s="67"/>
      <c r="M9" s="67"/>
      <c r="N9" s="67"/>
      <c r="O9" s="67"/>
    </row>
    <row r="10" spans="1:15">
      <c r="A10" t="s">
        <v>73</v>
      </c>
      <c r="B10" s="60">
        <v>30921592</v>
      </c>
      <c r="C10" s="60">
        <v>3837162.7437801552</v>
      </c>
      <c r="D10" s="60">
        <v>3452104.2070465377</v>
      </c>
      <c r="E10" s="60">
        <f t="shared" ref="E10:E16" si="0">B10+C10-D10</f>
        <v>31306650.53673362</v>
      </c>
      <c r="G10" s="60">
        <v>29436344</v>
      </c>
      <c r="H10" s="60">
        <v>3529820.87</v>
      </c>
      <c r="I10" s="60">
        <v>3452104.21</v>
      </c>
      <c r="J10" s="60">
        <f t="shared" ref="J10:J16" si="1">G10+H10-I10</f>
        <v>29514060.66</v>
      </c>
      <c r="L10" s="60">
        <v>28817166</v>
      </c>
      <c r="M10" s="60">
        <v>3585188.48</v>
      </c>
      <c r="N10" s="60">
        <v>3529820.87</v>
      </c>
      <c r="O10" s="60">
        <f t="shared" ref="O10:O16" si="2">L10+M10-N10</f>
        <v>28872533.609999999</v>
      </c>
    </row>
    <row r="11" spans="1:15">
      <c r="A11" t="s">
        <v>74</v>
      </c>
      <c r="B11" s="60">
        <v>45703771</v>
      </c>
      <c r="C11" s="60">
        <v>5380557.217762134</v>
      </c>
      <c r="D11" s="60">
        <v>5247729.1399999997</v>
      </c>
      <c r="E11" s="60">
        <f t="shared" si="0"/>
        <v>45836599.077762134</v>
      </c>
      <c r="G11" s="60">
        <v>45871939</v>
      </c>
      <c r="H11" s="60">
        <v>5418917.3399999999</v>
      </c>
      <c r="I11" s="60">
        <v>5247729.1399999997</v>
      </c>
      <c r="J11" s="60">
        <f t="shared" si="1"/>
        <v>46043127.200000003</v>
      </c>
      <c r="L11" s="60">
        <v>45908583</v>
      </c>
      <c r="M11" s="60">
        <v>5428292.7800000003</v>
      </c>
      <c r="N11" s="60">
        <v>5418917.3399999999</v>
      </c>
      <c r="O11" s="60">
        <f t="shared" si="2"/>
        <v>45917958.439999998</v>
      </c>
    </row>
    <row r="12" spans="1:15">
      <c r="A12" t="s">
        <v>75</v>
      </c>
      <c r="B12" s="60">
        <v>27922821</v>
      </c>
      <c r="C12" s="60">
        <v>2157526.6366107762</v>
      </c>
      <c r="D12" s="60">
        <v>2170337.21</v>
      </c>
      <c r="E12" s="60">
        <f t="shared" si="0"/>
        <v>27910010.426610775</v>
      </c>
      <c r="G12" s="60">
        <v>27586093</v>
      </c>
      <c r="H12" s="60">
        <v>3589170.22</v>
      </c>
      <c r="I12" s="60">
        <v>2170337.21</v>
      </c>
      <c r="J12" s="60">
        <f t="shared" si="1"/>
        <v>29004926.009999998</v>
      </c>
      <c r="L12" s="60">
        <v>26321592</v>
      </c>
      <c r="M12" s="60">
        <v>2178968.9300000002</v>
      </c>
      <c r="N12" s="60">
        <v>3589170.22</v>
      </c>
      <c r="O12" s="60">
        <f t="shared" si="2"/>
        <v>24911390.710000001</v>
      </c>
    </row>
    <row r="13" spans="1:15">
      <c r="A13" t="s">
        <v>9</v>
      </c>
      <c r="B13" s="60">
        <v>81825188</v>
      </c>
      <c r="C13" s="60">
        <v>11913165.969900155</v>
      </c>
      <c r="D13" s="60">
        <v>7703373.2807600368</v>
      </c>
      <c r="E13" s="60">
        <f t="shared" si="0"/>
        <v>86034980.689140126</v>
      </c>
      <c r="G13" s="60">
        <v>75692067</v>
      </c>
      <c r="H13" s="60">
        <v>8646421.0999999996</v>
      </c>
      <c r="I13" s="60">
        <v>7703373.2800000003</v>
      </c>
      <c r="J13" s="60">
        <f t="shared" si="1"/>
        <v>76635114.819999993</v>
      </c>
      <c r="L13" s="60">
        <v>74039950</v>
      </c>
      <c r="M13" s="60">
        <v>10725988.119999999</v>
      </c>
      <c r="N13" s="60">
        <v>8646421.0999999996</v>
      </c>
      <c r="O13" s="60">
        <f t="shared" si="2"/>
        <v>76119517.020000011</v>
      </c>
    </row>
    <row r="14" spans="1:15">
      <c r="A14" t="s">
        <v>76</v>
      </c>
      <c r="B14" s="60">
        <v>2407148</v>
      </c>
      <c r="C14" s="60">
        <v>251748.47609881294</v>
      </c>
      <c r="D14" s="60">
        <v>269178.81</v>
      </c>
      <c r="E14" s="60">
        <f t="shared" si="0"/>
        <v>2389717.6660988131</v>
      </c>
      <c r="G14" s="60">
        <v>1435631.03</v>
      </c>
      <c r="H14" s="60">
        <v>141251</v>
      </c>
      <c r="I14" s="60">
        <v>269178.81</v>
      </c>
      <c r="J14" s="60">
        <f t="shared" si="1"/>
        <v>1307703.22</v>
      </c>
      <c r="L14" s="60">
        <v>1298471</v>
      </c>
      <c r="M14" s="60">
        <v>140361.79</v>
      </c>
      <c r="N14" s="60">
        <v>141251</v>
      </c>
      <c r="O14" s="60">
        <f t="shared" si="2"/>
        <v>1297581.79</v>
      </c>
    </row>
    <row r="15" spans="1:15">
      <c r="A15" t="s">
        <v>77</v>
      </c>
      <c r="B15" s="60">
        <v>231013.47449470646</v>
      </c>
      <c r="C15" s="60">
        <v>23526.699761586711</v>
      </c>
      <c r="D15" s="60">
        <v>23669.16</v>
      </c>
      <c r="E15" s="60">
        <f t="shared" si="0"/>
        <v>230871.01425629316</v>
      </c>
      <c r="G15" s="60">
        <v>222207</v>
      </c>
      <c r="H15" s="60">
        <v>19268.439999999999</v>
      </c>
      <c r="I15" s="60">
        <v>23669.16</v>
      </c>
      <c r="J15" s="60">
        <f t="shared" si="1"/>
        <v>217806.28</v>
      </c>
      <c r="L15" s="60">
        <v>205943</v>
      </c>
      <c r="M15" s="60">
        <v>17006.79</v>
      </c>
      <c r="N15" s="60">
        <v>19268.439999999999</v>
      </c>
      <c r="O15" s="60">
        <f t="shared" si="2"/>
        <v>203681.35</v>
      </c>
    </row>
    <row r="16" spans="1:15">
      <c r="A16" t="s">
        <v>78</v>
      </c>
      <c r="B16" s="60">
        <v>475275</v>
      </c>
      <c r="C16" s="60">
        <v>48113.007896706797</v>
      </c>
      <c r="D16" s="60">
        <v>49057.27</v>
      </c>
      <c r="E16" s="62">
        <f t="shared" si="0"/>
        <v>474330.73789670679</v>
      </c>
      <c r="G16" s="60">
        <v>579338</v>
      </c>
      <c r="H16" s="60">
        <v>63984</v>
      </c>
      <c r="I16" s="60">
        <v>49057.27</v>
      </c>
      <c r="J16" s="62">
        <f t="shared" si="1"/>
        <v>594264.73</v>
      </c>
      <c r="L16" s="60">
        <v>611520</v>
      </c>
      <c r="M16" s="60">
        <v>59361.73</v>
      </c>
      <c r="N16" s="60">
        <v>63984</v>
      </c>
      <c r="O16" s="62">
        <f t="shared" si="2"/>
        <v>606897.73</v>
      </c>
    </row>
    <row r="18" spans="1:15">
      <c r="A18" s="68" t="s">
        <v>95</v>
      </c>
      <c r="B18" s="63"/>
      <c r="C18" s="63"/>
      <c r="D18" s="63"/>
      <c r="E18" s="69">
        <f>SUM(E10:E16)</f>
        <v>194183160.14849848</v>
      </c>
      <c r="G18" s="63"/>
      <c r="H18" s="63"/>
      <c r="I18" s="63"/>
      <c r="J18" s="69">
        <f>SUM(J10:J16)</f>
        <v>183317002.91999999</v>
      </c>
      <c r="L18" s="63"/>
      <c r="M18" s="63"/>
      <c r="N18" s="63"/>
      <c r="O18" s="69">
        <f>SUM(O10:O16)</f>
        <v>177929560.64999998</v>
      </c>
    </row>
    <row r="19" spans="1:15">
      <c r="D19" s="63"/>
      <c r="I19" s="63"/>
      <c r="N19" s="63"/>
    </row>
    <row r="20" spans="1:15">
      <c r="A20" s="70" t="s">
        <v>68</v>
      </c>
      <c r="E20" s="63">
        <v>40691330</v>
      </c>
      <c r="J20" s="63">
        <v>34831071</v>
      </c>
      <c r="O20" s="63">
        <v>47904790</v>
      </c>
    </row>
    <row r="21" spans="1:15">
      <c r="A21" s="70" t="s">
        <v>79</v>
      </c>
      <c r="E21" s="60">
        <v>129690172.84</v>
      </c>
      <c r="J21" s="60">
        <v>138968687</v>
      </c>
      <c r="O21" s="60">
        <v>105580388.05</v>
      </c>
    </row>
    <row r="22" spans="1:15">
      <c r="A22" s="70" t="s">
        <v>80</v>
      </c>
      <c r="E22" s="63">
        <v>17631720</v>
      </c>
      <c r="J22" s="63">
        <v>15636626</v>
      </c>
      <c r="O22" s="63">
        <v>31830283.98</v>
      </c>
    </row>
    <row r="23" spans="1:15">
      <c r="A23" s="70" t="s">
        <v>91</v>
      </c>
      <c r="E23" s="63">
        <v>2130295.25</v>
      </c>
      <c r="J23" s="63">
        <v>923596</v>
      </c>
      <c r="O23" s="63">
        <v>0</v>
      </c>
    </row>
    <row r="24" spans="1:15">
      <c r="A24" s="70" t="s">
        <v>81</v>
      </c>
      <c r="E24" s="69">
        <v>321810</v>
      </c>
      <c r="J24" s="69">
        <v>383926</v>
      </c>
      <c r="O24" s="69">
        <v>379792</v>
      </c>
    </row>
    <row r="26" spans="1:15">
      <c r="A26" s="68" t="s">
        <v>82</v>
      </c>
      <c r="E26" s="69">
        <f>SUM(E20:E24)</f>
        <v>190465328.09</v>
      </c>
      <c r="J26" s="69">
        <f>SUM(J20:J24)</f>
        <v>190743906</v>
      </c>
      <c r="O26" s="69">
        <f>SUM(O20:O24)</f>
        <v>185695254.03</v>
      </c>
    </row>
    <row r="28" spans="1:15" ht="15.75" thickBot="1">
      <c r="A28" s="68" t="s">
        <v>83</v>
      </c>
      <c r="E28" s="71">
        <v>7318901</v>
      </c>
      <c r="J28" s="71">
        <f>J26-J18</f>
        <v>7426903.0800000131</v>
      </c>
      <c r="O28" s="71">
        <f>O26-O18</f>
        <v>7765693.380000025</v>
      </c>
    </row>
    <row r="30" spans="1:15" ht="15.75" thickBot="1">
      <c r="A30" s="68" t="s">
        <v>84</v>
      </c>
      <c r="E30" s="72">
        <f>E28/E26</f>
        <v>3.8426421613815306E-2</v>
      </c>
      <c r="J30" s="72">
        <f>J28/J26</f>
        <v>3.8936515644174829E-2</v>
      </c>
      <c r="O30" s="72">
        <f>O28/O26</f>
        <v>4.1819557643328023E-2</v>
      </c>
    </row>
    <row r="32" spans="1:15">
      <c r="A32" s="68" t="s">
        <v>93</v>
      </c>
      <c r="E32" s="74">
        <v>3.9E-2</v>
      </c>
      <c r="J32" s="74">
        <v>3.9E-2</v>
      </c>
    </row>
    <row r="33" spans="1:15">
      <c r="A33" s="1" t="s">
        <v>92</v>
      </c>
      <c r="E33" s="73"/>
      <c r="J33" s="74">
        <v>4.5699999999999998E-2</v>
      </c>
      <c r="O33" s="74">
        <v>4.5699999999999998E-2</v>
      </c>
    </row>
    <row r="34" spans="1:15">
      <c r="A34" s="1" t="s">
        <v>96</v>
      </c>
      <c r="E34" s="74">
        <v>3.9E-2</v>
      </c>
      <c r="J34" s="74">
        <f>ROUND(J32/12*4+J33/12*8,4)</f>
        <v>4.3499999999999997E-2</v>
      </c>
      <c r="O34" s="74">
        <v>4.5699999999999998E-2</v>
      </c>
    </row>
    <row r="35" spans="1:15">
      <c r="A35" s="1" t="s">
        <v>94</v>
      </c>
      <c r="E35" s="75">
        <f>E30-E34</f>
        <v>-5.7357838618469353E-4</v>
      </c>
      <c r="J35" s="75">
        <f>J30-J34</f>
        <v>-4.5634843558251675E-3</v>
      </c>
      <c r="O35" s="75">
        <f>O30-O34</f>
        <v>-3.8804423566719745E-3</v>
      </c>
    </row>
    <row r="36" spans="1:15">
      <c r="A36" s="1" t="s">
        <v>99</v>
      </c>
      <c r="E36" s="63">
        <f>E18*E35</f>
        <v>-111379.26362221965</v>
      </c>
      <c r="J36" s="63">
        <f>J18*J35</f>
        <v>-836564.27498217649</v>
      </c>
      <c r="O36" s="63">
        <f>O18*O35</f>
        <v>-690445.40365029487</v>
      </c>
    </row>
    <row r="37" spans="1:15">
      <c r="A37" s="1" t="s">
        <v>97</v>
      </c>
      <c r="E37" s="45">
        <v>2.3099999999999999E-2</v>
      </c>
      <c r="J37" s="45">
        <v>1.6199999999999999E-2</v>
      </c>
      <c r="O37" s="45">
        <v>1.55E-2</v>
      </c>
    </row>
    <row r="38" spans="1:15">
      <c r="A38" s="1" t="s">
        <v>98</v>
      </c>
      <c r="E38" s="76">
        <f>E36*E37</f>
        <v>-2572.8609896732737</v>
      </c>
      <c r="J38" s="76">
        <f>J36*J37</f>
        <v>-13552.341254711258</v>
      </c>
      <c r="O38" s="76">
        <f>O36*O37</f>
        <v>-10701.90375657957</v>
      </c>
    </row>
  </sheetData>
  <mergeCells count="6">
    <mergeCell ref="A1:O1"/>
    <mergeCell ref="A2:O2"/>
    <mergeCell ref="A3:O3"/>
    <mergeCell ref="B7:E7"/>
    <mergeCell ref="G7:J7"/>
    <mergeCell ref="L7:O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workbookViewId="0">
      <pane xSplit="2" ySplit="5" topLeftCell="C6" activePane="bottomRight" state="frozen"/>
      <selection pane="topRight" activeCell="C1" sqref="C1"/>
      <selection pane="bottomLeft" activeCell="A6" sqref="A6"/>
      <selection pane="bottomRight" sqref="A1:T1"/>
    </sheetView>
  </sheetViews>
  <sheetFormatPr defaultRowHeight="15"/>
  <cols>
    <col min="2" max="2" width="12.5703125" customWidth="1"/>
    <col min="3" max="20" width="15.7109375" customWidth="1"/>
  </cols>
  <sheetData>
    <row r="1" spans="1:20">
      <c r="A1" s="166" t="s">
        <v>0</v>
      </c>
      <c r="B1" s="166"/>
      <c r="C1" s="166"/>
      <c r="D1" s="166"/>
      <c r="E1" s="166"/>
      <c r="F1" s="166"/>
      <c r="G1" s="166"/>
      <c r="H1" s="166"/>
      <c r="I1" s="166"/>
      <c r="J1" s="166"/>
      <c r="K1" s="166"/>
      <c r="L1" s="166"/>
      <c r="M1" s="166"/>
      <c r="N1" s="166"/>
      <c r="O1" s="166"/>
      <c r="P1" s="166"/>
      <c r="Q1" s="166"/>
      <c r="R1" s="166"/>
      <c r="S1" s="166"/>
      <c r="T1" s="166"/>
    </row>
    <row r="2" spans="1:20">
      <c r="A2" s="166" t="s">
        <v>188</v>
      </c>
      <c r="B2" s="166"/>
      <c r="C2" s="166"/>
      <c r="D2" s="166"/>
      <c r="E2" s="166"/>
      <c r="F2" s="166"/>
      <c r="G2" s="166"/>
      <c r="H2" s="166"/>
      <c r="I2" s="166"/>
      <c r="J2" s="166"/>
      <c r="K2" s="166"/>
      <c r="L2" s="166"/>
      <c r="M2" s="166"/>
      <c r="N2" s="166"/>
      <c r="O2" s="166"/>
      <c r="P2" s="166"/>
      <c r="Q2" s="166"/>
      <c r="R2" s="166"/>
      <c r="S2" s="166"/>
      <c r="T2" s="166"/>
    </row>
    <row r="3" spans="1:20">
      <c r="A3" s="166" t="s">
        <v>67</v>
      </c>
      <c r="B3" s="166"/>
      <c r="C3" s="166"/>
      <c r="D3" s="166"/>
      <c r="E3" s="166"/>
      <c r="F3" s="166"/>
      <c r="G3" s="166"/>
      <c r="H3" s="166"/>
      <c r="I3" s="166"/>
      <c r="J3" s="166"/>
      <c r="K3" s="166"/>
      <c r="L3" s="166"/>
      <c r="M3" s="166"/>
      <c r="N3" s="166"/>
      <c r="O3" s="166"/>
      <c r="P3" s="166"/>
      <c r="Q3" s="166"/>
      <c r="R3" s="166"/>
      <c r="S3" s="166"/>
      <c r="T3" s="166"/>
    </row>
    <row r="5" spans="1:20" ht="45.75" thickBot="1">
      <c r="C5" s="61" t="s">
        <v>163</v>
      </c>
      <c r="D5" s="61" t="s">
        <v>164</v>
      </c>
      <c r="E5" s="61" t="s">
        <v>51</v>
      </c>
      <c r="F5" s="61" t="s">
        <v>175</v>
      </c>
      <c r="G5" s="61" t="s">
        <v>165</v>
      </c>
      <c r="H5" s="61" t="s">
        <v>51</v>
      </c>
      <c r="I5" s="61" t="s">
        <v>176</v>
      </c>
      <c r="J5" s="61" t="s">
        <v>166</v>
      </c>
      <c r="K5" s="61" t="s">
        <v>51</v>
      </c>
      <c r="L5" s="61" t="s">
        <v>167</v>
      </c>
      <c r="M5" s="61" t="s">
        <v>168</v>
      </c>
      <c r="N5" s="61" t="s">
        <v>51</v>
      </c>
      <c r="O5" s="61" t="s">
        <v>169</v>
      </c>
      <c r="P5" s="61" t="s">
        <v>170</v>
      </c>
      <c r="Q5" s="61" t="s">
        <v>51</v>
      </c>
      <c r="R5" s="61" t="s">
        <v>171</v>
      </c>
      <c r="S5" s="61" t="s">
        <v>172</v>
      </c>
      <c r="T5" s="61" t="s">
        <v>51</v>
      </c>
    </row>
    <row r="6" spans="1:20">
      <c r="A6" s="181">
        <v>2015</v>
      </c>
      <c r="B6" s="1" t="s">
        <v>35</v>
      </c>
      <c r="C6" s="60">
        <v>283307.01</v>
      </c>
      <c r="D6" s="60">
        <v>283307.01</v>
      </c>
      <c r="E6" s="63">
        <f>C6-D6</f>
        <v>0</v>
      </c>
      <c r="F6" s="60">
        <v>39452.9</v>
      </c>
      <c r="G6" s="60">
        <v>39452.9</v>
      </c>
      <c r="H6" s="63">
        <f>F6-G6</f>
        <v>0</v>
      </c>
      <c r="I6" s="60">
        <v>108466.71</v>
      </c>
      <c r="J6" s="60">
        <v>108466.71</v>
      </c>
      <c r="K6" s="63">
        <f>I6-J6</f>
        <v>0</v>
      </c>
      <c r="L6" s="60">
        <f>213864.66+79632.29</f>
        <v>293496.95</v>
      </c>
      <c r="M6" s="60">
        <v>293496.95</v>
      </c>
      <c r="N6" s="63">
        <f>L6-M6</f>
        <v>0</v>
      </c>
      <c r="O6" s="60">
        <f>426375.18+123799.87</f>
        <v>550175.05000000005</v>
      </c>
      <c r="P6" s="60">
        <v>550175.05000000005</v>
      </c>
      <c r="Q6" s="63">
        <f>O6-P6</f>
        <v>0</v>
      </c>
      <c r="R6" s="60">
        <f>160952.8+71874.22</f>
        <v>232827.02</v>
      </c>
      <c r="S6" s="60">
        <v>232827.02</v>
      </c>
      <c r="T6" s="63">
        <f>R6-S6</f>
        <v>0</v>
      </c>
    </row>
    <row r="7" spans="1:20">
      <c r="A7" s="182"/>
      <c r="B7" s="1" t="s">
        <v>36</v>
      </c>
      <c r="C7" s="60">
        <v>395213.95</v>
      </c>
      <c r="D7" s="60">
        <v>395213.95</v>
      </c>
      <c r="E7" s="63">
        <f t="shared" ref="E7:E41" si="0">C7-D7</f>
        <v>0</v>
      </c>
      <c r="F7" s="60">
        <v>45476.11</v>
      </c>
      <c r="G7" s="60">
        <v>45476.11</v>
      </c>
      <c r="H7" s="63">
        <f t="shared" ref="H7:H41" si="1">F7-G7</f>
        <v>0</v>
      </c>
      <c r="I7" s="60">
        <v>107798.12</v>
      </c>
      <c r="J7" s="60">
        <v>107798.12</v>
      </c>
      <c r="K7" s="63">
        <f t="shared" ref="K7:K41" si="2">I7-J7</f>
        <v>0</v>
      </c>
      <c r="L7" s="60">
        <f>287960.43+79076.59</f>
        <v>367037.02</v>
      </c>
      <c r="M7" s="60">
        <v>367037.02</v>
      </c>
      <c r="N7" s="63">
        <f t="shared" ref="N7:N41" si="3">L7-M7</f>
        <v>0</v>
      </c>
      <c r="O7" s="60">
        <f>554879.47+142019.66</f>
        <v>696899.13</v>
      </c>
      <c r="P7" s="60">
        <v>696899.13</v>
      </c>
      <c r="Q7" s="63">
        <f t="shared" ref="Q7:Q41" si="4">O7-P7</f>
        <v>0</v>
      </c>
      <c r="R7" s="60">
        <f>208272.76+68191.85</f>
        <v>276464.61</v>
      </c>
      <c r="S7" s="60">
        <v>276464.61</v>
      </c>
      <c r="T7" s="63">
        <f t="shared" ref="T7:T41" si="5">R7-S7</f>
        <v>0</v>
      </c>
    </row>
    <row r="8" spans="1:20">
      <c r="A8" s="182"/>
      <c r="B8" s="1" t="s">
        <v>37</v>
      </c>
      <c r="C8" s="60">
        <v>669283.54</v>
      </c>
      <c r="D8" s="60">
        <v>669283.54</v>
      </c>
      <c r="E8" s="63">
        <f t="shared" si="0"/>
        <v>0</v>
      </c>
      <c r="F8" s="60">
        <v>46435.8</v>
      </c>
      <c r="G8" s="60">
        <v>46435.8</v>
      </c>
      <c r="H8" s="63">
        <f t="shared" si="1"/>
        <v>0</v>
      </c>
      <c r="I8" s="60">
        <v>129292.84</v>
      </c>
      <c r="J8" s="60">
        <v>129292.84</v>
      </c>
      <c r="K8" s="63">
        <f t="shared" si="2"/>
        <v>0</v>
      </c>
      <c r="L8" s="60">
        <f>255225.38+90853.32</f>
        <v>346078.7</v>
      </c>
      <c r="M8" s="60">
        <v>333003.84000000003</v>
      </c>
      <c r="N8" s="63">
        <f t="shared" si="3"/>
        <v>13074.859999999986</v>
      </c>
      <c r="O8" s="60">
        <f>488615.08+153147.59</f>
        <v>641762.67000000004</v>
      </c>
      <c r="P8" s="60">
        <v>641762.67000000004</v>
      </c>
      <c r="Q8" s="63">
        <f t="shared" si="4"/>
        <v>0</v>
      </c>
      <c r="R8" s="60">
        <f>181471.82+80096.15</f>
        <v>261567.97</v>
      </c>
      <c r="S8" s="60">
        <v>261567.97</v>
      </c>
      <c r="T8" s="63">
        <f t="shared" si="5"/>
        <v>0</v>
      </c>
    </row>
    <row r="9" spans="1:20">
      <c r="A9" s="182"/>
      <c r="B9" s="1" t="s">
        <v>38</v>
      </c>
      <c r="C9" s="60">
        <v>389563.43</v>
      </c>
      <c r="D9" s="60">
        <v>389563.43</v>
      </c>
      <c r="E9" s="63">
        <f t="shared" si="0"/>
        <v>0</v>
      </c>
      <c r="F9" s="60">
        <v>45762.080000000002</v>
      </c>
      <c r="G9" s="60">
        <v>45762.080000000002</v>
      </c>
      <c r="H9" s="63">
        <f t="shared" si="1"/>
        <v>0</v>
      </c>
      <c r="I9" s="60">
        <v>86847.59</v>
      </c>
      <c r="J9" s="60">
        <v>86847.59</v>
      </c>
      <c r="K9" s="63">
        <f t="shared" si="2"/>
        <v>0</v>
      </c>
      <c r="L9" s="60">
        <f>193729.47+75402.91</f>
        <v>269132.38</v>
      </c>
      <c r="M9" s="60">
        <v>269132.38</v>
      </c>
      <c r="N9" s="63">
        <f t="shared" si="3"/>
        <v>0</v>
      </c>
      <c r="O9" s="60">
        <f>373632.2+120496.81</f>
        <v>494129.01</v>
      </c>
      <c r="P9" s="60">
        <v>494129.01</v>
      </c>
      <c r="Q9" s="63">
        <f t="shared" si="4"/>
        <v>0</v>
      </c>
      <c r="R9" s="60">
        <f>138028.25+67062.01</f>
        <v>205090.26</v>
      </c>
      <c r="S9" s="60">
        <v>205090.26</v>
      </c>
      <c r="T9" s="63">
        <f t="shared" si="5"/>
        <v>0</v>
      </c>
    </row>
    <row r="10" spans="1:20">
      <c r="A10" s="182"/>
      <c r="B10" s="1" t="s">
        <v>39</v>
      </c>
      <c r="C10" s="60">
        <v>165897.47</v>
      </c>
      <c r="D10" s="60">
        <v>165897.47</v>
      </c>
      <c r="E10" s="63">
        <f t="shared" si="0"/>
        <v>0</v>
      </c>
      <c r="F10" s="60">
        <v>47506.22</v>
      </c>
      <c r="G10" s="60">
        <v>47506.22</v>
      </c>
      <c r="H10" s="63">
        <f t="shared" si="1"/>
        <v>0</v>
      </c>
      <c r="I10" s="60">
        <v>80365.16</v>
      </c>
      <c r="J10" s="60">
        <v>80365.16</v>
      </c>
      <c r="K10" s="63">
        <f t="shared" si="2"/>
        <v>0</v>
      </c>
      <c r="L10" s="60">
        <f>144768.6+65334.46</f>
        <v>210103.06</v>
      </c>
      <c r="M10" s="60">
        <v>210103.06</v>
      </c>
      <c r="N10" s="63">
        <f t="shared" si="3"/>
        <v>0</v>
      </c>
      <c r="O10" s="60">
        <f>274053.3+105320.48</f>
        <v>379373.77999999997</v>
      </c>
      <c r="P10" s="60">
        <v>379373.78</v>
      </c>
      <c r="Q10" s="63">
        <f t="shared" si="4"/>
        <v>0</v>
      </c>
      <c r="R10" s="60">
        <f>104133.56+60466.41</f>
        <v>164599.97</v>
      </c>
      <c r="S10" s="60">
        <v>164599.97</v>
      </c>
      <c r="T10" s="63">
        <f t="shared" si="5"/>
        <v>0</v>
      </c>
    </row>
    <row r="11" spans="1:20">
      <c r="A11" s="182"/>
      <c r="B11" s="1" t="s">
        <v>40</v>
      </c>
      <c r="C11" s="60">
        <v>154997.6</v>
      </c>
      <c r="D11" s="60">
        <v>154997.6</v>
      </c>
      <c r="E11" s="63">
        <f t="shared" si="0"/>
        <v>0</v>
      </c>
      <c r="F11" s="60">
        <v>35786.379999999997</v>
      </c>
      <c r="G11" s="60">
        <v>35786.379999999997</v>
      </c>
      <c r="H11" s="63">
        <f t="shared" si="1"/>
        <v>0</v>
      </c>
      <c r="I11" s="60">
        <v>67972.990000000005</v>
      </c>
      <c r="J11" s="60">
        <v>67972.990000000005</v>
      </c>
      <c r="K11" s="63">
        <f t="shared" si="2"/>
        <v>0</v>
      </c>
      <c r="L11" s="60">
        <f>146630.66+74069.16</f>
        <v>220699.82</v>
      </c>
      <c r="M11" s="60">
        <v>50781.54</v>
      </c>
      <c r="N11" s="63">
        <f t="shared" si="3"/>
        <v>169918.28</v>
      </c>
      <c r="O11" s="60">
        <f>285807.48+84250.19</f>
        <v>370057.67</v>
      </c>
      <c r="P11" s="60">
        <v>370057.67</v>
      </c>
      <c r="Q11" s="63">
        <f t="shared" si="4"/>
        <v>0</v>
      </c>
      <c r="R11" s="60">
        <f>119051.47+52506.33</f>
        <v>171557.8</v>
      </c>
      <c r="S11" s="60">
        <v>171557.8</v>
      </c>
      <c r="T11" s="63">
        <f t="shared" si="5"/>
        <v>0</v>
      </c>
    </row>
    <row r="12" spans="1:20">
      <c r="A12" s="182"/>
      <c r="B12" s="1" t="s">
        <v>41</v>
      </c>
      <c r="C12" s="60">
        <v>114604.31</v>
      </c>
      <c r="D12" s="60">
        <v>114604.31</v>
      </c>
      <c r="E12" s="63">
        <f t="shared" si="0"/>
        <v>0</v>
      </c>
      <c r="F12" s="60">
        <v>36615.49</v>
      </c>
      <c r="G12" s="60">
        <v>36615.49</v>
      </c>
      <c r="H12" s="63">
        <f t="shared" si="1"/>
        <v>0</v>
      </c>
      <c r="I12" s="60">
        <v>69460.7</v>
      </c>
      <c r="J12" s="60">
        <v>69460.7</v>
      </c>
      <c r="K12" s="63">
        <f t="shared" si="2"/>
        <v>0</v>
      </c>
      <c r="L12" s="60">
        <f>147316.7+84902.14</f>
        <v>232218.84000000003</v>
      </c>
      <c r="M12" s="60">
        <v>232218.84</v>
      </c>
      <c r="N12" s="63">
        <f t="shared" si="3"/>
        <v>0</v>
      </c>
      <c r="O12" s="60">
        <f>257007.48+86807.12</f>
        <v>343814.6</v>
      </c>
      <c r="P12" s="60">
        <v>343814.6</v>
      </c>
      <c r="Q12" s="63">
        <f t="shared" si="4"/>
        <v>0</v>
      </c>
      <c r="R12" s="60">
        <f>118018.41+50732.72</f>
        <v>168751.13</v>
      </c>
      <c r="S12" s="60">
        <v>168751.13</v>
      </c>
      <c r="T12" s="63">
        <f t="shared" si="5"/>
        <v>0</v>
      </c>
    </row>
    <row r="13" spans="1:20">
      <c r="A13" s="182"/>
      <c r="B13" s="1" t="s">
        <v>42</v>
      </c>
      <c r="C13" s="60">
        <v>184883.41</v>
      </c>
      <c r="D13" s="60">
        <v>184883.41</v>
      </c>
      <c r="E13" s="63">
        <f t="shared" si="0"/>
        <v>0</v>
      </c>
      <c r="F13" s="60">
        <v>37245.910000000003</v>
      </c>
      <c r="G13" s="60">
        <v>37245.910000000003</v>
      </c>
      <c r="H13" s="63">
        <f t="shared" si="1"/>
        <v>0</v>
      </c>
      <c r="I13" s="60">
        <v>70050.740000000005</v>
      </c>
      <c r="J13" s="60">
        <v>70050.740000000005</v>
      </c>
      <c r="K13" s="63">
        <f t="shared" si="2"/>
        <v>0</v>
      </c>
      <c r="L13" s="60">
        <f>176861.94+88800.54</f>
        <v>265662.48</v>
      </c>
      <c r="M13" s="60">
        <v>265662.48</v>
      </c>
      <c r="N13" s="63">
        <f t="shared" si="3"/>
        <v>0</v>
      </c>
      <c r="O13" s="60">
        <f>300501.97+87352.76</f>
        <v>387854.73</v>
      </c>
      <c r="P13" s="60">
        <v>387854.73</v>
      </c>
      <c r="Q13" s="63">
        <f t="shared" si="4"/>
        <v>0</v>
      </c>
      <c r="R13" s="60">
        <f>130756.33+52367.07</f>
        <v>183123.4</v>
      </c>
      <c r="S13" s="60">
        <v>183123.4</v>
      </c>
      <c r="T13" s="63">
        <f t="shared" si="5"/>
        <v>0</v>
      </c>
    </row>
    <row r="14" spans="1:20">
      <c r="A14" s="182"/>
      <c r="B14" s="1" t="s">
        <v>43</v>
      </c>
      <c r="C14" s="60">
        <v>252370.97</v>
      </c>
      <c r="D14" s="60">
        <v>252370.97</v>
      </c>
      <c r="E14" s="63">
        <f t="shared" si="0"/>
        <v>0</v>
      </c>
      <c r="F14" s="60">
        <v>39490.47</v>
      </c>
      <c r="G14" s="60">
        <v>39490.47</v>
      </c>
      <c r="H14" s="63">
        <f t="shared" si="1"/>
        <v>0</v>
      </c>
      <c r="I14" s="60">
        <v>75290.63</v>
      </c>
      <c r="J14" s="60">
        <v>75290.63</v>
      </c>
      <c r="K14" s="63">
        <f t="shared" si="2"/>
        <v>0</v>
      </c>
      <c r="L14" s="60">
        <f>181567.85+96564.2</f>
        <v>278132.05</v>
      </c>
      <c r="M14" s="60">
        <v>278132.05</v>
      </c>
      <c r="N14" s="63">
        <f t="shared" si="3"/>
        <v>0</v>
      </c>
      <c r="O14" s="60">
        <f>305914.34+92890.41</f>
        <v>398804.75</v>
      </c>
      <c r="P14" s="60">
        <v>398804.75</v>
      </c>
      <c r="Q14" s="63">
        <f t="shared" si="4"/>
        <v>0</v>
      </c>
      <c r="R14" s="60">
        <f>133405.57+56818.21</f>
        <v>190223.78</v>
      </c>
      <c r="S14" s="60">
        <v>190223.78</v>
      </c>
      <c r="T14" s="63">
        <f t="shared" si="5"/>
        <v>0</v>
      </c>
    </row>
    <row r="15" spans="1:20">
      <c r="A15" s="182"/>
      <c r="B15" s="1" t="s">
        <v>44</v>
      </c>
      <c r="C15" s="60">
        <v>269326.14</v>
      </c>
      <c r="D15" s="60">
        <v>269326.14</v>
      </c>
      <c r="E15" s="63">
        <f t="shared" si="0"/>
        <v>0</v>
      </c>
      <c r="F15" s="60">
        <v>37615.72</v>
      </c>
      <c r="G15" s="60">
        <v>37615.72</v>
      </c>
      <c r="H15" s="63">
        <f t="shared" si="1"/>
        <v>0</v>
      </c>
      <c r="I15" s="60">
        <v>78593.789999999994</v>
      </c>
      <c r="J15" s="60">
        <v>78593.789999999994</v>
      </c>
      <c r="K15" s="63">
        <f t="shared" si="2"/>
        <v>0</v>
      </c>
      <c r="L15" s="60">
        <f>158602.54+85876.85</f>
        <v>244479.39</v>
      </c>
      <c r="M15" s="60">
        <v>244479.39</v>
      </c>
      <c r="N15" s="63">
        <f t="shared" si="3"/>
        <v>0</v>
      </c>
      <c r="O15" s="60">
        <f>286860.09+93302.8</f>
        <v>380162.89</v>
      </c>
      <c r="P15" s="60">
        <v>380162.89</v>
      </c>
      <c r="Q15" s="63">
        <f t="shared" si="4"/>
        <v>0</v>
      </c>
      <c r="R15" s="60">
        <f>123731.1+50550.59</f>
        <v>174281.69</v>
      </c>
      <c r="S15" s="60">
        <v>174281.69</v>
      </c>
      <c r="T15" s="63">
        <f t="shared" si="5"/>
        <v>0</v>
      </c>
    </row>
    <row r="16" spans="1:20">
      <c r="A16" s="182"/>
      <c r="B16" s="1" t="s">
        <v>45</v>
      </c>
      <c r="C16" s="60">
        <v>208237.41</v>
      </c>
      <c r="D16" s="60">
        <v>207825.81</v>
      </c>
      <c r="E16" s="63">
        <f t="shared" si="0"/>
        <v>411.60000000000582</v>
      </c>
      <c r="F16" s="60">
        <v>37138.949999999997</v>
      </c>
      <c r="G16" s="60">
        <v>37138.949999999997</v>
      </c>
      <c r="H16" s="63">
        <f t="shared" si="1"/>
        <v>0</v>
      </c>
      <c r="I16" s="60">
        <v>64822.78</v>
      </c>
      <c r="J16" s="60">
        <v>64822.78</v>
      </c>
      <c r="K16" s="63">
        <f t="shared" si="2"/>
        <v>0</v>
      </c>
      <c r="L16" s="60">
        <f>142979.52+74264.63</f>
        <v>217244.15</v>
      </c>
      <c r="M16" s="60">
        <v>216907.9</v>
      </c>
      <c r="N16" s="63">
        <f t="shared" si="3"/>
        <v>336.25</v>
      </c>
      <c r="O16" s="60">
        <f>282730.45+79388.72</f>
        <v>362119.17000000004</v>
      </c>
      <c r="P16" s="60">
        <v>361402</v>
      </c>
      <c r="Q16" s="63">
        <f t="shared" si="4"/>
        <v>717.17000000004191</v>
      </c>
      <c r="R16" s="60">
        <f>120558.05+46819.28</f>
        <v>167377.33000000002</v>
      </c>
      <c r="S16" s="60">
        <v>167119.14000000001</v>
      </c>
      <c r="T16" s="63">
        <f t="shared" si="5"/>
        <v>258.19000000000233</v>
      </c>
    </row>
    <row r="17" spans="1:20" ht="15.75" thickBot="1">
      <c r="A17" s="183"/>
      <c r="B17" s="1" t="s">
        <v>46</v>
      </c>
      <c r="C17" s="60">
        <v>131867.31</v>
      </c>
      <c r="D17" s="60">
        <v>131867.31</v>
      </c>
      <c r="E17" s="63">
        <f t="shared" si="0"/>
        <v>0</v>
      </c>
      <c r="F17" s="60">
        <v>49702.18</v>
      </c>
      <c r="G17" s="60">
        <v>49702.18</v>
      </c>
      <c r="H17" s="63">
        <f t="shared" si="1"/>
        <v>0</v>
      </c>
      <c r="I17" s="60">
        <v>77175.539999999994</v>
      </c>
      <c r="J17" s="60">
        <v>77175.539999999994</v>
      </c>
      <c r="K17" s="63">
        <f t="shared" si="2"/>
        <v>0</v>
      </c>
      <c r="L17" s="60">
        <f>139808.09+84417.68</f>
        <v>224225.77</v>
      </c>
      <c r="M17" s="60">
        <v>279706.84000000003</v>
      </c>
      <c r="N17" s="63">
        <f t="shared" si="3"/>
        <v>-55481.070000000036</v>
      </c>
      <c r="O17" s="60">
        <f>128905.32+81988.39</f>
        <v>210893.71000000002</v>
      </c>
      <c r="P17" s="60">
        <v>409900</v>
      </c>
      <c r="Q17" s="63">
        <f t="shared" si="4"/>
        <v>-199006.28999999998</v>
      </c>
      <c r="R17" s="60">
        <f>69806.1+57620.68</f>
        <v>127426.78</v>
      </c>
      <c r="S17" s="60">
        <v>196123.71</v>
      </c>
      <c r="T17" s="63">
        <f t="shared" si="5"/>
        <v>-68696.929999999993</v>
      </c>
    </row>
    <row r="18" spans="1:20">
      <c r="A18" s="181">
        <v>2016</v>
      </c>
      <c r="B18" s="1" t="s">
        <v>35</v>
      </c>
      <c r="C18" s="60">
        <v>98669.91</v>
      </c>
      <c r="D18" s="60">
        <v>98669.91</v>
      </c>
      <c r="E18" s="63">
        <f t="shared" si="0"/>
        <v>0</v>
      </c>
      <c r="F18" s="60">
        <v>61951.76</v>
      </c>
      <c r="G18" s="60">
        <v>61951.76</v>
      </c>
      <c r="H18" s="63">
        <f t="shared" si="1"/>
        <v>0</v>
      </c>
      <c r="I18" s="60">
        <v>88370.28</v>
      </c>
      <c r="J18" s="60">
        <v>88370.28</v>
      </c>
      <c r="K18" s="63">
        <f t="shared" si="2"/>
        <v>0</v>
      </c>
      <c r="L18" s="60">
        <f>78678.66+153233.43</f>
        <v>231912.09</v>
      </c>
      <c r="M18" s="60">
        <v>231609.09</v>
      </c>
      <c r="N18" s="63">
        <f t="shared" si="3"/>
        <v>303</v>
      </c>
      <c r="O18" s="60">
        <f>240668.52+102698.24</f>
        <v>343366.76</v>
      </c>
      <c r="P18" s="60">
        <v>343366.76</v>
      </c>
      <c r="Q18" s="63">
        <f t="shared" si="4"/>
        <v>0</v>
      </c>
      <c r="R18" s="60">
        <f>100610.7+64900.66</f>
        <v>165511.35999999999</v>
      </c>
      <c r="S18" s="60">
        <v>165511.35999999999</v>
      </c>
      <c r="T18" s="63">
        <f t="shared" si="5"/>
        <v>0</v>
      </c>
    </row>
    <row r="19" spans="1:20">
      <c r="A19" s="182"/>
      <c r="B19" s="1" t="s">
        <v>36</v>
      </c>
      <c r="C19" s="60">
        <v>175955.47</v>
      </c>
      <c r="D19" s="60">
        <v>161698.56</v>
      </c>
      <c r="E19" s="63">
        <f t="shared" si="0"/>
        <v>14256.910000000003</v>
      </c>
      <c r="F19" s="60">
        <v>75479.399999999994</v>
      </c>
      <c r="G19" s="60">
        <v>75479.399999999994</v>
      </c>
      <c r="H19" s="63">
        <f t="shared" si="1"/>
        <v>0</v>
      </c>
      <c r="I19" s="60">
        <v>115854.61</v>
      </c>
      <c r="J19" s="60">
        <v>115854.61</v>
      </c>
      <c r="K19" s="63">
        <f t="shared" si="2"/>
        <v>0</v>
      </c>
      <c r="L19" s="60">
        <f>88383.13+296437.32</f>
        <v>384820.45</v>
      </c>
      <c r="M19" s="60">
        <v>705410.36</v>
      </c>
      <c r="N19" s="63">
        <f t="shared" si="3"/>
        <v>-320589.90999999997</v>
      </c>
      <c r="O19" s="60">
        <f>535407.43+131723.13</f>
        <v>667130.56000000006</v>
      </c>
      <c r="P19" s="60">
        <v>610077.79</v>
      </c>
      <c r="Q19" s="63">
        <f t="shared" si="4"/>
        <v>57052.770000000019</v>
      </c>
      <c r="R19" s="60">
        <f>194365.68+70075.98</f>
        <v>264441.65999999997</v>
      </c>
      <c r="S19" s="60">
        <v>244503.19</v>
      </c>
      <c r="T19" s="63">
        <f t="shared" si="5"/>
        <v>19938.469999999972</v>
      </c>
    </row>
    <row r="20" spans="1:20">
      <c r="A20" s="182"/>
      <c r="B20" s="1" t="s">
        <v>37</v>
      </c>
      <c r="C20" s="60">
        <v>186252.81</v>
      </c>
      <c r="D20" s="60">
        <v>200509.72</v>
      </c>
      <c r="E20" s="63">
        <f t="shared" si="0"/>
        <v>-14256.910000000003</v>
      </c>
      <c r="F20" s="60">
        <v>80162.259999999995</v>
      </c>
      <c r="G20" s="60">
        <v>80162.259999999995</v>
      </c>
      <c r="H20" s="63">
        <f t="shared" si="1"/>
        <v>0</v>
      </c>
      <c r="I20" s="60">
        <v>121641.8</v>
      </c>
      <c r="J20" s="60">
        <v>121641.8</v>
      </c>
      <c r="K20" s="63">
        <f t="shared" si="2"/>
        <v>0</v>
      </c>
      <c r="L20" s="60">
        <f>92679.33+283776.53</f>
        <v>376455.86000000004</v>
      </c>
      <c r="M20" s="60">
        <v>55865.95</v>
      </c>
      <c r="N20" s="63">
        <f t="shared" si="3"/>
        <v>320589.91000000003</v>
      </c>
      <c r="O20" s="60">
        <f>471796.27+143110.69</f>
        <v>614906.96</v>
      </c>
      <c r="P20" s="60">
        <v>671959.73</v>
      </c>
      <c r="Q20" s="63">
        <f t="shared" si="4"/>
        <v>-57052.770000000019</v>
      </c>
      <c r="R20" s="60">
        <f>182555.53+74074.97</f>
        <v>256630.5</v>
      </c>
      <c r="S20" s="60">
        <v>276568.96999999997</v>
      </c>
      <c r="T20" s="63">
        <f t="shared" si="5"/>
        <v>-19938.469999999972</v>
      </c>
    </row>
    <row r="21" spans="1:20">
      <c r="A21" s="182"/>
      <c r="B21" s="1" t="s">
        <v>38</v>
      </c>
      <c r="C21" s="60">
        <v>69944.63</v>
      </c>
      <c r="D21" s="60">
        <v>69941.69</v>
      </c>
      <c r="E21" s="63">
        <f t="shared" si="0"/>
        <v>2.9400000000023283</v>
      </c>
      <c r="F21" s="60">
        <v>82651.69</v>
      </c>
      <c r="G21" s="60">
        <v>82651.69</v>
      </c>
      <c r="H21" s="63">
        <f t="shared" si="1"/>
        <v>0</v>
      </c>
      <c r="I21" s="60">
        <v>89199.360000000001</v>
      </c>
      <c r="J21" s="60">
        <v>89199.360000000001</v>
      </c>
      <c r="K21" s="63">
        <f t="shared" si="2"/>
        <v>0</v>
      </c>
      <c r="L21" s="60">
        <f>85543.48+225225.55</f>
        <v>310769.02999999997</v>
      </c>
      <c r="M21" s="60">
        <v>310745.33</v>
      </c>
      <c r="N21" s="63">
        <f t="shared" si="3"/>
        <v>23.699999999953434</v>
      </c>
      <c r="O21" s="60">
        <f>372879.57+115968.18</f>
        <v>488847.75</v>
      </c>
      <c r="P21" s="60">
        <v>488805.84</v>
      </c>
      <c r="Q21" s="63">
        <f t="shared" si="4"/>
        <v>41.909999999974389</v>
      </c>
      <c r="R21" s="60">
        <f>148206.5+69367.83</f>
        <v>217574.33000000002</v>
      </c>
      <c r="S21" s="60">
        <v>217555.11</v>
      </c>
      <c r="T21" s="63">
        <f t="shared" si="5"/>
        <v>19.220000000030268</v>
      </c>
    </row>
    <row r="22" spans="1:20">
      <c r="A22" s="182"/>
      <c r="B22" s="1" t="s">
        <v>39</v>
      </c>
      <c r="C22" s="60">
        <v>55975.19</v>
      </c>
      <c r="D22" s="60">
        <v>55975.91</v>
      </c>
      <c r="E22" s="63">
        <f t="shared" si="0"/>
        <v>-0.72000000000116415</v>
      </c>
      <c r="F22" s="60">
        <v>76259.77</v>
      </c>
      <c r="G22" s="60">
        <v>76259.77</v>
      </c>
      <c r="H22" s="63">
        <f t="shared" si="1"/>
        <v>0</v>
      </c>
      <c r="I22" s="60">
        <v>77243.41</v>
      </c>
      <c r="J22" s="60">
        <v>77243.41</v>
      </c>
      <c r="K22" s="63">
        <f t="shared" si="2"/>
        <v>0</v>
      </c>
      <c r="L22" s="60">
        <f>79237.5+199379.38</f>
        <v>278616.88</v>
      </c>
      <c r="M22" s="60">
        <v>278630.78999999998</v>
      </c>
      <c r="N22" s="63">
        <f t="shared" si="3"/>
        <v>-13.909999999974389</v>
      </c>
      <c r="O22" s="60">
        <f>328322.98+103865.43</f>
        <v>432188.41</v>
      </c>
      <c r="P22" s="60">
        <v>432212.33</v>
      </c>
      <c r="Q22" s="63">
        <f t="shared" si="4"/>
        <v>-23.92000000004191</v>
      </c>
      <c r="R22" s="60">
        <f>131992.85+66130.63</f>
        <v>198123.48</v>
      </c>
      <c r="S22" s="60">
        <v>198136.48</v>
      </c>
      <c r="T22" s="63">
        <f t="shared" si="5"/>
        <v>-13</v>
      </c>
    </row>
    <row r="23" spans="1:20">
      <c r="A23" s="182"/>
      <c r="B23" s="1" t="s">
        <v>40</v>
      </c>
      <c r="C23" s="60">
        <v>88425.62</v>
      </c>
      <c r="D23" s="60">
        <v>88427.839999999997</v>
      </c>
      <c r="E23" s="63">
        <f t="shared" si="0"/>
        <v>-2.2200000000011642</v>
      </c>
      <c r="F23" s="60">
        <v>54843.15</v>
      </c>
      <c r="G23" s="60">
        <v>54843.15</v>
      </c>
      <c r="H23" s="63">
        <f t="shared" si="1"/>
        <v>0</v>
      </c>
      <c r="I23" s="60">
        <v>75005.55</v>
      </c>
      <c r="J23" s="60">
        <v>75005.55</v>
      </c>
      <c r="K23" s="63">
        <f t="shared" si="2"/>
        <v>0</v>
      </c>
      <c r="L23" s="60">
        <f>78223.11+155021.23</f>
        <v>233244.34000000003</v>
      </c>
      <c r="M23" s="60">
        <v>233254.13</v>
      </c>
      <c r="N23" s="63">
        <f t="shared" si="3"/>
        <v>-9.7899999999790452</v>
      </c>
      <c r="O23" s="60">
        <f>288944.93+86647.48</f>
        <v>375592.41</v>
      </c>
      <c r="P23" s="60">
        <v>375610.4</v>
      </c>
      <c r="Q23" s="63">
        <f t="shared" si="4"/>
        <v>-17.990000000048894</v>
      </c>
      <c r="R23" s="60">
        <f>122200.41+52611.95</f>
        <v>174812.36</v>
      </c>
      <c r="S23" s="60">
        <v>174818.58</v>
      </c>
      <c r="T23" s="63">
        <f t="shared" si="5"/>
        <v>-6.2200000000011642</v>
      </c>
    </row>
    <row r="24" spans="1:20">
      <c r="A24" s="182"/>
      <c r="B24" s="1" t="s">
        <v>41</v>
      </c>
      <c r="C24" s="60">
        <v>177919.01</v>
      </c>
      <c r="D24" s="60">
        <v>177872.9</v>
      </c>
      <c r="E24" s="63">
        <f t="shared" si="0"/>
        <v>46.110000000015134</v>
      </c>
      <c r="F24" s="60">
        <v>54465.25</v>
      </c>
      <c r="G24" s="60">
        <v>54465.25</v>
      </c>
      <c r="H24" s="63">
        <f t="shared" si="1"/>
        <v>0</v>
      </c>
      <c r="I24" s="60">
        <v>77022.53</v>
      </c>
      <c r="J24" s="60">
        <v>77022.53</v>
      </c>
      <c r="K24" s="63">
        <f t="shared" si="2"/>
        <v>0</v>
      </c>
      <c r="L24" s="60">
        <f>89881.23+172276.02</f>
        <v>262157.25</v>
      </c>
      <c r="M24" s="60">
        <v>262086.6</v>
      </c>
      <c r="N24" s="63">
        <f t="shared" si="3"/>
        <v>70.649999999994179</v>
      </c>
      <c r="O24" s="60">
        <f>310532.4+92745.06</f>
        <v>403277.46</v>
      </c>
      <c r="P24" s="60">
        <v>403158.56</v>
      </c>
      <c r="Q24" s="63">
        <f t="shared" si="4"/>
        <v>118.90000000002328</v>
      </c>
      <c r="R24" s="60">
        <f>130359.38+51666.43</f>
        <v>182025.81</v>
      </c>
      <c r="S24" s="60">
        <v>181978.75</v>
      </c>
      <c r="T24" s="63">
        <f t="shared" si="5"/>
        <v>47.059999999997672</v>
      </c>
    </row>
    <row r="25" spans="1:20">
      <c r="A25" s="182"/>
      <c r="B25" s="1" t="s">
        <v>42</v>
      </c>
      <c r="C25" s="60">
        <v>242701.81</v>
      </c>
      <c r="D25" s="60">
        <v>242747.92</v>
      </c>
      <c r="E25" s="63">
        <f t="shared" si="0"/>
        <v>-46.110000000015134</v>
      </c>
      <c r="F25" s="60">
        <v>56336.58</v>
      </c>
      <c r="G25" s="60">
        <v>56336.58</v>
      </c>
      <c r="H25" s="63">
        <f t="shared" si="1"/>
        <v>0</v>
      </c>
      <c r="I25" s="60">
        <v>83624.800000000003</v>
      </c>
      <c r="J25" s="60">
        <v>83624.800000000003</v>
      </c>
      <c r="K25" s="63">
        <f t="shared" si="2"/>
        <v>0</v>
      </c>
      <c r="L25" s="60">
        <f>101529.61+226547.98</f>
        <v>328077.59000000003</v>
      </c>
      <c r="M25" s="60">
        <v>328148.24</v>
      </c>
      <c r="N25" s="63">
        <f t="shared" si="3"/>
        <v>-70.649999999965075</v>
      </c>
      <c r="O25" s="60">
        <f>348605.43+95117.05</f>
        <v>443722.48</v>
      </c>
      <c r="P25" s="60">
        <v>443841.38</v>
      </c>
      <c r="Q25" s="63">
        <f t="shared" si="4"/>
        <v>-118.90000000002328</v>
      </c>
      <c r="R25" s="60">
        <f>157209.12+54943.63</f>
        <v>212152.75</v>
      </c>
      <c r="S25" s="60">
        <v>215199.81</v>
      </c>
      <c r="T25" s="63">
        <f t="shared" si="5"/>
        <v>-3047.0599999999977</v>
      </c>
    </row>
    <row r="26" spans="1:20">
      <c r="A26" s="182"/>
      <c r="B26" s="1" t="s">
        <v>43</v>
      </c>
      <c r="C26" s="60">
        <v>328939.32</v>
      </c>
      <c r="D26" s="60">
        <v>329131.90000000002</v>
      </c>
      <c r="E26" s="63">
        <f t="shared" si="0"/>
        <v>-192.5800000000163</v>
      </c>
      <c r="F26" s="60">
        <v>57599.69</v>
      </c>
      <c r="G26" s="60">
        <v>57599.69</v>
      </c>
      <c r="H26" s="63">
        <f t="shared" si="1"/>
        <v>0</v>
      </c>
      <c r="I26" s="60">
        <v>85960.97</v>
      </c>
      <c r="J26" s="60">
        <v>85960.97</v>
      </c>
      <c r="K26" s="63">
        <f t="shared" si="2"/>
        <v>0</v>
      </c>
      <c r="L26" s="60">
        <f>100318.99+235869.01</f>
        <v>336188</v>
      </c>
      <c r="M26" s="60">
        <v>336188</v>
      </c>
      <c r="N26" s="63">
        <f t="shared" si="3"/>
        <v>0</v>
      </c>
      <c r="O26" s="60">
        <f>358535.33+104973.54</f>
        <v>463508.87</v>
      </c>
      <c r="P26" s="60">
        <v>463508.87</v>
      </c>
      <c r="Q26" s="63">
        <f t="shared" si="4"/>
        <v>0</v>
      </c>
      <c r="R26" s="60">
        <f>162043.6+57005.71</f>
        <v>219049.31</v>
      </c>
      <c r="S26" s="60">
        <v>219049.31</v>
      </c>
      <c r="T26" s="63">
        <f t="shared" si="5"/>
        <v>0</v>
      </c>
    </row>
    <row r="27" spans="1:20">
      <c r="A27" s="182"/>
      <c r="B27" s="1" t="s">
        <v>44</v>
      </c>
      <c r="C27" s="60">
        <v>205495.43</v>
      </c>
      <c r="D27" s="60">
        <v>205495.43</v>
      </c>
      <c r="E27" s="63">
        <f t="shared" si="0"/>
        <v>0</v>
      </c>
      <c r="F27" s="60">
        <v>58677.24</v>
      </c>
      <c r="G27" s="60">
        <v>92388.22</v>
      </c>
      <c r="H27" s="63">
        <f t="shared" si="1"/>
        <v>-33710.980000000003</v>
      </c>
      <c r="I27" s="60">
        <v>92388.22</v>
      </c>
      <c r="J27" s="60">
        <v>58677.24</v>
      </c>
      <c r="K27" s="63">
        <f t="shared" si="2"/>
        <v>33710.980000000003</v>
      </c>
      <c r="L27" s="60">
        <f>120758.66+192263.74</f>
        <v>313022.40000000002</v>
      </c>
      <c r="M27" s="60">
        <v>313022.40000000002</v>
      </c>
      <c r="N27" s="63">
        <f t="shared" si="3"/>
        <v>0</v>
      </c>
      <c r="O27" s="60">
        <f>340497.4+123020.07</f>
        <v>463517.47000000003</v>
      </c>
      <c r="P27" s="60">
        <v>463517.47</v>
      </c>
      <c r="Q27" s="63">
        <f t="shared" si="4"/>
        <v>0</v>
      </c>
      <c r="R27" s="60">
        <f>148161.95+70722.69</f>
        <v>218884.64</v>
      </c>
      <c r="S27" s="60">
        <v>218884.64</v>
      </c>
      <c r="T27" s="63">
        <f t="shared" si="5"/>
        <v>0</v>
      </c>
    </row>
    <row r="28" spans="1:20">
      <c r="A28" s="182"/>
      <c r="B28" s="1" t="s">
        <v>45</v>
      </c>
      <c r="C28" s="60">
        <v>85215.72</v>
      </c>
      <c r="D28" s="60">
        <v>85215.72</v>
      </c>
      <c r="E28" s="63">
        <f t="shared" si="0"/>
        <v>0</v>
      </c>
      <c r="F28" s="60">
        <v>47390.78</v>
      </c>
      <c r="G28" s="60">
        <v>47390.78</v>
      </c>
      <c r="H28" s="63">
        <f t="shared" si="1"/>
        <v>0</v>
      </c>
      <c r="I28" s="60">
        <v>56069.07</v>
      </c>
      <c r="J28" s="60">
        <v>56069.07</v>
      </c>
      <c r="K28" s="63">
        <f t="shared" si="2"/>
        <v>0</v>
      </c>
      <c r="L28" s="60">
        <f>64324.39+143705.7</f>
        <v>208030.09000000003</v>
      </c>
      <c r="M28" s="60">
        <v>208030.09</v>
      </c>
      <c r="N28" s="63">
        <f t="shared" si="3"/>
        <v>0</v>
      </c>
      <c r="O28" s="60">
        <f>262007.06+65590.65</f>
        <v>327597.70999999996</v>
      </c>
      <c r="P28" s="60">
        <v>327597.71000000002</v>
      </c>
      <c r="Q28" s="63">
        <f t="shared" si="4"/>
        <v>0</v>
      </c>
      <c r="R28" s="60">
        <f>115392.76+38929.19</f>
        <v>154321.95000000001</v>
      </c>
      <c r="S28" s="60">
        <v>154321.95000000001</v>
      </c>
      <c r="T28" s="63">
        <f t="shared" si="5"/>
        <v>0</v>
      </c>
    </row>
    <row r="29" spans="1:20" ht="15.75" thickBot="1">
      <c r="A29" s="183"/>
      <c r="B29" s="1" t="s">
        <v>46</v>
      </c>
      <c r="C29" s="60">
        <v>141774.82999999999</v>
      </c>
      <c r="D29" s="60">
        <v>141774.82999999999</v>
      </c>
      <c r="E29" s="63">
        <f t="shared" si="0"/>
        <v>0</v>
      </c>
      <c r="F29" s="60">
        <v>72960.490000000005</v>
      </c>
      <c r="G29" s="60">
        <v>72960.490000000005</v>
      </c>
      <c r="H29" s="63">
        <f t="shared" si="1"/>
        <v>0</v>
      </c>
      <c r="I29" s="60">
        <v>72175.11</v>
      </c>
      <c r="J29" s="60">
        <v>72175.11</v>
      </c>
      <c r="K29" s="63">
        <f t="shared" si="2"/>
        <v>0</v>
      </c>
      <c r="L29" s="60">
        <f>76187.61+243328.28</f>
        <v>319515.89</v>
      </c>
      <c r="M29" s="60">
        <v>277239.52</v>
      </c>
      <c r="N29" s="63">
        <f t="shared" si="3"/>
        <v>42276.369999999995</v>
      </c>
      <c r="O29" s="60">
        <f>420844.26+106120.99</f>
        <v>526965.25</v>
      </c>
      <c r="P29" s="60">
        <v>414337.87</v>
      </c>
      <c r="Q29" s="63">
        <f t="shared" si="4"/>
        <v>112627.38</v>
      </c>
      <c r="R29" s="60">
        <f>159870.03+57498.2</f>
        <v>217368.22999999998</v>
      </c>
      <c r="S29" s="60">
        <v>190641.28</v>
      </c>
      <c r="T29" s="63">
        <f t="shared" si="5"/>
        <v>26726.949999999983</v>
      </c>
    </row>
    <row r="30" spans="1:20">
      <c r="A30" s="181">
        <v>2017</v>
      </c>
      <c r="B30" s="1" t="s">
        <v>35</v>
      </c>
      <c r="C30" s="60">
        <v>277326.90000000002</v>
      </c>
      <c r="D30" s="60">
        <v>277326.90000000002</v>
      </c>
      <c r="E30" s="63">
        <f t="shared" si="0"/>
        <v>0</v>
      </c>
      <c r="F30" s="60">
        <v>87567.37</v>
      </c>
      <c r="G30" s="60">
        <v>87567.37</v>
      </c>
      <c r="H30" s="63">
        <f t="shared" si="1"/>
        <v>0</v>
      </c>
      <c r="I30" s="60">
        <v>87104.71</v>
      </c>
      <c r="J30" s="60">
        <v>87104.71</v>
      </c>
      <c r="K30" s="63">
        <f t="shared" si="2"/>
        <v>0</v>
      </c>
      <c r="L30" s="60">
        <f>88675.31+259058.21</f>
        <v>347733.52</v>
      </c>
      <c r="M30" s="60">
        <v>347733.52</v>
      </c>
      <c r="N30" s="63">
        <f t="shared" si="3"/>
        <v>0</v>
      </c>
      <c r="O30" s="60">
        <f>471535.86+120428.08</f>
        <v>591963.93999999994</v>
      </c>
      <c r="P30" s="60">
        <v>591963.93999999994</v>
      </c>
      <c r="Q30" s="63">
        <f t="shared" si="4"/>
        <v>0</v>
      </c>
      <c r="R30" s="60">
        <f>170224.8+72230.47</f>
        <v>242455.27</v>
      </c>
      <c r="S30" s="60">
        <v>242455.27</v>
      </c>
      <c r="T30" s="63">
        <f t="shared" si="5"/>
        <v>0</v>
      </c>
    </row>
    <row r="31" spans="1:20">
      <c r="A31" s="182"/>
      <c r="B31" s="1" t="s">
        <v>36</v>
      </c>
      <c r="C31" s="60">
        <v>251071.87</v>
      </c>
      <c r="D31" s="60">
        <v>198171.55</v>
      </c>
      <c r="E31" s="63">
        <f t="shared" si="0"/>
        <v>52900.320000000007</v>
      </c>
      <c r="F31" s="60">
        <v>89377.53</v>
      </c>
      <c r="G31" s="60">
        <v>89377.53</v>
      </c>
      <c r="H31" s="63">
        <f t="shared" si="1"/>
        <v>0</v>
      </c>
      <c r="I31" s="60">
        <v>95835.520000000004</v>
      </c>
      <c r="J31" s="60">
        <v>95835.520000000004</v>
      </c>
      <c r="K31" s="63">
        <f t="shared" si="2"/>
        <v>0</v>
      </c>
      <c r="L31" s="60">
        <f>88664.84+264002.3</f>
        <v>352667.14</v>
      </c>
      <c r="M31" s="60">
        <v>279394.26</v>
      </c>
      <c r="N31" s="63">
        <f t="shared" si="3"/>
        <v>73272.88</v>
      </c>
      <c r="O31" s="60">
        <f>455721.55+144300.21</f>
        <v>600021.76000000001</v>
      </c>
      <c r="P31" s="60">
        <v>478132.13</v>
      </c>
      <c r="Q31" s="63">
        <f t="shared" si="4"/>
        <v>121889.63</v>
      </c>
      <c r="R31" s="60">
        <f>173621.08+70279.05</f>
        <v>243900.13</v>
      </c>
      <c r="S31" s="60">
        <v>195793.38</v>
      </c>
      <c r="T31" s="63">
        <f t="shared" si="5"/>
        <v>48106.75</v>
      </c>
    </row>
    <row r="32" spans="1:20">
      <c r="A32" s="182"/>
      <c r="B32" s="1" t="s">
        <v>37</v>
      </c>
      <c r="C32" s="60">
        <v>247180.4</v>
      </c>
      <c r="D32" s="60">
        <v>300080.71999999997</v>
      </c>
      <c r="E32" s="63">
        <f t="shared" si="0"/>
        <v>-52900.319999999978</v>
      </c>
      <c r="F32" s="60">
        <v>89037.88</v>
      </c>
      <c r="G32" s="60">
        <v>89037.88</v>
      </c>
      <c r="H32" s="63">
        <f t="shared" si="1"/>
        <v>0</v>
      </c>
      <c r="I32" s="60">
        <v>96345</v>
      </c>
      <c r="J32" s="60">
        <v>96345</v>
      </c>
      <c r="K32" s="63">
        <f t="shared" si="2"/>
        <v>0</v>
      </c>
      <c r="L32" s="60">
        <f>90193.06+244438.77</f>
        <v>334631.82999999996</v>
      </c>
      <c r="M32" s="60">
        <v>407904.71</v>
      </c>
      <c r="N32" s="63">
        <f t="shared" si="3"/>
        <v>-73272.880000000063</v>
      </c>
      <c r="O32" s="60">
        <f>408031.94+131197.68</f>
        <v>539229.62</v>
      </c>
      <c r="P32" s="60">
        <v>661119.24999999988</v>
      </c>
      <c r="Q32" s="63">
        <f t="shared" si="4"/>
        <v>-121889.62999999989</v>
      </c>
      <c r="R32" s="60">
        <f>157081.83+71753.78</f>
        <v>228835.61</v>
      </c>
      <c r="S32" s="60">
        <v>276942.36</v>
      </c>
      <c r="T32" s="63">
        <f t="shared" si="5"/>
        <v>-48106.75</v>
      </c>
    </row>
    <row r="33" spans="1:20">
      <c r="A33" s="182"/>
      <c r="B33" s="1" t="s">
        <v>38</v>
      </c>
      <c r="C33" s="60">
        <v>242015.14</v>
      </c>
      <c r="D33" s="60">
        <v>242003.8</v>
      </c>
      <c r="E33" s="63">
        <f t="shared" si="0"/>
        <v>11.340000000025611</v>
      </c>
      <c r="F33" s="60">
        <v>86003.4</v>
      </c>
      <c r="G33" s="60">
        <v>86003.4</v>
      </c>
      <c r="H33" s="63">
        <f t="shared" si="1"/>
        <v>0</v>
      </c>
      <c r="I33" s="60">
        <v>85643.12</v>
      </c>
      <c r="J33" s="60">
        <v>85643.12</v>
      </c>
      <c r="K33" s="63">
        <f t="shared" si="2"/>
        <v>0</v>
      </c>
      <c r="L33" s="60">
        <f>79987.92+218708.74</f>
        <v>298696.65999999997</v>
      </c>
      <c r="M33" s="60">
        <v>298667.08</v>
      </c>
      <c r="N33" s="63">
        <f t="shared" si="3"/>
        <v>29.57999999995809</v>
      </c>
      <c r="O33" s="60">
        <f>365114.76+114554.95</f>
        <v>479669.71</v>
      </c>
      <c r="P33" s="60">
        <v>479644.54</v>
      </c>
      <c r="Q33" s="63">
        <f t="shared" si="4"/>
        <v>25.17000000004191</v>
      </c>
      <c r="R33" s="60">
        <f>143446.04+64494.5</f>
        <v>207940.54</v>
      </c>
      <c r="S33" s="60">
        <v>207931.28</v>
      </c>
      <c r="T33" s="63">
        <f t="shared" si="5"/>
        <v>9.2600000000093132</v>
      </c>
    </row>
    <row r="34" spans="1:20">
      <c r="A34" s="182"/>
      <c r="B34" s="1" t="s">
        <v>39</v>
      </c>
      <c r="C34" s="60">
        <v>185093.22</v>
      </c>
      <c r="D34" s="60">
        <v>185104.56</v>
      </c>
      <c r="E34" s="63">
        <f t="shared" si="0"/>
        <v>-11.339999999996508</v>
      </c>
      <c r="F34" s="60">
        <v>76415.12</v>
      </c>
      <c r="G34" s="60">
        <v>76415.12</v>
      </c>
      <c r="H34" s="63">
        <f t="shared" si="1"/>
        <v>0</v>
      </c>
      <c r="I34" s="60">
        <v>76979.09</v>
      </c>
      <c r="J34" s="60">
        <v>76979.09</v>
      </c>
      <c r="K34" s="63">
        <f t="shared" si="2"/>
        <v>0</v>
      </c>
      <c r="L34" s="60">
        <f>78832.14+219822.68</f>
        <v>298654.82</v>
      </c>
      <c r="M34" s="60">
        <v>298684.40000000002</v>
      </c>
      <c r="N34" s="63">
        <f t="shared" si="3"/>
        <v>-29.580000000016298</v>
      </c>
      <c r="O34" s="60">
        <f>374884.84+105614.23</f>
        <v>480499.07</v>
      </c>
      <c r="P34" s="60">
        <v>480524.24</v>
      </c>
      <c r="Q34" s="63">
        <f t="shared" si="4"/>
        <v>-25.169999999983702</v>
      </c>
      <c r="R34" s="60">
        <f>146019.49+65244.69</f>
        <v>211264.18</v>
      </c>
      <c r="S34" s="60">
        <v>211273.44</v>
      </c>
      <c r="T34" s="63">
        <f t="shared" si="5"/>
        <v>-9.2600000000093132</v>
      </c>
    </row>
    <row r="35" spans="1:20">
      <c r="A35" s="182"/>
      <c r="B35" s="1" t="s">
        <v>40</v>
      </c>
      <c r="C35" s="60">
        <v>29510.85</v>
      </c>
      <c r="D35" s="60">
        <v>29510.85</v>
      </c>
      <c r="E35" s="63">
        <f t="shared" si="0"/>
        <v>0</v>
      </c>
      <c r="F35" s="60">
        <v>51007.89</v>
      </c>
      <c r="G35" s="60">
        <v>51007.89</v>
      </c>
      <c r="H35" s="63">
        <f t="shared" si="1"/>
        <v>0</v>
      </c>
      <c r="I35" s="60">
        <v>65862.490000000005</v>
      </c>
      <c r="J35" s="60">
        <v>65862.490000000005</v>
      </c>
      <c r="K35" s="63">
        <f t="shared" si="2"/>
        <v>0</v>
      </c>
      <c r="L35" s="60">
        <f>66646.1+146501.23</f>
        <v>213147.33000000002</v>
      </c>
      <c r="M35" s="60">
        <v>213147.33</v>
      </c>
      <c r="N35" s="63">
        <f t="shared" si="3"/>
        <v>0</v>
      </c>
      <c r="O35" s="60">
        <f>273511.17+82638.85</f>
        <v>356150.02</v>
      </c>
      <c r="P35" s="60">
        <v>356150.02</v>
      </c>
      <c r="Q35" s="63">
        <f t="shared" si="4"/>
        <v>0</v>
      </c>
      <c r="R35" s="60">
        <f>113731.29+44747.47</f>
        <v>158478.76</v>
      </c>
      <c r="S35" s="60">
        <v>158478.76</v>
      </c>
      <c r="T35" s="63">
        <f t="shared" si="5"/>
        <v>0</v>
      </c>
    </row>
    <row r="36" spans="1:20">
      <c r="A36" s="182"/>
      <c r="B36" s="1" t="s">
        <v>41</v>
      </c>
      <c r="C36" s="60">
        <v>49301.69</v>
      </c>
      <c r="D36" s="60">
        <v>49301.69</v>
      </c>
      <c r="E36" s="63">
        <f t="shared" si="0"/>
        <v>0</v>
      </c>
      <c r="F36" s="60">
        <v>47070.03</v>
      </c>
      <c r="G36" s="60">
        <v>47070.03</v>
      </c>
      <c r="H36" s="63">
        <f t="shared" si="1"/>
        <v>0</v>
      </c>
      <c r="I36" s="60">
        <v>61821.88</v>
      </c>
      <c r="J36" s="60">
        <v>61821.88</v>
      </c>
      <c r="K36" s="63">
        <f t="shared" si="2"/>
        <v>0</v>
      </c>
      <c r="L36" s="60">
        <f>76197.72+147489.97</f>
        <v>223687.69</v>
      </c>
      <c r="M36" s="60">
        <v>223687.69</v>
      </c>
      <c r="N36" s="63">
        <f t="shared" si="3"/>
        <v>0</v>
      </c>
      <c r="O36" s="60">
        <f>269905.06+77312.7</f>
        <v>347217.76</v>
      </c>
      <c r="P36" s="60">
        <v>347217.76</v>
      </c>
      <c r="Q36" s="63">
        <f t="shared" si="4"/>
        <v>0</v>
      </c>
      <c r="R36" s="60">
        <f>112767.28+43959.3</f>
        <v>156726.58000000002</v>
      </c>
      <c r="S36" s="60">
        <v>156726.57999999999</v>
      </c>
      <c r="T36" s="63">
        <f t="shared" si="5"/>
        <v>0</v>
      </c>
    </row>
    <row r="37" spans="1:20">
      <c r="A37" s="182"/>
      <c r="B37" s="1" t="s">
        <v>42</v>
      </c>
      <c r="C37" s="60">
        <v>117991.87</v>
      </c>
      <c r="D37" s="60">
        <v>117991.87</v>
      </c>
      <c r="E37" s="63">
        <f t="shared" si="0"/>
        <v>0</v>
      </c>
      <c r="F37" s="60">
        <v>41668.61</v>
      </c>
      <c r="G37" s="60">
        <v>41668.61</v>
      </c>
      <c r="H37" s="63">
        <f t="shared" si="1"/>
        <v>0</v>
      </c>
      <c r="I37" s="60">
        <v>58482.17</v>
      </c>
      <c r="J37" s="60">
        <v>58482.17</v>
      </c>
      <c r="K37" s="63">
        <f t="shared" si="2"/>
        <v>0</v>
      </c>
      <c r="L37" s="60">
        <f>71722.4+154583.86</f>
        <v>226306.25999999998</v>
      </c>
      <c r="M37" s="60">
        <v>226306.26</v>
      </c>
      <c r="N37" s="63">
        <f t="shared" si="3"/>
        <v>0</v>
      </c>
      <c r="O37" s="60">
        <f>253175.02+70686.74</f>
        <v>323861.76000000001</v>
      </c>
      <c r="P37" s="60">
        <v>323861.76000000001</v>
      </c>
      <c r="Q37" s="63">
        <f t="shared" si="4"/>
        <v>0</v>
      </c>
      <c r="R37" s="60">
        <f>109059.95+40487.56</f>
        <v>149547.51</v>
      </c>
      <c r="S37" s="60">
        <v>149547.51</v>
      </c>
      <c r="T37" s="63">
        <f t="shared" si="5"/>
        <v>0</v>
      </c>
    </row>
    <row r="38" spans="1:20">
      <c r="A38" s="182"/>
      <c r="B38" s="1" t="s">
        <v>43</v>
      </c>
      <c r="C38" s="60">
        <v>157600.89000000001</v>
      </c>
      <c r="D38" s="60">
        <v>157600.89000000001</v>
      </c>
      <c r="E38" s="63">
        <f t="shared" si="0"/>
        <v>0</v>
      </c>
      <c r="F38" s="60">
        <v>40666.32</v>
      </c>
      <c r="G38" s="60">
        <v>40666.32</v>
      </c>
      <c r="H38" s="63">
        <f t="shared" si="1"/>
        <v>0</v>
      </c>
      <c r="I38" s="60">
        <v>54929.87</v>
      </c>
      <c r="J38" s="60">
        <v>54929.87</v>
      </c>
      <c r="K38" s="63">
        <f t="shared" si="2"/>
        <v>0</v>
      </c>
      <c r="L38" s="60">
        <f>63978.93+141481.54</f>
        <v>205460.47</v>
      </c>
      <c r="M38" s="60">
        <v>205460.47</v>
      </c>
      <c r="N38" s="63">
        <f t="shared" si="3"/>
        <v>0</v>
      </c>
      <c r="O38" s="60">
        <f>241959.68+71449.53</f>
        <v>313409.20999999996</v>
      </c>
      <c r="P38" s="60">
        <v>313409.21000000002</v>
      </c>
      <c r="Q38" s="63">
        <f t="shared" si="4"/>
        <v>0</v>
      </c>
      <c r="R38" s="60">
        <f>99834.19+35747.07</f>
        <v>135581.26</v>
      </c>
      <c r="S38" s="60">
        <v>135581.26</v>
      </c>
      <c r="T38" s="63">
        <f t="shared" si="5"/>
        <v>0</v>
      </c>
    </row>
    <row r="39" spans="1:20">
      <c r="A39" s="182"/>
      <c r="B39" s="1" t="s">
        <v>44</v>
      </c>
      <c r="C39" s="60">
        <v>207683.97</v>
      </c>
      <c r="D39" s="60">
        <v>207683.97</v>
      </c>
      <c r="E39" s="63">
        <f t="shared" si="0"/>
        <v>0</v>
      </c>
      <c r="F39" s="60">
        <v>41633.68</v>
      </c>
      <c r="G39" s="60">
        <v>41633.68</v>
      </c>
      <c r="H39" s="63">
        <f t="shared" si="1"/>
        <v>0</v>
      </c>
      <c r="I39" s="60">
        <v>66760.84</v>
      </c>
      <c r="J39" s="60">
        <v>66760.84</v>
      </c>
      <c r="K39" s="63">
        <f t="shared" si="2"/>
        <v>0</v>
      </c>
      <c r="L39" s="60">
        <f>75704.03+146562.82</f>
        <v>222266.85</v>
      </c>
      <c r="M39" s="60">
        <v>222266.85</v>
      </c>
      <c r="N39" s="63">
        <f t="shared" si="3"/>
        <v>0</v>
      </c>
      <c r="O39" s="60">
        <f>265353.79+77363.79</f>
        <v>342717.57999999996</v>
      </c>
      <c r="P39" s="60">
        <v>342717.58</v>
      </c>
      <c r="Q39" s="63">
        <f t="shared" si="4"/>
        <v>0</v>
      </c>
      <c r="R39" s="60">
        <f>109206+43225.69</f>
        <v>152431.69</v>
      </c>
      <c r="S39" s="60">
        <v>152431.69</v>
      </c>
      <c r="T39" s="63">
        <f t="shared" si="5"/>
        <v>0</v>
      </c>
    </row>
    <row r="40" spans="1:20">
      <c r="A40" s="182"/>
      <c r="B40" s="1" t="s">
        <v>45</v>
      </c>
      <c r="C40" s="60">
        <v>93444.3</v>
      </c>
      <c r="D40" s="60">
        <v>93444.3</v>
      </c>
      <c r="E40" s="63">
        <f t="shared" si="0"/>
        <v>0</v>
      </c>
      <c r="F40" s="60">
        <v>38620.67</v>
      </c>
      <c r="G40" s="60">
        <v>38620.67</v>
      </c>
      <c r="H40" s="63">
        <f t="shared" si="1"/>
        <v>0</v>
      </c>
      <c r="I40" s="60">
        <v>43842.55</v>
      </c>
      <c r="J40" s="60">
        <v>43842.55</v>
      </c>
      <c r="K40" s="63">
        <f t="shared" si="2"/>
        <v>0</v>
      </c>
      <c r="L40" s="60">
        <f>50003.08+110090.33</f>
        <v>160093.41</v>
      </c>
      <c r="M40" s="60">
        <v>160093.41</v>
      </c>
      <c r="N40" s="63">
        <f t="shared" si="3"/>
        <v>0</v>
      </c>
      <c r="O40" s="60">
        <f>197637.99+55438.9</f>
        <v>253076.88999999998</v>
      </c>
      <c r="P40" s="60">
        <v>253076.89</v>
      </c>
      <c r="Q40" s="63">
        <f t="shared" si="4"/>
        <v>0</v>
      </c>
      <c r="R40" s="60">
        <f>85606.37+29695.17</f>
        <v>115301.54</v>
      </c>
      <c r="S40" s="60">
        <v>115301.54</v>
      </c>
      <c r="T40" s="63">
        <f t="shared" si="5"/>
        <v>0</v>
      </c>
    </row>
    <row r="41" spans="1:20" ht="15.75" thickBot="1">
      <c r="A41" s="183"/>
      <c r="B41" s="1" t="s">
        <v>46</v>
      </c>
      <c r="C41" s="62">
        <v>116609.3</v>
      </c>
      <c r="D41" s="62">
        <v>116609.3</v>
      </c>
      <c r="E41" s="69">
        <f t="shared" si="0"/>
        <v>0</v>
      </c>
      <c r="F41" s="62">
        <v>58421.25</v>
      </c>
      <c r="G41" s="62">
        <v>58421.25</v>
      </c>
      <c r="H41" s="69">
        <f t="shared" si="1"/>
        <v>0</v>
      </c>
      <c r="I41" s="62">
        <v>60106.44</v>
      </c>
      <c r="J41" s="62">
        <v>60106.44</v>
      </c>
      <c r="K41" s="69">
        <f t="shared" si="2"/>
        <v>0</v>
      </c>
      <c r="L41" s="62">
        <f>28130.18+93605.79</f>
        <v>121735.97</v>
      </c>
      <c r="M41" s="62">
        <v>181057.73</v>
      </c>
      <c r="N41" s="69">
        <f t="shared" si="3"/>
        <v>-59321.760000000009</v>
      </c>
      <c r="O41" s="62">
        <f>152464.38+47821.62</f>
        <v>200286</v>
      </c>
      <c r="P41" s="62">
        <v>277460.12</v>
      </c>
      <c r="Q41" s="69">
        <f t="shared" si="4"/>
        <v>-77174.12</v>
      </c>
      <c r="R41" s="62">
        <f>61003.06+16764.22</f>
        <v>77767.28</v>
      </c>
      <c r="S41" s="62">
        <v>126031.27</v>
      </c>
      <c r="T41" s="69">
        <f t="shared" si="5"/>
        <v>-48263.990000000005</v>
      </c>
    </row>
    <row r="43" spans="1:20" ht="15.75" thickBot="1">
      <c r="C43" s="71">
        <f t="shared" ref="C43:T43" si="6">SUM(C6:C41)</f>
        <v>7051652.7000000002</v>
      </c>
      <c r="D43" s="71">
        <f t="shared" si="6"/>
        <v>7051433.6799999997</v>
      </c>
      <c r="E43" s="71">
        <f t="shared" si="6"/>
        <v>219.02000000004773</v>
      </c>
      <c r="F43" s="71">
        <f t="shared" si="6"/>
        <v>2024496.0200000003</v>
      </c>
      <c r="G43" s="71">
        <f t="shared" si="6"/>
        <v>2058207.0000000002</v>
      </c>
      <c r="H43" s="71">
        <f t="shared" si="6"/>
        <v>-33710.980000000003</v>
      </c>
      <c r="I43" s="71">
        <f t="shared" si="6"/>
        <v>2904406.9800000004</v>
      </c>
      <c r="J43" s="71">
        <f t="shared" si="6"/>
        <v>2870696.0000000005</v>
      </c>
      <c r="K43" s="71">
        <f t="shared" si="6"/>
        <v>33710.980000000003</v>
      </c>
      <c r="L43" s="71">
        <f t="shared" si="6"/>
        <v>9756402.4299999997</v>
      </c>
      <c r="M43" s="71">
        <f t="shared" si="6"/>
        <v>9645296.4999999981</v>
      </c>
      <c r="N43" s="71">
        <f t="shared" si="6"/>
        <v>111105.92999999991</v>
      </c>
      <c r="O43" s="71">
        <f t="shared" si="6"/>
        <v>15594772.569999998</v>
      </c>
      <c r="P43" s="71">
        <f t="shared" si="6"/>
        <v>15757608.430000002</v>
      </c>
      <c r="Q43" s="71">
        <f t="shared" si="6"/>
        <v>-162835.85999999987</v>
      </c>
      <c r="R43" s="71">
        <f t="shared" si="6"/>
        <v>6884418.4699999988</v>
      </c>
      <c r="S43" s="71">
        <f t="shared" si="6"/>
        <v>6977394.25</v>
      </c>
      <c r="T43" s="71">
        <f t="shared" si="6"/>
        <v>-92975.779999999984</v>
      </c>
    </row>
    <row r="54" spans="8:8">
      <c r="H54" s="63"/>
    </row>
    <row r="57" spans="8:8" ht="18" customHeight="1"/>
  </sheetData>
  <mergeCells count="6">
    <mergeCell ref="A18:A29"/>
    <mergeCell ref="A30:A41"/>
    <mergeCell ref="A1:T1"/>
    <mergeCell ref="A2:T2"/>
    <mergeCell ref="A3:T3"/>
    <mergeCell ref="A6:A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workbookViewId="0">
      <selection sqref="A1:E1"/>
    </sheetView>
  </sheetViews>
  <sheetFormatPr defaultRowHeight="15"/>
  <cols>
    <col min="1" max="1" width="37.42578125" customWidth="1"/>
    <col min="2" max="5" width="30.7109375" customWidth="1"/>
    <col min="9" max="9" width="30.7109375" customWidth="1"/>
    <col min="13" max="13" width="30.7109375" customWidth="1"/>
  </cols>
  <sheetData>
    <row r="1" spans="1:5">
      <c r="A1" s="166" t="s">
        <v>0</v>
      </c>
      <c r="B1" s="166"/>
      <c r="C1" s="166"/>
      <c r="D1" s="166"/>
      <c r="E1" s="166"/>
    </row>
    <row r="2" spans="1:5">
      <c r="A2" s="166" t="s">
        <v>189</v>
      </c>
      <c r="B2" s="166"/>
      <c r="C2" s="166"/>
      <c r="D2" s="166"/>
      <c r="E2" s="166"/>
    </row>
    <row r="3" spans="1:5">
      <c r="A3" s="166" t="s">
        <v>67</v>
      </c>
      <c r="B3" s="166"/>
      <c r="C3" s="166"/>
      <c r="D3" s="166"/>
      <c r="E3" s="166"/>
    </row>
    <row r="4" spans="1:5" ht="15.75" thickBot="1">
      <c r="A4" s="84"/>
      <c r="B4" s="84"/>
      <c r="C4" s="84"/>
      <c r="D4" s="84"/>
      <c r="E4" s="84"/>
    </row>
    <row r="5" spans="1:5" ht="15.75" thickBot="1">
      <c r="A5" s="163" t="s">
        <v>118</v>
      </c>
      <c r="B5" s="164"/>
      <c r="C5" s="164"/>
      <c r="D5" s="164"/>
      <c r="E5" s="165"/>
    </row>
    <row r="6" spans="1:5">
      <c r="A6" s="84"/>
      <c r="B6" s="84"/>
      <c r="C6" s="84"/>
      <c r="D6" s="84"/>
      <c r="E6" s="84"/>
    </row>
    <row r="7" spans="1:5">
      <c r="A7" s="88" t="s">
        <v>105</v>
      </c>
      <c r="B7" s="84"/>
      <c r="C7" s="84"/>
      <c r="D7" s="88" t="s">
        <v>107</v>
      </c>
      <c r="E7" s="84"/>
    </row>
    <row r="8" spans="1:5">
      <c r="A8" s="89" t="s">
        <v>9</v>
      </c>
      <c r="B8" s="46">
        <v>4.4000000000000003E-3</v>
      </c>
      <c r="C8" s="84"/>
      <c r="D8" s="89" t="s">
        <v>9</v>
      </c>
      <c r="E8" s="46">
        <v>3.5999999999999999E-3</v>
      </c>
    </row>
    <row r="9" spans="1:5">
      <c r="A9" s="89" t="s">
        <v>11</v>
      </c>
      <c r="B9" s="46">
        <f>B8</f>
        <v>4.4000000000000003E-3</v>
      </c>
      <c r="C9" s="84"/>
      <c r="D9" s="89" t="s">
        <v>11</v>
      </c>
      <c r="E9" s="46">
        <v>3.5999999999999999E-3</v>
      </c>
    </row>
    <row r="10" spans="1:5">
      <c r="A10" s="89" t="s">
        <v>12</v>
      </c>
      <c r="B10" s="46">
        <f>B9</f>
        <v>4.4000000000000003E-3</v>
      </c>
      <c r="C10" s="84"/>
      <c r="D10" s="89" t="s">
        <v>12</v>
      </c>
      <c r="E10" s="46">
        <v>3.5999999999999999E-3</v>
      </c>
    </row>
    <row r="11" spans="1:5">
      <c r="A11" s="89" t="s">
        <v>14</v>
      </c>
      <c r="B11" s="46">
        <f>B10</f>
        <v>4.4000000000000003E-3</v>
      </c>
      <c r="C11" s="84"/>
      <c r="D11" s="89" t="s">
        <v>14</v>
      </c>
      <c r="E11" s="46">
        <v>3.5999999999999999E-3</v>
      </c>
    </row>
    <row r="12" spans="1:5">
      <c r="A12" s="89" t="s">
        <v>15</v>
      </c>
      <c r="B12" s="46">
        <f>B11</f>
        <v>4.4000000000000003E-3</v>
      </c>
      <c r="C12" s="84"/>
      <c r="D12" s="89" t="s">
        <v>15</v>
      </c>
      <c r="E12" s="46">
        <v>3.5999999999999999E-3</v>
      </c>
    </row>
    <row r="13" spans="1:5">
      <c r="A13" s="89" t="s">
        <v>16</v>
      </c>
      <c r="B13" s="46">
        <f>B12</f>
        <v>4.4000000000000003E-3</v>
      </c>
      <c r="C13" s="84"/>
      <c r="D13" s="89" t="s">
        <v>16</v>
      </c>
      <c r="E13" s="46">
        <v>3.5999999999999999E-3</v>
      </c>
    </row>
    <row r="14" spans="1:5">
      <c r="A14" s="84"/>
      <c r="B14" s="84"/>
      <c r="C14" s="84"/>
      <c r="D14" s="84"/>
      <c r="E14" s="84"/>
    </row>
    <row r="15" spans="1:5">
      <c r="A15" s="88" t="s">
        <v>106</v>
      </c>
      <c r="B15" s="84"/>
      <c r="C15" s="84"/>
      <c r="D15" s="88" t="s">
        <v>108</v>
      </c>
      <c r="E15" s="84"/>
    </row>
    <row r="16" spans="1:5">
      <c r="A16" s="89" t="s">
        <v>9</v>
      </c>
      <c r="B16" s="46">
        <f t="shared" ref="B16:B21" si="0">B8</f>
        <v>4.4000000000000003E-3</v>
      </c>
      <c r="C16" s="84"/>
      <c r="D16" s="89" t="s">
        <v>9</v>
      </c>
      <c r="E16" s="46">
        <v>3.2000000000000002E-3</v>
      </c>
    </row>
    <row r="17" spans="1:5">
      <c r="A17" s="89" t="s">
        <v>11</v>
      </c>
      <c r="B17" s="46">
        <f t="shared" si="0"/>
        <v>4.4000000000000003E-3</v>
      </c>
      <c r="C17" s="84"/>
      <c r="D17" s="89" t="s">
        <v>11</v>
      </c>
      <c r="E17" s="46">
        <v>3.2000000000000002E-3</v>
      </c>
    </row>
    <row r="18" spans="1:5">
      <c r="A18" s="89" t="s">
        <v>12</v>
      </c>
      <c r="B18" s="46">
        <f t="shared" si="0"/>
        <v>4.4000000000000003E-3</v>
      </c>
      <c r="C18" s="84"/>
      <c r="D18" s="89" t="s">
        <v>12</v>
      </c>
      <c r="E18" s="46">
        <v>3.2000000000000002E-3</v>
      </c>
    </row>
    <row r="19" spans="1:5">
      <c r="A19" s="89" t="s">
        <v>14</v>
      </c>
      <c r="B19" s="46">
        <f t="shared" si="0"/>
        <v>4.4000000000000003E-3</v>
      </c>
      <c r="C19" s="84"/>
      <c r="D19" s="89" t="s">
        <v>14</v>
      </c>
      <c r="E19" s="46">
        <v>3.2000000000000002E-3</v>
      </c>
    </row>
    <row r="20" spans="1:5">
      <c r="A20" s="89" t="s">
        <v>15</v>
      </c>
      <c r="B20" s="46">
        <f t="shared" si="0"/>
        <v>4.4000000000000003E-3</v>
      </c>
      <c r="C20" s="84"/>
      <c r="D20" s="89" t="s">
        <v>15</v>
      </c>
      <c r="E20" s="46">
        <v>3.2000000000000002E-3</v>
      </c>
    </row>
    <row r="21" spans="1:5">
      <c r="A21" s="89" t="s">
        <v>16</v>
      </c>
      <c r="B21" s="46">
        <f t="shared" si="0"/>
        <v>4.4000000000000003E-3</v>
      </c>
      <c r="C21" s="84"/>
      <c r="D21" s="89" t="s">
        <v>16</v>
      </c>
      <c r="E21" s="46">
        <v>3.2000000000000002E-3</v>
      </c>
    </row>
    <row r="22" spans="1:5">
      <c r="A22" s="84"/>
      <c r="B22" s="84"/>
      <c r="C22" s="84"/>
      <c r="D22" s="84"/>
      <c r="E22" s="84"/>
    </row>
    <row r="23" spans="1:5">
      <c r="A23" s="88" t="s">
        <v>110</v>
      </c>
      <c r="B23" s="84"/>
      <c r="C23" s="84"/>
      <c r="D23" s="88" t="s">
        <v>113</v>
      </c>
      <c r="E23" s="84"/>
    </row>
    <row r="24" spans="1:5">
      <c r="A24" s="89" t="s">
        <v>9</v>
      </c>
      <c r="B24" s="46">
        <v>1.2999999999999999E-3</v>
      </c>
      <c r="C24" s="84"/>
      <c r="D24" s="89" t="s">
        <v>9</v>
      </c>
      <c r="E24" s="46">
        <v>1.2999999999999999E-3</v>
      </c>
    </row>
    <row r="25" spans="1:5">
      <c r="A25" s="89" t="s">
        <v>11</v>
      </c>
      <c r="B25" s="46">
        <v>1.2999999999999999E-3</v>
      </c>
      <c r="C25" s="84"/>
      <c r="D25" s="89" t="s">
        <v>11</v>
      </c>
      <c r="E25" s="46">
        <v>1.2999999999999999E-3</v>
      </c>
    </row>
    <row r="26" spans="1:5">
      <c r="A26" s="89" t="s">
        <v>12</v>
      </c>
      <c r="B26" s="46">
        <v>1.2999999999999999E-3</v>
      </c>
      <c r="C26" s="84"/>
      <c r="D26" s="89" t="s">
        <v>12</v>
      </c>
      <c r="E26" s="46">
        <v>1.2999999999999999E-3</v>
      </c>
    </row>
    <row r="27" spans="1:5">
      <c r="A27" s="89" t="s">
        <v>14</v>
      </c>
      <c r="B27" s="46">
        <v>1.2999999999999999E-3</v>
      </c>
      <c r="C27" s="84"/>
      <c r="D27" s="89" t="s">
        <v>14</v>
      </c>
      <c r="E27" s="46">
        <v>1.2999999999999999E-3</v>
      </c>
    </row>
    <row r="28" spans="1:5">
      <c r="A28" s="89" t="s">
        <v>15</v>
      </c>
      <c r="B28" s="46">
        <v>1.2999999999999999E-3</v>
      </c>
      <c r="C28" s="84"/>
      <c r="D28" s="89" t="s">
        <v>15</v>
      </c>
      <c r="E28" s="46">
        <v>1.2999999999999999E-3</v>
      </c>
    </row>
    <row r="29" spans="1:5">
      <c r="A29" s="89" t="s">
        <v>16</v>
      </c>
      <c r="B29" s="46">
        <v>1.2999999999999999E-3</v>
      </c>
      <c r="C29" s="84"/>
      <c r="D29" s="89" t="s">
        <v>16</v>
      </c>
      <c r="E29" s="46">
        <v>1.2999999999999999E-3</v>
      </c>
    </row>
    <row r="30" spans="1:5">
      <c r="A30" s="84"/>
      <c r="B30" s="84"/>
      <c r="C30" s="84"/>
      <c r="D30" s="84"/>
      <c r="E30" s="84"/>
    </row>
    <row r="31" spans="1:5">
      <c r="A31" s="88" t="s">
        <v>111</v>
      </c>
      <c r="B31" s="84"/>
      <c r="C31" s="84"/>
      <c r="D31" s="88" t="s">
        <v>112</v>
      </c>
      <c r="E31" s="84"/>
    </row>
    <row r="32" spans="1:5">
      <c r="A32" s="89" t="s">
        <v>9</v>
      </c>
      <c r="B32" s="46">
        <f t="shared" ref="B32:B37" si="1">B24</f>
        <v>1.2999999999999999E-3</v>
      </c>
      <c r="C32" s="84"/>
      <c r="D32" s="89" t="s">
        <v>9</v>
      </c>
      <c r="E32" s="46">
        <v>2.0999999999999999E-3</v>
      </c>
    </row>
    <row r="33" spans="1:5">
      <c r="A33" s="89" t="s">
        <v>11</v>
      </c>
      <c r="B33" s="46">
        <f t="shared" si="1"/>
        <v>1.2999999999999999E-3</v>
      </c>
      <c r="C33" s="84"/>
      <c r="D33" s="89" t="s">
        <v>11</v>
      </c>
      <c r="E33" s="46">
        <v>2.0999999999999999E-3</v>
      </c>
    </row>
    <row r="34" spans="1:5">
      <c r="A34" s="89" t="s">
        <v>12</v>
      </c>
      <c r="B34" s="46">
        <f t="shared" si="1"/>
        <v>1.2999999999999999E-3</v>
      </c>
      <c r="C34" s="84"/>
      <c r="D34" s="89" t="s">
        <v>12</v>
      </c>
      <c r="E34" s="46">
        <v>2.0999999999999999E-3</v>
      </c>
    </row>
    <row r="35" spans="1:5">
      <c r="A35" s="89" t="s">
        <v>14</v>
      </c>
      <c r="B35" s="46">
        <f t="shared" si="1"/>
        <v>1.2999999999999999E-3</v>
      </c>
      <c r="C35" s="84"/>
      <c r="D35" s="89" t="s">
        <v>14</v>
      </c>
      <c r="E35" s="46">
        <v>2.0999999999999999E-3</v>
      </c>
    </row>
    <row r="36" spans="1:5">
      <c r="A36" s="89" t="s">
        <v>15</v>
      </c>
      <c r="B36" s="46">
        <f t="shared" si="1"/>
        <v>1.2999999999999999E-3</v>
      </c>
      <c r="C36" s="84"/>
      <c r="D36" s="89" t="s">
        <v>15</v>
      </c>
      <c r="E36" s="46">
        <v>2.0999999999999999E-3</v>
      </c>
    </row>
    <row r="37" spans="1:5">
      <c r="A37" s="89" t="s">
        <v>16</v>
      </c>
      <c r="B37" s="46">
        <f t="shared" si="1"/>
        <v>1.2999999999999999E-3</v>
      </c>
      <c r="C37" s="84"/>
      <c r="D37" s="89" t="s">
        <v>16</v>
      </c>
      <c r="E37" s="46">
        <v>2.0999999999999999E-3</v>
      </c>
    </row>
    <row r="38" spans="1:5" ht="15.75" thickBot="1">
      <c r="A38" s="84"/>
      <c r="B38" s="84"/>
      <c r="C38" s="84"/>
      <c r="D38" s="84"/>
      <c r="E38" s="84"/>
    </row>
    <row r="39" spans="1:5" ht="15.75" thickBot="1">
      <c r="A39" s="84"/>
      <c r="B39" s="163" t="s">
        <v>124</v>
      </c>
      <c r="C39" s="164"/>
      <c r="D39" s="165"/>
      <c r="E39" s="84"/>
    </row>
    <row r="40" spans="1:5">
      <c r="A40" s="84"/>
      <c r="B40" s="65">
        <v>2015</v>
      </c>
      <c r="C40" s="65">
        <v>2016</v>
      </c>
      <c r="D40" s="65">
        <v>2017</v>
      </c>
      <c r="E40" s="84"/>
    </row>
    <row r="41" spans="1:5">
      <c r="A41" s="90" t="s">
        <v>123</v>
      </c>
      <c r="B41" s="91">
        <f>ROUND(($B$16/12*8)+($B$8/12*4),4)</f>
        <v>4.4000000000000003E-3</v>
      </c>
      <c r="C41" s="91">
        <f>ROUND(($E$8/12*8)+($B$16/12*4),4)</f>
        <v>3.8999999999999998E-3</v>
      </c>
      <c r="D41" s="91">
        <f>ROUND(($E$16/12*8)+($E$8/12*4),4)</f>
        <v>3.3E-3</v>
      </c>
      <c r="E41" s="84"/>
    </row>
    <row r="42" spans="1:5">
      <c r="A42" s="90" t="s">
        <v>115</v>
      </c>
      <c r="B42" s="91">
        <f>ROUND(($B$32/12*8)+($B$24/12*4),4)</f>
        <v>1.2999999999999999E-3</v>
      </c>
      <c r="C42" s="91">
        <f>ROUND(($E$24/12*8)+($B$32/12*4),4)</f>
        <v>1.2999999999999999E-3</v>
      </c>
      <c r="D42" s="91">
        <f>ROUND(($E$32/12*8)+($E$24/12*4),4)</f>
        <v>1.8E-3</v>
      </c>
      <c r="E42" s="84"/>
    </row>
    <row r="43" spans="1:5">
      <c r="A43" s="84"/>
      <c r="B43" s="84"/>
      <c r="C43" s="84"/>
      <c r="D43" s="84"/>
      <c r="E43" s="84"/>
    </row>
    <row r="44" spans="1:5" ht="15.75" thickBot="1">
      <c r="A44" s="84"/>
      <c r="B44" s="84"/>
      <c r="C44" s="84"/>
      <c r="D44" s="84"/>
      <c r="E44" s="84"/>
    </row>
    <row r="45" spans="1:5" ht="15.75" thickBot="1">
      <c r="A45" s="84"/>
      <c r="B45" s="163" t="s">
        <v>109</v>
      </c>
      <c r="C45" s="164"/>
      <c r="D45" s="165"/>
      <c r="E45" s="84"/>
    </row>
    <row r="46" spans="1:5">
      <c r="A46" s="84"/>
      <c r="B46" s="42">
        <v>2015</v>
      </c>
      <c r="C46" s="42">
        <v>2016</v>
      </c>
      <c r="D46" s="42">
        <v>2017</v>
      </c>
      <c r="E46" s="84"/>
    </row>
    <row r="47" spans="1:5">
      <c r="A47" s="89" t="s">
        <v>100</v>
      </c>
      <c r="B47" s="41">
        <v>77615395</v>
      </c>
      <c r="C47" s="41">
        <v>76635115</v>
      </c>
      <c r="D47" s="41">
        <v>76119517</v>
      </c>
      <c r="E47" s="84"/>
    </row>
    <row r="48" spans="1:5">
      <c r="A48" s="89" t="s">
        <v>101</v>
      </c>
      <c r="B48" s="41">
        <v>30536533</v>
      </c>
      <c r="C48" s="41">
        <v>29514061</v>
      </c>
      <c r="D48" s="41">
        <v>28872533</v>
      </c>
      <c r="E48" s="84"/>
    </row>
    <row r="49" spans="1:5">
      <c r="A49" s="89" t="s">
        <v>103</v>
      </c>
      <c r="B49" s="41">
        <v>68528024</v>
      </c>
      <c r="C49" s="41">
        <v>75048053</v>
      </c>
      <c r="D49" s="41">
        <v>70829349</v>
      </c>
      <c r="E49" s="84"/>
    </row>
    <row r="50" spans="1:5">
      <c r="A50" s="89" t="s">
        <v>30</v>
      </c>
      <c r="B50" s="41">
        <v>240165</v>
      </c>
      <c r="C50" s="41">
        <v>217806</v>
      </c>
      <c r="D50" s="41">
        <v>203681</v>
      </c>
      <c r="E50" s="84"/>
    </row>
    <row r="51" spans="1:5">
      <c r="A51" s="89" t="s">
        <v>104</v>
      </c>
      <c r="B51" s="41">
        <v>2204458</v>
      </c>
      <c r="C51" s="41">
        <v>1307703</v>
      </c>
      <c r="D51" s="41">
        <v>1297582</v>
      </c>
      <c r="E51" s="84"/>
    </row>
    <row r="52" spans="1:5">
      <c r="A52" s="89" t="s">
        <v>102</v>
      </c>
      <c r="B52" s="56">
        <v>567891</v>
      </c>
      <c r="C52" s="56">
        <v>594265</v>
      </c>
      <c r="D52" s="56">
        <v>611519</v>
      </c>
      <c r="E52" s="84"/>
    </row>
    <row r="53" spans="1:5">
      <c r="A53" s="84"/>
      <c r="B53" s="84"/>
      <c r="C53" s="84"/>
      <c r="D53" s="84"/>
      <c r="E53" s="84"/>
    </row>
    <row r="54" spans="1:5" ht="15.75" thickBot="1">
      <c r="A54" s="90" t="s">
        <v>50</v>
      </c>
      <c r="B54" s="93">
        <f>SUM(B47:B52)</f>
        <v>179692466</v>
      </c>
      <c r="C54" s="93">
        <f>SUM(C47:C52)</f>
        <v>183317003</v>
      </c>
      <c r="D54" s="93">
        <f>SUM(D47:D52)</f>
        <v>177934181</v>
      </c>
      <c r="E54" s="84"/>
    </row>
    <row r="55" spans="1:5" ht="15.75" thickBot="1">
      <c r="A55" s="84"/>
      <c r="B55" s="84"/>
      <c r="C55" s="84"/>
      <c r="D55" s="84"/>
      <c r="E55" s="84"/>
    </row>
    <row r="56" spans="1:5" ht="15.75" thickBot="1">
      <c r="A56" s="84"/>
      <c r="B56" s="163" t="s">
        <v>121</v>
      </c>
      <c r="C56" s="164"/>
      <c r="D56" s="164"/>
      <c r="E56" s="165"/>
    </row>
    <row r="57" spans="1:5">
      <c r="A57" s="84"/>
      <c r="B57" s="42">
        <v>2015</v>
      </c>
      <c r="C57" s="42">
        <v>2016</v>
      </c>
      <c r="D57" s="42">
        <v>2017</v>
      </c>
      <c r="E57" s="42" t="s">
        <v>50</v>
      </c>
    </row>
    <row r="58" spans="1:5">
      <c r="A58" s="89" t="s">
        <v>9</v>
      </c>
      <c r="B58" s="77">
        <f t="shared" ref="B58:D63" si="2">B$41*B47</f>
        <v>341507.73800000001</v>
      </c>
      <c r="C58" s="77">
        <f t="shared" si="2"/>
        <v>298876.9485</v>
      </c>
      <c r="D58" s="77">
        <f t="shared" si="2"/>
        <v>251194.40609999999</v>
      </c>
      <c r="E58" s="77">
        <f t="shared" ref="E58:E63" si="3">SUM(B58:D58)</f>
        <v>891579.09260000009</v>
      </c>
    </row>
    <row r="59" spans="1:5">
      <c r="A59" s="89" t="s">
        <v>11</v>
      </c>
      <c r="B59" s="77">
        <f t="shared" si="2"/>
        <v>134360.7452</v>
      </c>
      <c r="C59" s="77">
        <f t="shared" si="2"/>
        <v>115104.8379</v>
      </c>
      <c r="D59" s="77">
        <f t="shared" si="2"/>
        <v>95279.358900000007</v>
      </c>
      <c r="E59" s="77">
        <f t="shared" si="3"/>
        <v>344744.94199999998</v>
      </c>
    </row>
    <row r="60" spans="1:5">
      <c r="A60" s="89" t="s">
        <v>12</v>
      </c>
      <c r="B60" s="77">
        <f t="shared" si="2"/>
        <v>301523.30560000002</v>
      </c>
      <c r="C60" s="77">
        <f t="shared" si="2"/>
        <v>292687.40669999999</v>
      </c>
      <c r="D60" s="77">
        <f t="shared" si="2"/>
        <v>233736.8517</v>
      </c>
      <c r="E60" s="77">
        <f t="shared" si="3"/>
        <v>827947.56400000001</v>
      </c>
    </row>
    <row r="61" spans="1:5">
      <c r="A61" s="89" t="s">
        <v>14</v>
      </c>
      <c r="B61" s="77">
        <f t="shared" si="2"/>
        <v>1056.7260000000001</v>
      </c>
      <c r="C61" s="77">
        <f t="shared" si="2"/>
        <v>849.4434</v>
      </c>
      <c r="D61" s="77">
        <f t="shared" si="2"/>
        <v>672.14729999999997</v>
      </c>
      <c r="E61" s="77">
        <f t="shared" si="3"/>
        <v>2578.3167000000003</v>
      </c>
    </row>
    <row r="62" spans="1:5">
      <c r="A62" s="89" t="s">
        <v>15</v>
      </c>
      <c r="B62" s="77">
        <f t="shared" si="2"/>
        <v>9699.6152000000002</v>
      </c>
      <c r="C62" s="77">
        <f t="shared" si="2"/>
        <v>5100.0416999999998</v>
      </c>
      <c r="D62" s="77">
        <f t="shared" si="2"/>
        <v>4282.0205999999998</v>
      </c>
      <c r="E62" s="77">
        <f t="shared" si="3"/>
        <v>19081.677499999998</v>
      </c>
    </row>
    <row r="63" spans="1:5">
      <c r="A63" s="89" t="s">
        <v>16</v>
      </c>
      <c r="B63" s="78">
        <f t="shared" si="2"/>
        <v>2498.7204000000002</v>
      </c>
      <c r="C63" s="78">
        <f t="shared" si="2"/>
        <v>2317.6334999999999</v>
      </c>
      <c r="D63" s="78">
        <f t="shared" si="2"/>
        <v>2018.0127</v>
      </c>
      <c r="E63" s="78">
        <f t="shared" si="3"/>
        <v>6834.3666000000003</v>
      </c>
    </row>
    <row r="64" spans="1:5">
      <c r="A64" s="84"/>
      <c r="B64" s="84"/>
      <c r="C64" s="84"/>
      <c r="D64" s="84"/>
      <c r="E64" s="84"/>
    </row>
    <row r="65" spans="1:5" ht="15.75" thickBot="1">
      <c r="A65" s="90" t="s">
        <v>27</v>
      </c>
      <c r="B65" s="49">
        <f>SUM(B58:B63)</f>
        <v>790646.8504</v>
      </c>
      <c r="C65" s="49">
        <f>SUM(C58:C63)</f>
        <v>714936.31169999996</v>
      </c>
      <c r="D65" s="49">
        <f>SUM(D58:D63)</f>
        <v>587182.79729999998</v>
      </c>
      <c r="E65" s="49">
        <f>SUM(E58:E63)</f>
        <v>2092765.9594000003</v>
      </c>
    </row>
    <row r="66" spans="1:5" ht="15.75" thickBot="1">
      <c r="A66" s="90"/>
      <c r="B66" s="85"/>
      <c r="C66" s="85"/>
      <c r="D66" s="85"/>
      <c r="E66" s="85"/>
    </row>
    <row r="67" spans="1:5" ht="15.75" thickBot="1">
      <c r="A67" s="84"/>
      <c r="B67" s="163" t="s">
        <v>120</v>
      </c>
      <c r="C67" s="164"/>
      <c r="D67" s="164"/>
      <c r="E67" s="165"/>
    </row>
    <row r="68" spans="1:5">
      <c r="A68" s="84"/>
      <c r="B68" s="42">
        <v>2015</v>
      </c>
      <c r="C68" s="42">
        <v>2016</v>
      </c>
      <c r="D68" s="42">
        <v>2017</v>
      </c>
      <c r="E68" s="42" t="s">
        <v>50</v>
      </c>
    </row>
    <row r="69" spans="1:5">
      <c r="A69" s="89" t="s">
        <v>9</v>
      </c>
      <c r="B69" s="77">
        <f t="shared" ref="B69:D74" si="4">B$42*B47</f>
        <v>100900.0135</v>
      </c>
      <c r="C69" s="77">
        <f t="shared" si="4"/>
        <v>99625.6495</v>
      </c>
      <c r="D69" s="77">
        <f t="shared" si="4"/>
        <v>137015.1306</v>
      </c>
      <c r="E69" s="77">
        <f t="shared" ref="E69:E74" si="5">SUM(B69:D69)</f>
        <v>337540.79359999998</v>
      </c>
    </row>
    <row r="70" spans="1:5">
      <c r="A70" s="89" t="s">
        <v>11</v>
      </c>
      <c r="B70" s="77">
        <f t="shared" si="4"/>
        <v>39697.492899999997</v>
      </c>
      <c r="C70" s="77">
        <f t="shared" si="4"/>
        <v>38368.279299999995</v>
      </c>
      <c r="D70" s="77">
        <f t="shared" si="4"/>
        <v>51970.559399999998</v>
      </c>
      <c r="E70" s="77">
        <f t="shared" si="5"/>
        <v>130036.33159999999</v>
      </c>
    </row>
    <row r="71" spans="1:5">
      <c r="A71" s="89" t="s">
        <v>12</v>
      </c>
      <c r="B71" s="77">
        <f t="shared" si="4"/>
        <v>89086.431199999992</v>
      </c>
      <c r="C71" s="77">
        <f t="shared" si="4"/>
        <v>97562.468899999993</v>
      </c>
      <c r="D71" s="77">
        <f t="shared" si="4"/>
        <v>127492.8282</v>
      </c>
      <c r="E71" s="77">
        <f t="shared" si="5"/>
        <v>314141.72829999996</v>
      </c>
    </row>
    <row r="72" spans="1:5">
      <c r="A72" s="89" t="s">
        <v>14</v>
      </c>
      <c r="B72" s="77">
        <f t="shared" si="4"/>
        <v>312.21449999999999</v>
      </c>
      <c r="C72" s="77">
        <f t="shared" si="4"/>
        <v>283.14779999999996</v>
      </c>
      <c r="D72" s="77">
        <f t="shared" si="4"/>
        <v>366.62579999999997</v>
      </c>
      <c r="E72" s="77">
        <f t="shared" si="5"/>
        <v>961.98810000000003</v>
      </c>
    </row>
    <row r="73" spans="1:5">
      <c r="A73" s="89" t="s">
        <v>15</v>
      </c>
      <c r="B73" s="77">
        <f t="shared" si="4"/>
        <v>2865.7954</v>
      </c>
      <c r="C73" s="77">
        <f t="shared" si="4"/>
        <v>1700.0138999999999</v>
      </c>
      <c r="D73" s="77">
        <f t="shared" si="4"/>
        <v>2335.6475999999998</v>
      </c>
      <c r="E73" s="77">
        <f t="shared" si="5"/>
        <v>6901.4568999999992</v>
      </c>
    </row>
    <row r="74" spans="1:5">
      <c r="A74" s="89" t="s">
        <v>16</v>
      </c>
      <c r="B74" s="78">
        <f t="shared" si="4"/>
        <v>738.25829999999996</v>
      </c>
      <c r="C74" s="78">
        <f t="shared" si="4"/>
        <v>772.54449999999997</v>
      </c>
      <c r="D74" s="78">
        <f t="shared" si="4"/>
        <v>1100.7341999999999</v>
      </c>
      <c r="E74" s="78">
        <f t="shared" si="5"/>
        <v>2611.5369999999998</v>
      </c>
    </row>
    <row r="75" spans="1:5">
      <c r="A75" s="84"/>
      <c r="B75" s="84"/>
      <c r="C75" s="84"/>
      <c r="D75" s="84"/>
      <c r="E75" s="84"/>
    </row>
    <row r="76" spans="1:5" ht="15.75" thickBot="1">
      <c r="A76" s="90" t="s">
        <v>27</v>
      </c>
      <c r="B76" s="49">
        <f>SUM(B69:B74)</f>
        <v>233600.2058</v>
      </c>
      <c r="C76" s="49">
        <f>SUM(C69:C74)</f>
        <v>238312.10389999996</v>
      </c>
      <c r="D76" s="49">
        <f>SUM(D69:D74)</f>
        <v>320281.5258</v>
      </c>
      <c r="E76" s="49">
        <f>SUM(E69:E74)</f>
        <v>792193.83549999993</v>
      </c>
    </row>
    <row r="77" spans="1:5">
      <c r="A77" s="90"/>
      <c r="B77" s="85"/>
      <c r="C77" s="85"/>
      <c r="D77" s="85"/>
      <c r="E77" s="85"/>
    </row>
    <row r="78" spans="1:5">
      <c r="A78" s="90" t="s">
        <v>122</v>
      </c>
      <c r="B78" s="85">
        <f>B65+B76</f>
        <v>1024247.0562</v>
      </c>
      <c r="C78" s="85">
        <f>C65+C76</f>
        <v>953248.41559999995</v>
      </c>
      <c r="D78" s="85">
        <f>D65+D76</f>
        <v>907464.32309999992</v>
      </c>
      <c r="E78" s="85">
        <f>E65+E76</f>
        <v>2884959.7949000001</v>
      </c>
    </row>
    <row r="79" spans="1:5">
      <c r="A79" s="90" t="s">
        <v>28</v>
      </c>
      <c r="B79" s="47">
        <f>1091234.07</f>
        <v>1091234.07</v>
      </c>
      <c r="C79" s="47">
        <f>1144409.6-199118.32</f>
        <v>945291.28</v>
      </c>
      <c r="D79" s="47">
        <f>916865.25-73448.69</f>
        <v>843416.56</v>
      </c>
      <c r="E79" s="56">
        <f>SUM(B79:D79)</f>
        <v>2879941.91</v>
      </c>
    </row>
    <row r="80" spans="1:5">
      <c r="A80" s="90"/>
      <c r="B80" s="84"/>
      <c r="C80" s="84"/>
      <c r="D80" s="84"/>
      <c r="E80" s="84"/>
    </row>
    <row r="81" spans="1:5" ht="15.75" thickBot="1">
      <c r="A81" s="90" t="s">
        <v>51</v>
      </c>
      <c r="B81" s="86">
        <f>B78-B79</f>
        <v>-66987.013800000073</v>
      </c>
      <c r="C81" s="86">
        <f>C78-C79</f>
        <v>7957.1355999999214</v>
      </c>
      <c r="D81" s="86">
        <f>D78-D79</f>
        <v>64047.763099999866</v>
      </c>
      <c r="E81" s="48">
        <f>E78-E79</f>
        <v>5017.8848999999464</v>
      </c>
    </row>
    <row r="82" spans="1:5">
      <c r="A82" s="90"/>
      <c r="B82" s="85"/>
      <c r="C82" s="85"/>
      <c r="D82" s="85"/>
      <c r="E82" s="85"/>
    </row>
    <row r="83" spans="1:5">
      <c r="A83" s="90" t="s">
        <v>136</v>
      </c>
      <c r="B83" s="85"/>
      <c r="C83" s="85"/>
      <c r="D83" s="85"/>
      <c r="E83" s="85"/>
    </row>
    <row r="84" spans="1:5" ht="15.75" thickBot="1">
      <c r="A84" s="84"/>
      <c r="B84" s="84"/>
      <c r="C84" s="84"/>
      <c r="D84" s="84"/>
      <c r="E84" s="84"/>
    </row>
    <row r="85" spans="1:5" ht="15.75" thickBot="1">
      <c r="A85" s="163" t="s">
        <v>119</v>
      </c>
      <c r="B85" s="164"/>
      <c r="C85" s="164"/>
      <c r="D85" s="164"/>
      <c r="E85" s="165"/>
    </row>
    <row r="86" spans="1:5" ht="15.75" thickBot="1">
      <c r="A86" s="84"/>
      <c r="B86" s="84"/>
      <c r="C86" s="84"/>
      <c r="D86" s="84"/>
      <c r="E86" s="84"/>
    </row>
    <row r="87" spans="1:5" ht="15.75" thickBot="1">
      <c r="A87" s="84"/>
      <c r="B87" s="163" t="s">
        <v>116</v>
      </c>
      <c r="C87" s="165"/>
      <c r="D87" s="83" t="s">
        <v>117</v>
      </c>
      <c r="E87" s="84"/>
    </row>
    <row r="88" spans="1:5">
      <c r="A88" s="84"/>
      <c r="B88" s="42" t="s">
        <v>114</v>
      </c>
      <c r="C88" s="42" t="s">
        <v>115</v>
      </c>
      <c r="D88" s="42" t="s">
        <v>114</v>
      </c>
      <c r="E88" s="42" t="s">
        <v>50</v>
      </c>
    </row>
    <row r="89" spans="1:5">
      <c r="A89" s="82">
        <v>2015</v>
      </c>
      <c r="B89" s="79">
        <f>784021.61-113946.79</f>
        <v>670074.81999999995</v>
      </c>
      <c r="C89" s="79">
        <f>12224.77+13691.81+17299.27+15283.92+14280.26+12971.38+9735.27+10091.1+8369.01</f>
        <v>113946.79000000001</v>
      </c>
      <c r="D89" s="79">
        <v>80663.59</v>
      </c>
      <c r="E89" s="80">
        <f>SUM(B89:D89)</f>
        <v>864685.2</v>
      </c>
    </row>
    <row r="90" spans="1:5">
      <c r="A90" s="82">
        <v>2016</v>
      </c>
      <c r="B90" s="79">
        <v>554898.39</v>
      </c>
      <c r="C90" s="79">
        <v>180083.5</v>
      </c>
      <c r="D90" s="79">
        <v>63562.76</v>
      </c>
      <c r="E90" s="80">
        <f>SUM(B90:D90)</f>
        <v>798544.65</v>
      </c>
    </row>
    <row r="91" spans="1:5">
      <c r="A91" s="82">
        <v>2017</v>
      </c>
      <c r="B91" s="62">
        <v>467430.24</v>
      </c>
      <c r="C91" s="62">
        <v>123853.99</v>
      </c>
      <c r="D91" s="62">
        <v>72227.08</v>
      </c>
      <c r="E91" s="81">
        <f>SUM(B91:D91)</f>
        <v>663511.30999999994</v>
      </c>
    </row>
    <row r="92" spans="1:5">
      <c r="A92" s="84"/>
      <c r="B92" s="84"/>
      <c r="C92" s="84"/>
      <c r="D92" s="84"/>
      <c r="E92" s="84"/>
    </row>
    <row r="93" spans="1:5" ht="15.75" thickBot="1">
      <c r="A93" s="1" t="s">
        <v>50</v>
      </c>
      <c r="B93" s="87">
        <f>SUM(B89:B91)</f>
        <v>1692403.45</v>
      </c>
      <c r="C93" s="87">
        <f>SUM(C89:C91)</f>
        <v>417884.28</v>
      </c>
      <c r="D93" s="87">
        <f>SUM(D89:D91)</f>
        <v>216453.43</v>
      </c>
      <c r="E93" s="87">
        <f>SUM(E89:E91)</f>
        <v>2326741.16</v>
      </c>
    </row>
    <row r="94" spans="1:5" ht="15.75" thickBot="1"/>
    <row r="95" spans="1:5" ht="15.75" thickBot="1">
      <c r="A95" s="163" t="s">
        <v>125</v>
      </c>
      <c r="B95" s="164"/>
      <c r="C95" s="164"/>
      <c r="D95" s="164"/>
      <c r="E95" s="165"/>
    </row>
    <row r="96" spans="1:5" ht="15.75" thickBot="1">
      <c r="A96" s="1"/>
      <c r="E96" s="63"/>
    </row>
    <row r="97" spans="1:5" ht="15.75" thickBot="1">
      <c r="B97" s="163" t="s">
        <v>133</v>
      </c>
      <c r="C97" s="164"/>
      <c r="D97" s="165"/>
    </row>
    <row r="98" spans="1:5">
      <c r="B98" s="42">
        <v>2015</v>
      </c>
      <c r="C98" s="42">
        <v>2016</v>
      </c>
      <c r="D98" s="42">
        <v>2017</v>
      </c>
      <c r="E98" s="42" t="s">
        <v>50</v>
      </c>
    </row>
    <row r="99" spans="1:5">
      <c r="A99" s="1" t="s">
        <v>134</v>
      </c>
      <c r="B99" s="41">
        <v>40688924</v>
      </c>
      <c r="C99" s="41">
        <v>34831071</v>
      </c>
      <c r="D99" s="41">
        <v>47904790</v>
      </c>
    </row>
    <row r="100" spans="1:5">
      <c r="A100" s="1" t="s">
        <v>124</v>
      </c>
      <c r="B100" s="92">
        <v>1.2999999999999999E-3</v>
      </c>
      <c r="C100" s="92">
        <v>1.2999999999999999E-3</v>
      </c>
      <c r="D100" s="92">
        <v>1.8E-3</v>
      </c>
    </row>
    <row r="102" spans="1:5" ht="15.75" thickBot="1">
      <c r="A102" s="1" t="s">
        <v>126</v>
      </c>
      <c r="B102" s="95">
        <f>B99*B100</f>
        <v>52895.601199999997</v>
      </c>
      <c r="C102" s="95">
        <f>C99*C100</f>
        <v>45280.3923</v>
      </c>
      <c r="D102" s="95">
        <f>D99*D100</f>
        <v>86228.622000000003</v>
      </c>
      <c r="E102" s="105">
        <f>SUM(B102:D102)</f>
        <v>184404.61550000001</v>
      </c>
    </row>
    <row r="103" spans="1:5" ht="15.75" thickBot="1">
      <c r="E103" s="106"/>
    </row>
    <row r="104" spans="1:5" ht="15.75" thickBot="1">
      <c r="B104" s="163" t="s">
        <v>131</v>
      </c>
      <c r="C104" s="164"/>
      <c r="D104" s="165"/>
      <c r="E104" s="106"/>
    </row>
    <row r="105" spans="1:5">
      <c r="A105" s="1"/>
      <c r="B105" s="42">
        <v>2015</v>
      </c>
      <c r="C105" s="42">
        <v>2016</v>
      </c>
      <c r="D105" s="42">
        <v>2017</v>
      </c>
      <c r="E105" s="106"/>
    </row>
    <row r="106" spans="1:5">
      <c r="A106" s="1" t="s">
        <v>128</v>
      </c>
      <c r="B106" s="41">
        <v>17682212.329999998</v>
      </c>
      <c r="C106" s="41">
        <v>15636626</v>
      </c>
      <c r="D106" s="41">
        <v>31830283.98</v>
      </c>
      <c r="E106" s="106"/>
    </row>
    <row r="107" spans="1:5">
      <c r="A107" s="1" t="s">
        <v>129</v>
      </c>
      <c r="B107" s="41">
        <v>2130295.25</v>
      </c>
      <c r="C107" s="41">
        <v>923596</v>
      </c>
      <c r="D107" s="41">
        <v>0</v>
      </c>
      <c r="E107" s="106"/>
    </row>
    <row r="108" spans="1:5">
      <c r="A108" s="1" t="s">
        <v>130</v>
      </c>
      <c r="B108" s="56">
        <v>321810</v>
      </c>
      <c r="C108" s="56">
        <v>383926</v>
      </c>
      <c r="D108" s="56">
        <v>379792</v>
      </c>
      <c r="E108" s="106"/>
    </row>
    <row r="109" spans="1:5">
      <c r="E109" s="106"/>
    </row>
    <row r="110" spans="1:5">
      <c r="A110" s="1" t="s">
        <v>132</v>
      </c>
      <c r="B110" s="41">
        <f>SUM(B106:B108)</f>
        <v>20134317.579999998</v>
      </c>
      <c r="C110" s="41">
        <f>SUM(C106:C108)</f>
        <v>16944148</v>
      </c>
      <c r="D110" s="41">
        <f>SUM(D106:D108)</f>
        <v>32210075.98</v>
      </c>
      <c r="E110" s="106"/>
    </row>
    <row r="111" spans="1:5">
      <c r="A111" s="1" t="s">
        <v>124</v>
      </c>
      <c r="B111" s="92">
        <v>5.7000000000000002E-3</v>
      </c>
      <c r="C111" s="92">
        <v>5.1999999999999998E-3</v>
      </c>
      <c r="D111" s="92">
        <v>5.1000000000000004E-3</v>
      </c>
      <c r="E111" s="106"/>
    </row>
    <row r="112" spans="1:5">
      <c r="E112" s="106"/>
    </row>
    <row r="113" spans="1:6" ht="15.75" thickBot="1">
      <c r="A113" s="1" t="s">
        <v>126</v>
      </c>
      <c r="B113" s="95">
        <f>B110*B111</f>
        <v>114765.610206</v>
      </c>
      <c r="C113" s="95">
        <f>C110*C111</f>
        <v>88109.569600000003</v>
      </c>
      <c r="D113" s="95">
        <f>D110*D111</f>
        <v>164271.38749800003</v>
      </c>
      <c r="E113" s="104">
        <f>SUM(B113:D113)</f>
        <v>367146.56730400003</v>
      </c>
    </row>
    <row r="114" spans="1:6">
      <c r="E114" s="106"/>
    </row>
    <row r="115" spans="1:6">
      <c r="A115" s="1" t="s">
        <v>127</v>
      </c>
      <c r="E115" s="102">
        <f>SUM(E99:E113)</f>
        <v>551551.1828040001</v>
      </c>
    </row>
    <row r="116" spans="1:6">
      <c r="A116" s="1" t="s">
        <v>135</v>
      </c>
      <c r="E116" s="103">
        <v>552143.16</v>
      </c>
    </row>
    <row r="117" spans="1:6">
      <c r="E117" s="106"/>
    </row>
    <row r="118" spans="1:6" ht="15.75" thickBot="1">
      <c r="A118" s="1" t="s">
        <v>51</v>
      </c>
      <c r="E118" s="93">
        <f>E115-E116</f>
        <v>-591.97719599993434</v>
      </c>
      <c r="F118" s="1" t="s">
        <v>138</v>
      </c>
    </row>
    <row r="120" spans="1:6">
      <c r="A120" s="1" t="s">
        <v>137</v>
      </c>
    </row>
  </sheetData>
  <mergeCells count="13">
    <mergeCell ref="B97:D97"/>
    <mergeCell ref="A95:E95"/>
    <mergeCell ref="B104:D104"/>
    <mergeCell ref="B56:E56"/>
    <mergeCell ref="B67:E67"/>
    <mergeCell ref="A85:E85"/>
    <mergeCell ref="B87:C87"/>
    <mergeCell ref="B45:D45"/>
    <mergeCell ref="A1:E1"/>
    <mergeCell ref="A2:E2"/>
    <mergeCell ref="A3:E3"/>
    <mergeCell ref="A5:E5"/>
    <mergeCell ref="B39:D3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workbookViewId="0">
      <selection sqref="A1:E1"/>
    </sheetView>
  </sheetViews>
  <sheetFormatPr defaultRowHeight="15"/>
  <cols>
    <col min="1" max="1" width="37.42578125" customWidth="1"/>
    <col min="2" max="5" width="30.7109375" customWidth="1"/>
    <col min="9" max="9" width="30.7109375" customWidth="1"/>
    <col min="13" max="13" width="30.7109375" customWidth="1"/>
  </cols>
  <sheetData>
    <row r="1" spans="1:5">
      <c r="A1" s="166" t="s">
        <v>0</v>
      </c>
      <c r="B1" s="166"/>
      <c r="C1" s="166"/>
      <c r="D1" s="166"/>
      <c r="E1" s="166"/>
    </row>
    <row r="2" spans="1:5">
      <c r="A2" s="166" t="s">
        <v>190</v>
      </c>
      <c r="B2" s="166"/>
      <c r="C2" s="166"/>
      <c r="D2" s="166"/>
      <c r="E2" s="166"/>
    </row>
    <row r="3" spans="1:5">
      <c r="A3" s="166" t="s">
        <v>67</v>
      </c>
      <c r="B3" s="166"/>
      <c r="C3" s="166"/>
      <c r="D3" s="166"/>
      <c r="E3" s="166"/>
    </row>
    <row r="4" spans="1:5" ht="15.75" thickBot="1">
      <c r="A4" s="84"/>
      <c r="B4" s="84"/>
      <c r="C4" s="84"/>
      <c r="D4" s="84"/>
      <c r="E4" s="84"/>
    </row>
    <row r="5" spans="1:5" ht="15.75" thickBot="1">
      <c r="A5" s="163" t="s">
        <v>143</v>
      </c>
      <c r="B5" s="164"/>
      <c r="C5" s="164"/>
      <c r="D5" s="164"/>
      <c r="E5" s="165"/>
    </row>
    <row r="6" spans="1:5">
      <c r="A6" s="84"/>
      <c r="B6" s="84"/>
      <c r="C6" s="84"/>
      <c r="D6" s="84"/>
      <c r="E6" s="84"/>
    </row>
    <row r="7" spans="1:5">
      <c r="A7" s="27" t="s">
        <v>139</v>
      </c>
      <c r="C7" s="84"/>
      <c r="D7" s="27" t="s">
        <v>141</v>
      </c>
      <c r="E7" s="84"/>
    </row>
    <row r="8" spans="1:5">
      <c r="A8" s="25" t="s">
        <v>9</v>
      </c>
      <c r="B8" s="46">
        <v>6.3E-3</v>
      </c>
      <c r="C8" s="84"/>
      <c r="D8" s="89" t="s">
        <v>9</v>
      </c>
      <c r="E8" s="46">
        <v>5.8999999999999999E-3</v>
      </c>
    </row>
    <row r="9" spans="1:5">
      <c r="A9" s="25" t="s">
        <v>11</v>
      </c>
      <c r="B9" s="46">
        <v>5.7999999999999996E-3</v>
      </c>
      <c r="C9" s="84"/>
      <c r="D9" s="89" t="s">
        <v>11</v>
      </c>
      <c r="E9" s="46">
        <v>5.4000000000000003E-3</v>
      </c>
    </row>
    <row r="10" spans="1:5">
      <c r="A10" s="25" t="s">
        <v>12</v>
      </c>
      <c r="B10" s="46">
        <v>2.3683000000000001</v>
      </c>
      <c r="C10" s="84"/>
      <c r="D10" s="89" t="s">
        <v>12</v>
      </c>
      <c r="E10" s="46">
        <v>2.2210999999999999</v>
      </c>
    </row>
    <row r="11" spans="1:5">
      <c r="A11" s="25" t="s">
        <v>14</v>
      </c>
      <c r="B11" s="46">
        <v>1.7950999999999999</v>
      </c>
      <c r="C11" s="84"/>
      <c r="D11" s="89" t="s">
        <v>14</v>
      </c>
      <c r="E11" s="46">
        <v>1.6835</v>
      </c>
    </row>
    <row r="12" spans="1:5">
      <c r="A12" s="25" t="s">
        <v>15</v>
      </c>
      <c r="B12" s="46">
        <v>1.786</v>
      </c>
      <c r="C12" s="84"/>
      <c r="D12" s="89" t="s">
        <v>15</v>
      </c>
      <c r="E12" s="46">
        <v>1.675</v>
      </c>
    </row>
    <row r="13" spans="1:5">
      <c r="A13" s="25" t="s">
        <v>16</v>
      </c>
      <c r="B13" s="46">
        <v>5.7999999999999996E-3</v>
      </c>
      <c r="C13" s="84"/>
      <c r="D13" s="89" t="s">
        <v>16</v>
      </c>
      <c r="E13" s="46">
        <v>5.4000000000000003E-3</v>
      </c>
    </row>
    <row r="14" spans="1:5">
      <c r="A14" s="84"/>
      <c r="B14" s="84"/>
      <c r="C14" s="84"/>
      <c r="D14" s="84"/>
      <c r="E14" s="84"/>
    </row>
    <row r="15" spans="1:5">
      <c r="A15" s="27" t="s">
        <v>140</v>
      </c>
      <c r="B15" s="84"/>
      <c r="C15" s="84"/>
      <c r="D15" s="27" t="s">
        <v>142</v>
      </c>
      <c r="E15" s="84"/>
    </row>
    <row r="16" spans="1:5">
      <c r="A16" s="89" t="s">
        <v>9</v>
      </c>
      <c r="B16" s="46">
        <f t="shared" ref="B16:B21" si="0">B8</f>
        <v>6.3E-3</v>
      </c>
      <c r="C16" s="84"/>
      <c r="D16" s="89" t="s">
        <v>9</v>
      </c>
      <c r="E16" s="46">
        <v>5.5999999999999999E-3</v>
      </c>
    </row>
    <row r="17" spans="1:5">
      <c r="A17" s="89" t="s">
        <v>11</v>
      </c>
      <c r="B17" s="46">
        <f t="shared" si="0"/>
        <v>5.7999999999999996E-3</v>
      </c>
      <c r="C17" s="84"/>
      <c r="D17" s="89" t="s">
        <v>11</v>
      </c>
      <c r="E17" s="46">
        <v>5.1000000000000004E-3</v>
      </c>
    </row>
    <row r="18" spans="1:5">
      <c r="A18" s="89" t="s">
        <v>12</v>
      </c>
      <c r="B18" s="46">
        <f t="shared" si="0"/>
        <v>2.3683000000000001</v>
      </c>
      <c r="C18" s="84"/>
      <c r="D18" s="89" t="s">
        <v>12</v>
      </c>
      <c r="E18" s="46">
        <v>2.1053000000000002</v>
      </c>
    </row>
    <row r="19" spans="1:5">
      <c r="A19" s="89" t="s">
        <v>14</v>
      </c>
      <c r="B19" s="46">
        <f t="shared" si="0"/>
        <v>1.7950999999999999</v>
      </c>
      <c r="C19" s="84"/>
      <c r="D19" s="89" t="s">
        <v>14</v>
      </c>
      <c r="E19" s="46">
        <v>1.5956999999999999</v>
      </c>
    </row>
    <row r="20" spans="1:5">
      <c r="A20" s="89" t="s">
        <v>15</v>
      </c>
      <c r="B20" s="46">
        <f t="shared" si="0"/>
        <v>1.786</v>
      </c>
      <c r="C20" s="84"/>
      <c r="D20" s="89" t="s">
        <v>15</v>
      </c>
      <c r="E20" s="46">
        <v>1.5876999999999999</v>
      </c>
    </row>
    <row r="21" spans="1:5">
      <c r="A21" s="89" t="s">
        <v>16</v>
      </c>
      <c r="B21" s="46">
        <f t="shared" si="0"/>
        <v>5.7999999999999996E-3</v>
      </c>
      <c r="C21" s="84"/>
      <c r="D21" s="89" t="s">
        <v>16</v>
      </c>
      <c r="E21" s="46">
        <v>5.1000000000000004E-3</v>
      </c>
    </row>
    <row r="22" spans="1:5">
      <c r="A22" s="84"/>
      <c r="B22" s="84"/>
      <c r="C22" s="84"/>
      <c r="D22" s="84"/>
      <c r="E22" s="84"/>
    </row>
    <row r="23" spans="1:5" ht="15.75" thickBot="1">
      <c r="A23" s="84"/>
      <c r="B23" s="84"/>
      <c r="C23" s="84"/>
      <c r="D23" s="84"/>
      <c r="E23" s="84"/>
    </row>
    <row r="24" spans="1:5" ht="15.75" thickBot="1">
      <c r="A24" s="84"/>
      <c r="B24" s="163" t="s">
        <v>124</v>
      </c>
      <c r="C24" s="164"/>
      <c r="D24" s="165"/>
      <c r="E24" s="84"/>
    </row>
    <row r="25" spans="1:5">
      <c r="A25" s="84"/>
      <c r="B25" s="65">
        <v>2015</v>
      </c>
      <c r="C25" s="65">
        <v>2016</v>
      </c>
      <c r="D25" s="65">
        <v>2017</v>
      </c>
      <c r="E25" s="84"/>
    </row>
    <row r="26" spans="1:5">
      <c r="A26" s="89" t="s">
        <v>9</v>
      </c>
      <c r="B26" s="91">
        <f t="shared" ref="B26:B31" si="1">ROUND(($B16/12*8)+($B8/12*4),4)</f>
        <v>6.3E-3</v>
      </c>
      <c r="C26" s="91">
        <f t="shared" ref="C26:C31" si="2">ROUND(($E8/12*8)+($B16/12*4),4)</f>
        <v>6.0000000000000001E-3</v>
      </c>
      <c r="D26" s="91">
        <f t="shared" ref="D26:D31" si="3">ROUND(($E16/12*8)+($E8/12*4),4)</f>
        <v>5.7000000000000002E-3</v>
      </c>
      <c r="E26" s="84"/>
    </row>
    <row r="27" spans="1:5">
      <c r="A27" s="89" t="s">
        <v>11</v>
      </c>
      <c r="B27" s="91">
        <f t="shared" si="1"/>
        <v>5.7999999999999996E-3</v>
      </c>
      <c r="C27" s="91">
        <f t="shared" si="2"/>
        <v>5.4999999999999997E-3</v>
      </c>
      <c r="D27" s="91">
        <f t="shared" si="3"/>
        <v>5.1999999999999998E-3</v>
      </c>
      <c r="E27" s="84"/>
    </row>
    <row r="28" spans="1:5">
      <c r="A28" s="89" t="s">
        <v>12</v>
      </c>
      <c r="B28" s="91">
        <f t="shared" si="1"/>
        <v>2.3683000000000001</v>
      </c>
      <c r="C28" s="91">
        <f t="shared" si="2"/>
        <v>2.2702</v>
      </c>
      <c r="D28" s="91">
        <f t="shared" si="3"/>
        <v>2.1438999999999999</v>
      </c>
      <c r="E28" s="84"/>
    </row>
    <row r="29" spans="1:5">
      <c r="A29" s="89" t="s">
        <v>14</v>
      </c>
      <c r="B29" s="91">
        <f t="shared" si="1"/>
        <v>1.7950999999999999</v>
      </c>
      <c r="C29" s="91">
        <f t="shared" si="2"/>
        <v>1.7206999999999999</v>
      </c>
      <c r="D29" s="91">
        <f t="shared" si="3"/>
        <v>1.625</v>
      </c>
      <c r="E29" s="84"/>
    </row>
    <row r="30" spans="1:5">
      <c r="A30" s="89" t="s">
        <v>15</v>
      </c>
      <c r="B30" s="91">
        <f t="shared" si="1"/>
        <v>1.786</v>
      </c>
      <c r="C30" s="91">
        <f t="shared" si="2"/>
        <v>1.712</v>
      </c>
      <c r="D30" s="91">
        <f t="shared" si="3"/>
        <v>1.6168</v>
      </c>
      <c r="E30" s="84"/>
    </row>
    <row r="31" spans="1:5">
      <c r="A31" s="89" t="s">
        <v>16</v>
      </c>
      <c r="B31" s="91">
        <f t="shared" si="1"/>
        <v>5.7999999999999996E-3</v>
      </c>
      <c r="C31" s="91">
        <f t="shared" si="2"/>
        <v>5.4999999999999997E-3</v>
      </c>
      <c r="D31" s="91">
        <f t="shared" si="3"/>
        <v>5.1999999999999998E-3</v>
      </c>
      <c r="E31" s="84"/>
    </row>
    <row r="32" spans="1:5">
      <c r="A32" s="84"/>
      <c r="B32" s="84"/>
      <c r="C32" s="84"/>
      <c r="D32" s="84"/>
      <c r="E32" s="84"/>
    </row>
    <row r="33" spans="1:5" ht="15.75" thickBot="1">
      <c r="A33" s="84"/>
      <c r="B33" s="84"/>
      <c r="C33" s="84"/>
      <c r="D33" s="84"/>
      <c r="E33" s="84"/>
    </row>
    <row r="34" spans="1:5" ht="15.75" thickBot="1">
      <c r="A34" s="84"/>
      <c r="B34" s="163" t="s">
        <v>109</v>
      </c>
      <c r="C34" s="164"/>
      <c r="D34" s="165"/>
      <c r="E34" s="84"/>
    </row>
    <row r="35" spans="1:5">
      <c r="A35" s="84"/>
      <c r="B35" s="42">
        <v>2015</v>
      </c>
      <c r="C35" s="42">
        <v>2016</v>
      </c>
      <c r="D35" s="42">
        <v>2017</v>
      </c>
      <c r="E35" s="84"/>
    </row>
    <row r="36" spans="1:5">
      <c r="A36" s="89" t="s">
        <v>100</v>
      </c>
      <c r="B36" s="41">
        <v>77615395</v>
      </c>
      <c r="C36" s="41">
        <v>76635115</v>
      </c>
      <c r="D36" s="41">
        <v>76119517</v>
      </c>
      <c r="E36" s="84"/>
    </row>
    <row r="37" spans="1:5">
      <c r="A37" s="89" t="s">
        <v>101</v>
      </c>
      <c r="B37" s="41">
        <v>30536533</v>
      </c>
      <c r="C37" s="41">
        <v>29514061</v>
      </c>
      <c r="D37" s="41">
        <v>28872533</v>
      </c>
      <c r="E37" s="84"/>
    </row>
    <row r="38" spans="1:5">
      <c r="A38" s="89" t="s">
        <v>144</v>
      </c>
      <c r="B38" s="41">
        <v>212614</v>
      </c>
      <c r="C38" s="41">
        <v>223174.39999999999</v>
      </c>
      <c r="D38" s="41">
        <v>218668.9</v>
      </c>
      <c r="E38" s="84"/>
    </row>
    <row r="39" spans="1:5">
      <c r="A39" s="89" t="s">
        <v>31</v>
      </c>
      <c r="B39" s="41">
        <v>52</v>
      </c>
      <c r="C39" s="41">
        <v>628.6</v>
      </c>
      <c r="D39" s="41">
        <v>545.79999999999995</v>
      </c>
      <c r="E39" s="84"/>
    </row>
    <row r="40" spans="1:5">
      <c r="A40" s="89" t="s">
        <v>145</v>
      </c>
      <c r="B40" s="41">
        <v>7086</v>
      </c>
      <c r="C40" s="41">
        <v>3918.4</v>
      </c>
      <c r="D40" s="41">
        <v>3608.5</v>
      </c>
      <c r="E40" s="84"/>
    </row>
    <row r="41" spans="1:5">
      <c r="A41" s="89" t="s">
        <v>102</v>
      </c>
      <c r="B41" s="94">
        <v>567891</v>
      </c>
      <c r="C41" s="94">
        <v>594265</v>
      </c>
      <c r="D41" s="94">
        <v>611519</v>
      </c>
      <c r="E41" s="84"/>
    </row>
    <row r="42" spans="1:5">
      <c r="A42" s="84"/>
      <c r="B42" s="84"/>
      <c r="C42" s="84"/>
      <c r="D42" s="84"/>
      <c r="E42" s="84"/>
    </row>
    <row r="43" spans="1:5" ht="15.75" thickBot="1">
      <c r="A43" s="84"/>
      <c r="B43" s="84"/>
      <c r="C43" s="84"/>
      <c r="D43" s="84"/>
      <c r="E43" s="84"/>
    </row>
    <row r="44" spans="1:5" ht="15.75" thickBot="1">
      <c r="A44" s="84"/>
      <c r="B44" s="163" t="s">
        <v>26</v>
      </c>
      <c r="C44" s="164"/>
      <c r="D44" s="164"/>
      <c r="E44" s="165"/>
    </row>
    <row r="45" spans="1:5">
      <c r="A45" s="84"/>
      <c r="B45" s="42">
        <v>2015</v>
      </c>
      <c r="C45" s="42">
        <v>2016</v>
      </c>
      <c r="D45" s="42">
        <v>2017</v>
      </c>
      <c r="E45" s="42" t="s">
        <v>50</v>
      </c>
    </row>
    <row r="46" spans="1:5">
      <c r="A46" s="89" t="s">
        <v>9</v>
      </c>
      <c r="B46" s="77">
        <f t="shared" ref="B46:D51" si="4">B26*B36</f>
        <v>488976.98849999998</v>
      </c>
      <c r="C46" s="77">
        <f t="shared" si="4"/>
        <v>459810.69</v>
      </c>
      <c r="D46" s="77">
        <f t="shared" si="4"/>
        <v>433881.24690000003</v>
      </c>
      <c r="E46" s="77">
        <f t="shared" ref="E46:E51" si="5">SUM(B46:D46)</f>
        <v>1382668.9254000001</v>
      </c>
    </row>
    <row r="47" spans="1:5">
      <c r="A47" s="89" t="s">
        <v>11</v>
      </c>
      <c r="B47" s="77">
        <f t="shared" si="4"/>
        <v>177111.89139999999</v>
      </c>
      <c r="C47" s="77">
        <f t="shared" si="4"/>
        <v>162327.33549999999</v>
      </c>
      <c r="D47" s="77">
        <f t="shared" si="4"/>
        <v>150137.1716</v>
      </c>
      <c r="E47" s="77">
        <f t="shared" si="5"/>
        <v>489576.39850000001</v>
      </c>
    </row>
    <row r="48" spans="1:5">
      <c r="A48" s="89" t="s">
        <v>12</v>
      </c>
      <c r="B48" s="77">
        <f t="shared" si="4"/>
        <v>503533.73620000004</v>
      </c>
      <c r="C48" s="77">
        <f t="shared" si="4"/>
        <v>506650.52288</v>
      </c>
      <c r="D48" s="77">
        <f t="shared" si="4"/>
        <v>468804.25470999995</v>
      </c>
      <c r="E48" s="77">
        <f t="shared" si="5"/>
        <v>1478988.51379</v>
      </c>
    </row>
    <row r="49" spans="1:5">
      <c r="A49" s="89" t="s">
        <v>14</v>
      </c>
      <c r="B49" s="77">
        <f t="shared" si="4"/>
        <v>93.345199999999991</v>
      </c>
      <c r="C49" s="77">
        <f t="shared" si="4"/>
        <v>1081.63202</v>
      </c>
      <c r="D49" s="77">
        <f t="shared" si="4"/>
        <v>886.92499999999995</v>
      </c>
      <c r="E49" s="77">
        <f t="shared" si="5"/>
        <v>2061.9022199999999</v>
      </c>
    </row>
    <row r="50" spans="1:5">
      <c r="A50" s="89" t="s">
        <v>15</v>
      </c>
      <c r="B50" s="77">
        <f t="shared" si="4"/>
        <v>12655.596</v>
      </c>
      <c r="C50" s="77">
        <f t="shared" si="4"/>
        <v>6708.3008</v>
      </c>
      <c r="D50" s="77">
        <f t="shared" si="4"/>
        <v>5834.2228000000005</v>
      </c>
      <c r="E50" s="77">
        <f t="shared" si="5"/>
        <v>25198.119599999998</v>
      </c>
    </row>
    <row r="51" spans="1:5">
      <c r="A51" s="89" t="s">
        <v>16</v>
      </c>
      <c r="B51" s="78">
        <f t="shared" si="4"/>
        <v>3293.7677999999996</v>
      </c>
      <c r="C51" s="78">
        <f t="shared" si="4"/>
        <v>3268.4575</v>
      </c>
      <c r="D51" s="78">
        <f t="shared" si="4"/>
        <v>3179.8987999999999</v>
      </c>
      <c r="E51" s="78">
        <f t="shared" si="5"/>
        <v>9742.1241000000009</v>
      </c>
    </row>
    <row r="52" spans="1:5">
      <c r="A52" s="84"/>
      <c r="B52" s="84"/>
      <c r="C52" s="84"/>
      <c r="D52" s="84"/>
      <c r="E52" s="84"/>
    </row>
    <row r="53" spans="1:5">
      <c r="A53" s="90" t="s">
        <v>27</v>
      </c>
      <c r="B53" s="96">
        <f>SUM(B46:B51)</f>
        <v>1185665.3251</v>
      </c>
      <c r="C53" s="96">
        <f>SUM(C46:C51)</f>
        <v>1139846.9387000001</v>
      </c>
      <c r="D53" s="96">
        <f>SUM(D46:D51)</f>
        <v>1062723.7198100002</v>
      </c>
      <c r="E53" s="96">
        <f>SUM(E46:E51)</f>
        <v>3388235.9836100005</v>
      </c>
    </row>
    <row r="54" spans="1:5">
      <c r="A54" s="90" t="s">
        <v>28</v>
      </c>
      <c r="B54" s="47">
        <v>1185218.77</v>
      </c>
      <c r="C54" s="47">
        <v>1167033.8400000001</v>
      </c>
      <c r="D54" s="47">
        <v>1046424.18</v>
      </c>
      <c r="E54" s="56">
        <f>SUM(B54:D54)</f>
        <v>3398676.7900000005</v>
      </c>
    </row>
    <row r="55" spans="1:5">
      <c r="A55" s="90"/>
      <c r="B55" s="84"/>
      <c r="C55" s="84"/>
      <c r="D55" s="84"/>
      <c r="E55" s="84"/>
    </row>
    <row r="56" spans="1:5" ht="15.75" thickBot="1">
      <c r="A56" s="90" t="s">
        <v>51</v>
      </c>
      <c r="B56" s="86">
        <f>B53-B54</f>
        <v>446.55509999999776</v>
      </c>
      <c r="C56" s="86">
        <f>C53-C54</f>
        <v>-27186.901300000027</v>
      </c>
      <c r="D56" s="86">
        <f>D53-D54</f>
        <v>16299.539810000104</v>
      </c>
      <c r="E56" s="86">
        <f>E53-E54</f>
        <v>-10440.806390000042</v>
      </c>
    </row>
    <row r="57" spans="1:5">
      <c r="A57" s="90"/>
      <c r="B57" s="85"/>
      <c r="C57" s="85"/>
      <c r="D57" s="85"/>
      <c r="E57" s="85"/>
    </row>
    <row r="58" spans="1:5">
      <c r="A58" s="90" t="s">
        <v>146</v>
      </c>
      <c r="B58" s="85"/>
      <c r="C58" s="85"/>
      <c r="D58" s="85"/>
      <c r="E58" s="85"/>
    </row>
    <row r="59" spans="1:5" ht="15.75" thickBot="1">
      <c r="A59" s="84"/>
      <c r="B59" s="84"/>
      <c r="C59" s="84"/>
      <c r="D59" s="84"/>
      <c r="E59" s="84"/>
    </row>
    <row r="60" spans="1:5" ht="15.75" thickBot="1">
      <c r="A60" s="163" t="s">
        <v>158</v>
      </c>
      <c r="B60" s="164"/>
      <c r="C60" s="164"/>
      <c r="D60" s="164"/>
      <c r="E60" s="165"/>
    </row>
    <row r="61" spans="1:5" ht="15.75" thickBot="1">
      <c r="A61" s="84"/>
      <c r="B61" s="84"/>
      <c r="C61" s="84"/>
      <c r="D61" s="84"/>
      <c r="E61" s="84"/>
    </row>
    <row r="62" spans="1:5" ht="15.75" thickBot="1">
      <c r="A62" s="84"/>
      <c r="B62" s="163" t="s">
        <v>147</v>
      </c>
      <c r="C62" s="165"/>
      <c r="D62" s="97"/>
      <c r="E62" s="84"/>
    </row>
    <row r="63" spans="1:5">
      <c r="A63" s="84"/>
      <c r="B63" s="42" t="s">
        <v>79</v>
      </c>
      <c r="C63" s="42" t="s">
        <v>68</v>
      </c>
      <c r="D63" s="42" t="s">
        <v>50</v>
      </c>
    </row>
    <row r="64" spans="1:5">
      <c r="A64" s="82">
        <v>2015</v>
      </c>
      <c r="B64" s="79">
        <v>1077727.75</v>
      </c>
      <c r="C64" s="79">
        <v>80417.210000000006</v>
      </c>
      <c r="D64" s="80">
        <f>SUM(B64:C64)</f>
        <v>1158144.96</v>
      </c>
    </row>
    <row r="65" spans="1:5">
      <c r="A65" s="82">
        <v>2016</v>
      </c>
      <c r="B65" s="79">
        <v>1177507.7100000002</v>
      </c>
      <c r="C65" s="79">
        <v>80993.59</v>
      </c>
      <c r="D65" s="80">
        <f>SUM(B65:C65)</f>
        <v>1258501.3000000003</v>
      </c>
    </row>
    <row r="66" spans="1:5">
      <c r="A66" s="82">
        <v>2017</v>
      </c>
      <c r="B66" s="62">
        <v>1009407.99</v>
      </c>
      <c r="C66" s="62">
        <v>64468.59</v>
      </c>
      <c r="D66" s="81">
        <f>SUM(B66:C66)</f>
        <v>1073876.58</v>
      </c>
    </row>
    <row r="67" spans="1:5">
      <c r="A67" s="84"/>
      <c r="B67" s="84"/>
      <c r="C67" s="84"/>
      <c r="D67" s="84"/>
    </row>
    <row r="68" spans="1:5" ht="15.75" thickBot="1">
      <c r="A68" s="1" t="s">
        <v>50</v>
      </c>
      <c r="B68" s="87">
        <f>SUM(B64:B66)</f>
        <v>3264643.45</v>
      </c>
      <c r="C68" s="87">
        <f>SUM(C64:C66)</f>
        <v>225879.38999999998</v>
      </c>
      <c r="D68" s="87">
        <f>SUM(D64:D66)</f>
        <v>3490522.8400000003</v>
      </c>
    </row>
    <row r="69" spans="1:5" ht="15.75" thickBot="1"/>
    <row r="70" spans="1:5" ht="15.75" thickBot="1">
      <c r="A70" s="163" t="s">
        <v>125</v>
      </c>
      <c r="B70" s="164"/>
      <c r="C70" s="164"/>
      <c r="D70" s="164"/>
      <c r="E70" s="165"/>
    </row>
    <row r="71" spans="1:5">
      <c r="A71" s="1"/>
      <c r="E71" s="63"/>
    </row>
    <row r="72" spans="1:5" ht="15.75" thickBot="1"/>
    <row r="73" spans="1:5" ht="15.75" thickBot="1">
      <c r="B73" s="163" t="s">
        <v>148</v>
      </c>
      <c r="C73" s="164"/>
      <c r="D73" s="165"/>
    </row>
    <row r="74" spans="1:5">
      <c r="A74" s="1"/>
      <c r="B74" s="42">
        <v>2015</v>
      </c>
      <c r="C74" s="42">
        <v>2016</v>
      </c>
      <c r="D74" s="42">
        <v>2017</v>
      </c>
      <c r="E74" s="42" t="s">
        <v>50</v>
      </c>
    </row>
    <row r="75" spans="1:5">
      <c r="A75" s="1" t="s">
        <v>149</v>
      </c>
      <c r="B75" s="41">
        <f>B54</f>
        <v>1185218.77</v>
      </c>
      <c r="C75" s="41">
        <f>C54</f>
        <v>1167033.8400000001</v>
      </c>
      <c r="D75" s="41">
        <f>D54</f>
        <v>1046424.18</v>
      </c>
    </row>
    <row r="76" spans="1:5">
      <c r="A76" s="1" t="s">
        <v>150</v>
      </c>
      <c r="B76" s="56">
        <f>D64</f>
        <v>1158144.96</v>
      </c>
      <c r="C76" s="56">
        <f>D65</f>
        <v>1258501.3000000003</v>
      </c>
      <c r="D76" s="56">
        <f>D66</f>
        <v>1073876.58</v>
      </c>
    </row>
    <row r="78" spans="1:5" ht="15.75" thickBot="1">
      <c r="A78" s="1" t="s">
        <v>151</v>
      </c>
      <c r="B78" s="98">
        <f>B75-B76</f>
        <v>27073.810000000056</v>
      </c>
      <c r="C78" s="98">
        <f>C75-C76</f>
        <v>-91467.460000000196</v>
      </c>
      <c r="D78" s="98">
        <f>D75-D76</f>
        <v>-27452.400000000023</v>
      </c>
      <c r="E78" s="104">
        <f>SUM(B78:D78)</f>
        <v>-91846.050000000163</v>
      </c>
    </row>
    <row r="80" spans="1:5">
      <c r="A80" s="1" t="s">
        <v>127</v>
      </c>
      <c r="E80" s="102">
        <f>SUM(E75:E78)</f>
        <v>-91846.050000000163</v>
      </c>
    </row>
    <row r="81" spans="1:6">
      <c r="A81" s="1" t="s">
        <v>135</v>
      </c>
      <c r="E81" s="103">
        <v>-112738.57</v>
      </c>
    </row>
    <row r="83" spans="1:6" ht="15.75" thickBot="1">
      <c r="A83" s="1" t="s">
        <v>51</v>
      </c>
      <c r="E83" s="93">
        <f>E80-E81</f>
        <v>20892.519999999844</v>
      </c>
      <c r="F83" s="1" t="s">
        <v>138</v>
      </c>
    </row>
    <row r="85" spans="1:6">
      <c r="A85" s="184" t="s">
        <v>152</v>
      </c>
      <c r="B85" s="184"/>
      <c r="C85" s="184"/>
      <c r="D85" s="184"/>
      <c r="E85" s="184"/>
    </row>
    <row r="86" spans="1:6">
      <c r="A86" s="184"/>
      <c r="B86" s="184"/>
      <c r="C86" s="184"/>
      <c r="D86" s="184"/>
      <c r="E86" s="184"/>
    </row>
    <row r="87" spans="1:6">
      <c r="A87" s="184"/>
      <c r="B87" s="184"/>
      <c r="C87" s="184"/>
      <c r="D87" s="184"/>
      <c r="E87" s="184"/>
    </row>
    <row r="88" spans="1:6">
      <c r="A88" s="184"/>
      <c r="B88" s="184"/>
      <c r="C88" s="184"/>
      <c r="D88" s="184"/>
      <c r="E88" s="184"/>
    </row>
  </sheetData>
  <mergeCells count="12">
    <mergeCell ref="B73:D73"/>
    <mergeCell ref="A85:E88"/>
    <mergeCell ref="B44:E44"/>
    <mergeCell ref="A60:E60"/>
    <mergeCell ref="B62:C62"/>
    <mergeCell ref="A70:E70"/>
    <mergeCell ref="B34:D34"/>
    <mergeCell ref="A1:E1"/>
    <mergeCell ref="A2:E2"/>
    <mergeCell ref="A3:E3"/>
    <mergeCell ref="A5:E5"/>
    <mergeCell ref="B24:D2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workbookViewId="0">
      <selection sqref="A1:E1"/>
    </sheetView>
  </sheetViews>
  <sheetFormatPr defaultRowHeight="15"/>
  <cols>
    <col min="1" max="1" width="37.42578125" customWidth="1"/>
    <col min="2" max="5" width="30.7109375" customWidth="1"/>
    <col min="9" max="9" width="30.7109375" customWidth="1"/>
    <col min="13" max="13" width="30.7109375" customWidth="1"/>
  </cols>
  <sheetData>
    <row r="1" spans="1:5">
      <c r="A1" s="166" t="s">
        <v>0</v>
      </c>
      <c r="B1" s="166"/>
      <c r="C1" s="166"/>
      <c r="D1" s="166"/>
      <c r="E1" s="166"/>
    </row>
    <row r="2" spans="1:5">
      <c r="A2" s="166" t="s">
        <v>191</v>
      </c>
      <c r="B2" s="166"/>
      <c r="C2" s="166"/>
      <c r="D2" s="166"/>
      <c r="E2" s="166"/>
    </row>
    <row r="3" spans="1:5">
      <c r="A3" s="166" t="s">
        <v>67</v>
      </c>
      <c r="B3" s="166"/>
      <c r="C3" s="166"/>
      <c r="D3" s="166"/>
      <c r="E3" s="166"/>
    </row>
    <row r="4" spans="1:5" ht="15.75" thickBot="1">
      <c r="A4" s="84"/>
      <c r="B4" s="84"/>
      <c r="C4" s="84"/>
      <c r="D4" s="84"/>
      <c r="E4" s="84"/>
    </row>
    <row r="5" spans="1:5" ht="15.75" thickBot="1">
      <c r="A5" s="163" t="s">
        <v>153</v>
      </c>
      <c r="B5" s="164"/>
      <c r="C5" s="164"/>
      <c r="D5" s="164"/>
      <c r="E5" s="165"/>
    </row>
    <row r="6" spans="1:5">
      <c r="A6" s="84"/>
      <c r="B6" s="84"/>
      <c r="C6" s="84"/>
      <c r="D6" s="84"/>
      <c r="E6" s="84"/>
    </row>
    <row r="7" spans="1:5">
      <c r="A7" s="27" t="s">
        <v>154</v>
      </c>
      <c r="C7" s="84"/>
      <c r="D7" s="27" t="s">
        <v>156</v>
      </c>
      <c r="E7" s="84"/>
    </row>
    <row r="8" spans="1:5">
      <c r="A8" s="25" t="s">
        <v>9</v>
      </c>
      <c r="B8" s="46">
        <v>4.4999999999999997E-3</v>
      </c>
      <c r="C8" s="84"/>
      <c r="D8" s="89" t="s">
        <v>9</v>
      </c>
      <c r="E8" s="46">
        <v>4.4999999999999997E-3</v>
      </c>
    </row>
    <row r="9" spans="1:5">
      <c r="A9" s="25" t="s">
        <v>11</v>
      </c>
      <c r="B9" s="46">
        <v>4.0000000000000001E-3</v>
      </c>
      <c r="C9" s="84"/>
      <c r="D9" s="89" t="s">
        <v>11</v>
      </c>
      <c r="E9" s="46">
        <v>4.0000000000000001E-3</v>
      </c>
    </row>
    <row r="10" spans="1:5">
      <c r="A10" s="25" t="s">
        <v>12</v>
      </c>
      <c r="B10" s="46">
        <v>1.5959000000000001</v>
      </c>
      <c r="C10" s="84"/>
      <c r="D10" s="89" t="s">
        <v>12</v>
      </c>
      <c r="E10" s="46">
        <v>1.6062000000000001</v>
      </c>
    </row>
    <row r="11" spans="1:5">
      <c r="A11" s="25" t="s">
        <v>14</v>
      </c>
      <c r="B11" s="46">
        <v>1.2596000000000001</v>
      </c>
      <c r="C11" s="84"/>
      <c r="D11" s="89" t="s">
        <v>14</v>
      </c>
      <c r="E11" s="46">
        <v>1.2678</v>
      </c>
    </row>
    <row r="12" spans="1:5">
      <c r="A12" s="25" t="s">
        <v>15</v>
      </c>
      <c r="B12" s="46">
        <v>1.2338</v>
      </c>
      <c r="C12" s="84"/>
      <c r="D12" s="89" t="s">
        <v>15</v>
      </c>
      <c r="E12" s="46">
        <v>1.2418</v>
      </c>
    </row>
    <row r="13" spans="1:5">
      <c r="A13" s="25" t="s">
        <v>16</v>
      </c>
      <c r="B13" s="46">
        <v>4.0000000000000001E-3</v>
      </c>
      <c r="C13" s="84"/>
      <c r="D13" s="89" t="s">
        <v>16</v>
      </c>
      <c r="E13" s="46">
        <v>4.0000000000000001E-3</v>
      </c>
    </row>
    <row r="14" spans="1:5">
      <c r="A14" s="84"/>
      <c r="B14" s="84"/>
      <c r="C14" s="84"/>
      <c r="D14" s="84"/>
      <c r="E14" s="84"/>
    </row>
    <row r="15" spans="1:5">
      <c r="A15" s="27" t="s">
        <v>155</v>
      </c>
      <c r="B15" s="84"/>
      <c r="C15" s="84"/>
      <c r="D15" s="27" t="s">
        <v>157</v>
      </c>
      <c r="E15" s="84"/>
    </row>
    <row r="16" spans="1:5">
      <c r="A16" s="89" t="s">
        <v>9</v>
      </c>
      <c r="B16" s="46">
        <f t="shared" ref="B16:B21" si="0">B8</f>
        <v>4.4999999999999997E-3</v>
      </c>
      <c r="C16" s="84"/>
      <c r="D16" s="89" t="s">
        <v>9</v>
      </c>
      <c r="E16" s="46">
        <v>4.3E-3</v>
      </c>
    </row>
    <row r="17" spans="1:5">
      <c r="A17" s="89" t="s">
        <v>11</v>
      </c>
      <c r="B17" s="46">
        <f t="shared" si="0"/>
        <v>4.0000000000000001E-3</v>
      </c>
      <c r="C17" s="84"/>
      <c r="D17" s="89" t="s">
        <v>11</v>
      </c>
      <c r="E17" s="46">
        <v>3.8E-3</v>
      </c>
    </row>
    <row r="18" spans="1:5">
      <c r="A18" s="89" t="s">
        <v>12</v>
      </c>
      <c r="B18" s="46">
        <f t="shared" si="0"/>
        <v>1.5959000000000001</v>
      </c>
      <c r="C18" s="84"/>
      <c r="D18" s="89" t="s">
        <v>12</v>
      </c>
      <c r="E18" s="46">
        <v>1.5245</v>
      </c>
    </row>
    <row r="19" spans="1:5">
      <c r="A19" s="89" t="s">
        <v>14</v>
      </c>
      <c r="B19" s="46">
        <f t="shared" si="0"/>
        <v>1.2596000000000001</v>
      </c>
      <c r="C19" s="84"/>
      <c r="D19" s="89" t="s">
        <v>14</v>
      </c>
      <c r="E19" s="46">
        <v>1.2035</v>
      </c>
    </row>
    <row r="20" spans="1:5">
      <c r="A20" s="89" t="s">
        <v>15</v>
      </c>
      <c r="B20" s="46">
        <f t="shared" si="0"/>
        <v>1.2338</v>
      </c>
      <c r="C20" s="84"/>
      <c r="D20" s="89" t="s">
        <v>15</v>
      </c>
      <c r="E20" s="46">
        <v>1.1787000000000001</v>
      </c>
    </row>
    <row r="21" spans="1:5">
      <c r="A21" s="89" t="s">
        <v>16</v>
      </c>
      <c r="B21" s="46">
        <f t="shared" si="0"/>
        <v>4.0000000000000001E-3</v>
      </c>
      <c r="C21" s="84"/>
      <c r="D21" s="89" t="s">
        <v>16</v>
      </c>
      <c r="E21" s="46">
        <v>3.8E-3</v>
      </c>
    </row>
    <row r="22" spans="1:5">
      <c r="A22" s="84"/>
      <c r="B22" s="84"/>
      <c r="C22" s="84"/>
      <c r="D22" s="84"/>
      <c r="E22" s="84"/>
    </row>
    <row r="23" spans="1:5" ht="15.75" thickBot="1">
      <c r="A23" s="84"/>
      <c r="B23" s="84"/>
      <c r="C23" s="84"/>
      <c r="D23" s="84"/>
      <c r="E23" s="84"/>
    </row>
    <row r="24" spans="1:5" ht="15.75" thickBot="1">
      <c r="A24" s="84"/>
      <c r="B24" s="163" t="s">
        <v>124</v>
      </c>
      <c r="C24" s="164"/>
      <c r="D24" s="165"/>
      <c r="E24" s="84"/>
    </row>
    <row r="25" spans="1:5">
      <c r="A25" s="84"/>
      <c r="B25" s="65">
        <v>2015</v>
      </c>
      <c r="C25" s="65">
        <v>2016</v>
      </c>
      <c r="D25" s="65">
        <v>2017</v>
      </c>
      <c r="E25" s="84"/>
    </row>
    <row r="26" spans="1:5">
      <c r="A26" s="89" t="s">
        <v>9</v>
      </c>
      <c r="B26" s="91">
        <f t="shared" ref="B26:B31" si="1">ROUND(($B16/12*8)+($B8/12*4),4)</f>
        <v>4.4999999999999997E-3</v>
      </c>
      <c r="C26" s="91">
        <f t="shared" ref="C26:C31" si="2">ROUND(($E8/12*8)+($B16/12*4),4)</f>
        <v>4.4999999999999997E-3</v>
      </c>
      <c r="D26" s="91">
        <f t="shared" ref="D26:D31" si="3">ROUND(($E16/12*8)+($E8/12*4),4)</f>
        <v>4.4000000000000003E-3</v>
      </c>
      <c r="E26" s="84"/>
    </row>
    <row r="27" spans="1:5">
      <c r="A27" s="89" t="s">
        <v>11</v>
      </c>
      <c r="B27" s="91">
        <f t="shared" si="1"/>
        <v>4.0000000000000001E-3</v>
      </c>
      <c r="C27" s="91">
        <f t="shared" si="2"/>
        <v>4.0000000000000001E-3</v>
      </c>
      <c r="D27" s="91">
        <f t="shared" si="3"/>
        <v>3.8999999999999998E-3</v>
      </c>
      <c r="E27" s="84"/>
    </row>
    <row r="28" spans="1:5">
      <c r="A28" s="89" t="s">
        <v>12</v>
      </c>
      <c r="B28" s="91">
        <f t="shared" si="1"/>
        <v>1.5959000000000001</v>
      </c>
      <c r="C28" s="91">
        <f t="shared" si="2"/>
        <v>1.6028</v>
      </c>
      <c r="D28" s="91">
        <f t="shared" si="3"/>
        <v>1.5517000000000001</v>
      </c>
      <c r="E28" s="84"/>
    </row>
    <row r="29" spans="1:5">
      <c r="A29" s="89" t="s">
        <v>14</v>
      </c>
      <c r="B29" s="91">
        <f t="shared" si="1"/>
        <v>1.2596000000000001</v>
      </c>
      <c r="C29" s="91">
        <f t="shared" si="2"/>
        <v>1.2650999999999999</v>
      </c>
      <c r="D29" s="91">
        <f t="shared" si="3"/>
        <v>1.2249000000000001</v>
      </c>
      <c r="E29" s="84"/>
    </row>
    <row r="30" spans="1:5">
      <c r="A30" s="89" t="s">
        <v>15</v>
      </c>
      <c r="B30" s="91">
        <f t="shared" si="1"/>
        <v>1.2338</v>
      </c>
      <c r="C30" s="91">
        <f t="shared" si="2"/>
        <v>1.2391000000000001</v>
      </c>
      <c r="D30" s="91">
        <f t="shared" si="3"/>
        <v>1.1997</v>
      </c>
      <c r="E30" s="84"/>
    </row>
    <row r="31" spans="1:5">
      <c r="A31" s="89" t="s">
        <v>16</v>
      </c>
      <c r="B31" s="91">
        <f t="shared" si="1"/>
        <v>4.0000000000000001E-3</v>
      </c>
      <c r="C31" s="91">
        <f t="shared" si="2"/>
        <v>4.0000000000000001E-3</v>
      </c>
      <c r="D31" s="91">
        <f t="shared" si="3"/>
        <v>3.8999999999999998E-3</v>
      </c>
      <c r="E31" s="84"/>
    </row>
    <row r="32" spans="1:5">
      <c r="A32" s="84"/>
      <c r="B32" s="84"/>
      <c r="C32" s="84"/>
      <c r="D32" s="84"/>
      <c r="E32" s="84"/>
    </row>
    <row r="33" spans="1:5" ht="15.75" thickBot="1">
      <c r="A33" s="84"/>
      <c r="B33" s="84"/>
      <c r="C33" s="84"/>
      <c r="D33" s="84"/>
      <c r="E33" s="84"/>
    </row>
    <row r="34" spans="1:5" ht="15.75" thickBot="1">
      <c r="A34" s="84"/>
      <c r="B34" s="163" t="s">
        <v>109</v>
      </c>
      <c r="C34" s="164"/>
      <c r="D34" s="165"/>
      <c r="E34" s="84"/>
    </row>
    <row r="35" spans="1:5">
      <c r="A35" s="84"/>
      <c r="B35" s="42">
        <v>2015</v>
      </c>
      <c r="C35" s="42">
        <v>2016</v>
      </c>
      <c r="D35" s="42">
        <v>2017</v>
      </c>
      <c r="E35" s="84"/>
    </row>
    <row r="36" spans="1:5">
      <c r="A36" s="89" t="s">
        <v>100</v>
      </c>
      <c r="B36" s="41">
        <v>77615395</v>
      </c>
      <c r="C36" s="41">
        <v>76635115</v>
      </c>
      <c r="D36" s="41">
        <v>76119517</v>
      </c>
      <c r="E36" s="84"/>
    </row>
    <row r="37" spans="1:5">
      <c r="A37" s="89" t="s">
        <v>101</v>
      </c>
      <c r="B37" s="41">
        <v>30536533</v>
      </c>
      <c r="C37" s="41">
        <v>29514061</v>
      </c>
      <c r="D37" s="41">
        <v>28872533</v>
      </c>
      <c r="E37" s="84"/>
    </row>
    <row r="38" spans="1:5">
      <c r="A38" s="89" t="s">
        <v>144</v>
      </c>
      <c r="B38" s="41">
        <v>212614</v>
      </c>
      <c r="C38" s="41">
        <v>223174.39999999999</v>
      </c>
      <c r="D38" s="41">
        <v>218668.9</v>
      </c>
      <c r="E38" s="84"/>
    </row>
    <row r="39" spans="1:5">
      <c r="A39" s="89" t="s">
        <v>31</v>
      </c>
      <c r="B39" s="41">
        <v>52</v>
      </c>
      <c r="C39" s="41">
        <v>628.6</v>
      </c>
      <c r="D39" s="41">
        <v>545.79999999999995</v>
      </c>
      <c r="E39" s="84"/>
    </row>
    <row r="40" spans="1:5">
      <c r="A40" s="89" t="s">
        <v>145</v>
      </c>
      <c r="B40" s="41">
        <v>7086</v>
      </c>
      <c r="C40" s="41">
        <v>3918.4</v>
      </c>
      <c r="D40" s="41">
        <v>3608.5</v>
      </c>
      <c r="E40" s="84"/>
    </row>
    <row r="41" spans="1:5">
      <c r="A41" s="89" t="s">
        <v>102</v>
      </c>
      <c r="B41" s="94">
        <v>567891</v>
      </c>
      <c r="C41" s="94">
        <v>594265</v>
      </c>
      <c r="D41" s="94">
        <v>611519</v>
      </c>
      <c r="E41" s="84"/>
    </row>
    <row r="42" spans="1:5">
      <c r="A42" s="84"/>
      <c r="B42" s="84"/>
      <c r="C42" s="84"/>
      <c r="D42" s="84"/>
      <c r="E42" s="84"/>
    </row>
    <row r="43" spans="1:5" ht="15.75" thickBot="1">
      <c r="A43" s="84"/>
      <c r="B43" s="84"/>
      <c r="C43" s="84"/>
      <c r="D43" s="84"/>
      <c r="E43" s="84"/>
    </row>
    <row r="44" spans="1:5" ht="15.75" thickBot="1">
      <c r="A44" s="84"/>
      <c r="B44" s="163" t="s">
        <v>26</v>
      </c>
      <c r="C44" s="164"/>
      <c r="D44" s="164"/>
      <c r="E44" s="165"/>
    </row>
    <row r="45" spans="1:5">
      <c r="A45" s="84"/>
      <c r="B45" s="42">
        <v>2015</v>
      </c>
      <c r="C45" s="42">
        <v>2016</v>
      </c>
      <c r="D45" s="42">
        <v>2017</v>
      </c>
      <c r="E45" s="42" t="s">
        <v>50</v>
      </c>
    </row>
    <row r="46" spans="1:5">
      <c r="A46" s="89" t="s">
        <v>9</v>
      </c>
      <c r="B46" s="77">
        <f t="shared" ref="B46:D51" si="4">B26*B36</f>
        <v>349269.27749999997</v>
      </c>
      <c r="C46" s="77">
        <f t="shared" si="4"/>
        <v>344858.01749999996</v>
      </c>
      <c r="D46" s="77">
        <f t="shared" si="4"/>
        <v>334925.87480000005</v>
      </c>
      <c r="E46" s="77">
        <f t="shared" ref="E46:E51" si="5">SUM(B46:D46)</f>
        <v>1029053.1698</v>
      </c>
    </row>
    <row r="47" spans="1:5">
      <c r="A47" s="89" t="s">
        <v>11</v>
      </c>
      <c r="B47" s="77">
        <f t="shared" si="4"/>
        <v>122146.132</v>
      </c>
      <c r="C47" s="77">
        <f t="shared" si="4"/>
        <v>118056.24400000001</v>
      </c>
      <c r="D47" s="77">
        <f t="shared" si="4"/>
        <v>112602.8787</v>
      </c>
      <c r="E47" s="77">
        <f t="shared" si="5"/>
        <v>352805.25469999999</v>
      </c>
    </row>
    <row r="48" spans="1:5">
      <c r="A48" s="89" t="s">
        <v>12</v>
      </c>
      <c r="B48" s="77">
        <f t="shared" si="4"/>
        <v>339310.6826</v>
      </c>
      <c r="C48" s="77">
        <f t="shared" si="4"/>
        <v>357703.92832000001</v>
      </c>
      <c r="D48" s="77">
        <f t="shared" si="4"/>
        <v>339308.53213000001</v>
      </c>
      <c r="E48" s="77">
        <f t="shared" si="5"/>
        <v>1036323.1430500001</v>
      </c>
    </row>
    <row r="49" spans="1:5">
      <c r="A49" s="89" t="s">
        <v>14</v>
      </c>
      <c r="B49" s="77">
        <f t="shared" si="4"/>
        <v>65.499200000000002</v>
      </c>
      <c r="C49" s="77">
        <f t="shared" si="4"/>
        <v>795.24185999999997</v>
      </c>
      <c r="D49" s="77">
        <f t="shared" si="4"/>
        <v>668.55042000000003</v>
      </c>
      <c r="E49" s="77">
        <f t="shared" si="5"/>
        <v>1529.2914799999999</v>
      </c>
    </row>
    <row r="50" spans="1:5">
      <c r="A50" s="89" t="s">
        <v>15</v>
      </c>
      <c r="B50" s="77">
        <f t="shared" si="4"/>
        <v>8742.7067999999999</v>
      </c>
      <c r="C50" s="77">
        <f t="shared" si="4"/>
        <v>4855.2894400000005</v>
      </c>
      <c r="D50" s="77">
        <f t="shared" si="4"/>
        <v>4329.1174499999997</v>
      </c>
      <c r="E50" s="77">
        <f t="shared" si="5"/>
        <v>17927.113689999998</v>
      </c>
    </row>
    <row r="51" spans="1:5">
      <c r="A51" s="89" t="s">
        <v>16</v>
      </c>
      <c r="B51" s="78">
        <f t="shared" si="4"/>
        <v>2271.5639999999999</v>
      </c>
      <c r="C51" s="78">
        <f t="shared" si="4"/>
        <v>2377.06</v>
      </c>
      <c r="D51" s="78">
        <f t="shared" si="4"/>
        <v>2384.9240999999997</v>
      </c>
      <c r="E51" s="78">
        <f t="shared" si="5"/>
        <v>7033.5481</v>
      </c>
    </row>
    <row r="52" spans="1:5">
      <c r="A52" s="84"/>
      <c r="B52" s="84"/>
      <c r="C52" s="84"/>
      <c r="D52" s="84"/>
      <c r="E52" s="84"/>
    </row>
    <row r="53" spans="1:5">
      <c r="A53" s="90" t="s">
        <v>27</v>
      </c>
      <c r="B53" s="96">
        <f>SUM(B46:B51)</f>
        <v>821805.86210000003</v>
      </c>
      <c r="C53" s="96">
        <f>SUM(C46:C51)</f>
        <v>828645.78111999994</v>
      </c>
      <c r="D53" s="96">
        <f>SUM(D46:D51)</f>
        <v>794219.87760000001</v>
      </c>
      <c r="E53" s="96">
        <f>SUM(E46:E51)</f>
        <v>2444671.5208199997</v>
      </c>
    </row>
    <row r="54" spans="1:5">
      <c r="A54" s="90" t="s">
        <v>28</v>
      </c>
      <c r="B54" s="47">
        <v>859740.08</v>
      </c>
      <c r="C54" s="47">
        <v>849022.58</v>
      </c>
      <c r="D54" s="47">
        <v>792370.54</v>
      </c>
      <c r="E54" s="56">
        <f>SUM(B54:D54)</f>
        <v>2501133.2000000002</v>
      </c>
    </row>
    <row r="55" spans="1:5">
      <c r="A55" s="90"/>
      <c r="B55" s="84"/>
      <c r="C55" s="84"/>
      <c r="D55" s="84"/>
      <c r="E55" s="84"/>
    </row>
    <row r="56" spans="1:5" ht="15.75" thickBot="1">
      <c r="A56" s="90" t="s">
        <v>51</v>
      </c>
      <c r="B56" s="86">
        <f>B53-B54</f>
        <v>-37934.217899999931</v>
      </c>
      <c r="C56" s="86">
        <f>C53-C54</f>
        <v>-20376.798880000017</v>
      </c>
      <c r="D56" s="86">
        <f>D53-D54</f>
        <v>1849.3375999999698</v>
      </c>
      <c r="E56" s="86">
        <f>E53-E54</f>
        <v>-56461.679180000443</v>
      </c>
    </row>
    <row r="57" spans="1:5">
      <c r="A57" s="90"/>
      <c r="B57" s="85"/>
      <c r="C57" s="85"/>
      <c r="D57" s="85"/>
      <c r="E57" s="85"/>
    </row>
    <row r="58" spans="1:5">
      <c r="A58" s="90" t="s">
        <v>159</v>
      </c>
      <c r="B58" s="85"/>
      <c r="C58" s="85"/>
      <c r="D58" s="85"/>
      <c r="E58" s="85"/>
    </row>
    <row r="59" spans="1:5" ht="15.75" thickBot="1">
      <c r="A59" s="84"/>
      <c r="B59" s="84"/>
      <c r="C59" s="84"/>
      <c r="D59" s="84"/>
      <c r="E59" s="84"/>
    </row>
    <row r="60" spans="1:5" ht="15.75" thickBot="1">
      <c r="A60" s="163" t="s">
        <v>160</v>
      </c>
      <c r="B60" s="164"/>
      <c r="C60" s="164"/>
      <c r="D60" s="164"/>
      <c r="E60" s="165"/>
    </row>
    <row r="61" spans="1:5" ht="15.75" thickBot="1">
      <c r="A61" s="84"/>
      <c r="B61" s="84"/>
      <c r="C61" s="84"/>
      <c r="D61" s="84"/>
      <c r="E61" s="84"/>
    </row>
    <row r="62" spans="1:5" ht="15.75" thickBot="1">
      <c r="A62" s="84"/>
      <c r="B62" s="83" t="s">
        <v>147</v>
      </c>
      <c r="C62" s="101"/>
      <c r="D62" s="97"/>
      <c r="E62" s="84"/>
    </row>
    <row r="63" spans="1:5">
      <c r="A63" s="84"/>
      <c r="B63" s="42" t="s">
        <v>79</v>
      </c>
      <c r="C63" s="97"/>
      <c r="D63" s="97"/>
    </row>
    <row r="64" spans="1:5">
      <c r="A64" s="82">
        <v>2015</v>
      </c>
      <c r="B64" s="79">
        <v>809854.27</v>
      </c>
      <c r="C64" s="79"/>
      <c r="D64" s="80"/>
    </row>
    <row r="65" spans="1:5">
      <c r="A65" s="82">
        <v>2016</v>
      </c>
      <c r="B65" s="79">
        <v>921628.06</v>
      </c>
      <c r="C65" s="79"/>
      <c r="D65" s="80"/>
    </row>
    <row r="66" spans="1:5">
      <c r="A66" s="82">
        <v>2017</v>
      </c>
      <c r="B66" s="62">
        <v>826584.33</v>
      </c>
      <c r="C66" s="79"/>
      <c r="D66" s="80"/>
    </row>
    <row r="67" spans="1:5">
      <c r="A67" s="84"/>
      <c r="B67" s="84"/>
      <c r="C67" s="99"/>
      <c r="D67" s="99"/>
    </row>
    <row r="68" spans="1:5" ht="15.75" thickBot="1">
      <c r="A68" s="1" t="s">
        <v>50</v>
      </c>
      <c r="B68" s="87">
        <f>SUM(B64:B66)</f>
        <v>2558066.66</v>
      </c>
      <c r="C68" s="100"/>
      <c r="D68" s="100"/>
    </row>
    <row r="69" spans="1:5" ht="15.75" thickBot="1"/>
    <row r="70" spans="1:5" ht="15.75" thickBot="1">
      <c r="A70" s="163" t="s">
        <v>125</v>
      </c>
      <c r="B70" s="164"/>
      <c r="C70" s="164"/>
      <c r="D70" s="164"/>
      <c r="E70" s="165"/>
    </row>
    <row r="71" spans="1:5">
      <c r="A71" s="1"/>
      <c r="E71" s="63"/>
    </row>
    <row r="72" spans="1:5" ht="15.75" thickBot="1"/>
    <row r="73" spans="1:5" ht="15.75" thickBot="1">
      <c r="B73" s="163" t="s">
        <v>161</v>
      </c>
      <c r="C73" s="164"/>
      <c r="D73" s="165"/>
    </row>
    <row r="74" spans="1:5">
      <c r="A74" s="1"/>
      <c r="B74" s="42">
        <v>2015</v>
      </c>
      <c r="C74" s="42">
        <v>2016</v>
      </c>
      <c r="D74" s="42">
        <v>2017</v>
      </c>
      <c r="E74" s="42" t="s">
        <v>50</v>
      </c>
    </row>
    <row r="75" spans="1:5">
      <c r="A75" s="1" t="s">
        <v>149</v>
      </c>
      <c r="B75" s="41">
        <f>B54</f>
        <v>859740.08</v>
      </c>
      <c r="C75" s="41">
        <f>C54</f>
        <v>849022.58</v>
      </c>
      <c r="D75" s="41">
        <f>D54</f>
        <v>792370.54</v>
      </c>
    </row>
    <row r="76" spans="1:5">
      <c r="A76" s="1" t="s">
        <v>150</v>
      </c>
      <c r="B76" s="56">
        <f>B64</f>
        <v>809854.27</v>
      </c>
      <c r="C76" s="56">
        <f>B65</f>
        <v>921628.06</v>
      </c>
      <c r="D76" s="56">
        <f>B66</f>
        <v>826584.33</v>
      </c>
    </row>
    <row r="78" spans="1:5" ht="15.75" thickBot="1">
      <c r="A78" s="1" t="s">
        <v>151</v>
      </c>
      <c r="B78" s="98">
        <f>B75-B76</f>
        <v>49885.809999999939</v>
      </c>
      <c r="C78" s="98">
        <f>C75-C76</f>
        <v>-72605.480000000098</v>
      </c>
      <c r="D78" s="98">
        <f>D75-D76</f>
        <v>-34213.789999999921</v>
      </c>
      <c r="E78" s="104">
        <f>SUM(B78:D78)</f>
        <v>-56933.460000000079</v>
      </c>
    </row>
    <row r="80" spans="1:5">
      <c r="A80" s="1" t="s">
        <v>127</v>
      </c>
      <c r="E80" s="102">
        <f>SUM(E75:E78)</f>
        <v>-56933.460000000079</v>
      </c>
    </row>
    <row r="81" spans="1:6">
      <c r="A81" s="1" t="s">
        <v>135</v>
      </c>
      <c r="E81" s="103">
        <v>-74110.69</v>
      </c>
    </row>
    <row r="83" spans="1:6" ht="15.75" thickBot="1">
      <c r="A83" s="1" t="s">
        <v>51</v>
      </c>
      <c r="E83" s="93">
        <f>E80-E81</f>
        <v>17177.229999999923</v>
      </c>
      <c r="F83" s="1" t="s">
        <v>138</v>
      </c>
    </row>
    <row r="85" spans="1:6">
      <c r="A85" s="184" t="s">
        <v>162</v>
      </c>
      <c r="B85" s="184"/>
      <c r="C85" s="184"/>
      <c r="D85" s="184"/>
      <c r="E85" s="184"/>
    </row>
    <row r="86" spans="1:6">
      <c r="A86" s="184"/>
      <c r="B86" s="184"/>
      <c r="C86" s="184"/>
      <c r="D86" s="184"/>
      <c r="E86" s="184"/>
    </row>
    <row r="87" spans="1:6">
      <c r="A87" s="184"/>
      <c r="B87" s="184"/>
      <c r="C87" s="184"/>
      <c r="D87" s="184"/>
      <c r="E87" s="184"/>
    </row>
    <row r="88" spans="1:6">
      <c r="A88" s="184"/>
      <c r="B88" s="184"/>
      <c r="C88" s="184"/>
      <c r="D88" s="184"/>
      <c r="E88" s="184"/>
    </row>
  </sheetData>
  <mergeCells count="11">
    <mergeCell ref="B44:E44"/>
    <mergeCell ref="A60:E60"/>
    <mergeCell ref="A70:E70"/>
    <mergeCell ref="B73:D73"/>
    <mergeCell ref="A85:E88"/>
    <mergeCell ref="B34:D34"/>
    <mergeCell ref="A1:E1"/>
    <mergeCell ref="A2:E2"/>
    <mergeCell ref="A3:E3"/>
    <mergeCell ref="A5:E5"/>
    <mergeCell ref="B24:D2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sqref="A1:D1"/>
    </sheetView>
  </sheetViews>
  <sheetFormatPr defaultRowHeight="15"/>
  <cols>
    <col min="1" max="1" width="15.7109375" customWidth="1"/>
    <col min="2" max="4" width="20.7109375" customWidth="1"/>
  </cols>
  <sheetData>
    <row r="1" spans="1:4">
      <c r="A1" s="166" t="s">
        <v>0</v>
      </c>
      <c r="B1" s="166"/>
      <c r="C1" s="166"/>
      <c r="D1" s="166"/>
    </row>
    <row r="2" spans="1:4">
      <c r="A2" s="166" t="s">
        <v>192</v>
      </c>
      <c r="B2" s="166"/>
      <c r="C2" s="166"/>
      <c r="D2" s="166"/>
    </row>
    <row r="3" spans="1:4">
      <c r="A3" s="166">
        <v>2017</v>
      </c>
      <c r="B3" s="166"/>
      <c r="C3" s="166"/>
      <c r="D3" s="166"/>
    </row>
    <row r="4" spans="1:4" ht="15.75" thickBot="1"/>
    <row r="5" spans="1:4" ht="15.75" thickBot="1">
      <c r="B5" s="163" t="s">
        <v>60</v>
      </c>
      <c r="C5" s="164"/>
      <c r="D5" s="165"/>
    </row>
    <row r="6" spans="1:4" ht="30.75" thickBot="1">
      <c r="A6" s="58" t="s">
        <v>59</v>
      </c>
      <c r="B6" s="59" t="s">
        <v>61</v>
      </c>
      <c r="C6" s="59" t="s">
        <v>62</v>
      </c>
      <c r="D6" s="61" t="s">
        <v>63</v>
      </c>
    </row>
    <row r="7" spans="1:4">
      <c r="A7" s="57" t="s">
        <v>35</v>
      </c>
      <c r="B7" s="60">
        <v>42836.959999999999</v>
      </c>
      <c r="C7" s="46">
        <v>8.2269999999999996E-2</v>
      </c>
      <c r="D7" s="60">
        <f>ROUND(B7*C7,2)</f>
        <v>3524.2</v>
      </c>
    </row>
    <row r="8" spans="1:4">
      <c r="A8" t="s">
        <v>36</v>
      </c>
      <c r="B8" s="60">
        <v>58152.152000000002</v>
      </c>
      <c r="C8" s="46">
        <v>8.6389999999999995E-2</v>
      </c>
      <c r="D8" s="60">
        <f t="shared" ref="D8:D18" si="0">ROUND(B8*C8,2)</f>
        <v>5023.76</v>
      </c>
    </row>
    <row r="9" spans="1:4">
      <c r="A9" t="s">
        <v>37</v>
      </c>
      <c r="B9" s="60">
        <v>113649.82399999999</v>
      </c>
      <c r="C9" s="46">
        <v>7.1349999999999997E-2</v>
      </c>
      <c r="D9" s="60">
        <f t="shared" si="0"/>
        <v>8108.91</v>
      </c>
    </row>
    <row r="10" spans="1:4">
      <c r="A10" t="s">
        <v>38</v>
      </c>
      <c r="B10" s="60">
        <v>403479.39199999999</v>
      </c>
      <c r="C10" s="46">
        <v>0.10778</v>
      </c>
      <c r="D10" s="60">
        <f t="shared" si="0"/>
        <v>43487.01</v>
      </c>
    </row>
    <row r="11" spans="1:4">
      <c r="A11" t="s">
        <v>39</v>
      </c>
      <c r="B11" s="60">
        <v>553043</v>
      </c>
      <c r="C11" s="46">
        <v>0.12307</v>
      </c>
      <c r="D11" s="60">
        <f t="shared" si="0"/>
        <v>68063</v>
      </c>
    </row>
    <row r="12" spans="1:4">
      <c r="A12" t="s">
        <v>40</v>
      </c>
      <c r="B12" s="60">
        <v>365535.00799999997</v>
      </c>
      <c r="C12" s="46">
        <v>0.11848</v>
      </c>
      <c r="D12" s="60">
        <f t="shared" si="0"/>
        <v>43308.59</v>
      </c>
    </row>
    <row r="13" spans="1:4">
      <c r="A13" t="s">
        <v>41</v>
      </c>
      <c r="B13" s="60">
        <v>367425.18400000001</v>
      </c>
      <c r="C13" s="46">
        <v>0.1128</v>
      </c>
      <c r="D13" s="60">
        <f t="shared" si="0"/>
        <v>41445.56</v>
      </c>
    </row>
    <row r="14" spans="1:4">
      <c r="A14" t="s">
        <v>42</v>
      </c>
      <c r="B14" s="60">
        <v>111517.09600000001</v>
      </c>
      <c r="C14" s="46">
        <v>0.10109</v>
      </c>
      <c r="D14" s="60">
        <f t="shared" si="0"/>
        <v>11273.26</v>
      </c>
    </row>
    <row r="15" spans="1:4">
      <c r="A15" t="s">
        <v>43</v>
      </c>
      <c r="B15" s="60">
        <v>0</v>
      </c>
      <c r="C15" s="46">
        <v>8.8639999999999997E-2</v>
      </c>
      <c r="D15" s="60">
        <f t="shared" si="0"/>
        <v>0</v>
      </c>
    </row>
    <row r="16" spans="1:4">
      <c r="A16" t="s">
        <v>44</v>
      </c>
      <c r="B16" s="60">
        <v>10775.56</v>
      </c>
      <c r="C16" s="46">
        <v>0.12562999999999999</v>
      </c>
      <c r="D16" s="60">
        <f t="shared" si="0"/>
        <v>1353.73</v>
      </c>
    </row>
    <row r="17" spans="1:4">
      <c r="A17" t="s">
        <v>45</v>
      </c>
      <c r="B17" s="60">
        <v>251338.90400000001</v>
      </c>
      <c r="C17" s="46">
        <v>9.7040000000000001E-2</v>
      </c>
      <c r="D17" s="60">
        <f t="shared" si="0"/>
        <v>24389.93</v>
      </c>
    </row>
    <row r="18" spans="1:4">
      <c r="A18" t="s">
        <v>46</v>
      </c>
      <c r="B18" s="60">
        <v>0</v>
      </c>
      <c r="C18" s="46">
        <v>9.2069999999999999E-2</v>
      </c>
      <c r="D18" s="62">
        <f t="shared" si="0"/>
        <v>0</v>
      </c>
    </row>
    <row r="20" spans="1:4">
      <c r="A20" t="s">
        <v>64</v>
      </c>
      <c r="D20" s="63">
        <f>SUM(D7:D18)</f>
        <v>249977.95</v>
      </c>
    </row>
    <row r="21" spans="1:4">
      <c r="A21" t="s">
        <v>65</v>
      </c>
      <c r="D21" s="62">
        <v>224234</v>
      </c>
    </row>
    <row r="23" spans="1:4" ht="15.75" thickBot="1">
      <c r="A23" s="1" t="s">
        <v>66</v>
      </c>
      <c r="D23" s="64">
        <f>D20-D21</f>
        <v>25743.950000000012</v>
      </c>
    </row>
  </sheetData>
  <mergeCells count="4">
    <mergeCell ref="B5:D5"/>
    <mergeCell ref="A1:D1"/>
    <mergeCell ref="A2:D2"/>
    <mergeCell ref="A3: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Appendix A - Low Voltage</vt:lpstr>
      <vt:lpstr>Appendix B - Account 1589</vt:lpstr>
      <vt:lpstr>Appendix C - Summary</vt:lpstr>
      <vt:lpstr>Appendix C - 1 - Account 1588</vt:lpstr>
      <vt:lpstr>Appendix C - 2 - Account 1588</vt:lpstr>
      <vt:lpstr>Appendix D - Wholesale Market</vt:lpstr>
      <vt:lpstr>Appendix E - Network</vt:lpstr>
      <vt:lpstr>Appendix F - Transmission</vt:lpstr>
      <vt:lpstr>Appendix G - Embedded Generatio</vt:lpstr>
      <vt:lpstr>Appendix H - Unbilled GA - 2017</vt:lpstr>
      <vt:lpstr>Appendix I - Unbilled GA - 2016</vt:lpstr>
      <vt:lpstr>Appendix J - Unbilled GA - 2015</vt:lpstr>
      <vt:lpstr>Appendix K - Unbilled GA - 2014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Roy</dc:creator>
  <cp:lastModifiedBy>Jeffrey Roy</cp:lastModifiedBy>
  <cp:lastPrinted>2018-12-14T19:10:39Z</cp:lastPrinted>
  <dcterms:created xsi:type="dcterms:W3CDTF">2018-11-30T14:27:33Z</dcterms:created>
  <dcterms:modified xsi:type="dcterms:W3CDTF">2018-12-20T20:33:43Z</dcterms:modified>
</cp:coreProperties>
</file>