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7365"/>
  </bookViews>
  <sheets>
    <sheet name="Bill Impact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lectra_SA">'[1]2016 List'!$C$2:$C$5</definedName>
    <definedName name="BI_LDCLIST">#REF!</definedName>
    <definedName name="BridgeYear">'[2]LDC Info'!$E$26</definedName>
    <definedName name="contactf">#REF!</definedName>
    <definedName name="COS_RES_CUSTOMERS">'[1]16. Rev2Cost_GDPIPI'!$F$12</definedName>
    <definedName name="COS_RES_KWH">'[1]16. Rev2Cost_GDPIPI'!$F$13</definedName>
    <definedName name="Cust3a">'[1]6. Class A Consumption Data'!$C$25</definedName>
    <definedName name="CustomerAdministration">[1]lists!#REF!</definedName>
    <definedName name="EBNUMBER">'[2]LDC Info'!$E$16</definedName>
    <definedName name="forecast_wholesale_lineplus">'[1]14. RTSR - Forecast Wholesale'!$P$113</definedName>
    <definedName name="forecast_wholesale_network">'[1]14. RTSR - Forecast Wholesale'!$F$109</definedName>
    <definedName name="G1LD">'[1]6. Class A Consumption Data'!$C$14</definedName>
    <definedName name="G1LDCBR">#REF!</definedName>
    <definedName name="Group1Desposing">'[1]4. Billing Det. for Def-Var'!#REF!</definedName>
    <definedName name="histdate">[3]Financials!$E$76</definedName>
    <definedName name="Incr2000">#REF!</definedName>
    <definedName name="LDCList">OFFSET('[1]2016 List'!$A$1,0,0,COUNTA('[1]2016 List'!$A:$A),1)</definedName>
    <definedName name="LIMIT">#REF!</definedName>
    <definedName name="listdata">'[1]4. Billing Det. for Def-Var'!#REF!</definedName>
    <definedName name="LLF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idPeak">'[1]17. Regulatory Charges'!$D$24</definedName>
    <definedName name="OffPeak">'[1]17. Regulatory Charges'!$D$23</definedName>
    <definedName name="OnPeak">'[1]17. Regulatory Charges'!$D$25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_xlnm.Print_Area" localSheetId="0">'Bill Impact'!$D$2:$M$616</definedName>
    <definedName name="print_end">#REF!</definedName>
    <definedName name="RATE_CLASSES">[4]lists!$A$1:$A$104</definedName>
    <definedName name="ratebase">'[1]8. STS - Tax Change'!$N$19</definedName>
    <definedName name="ratedescription">[5]hidden1!$D$1:$D$122</definedName>
    <definedName name="RebaseYear">'[2]LDC Info'!$E$28</definedName>
    <definedName name="SALBENF">#REF!</definedName>
    <definedName name="salreg">#REF!</definedName>
    <definedName name="SALREGF">#REF!</definedName>
    <definedName name="SME">'[1]17. Regulatory Charges'!$D$33</definedName>
    <definedName name="StartEnd">[1]Database!#REF!</definedName>
    <definedName name="TEMPA">#REF!</definedName>
    <definedName name="TestYear">'[2]LDC Info'!$E$24</definedName>
    <definedName name="Total_Current_Wholesale_Lineplus">'[1]13. RTSR - Current Wholesale'!$P$113</definedName>
    <definedName name="total_current_wholesale_network">'[1]13. RTSR - Current Wholesale'!$F$109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1">[1]lists!#REF!</definedName>
    <definedName name="Units2">[1]lists!#REF!</definedName>
    <definedName name="Utility">[3]Financials!$A$1</definedName>
    <definedName name="utitliy1">[6]Financials!$A$1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YRS_LEFT">'[1]16. Rev2Cost_GDPIPI'!$F$14</definedName>
  </definedNames>
  <calcPr calcId="145621"/>
</workbook>
</file>

<file path=xl/calcChain.xml><?xml version="1.0" encoding="utf-8"?>
<calcChain xmlns="http://schemas.openxmlformats.org/spreadsheetml/2006/main">
  <c r="L604" i="6" l="1"/>
  <c r="K600" i="6"/>
  <c r="J600" i="6"/>
  <c r="I600" i="6"/>
  <c r="G600" i="6"/>
  <c r="H600" i="6" s="1"/>
  <c r="J599" i="6"/>
  <c r="K599" i="6" s="1"/>
  <c r="I599" i="6"/>
  <c r="G599" i="6"/>
  <c r="H599" i="6" s="1"/>
  <c r="J598" i="6"/>
  <c r="K598" i="6" s="1"/>
  <c r="I598" i="6"/>
  <c r="G598" i="6"/>
  <c r="H598" i="6" s="1"/>
  <c r="F598" i="6"/>
  <c r="J597" i="6"/>
  <c r="K597" i="6" s="1"/>
  <c r="I597" i="6"/>
  <c r="H597" i="6"/>
  <c r="G597" i="6"/>
  <c r="F597" i="6"/>
  <c r="J596" i="6"/>
  <c r="I596" i="6"/>
  <c r="H596" i="6"/>
  <c r="G596" i="6"/>
  <c r="F596" i="6"/>
  <c r="I594" i="6"/>
  <c r="K594" i="6" s="1"/>
  <c r="L594" i="6" s="1"/>
  <c r="M594" i="6" s="1"/>
  <c r="H594" i="6"/>
  <c r="J593" i="6"/>
  <c r="K593" i="6" s="1"/>
  <c r="L593" i="6" s="1"/>
  <c r="M593" i="6" s="1"/>
  <c r="H593" i="6"/>
  <c r="G593" i="6"/>
  <c r="F593" i="6"/>
  <c r="J592" i="6"/>
  <c r="K592" i="6" s="1"/>
  <c r="H592" i="6"/>
  <c r="G592" i="6"/>
  <c r="K590" i="6"/>
  <c r="L590" i="6" s="1"/>
  <c r="M590" i="6" s="1"/>
  <c r="J590" i="6"/>
  <c r="G590" i="6"/>
  <c r="H590" i="6" s="1"/>
  <c r="J589" i="6"/>
  <c r="K589" i="6" s="1"/>
  <c r="L589" i="6" s="1"/>
  <c r="M589" i="6" s="1"/>
  <c r="H589" i="6"/>
  <c r="G589" i="6"/>
  <c r="K587" i="6"/>
  <c r="J587" i="6"/>
  <c r="G587" i="6"/>
  <c r="H587" i="6" s="1"/>
  <c r="M586" i="6"/>
  <c r="L586" i="6"/>
  <c r="K586" i="6"/>
  <c r="H586" i="6"/>
  <c r="I585" i="6"/>
  <c r="K585" i="6" s="1"/>
  <c r="F585" i="6"/>
  <c r="H585" i="6" s="1"/>
  <c r="K584" i="6"/>
  <c r="L584" i="6" s="1"/>
  <c r="M584" i="6" s="1"/>
  <c r="J584" i="6"/>
  <c r="G584" i="6"/>
  <c r="H584" i="6" s="1"/>
  <c r="J583" i="6"/>
  <c r="K583" i="6" s="1"/>
  <c r="L583" i="6" s="1"/>
  <c r="M583" i="6" s="1"/>
  <c r="H583" i="6"/>
  <c r="G583" i="6"/>
  <c r="K582" i="6"/>
  <c r="J582" i="6"/>
  <c r="G582" i="6"/>
  <c r="H582" i="6" s="1"/>
  <c r="J581" i="6"/>
  <c r="K581" i="6" s="1"/>
  <c r="L581" i="6" s="1"/>
  <c r="M581" i="6" s="1"/>
  <c r="H581" i="6"/>
  <c r="G581" i="6"/>
  <c r="J580" i="6"/>
  <c r="K580" i="6" s="1"/>
  <c r="I580" i="6"/>
  <c r="G580" i="6"/>
  <c r="H580" i="6" s="1"/>
  <c r="F580" i="6"/>
  <c r="K578" i="6"/>
  <c r="J578" i="6"/>
  <c r="G578" i="6"/>
  <c r="H578" i="6" s="1"/>
  <c r="J577" i="6"/>
  <c r="K577" i="6" s="1"/>
  <c r="L577" i="6" s="1"/>
  <c r="M577" i="6" s="1"/>
  <c r="H577" i="6"/>
  <c r="M576" i="6"/>
  <c r="L576" i="6"/>
  <c r="J576" i="6"/>
  <c r="G576" i="6"/>
  <c r="J575" i="6"/>
  <c r="G575" i="6"/>
  <c r="K574" i="6"/>
  <c r="J574" i="6"/>
  <c r="G574" i="6"/>
  <c r="H574" i="6" s="1"/>
  <c r="L574" i="6" s="1"/>
  <c r="M574" i="6" s="1"/>
  <c r="J573" i="6"/>
  <c r="K573" i="6" s="1"/>
  <c r="H573" i="6"/>
  <c r="L548" i="6"/>
  <c r="K544" i="6"/>
  <c r="J544" i="6"/>
  <c r="I544" i="6"/>
  <c r="G544" i="6"/>
  <c r="H544" i="6" s="1"/>
  <c r="J543" i="6"/>
  <c r="K543" i="6" s="1"/>
  <c r="I543" i="6"/>
  <c r="H543" i="6"/>
  <c r="G543" i="6"/>
  <c r="J542" i="6"/>
  <c r="I542" i="6"/>
  <c r="K542" i="6" s="1"/>
  <c r="G542" i="6"/>
  <c r="F542" i="6"/>
  <c r="J541" i="6"/>
  <c r="I541" i="6"/>
  <c r="K541" i="6" s="1"/>
  <c r="G541" i="6"/>
  <c r="F541" i="6"/>
  <c r="J540" i="6"/>
  <c r="I540" i="6"/>
  <c r="K540" i="6" s="1"/>
  <c r="G540" i="6"/>
  <c r="F540" i="6"/>
  <c r="K538" i="6"/>
  <c r="L538" i="6" s="1"/>
  <c r="M538" i="6" s="1"/>
  <c r="I538" i="6"/>
  <c r="H538" i="6"/>
  <c r="J537" i="6"/>
  <c r="K537" i="6" s="1"/>
  <c r="G537" i="6"/>
  <c r="H537" i="6" s="1"/>
  <c r="F537" i="6"/>
  <c r="K536" i="6"/>
  <c r="J536" i="6"/>
  <c r="H536" i="6"/>
  <c r="G536" i="6"/>
  <c r="K534" i="6"/>
  <c r="L534" i="6" s="1"/>
  <c r="M534" i="6" s="1"/>
  <c r="J534" i="6"/>
  <c r="H534" i="6"/>
  <c r="G534" i="6"/>
  <c r="K533" i="6"/>
  <c r="L533" i="6" s="1"/>
  <c r="M533" i="6" s="1"/>
  <c r="J533" i="6"/>
  <c r="H533" i="6"/>
  <c r="G533" i="6"/>
  <c r="K531" i="6"/>
  <c r="L531" i="6" s="1"/>
  <c r="M531" i="6" s="1"/>
  <c r="J531" i="6"/>
  <c r="H531" i="6"/>
  <c r="G531" i="6"/>
  <c r="K530" i="6"/>
  <c r="L530" i="6" s="1"/>
  <c r="M530" i="6" s="1"/>
  <c r="H530" i="6"/>
  <c r="I529" i="6"/>
  <c r="K529" i="6" s="1"/>
  <c r="L529" i="6" s="1"/>
  <c r="M529" i="6" s="1"/>
  <c r="F529" i="6"/>
  <c r="H529" i="6" s="1"/>
  <c r="K528" i="6"/>
  <c r="L528" i="6" s="1"/>
  <c r="M528" i="6" s="1"/>
  <c r="J528" i="6"/>
  <c r="H528" i="6"/>
  <c r="G528" i="6"/>
  <c r="K527" i="6"/>
  <c r="L527" i="6" s="1"/>
  <c r="M527" i="6" s="1"/>
  <c r="J527" i="6"/>
  <c r="H527" i="6"/>
  <c r="G527" i="6"/>
  <c r="K526" i="6"/>
  <c r="L526" i="6" s="1"/>
  <c r="M526" i="6" s="1"/>
  <c r="J526" i="6"/>
  <c r="H526" i="6"/>
  <c r="G526" i="6"/>
  <c r="K525" i="6"/>
  <c r="L525" i="6" s="1"/>
  <c r="M525" i="6" s="1"/>
  <c r="J525" i="6"/>
  <c r="H525" i="6"/>
  <c r="G525" i="6"/>
  <c r="I524" i="6"/>
  <c r="J524" i="6" s="1"/>
  <c r="K524" i="6" s="1"/>
  <c r="G524" i="6"/>
  <c r="H524" i="6" s="1"/>
  <c r="F524" i="6"/>
  <c r="K522" i="6"/>
  <c r="L522" i="6" s="1"/>
  <c r="M522" i="6" s="1"/>
  <c r="J522" i="6"/>
  <c r="H522" i="6"/>
  <c r="G522" i="6"/>
  <c r="K521" i="6"/>
  <c r="L521" i="6" s="1"/>
  <c r="M521" i="6" s="1"/>
  <c r="J521" i="6"/>
  <c r="H521" i="6"/>
  <c r="L520" i="6"/>
  <c r="M520" i="6" s="1"/>
  <c r="J520" i="6"/>
  <c r="G520" i="6"/>
  <c r="J519" i="6"/>
  <c r="G519" i="6"/>
  <c r="J518" i="6"/>
  <c r="K518" i="6" s="1"/>
  <c r="G518" i="6"/>
  <c r="H518" i="6" s="1"/>
  <c r="J517" i="6"/>
  <c r="K517" i="6" s="1"/>
  <c r="H517" i="6"/>
  <c r="L492" i="6"/>
  <c r="J488" i="6"/>
  <c r="K488" i="6" s="1"/>
  <c r="I488" i="6"/>
  <c r="G488" i="6"/>
  <c r="H488" i="6" s="1"/>
  <c r="J487" i="6"/>
  <c r="K487" i="6" s="1"/>
  <c r="I487" i="6"/>
  <c r="H487" i="6"/>
  <c r="G487" i="6"/>
  <c r="J486" i="6"/>
  <c r="I486" i="6"/>
  <c r="K486" i="6" s="1"/>
  <c r="G486" i="6"/>
  <c r="F486" i="6"/>
  <c r="J485" i="6"/>
  <c r="I485" i="6"/>
  <c r="K485" i="6" s="1"/>
  <c r="G485" i="6"/>
  <c r="H485" i="6" s="1"/>
  <c r="F485" i="6"/>
  <c r="K484" i="6"/>
  <c r="J484" i="6"/>
  <c r="I484" i="6"/>
  <c r="G484" i="6"/>
  <c r="F484" i="6"/>
  <c r="K482" i="6"/>
  <c r="L482" i="6" s="1"/>
  <c r="M482" i="6" s="1"/>
  <c r="I482" i="6"/>
  <c r="H482" i="6"/>
  <c r="L481" i="6"/>
  <c r="M481" i="6" s="1"/>
  <c r="J481" i="6"/>
  <c r="K481" i="6" s="1"/>
  <c r="G481" i="6"/>
  <c r="H481" i="6" s="1"/>
  <c r="F481" i="6"/>
  <c r="K480" i="6"/>
  <c r="J480" i="6"/>
  <c r="G480" i="6"/>
  <c r="H480" i="6" s="1"/>
  <c r="J478" i="6"/>
  <c r="K478" i="6" s="1"/>
  <c r="H478" i="6"/>
  <c r="G478" i="6"/>
  <c r="K477" i="6"/>
  <c r="L477" i="6" s="1"/>
  <c r="M477" i="6" s="1"/>
  <c r="J477" i="6"/>
  <c r="G477" i="6"/>
  <c r="H477" i="6" s="1"/>
  <c r="J475" i="6"/>
  <c r="K475" i="6" s="1"/>
  <c r="L475" i="6" s="1"/>
  <c r="M475" i="6" s="1"/>
  <c r="H475" i="6"/>
  <c r="G475" i="6"/>
  <c r="K474" i="6"/>
  <c r="L474" i="6" s="1"/>
  <c r="M474" i="6" s="1"/>
  <c r="H474" i="6"/>
  <c r="I473" i="6"/>
  <c r="K473" i="6" s="1"/>
  <c r="L473" i="6" s="1"/>
  <c r="M473" i="6" s="1"/>
  <c r="F473" i="6"/>
  <c r="H473" i="6" s="1"/>
  <c r="J472" i="6"/>
  <c r="K472" i="6" s="1"/>
  <c r="H472" i="6"/>
  <c r="G472" i="6"/>
  <c r="L471" i="6"/>
  <c r="M471" i="6" s="1"/>
  <c r="K471" i="6"/>
  <c r="J471" i="6"/>
  <c r="G471" i="6"/>
  <c r="H471" i="6" s="1"/>
  <c r="J470" i="6"/>
  <c r="K470" i="6" s="1"/>
  <c r="H470" i="6"/>
  <c r="G470" i="6"/>
  <c r="L469" i="6"/>
  <c r="M469" i="6" s="1"/>
  <c r="K469" i="6"/>
  <c r="J469" i="6"/>
  <c r="G469" i="6"/>
  <c r="H469" i="6" s="1"/>
  <c r="I468" i="6"/>
  <c r="J468" i="6" s="1"/>
  <c r="K468" i="6" s="1"/>
  <c r="L468" i="6" s="1"/>
  <c r="M468" i="6" s="1"/>
  <c r="F468" i="6"/>
  <c r="G468" i="6" s="1"/>
  <c r="H468" i="6" s="1"/>
  <c r="J466" i="6"/>
  <c r="K466" i="6" s="1"/>
  <c r="H466" i="6"/>
  <c r="G466" i="6"/>
  <c r="L465" i="6"/>
  <c r="M465" i="6" s="1"/>
  <c r="K465" i="6"/>
  <c r="J465" i="6"/>
  <c r="H465" i="6"/>
  <c r="M464" i="6"/>
  <c r="L464" i="6"/>
  <c r="J464" i="6"/>
  <c r="G464" i="6"/>
  <c r="J463" i="6"/>
  <c r="G463" i="6"/>
  <c r="K462" i="6"/>
  <c r="L462" i="6" s="1"/>
  <c r="M462" i="6" s="1"/>
  <c r="J462" i="6"/>
  <c r="G462" i="6"/>
  <c r="H462" i="6" s="1"/>
  <c r="L461" i="6"/>
  <c r="M461" i="6" s="1"/>
  <c r="J461" i="6"/>
  <c r="K461" i="6" s="1"/>
  <c r="H461" i="6"/>
  <c r="H467" i="6" s="1"/>
  <c r="L436" i="6"/>
  <c r="J432" i="6"/>
  <c r="I432" i="6"/>
  <c r="K432" i="6" s="1"/>
  <c r="G432" i="6"/>
  <c r="H432" i="6" s="1"/>
  <c r="J431" i="6"/>
  <c r="K431" i="6" s="1"/>
  <c r="I431" i="6"/>
  <c r="H431" i="6"/>
  <c r="G431" i="6"/>
  <c r="J430" i="6"/>
  <c r="I430" i="6"/>
  <c r="K430" i="6" s="1"/>
  <c r="G430" i="6"/>
  <c r="F430" i="6"/>
  <c r="J429" i="6"/>
  <c r="I429" i="6"/>
  <c r="K429" i="6" s="1"/>
  <c r="G429" i="6"/>
  <c r="F429" i="6"/>
  <c r="J428" i="6"/>
  <c r="I428" i="6"/>
  <c r="K428" i="6" s="1"/>
  <c r="G428" i="6"/>
  <c r="F428" i="6"/>
  <c r="K426" i="6"/>
  <c r="L426" i="6" s="1"/>
  <c r="M426" i="6" s="1"/>
  <c r="I426" i="6"/>
  <c r="H426" i="6"/>
  <c r="J425" i="6"/>
  <c r="K425" i="6" s="1"/>
  <c r="L425" i="6" s="1"/>
  <c r="M425" i="6" s="1"/>
  <c r="G425" i="6"/>
  <c r="H425" i="6" s="1"/>
  <c r="F425" i="6"/>
  <c r="K424" i="6"/>
  <c r="L424" i="6" s="1"/>
  <c r="M424" i="6" s="1"/>
  <c r="J424" i="6"/>
  <c r="H424" i="6"/>
  <c r="G424" i="6"/>
  <c r="K422" i="6"/>
  <c r="L422" i="6" s="1"/>
  <c r="M422" i="6" s="1"/>
  <c r="J422" i="6"/>
  <c r="H422" i="6"/>
  <c r="G422" i="6"/>
  <c r="K421" i="6"/>
  <c r="L421" i="6" s="1"/>
  <c r="M421" i="6" s="1"/>
  <c r="J421" i="6"/>
  <c r="H421" i="6"/>
  <c r="G421" i="6"/>
  <c r="K419" i="6"/>
  <c r="L419" i="6" s="1"/>
  <c r="M419" i="6" s="1"/>
  <c r="J419" i="6"/>
  <c r="H419" i="6"/>
  <c r="G419" i="6"/>
  <c r="K418" i="6"/>
  <c r="L418" i="6" s="1"/>
  <c r="M418" i="6" s="1"/>
  <c r="H418" i="6"/>
  <c r="I417" i="6"/>
  <c r="K417" i="6" s="1"/>
  <c r="L417" i="6" s="1"/>
  <c r="M417" i="6" s="1"/>
  <c r="F417" i="6"/>
  <c r="H417" i="6" s="1"/>
  <c r="K416" i="6"/>
  <c r="L416" i="6" s="1"/>
  <c r="M416" i="6" s="1"/>
  <c r="J416" i="6"/>
  <c r="H416" i="6"/>
  <c r="G416" i="6"/>
  <c r="K415" i="6"/>
  <c r="L415" i="6" s="1"/>
  <c r="M415" i="6" s="1"/>
  <c r="J415" i="6"/>
  <c r="H415" i="6"/>
  <c r="G415" i="6"/>
  <c r="K414" i="6"/>
  <c r="L414" i="6" s="1"/>
  <c r="M414" i="6" s="1"/>
  <c r="J414" i="6"/>
  <c r="H414" i="6"/>
  <c r="G414" i="6"/>
  <c r="K413" i="6"/>
  <c r="L413" i="6" s="1"/>
  <c r="M413" i="6" s="1"/>
  <c r="J413" i="6"/>
  <c r="H413" i="6"/>
  <c r="G413" i="6"/>
  <c r="I412" i="6"/>
  <c r="J412" i="6" s="1"/>
  <c r="K412" i="6" s="1"/>
  <c r="G412" i="6"/>
  <c r="H412" i="6" s="1"/>
  <c r="F412" i="6"/>
  <c r="K410" i="6"/>
  <c r="L410" i="6" s="1"/>
  <c r="M410" i="6" s="1"/>
  <c r="J410" i="6"/>
  <c r="H410" i="6"/>
  <c r="G410" i="6"/>
  <c r="K409" i="6"/>
  <c r="L409" i="6" s="1"/>
  <c r="M409" i="6" s="1"/>
  <c r="J409" i="6"/>
  <c r="H409" i="6"/>
  <c r="L408" i="6"/>
  <c r="M408" i="6" s="1"/>
  <c r="J408" i="6"/>
  <c r="G408" i="6"/>
  <c r="J407" i="6"/>
  <c r="G407" i="6"/>
  <c r="J406" i="6"/>
  <c r="K406" i="6" s="1"/>
  <c r="L406" i="6" s="1"/>
  <c r="M406" i="6" s="1"/>
  <c r="G406" i="6"/>
  <c r="H406" i="6" s="1"/>
  <c r="J405" i="6"/>
  <c r="K405" i="6" s="1"/>
  <c r="H405" i="6"/>
  <c r="L380" i="6"/>
  <c r="K376" i="6"/>
  <c r="J376" i="6"/>
  <c r="I376" i="6"/>
  <c r="G376" i="6"/>
  <c r="H376" i="6" s="1"/>
  <c r="J375" i="6"/>
  <c r="K375" i="6" s="1"/>
  <c r="I375" i="6"/>
  <c r="G375" i="6"/>
  <c r="H375" i="6" s="1"/>
  <c r="J374" i="6"/>
  <c r="K374" i="6" s="1"/>
  <c r="I374" i="6"/>
  <c r="G374" i="6"/>
  <c r="F374" i="6"/>
  <c r="J373" i="6"/>
  <c r="K373" i="6" s="1"/>
  <c r="I373" i="6"/>
  <c r="G373" i="6"/>
  <c r="F373" i="6"/>
  <c r="J372" i="6"/>
  <c r="K372" i="6" s="1"/>
  <c r="I372" i="6"/>
  <c r="G372" i="6"/>
  <c r="F372" i="6"/>
  <c r="I370" i="6"/>
  <c r="K370" i="6" s="1"/>
  <c r="L370" i="6" s="1"/>
  <c r="M370" i="6" s="1"/>
  <c r="H370" i="6"/>
  <c r="J369" i="6"/>
  <c r="K369" i="6" s="1"/>
  <c r="G369" i="6"/>
  <c r="F369" i="6"/>
  <c r="H369" i="6" s="1"/>
  <c r="J368" i="6"/>
  <c r="K368" i="6" s="1"/>
  <c r="H368" i="6"/>
  <c r="G368" i="6"/>
  <c r="K366" i="6"/>
  <c r="L366" i="6" s="1"/>
  <c r="M366" i="6" s="1"/>
  <c r="J366" i="6"/>
  <c r="G366" i="6"/>
  <c r="H366" i="6" s="1"/>
  <c r="J365" i="6"/>
  <c r="K365" i="6" s="1"/>
  <c r="L365" i="6" s="1"/>
  <c r="M365" i="6" s="1"/>
  <c r="H365" i="6"/>
  <c r="G365" i="6"/>
  <c r="K363" i="6"/>
  <c r="J363" i="6"/>
  <c r="G363" i="6"/>
  <c r="H363" i="6" s="1"/>
  <c r="K362" i="6"/>
  <c r="H362" i="6"/>
  <c r="L362" i="6" s="1"/>
  <c r="M362" i="6" s="1"/>
  <c r="I361" i="6"/>
  <c r="K361" i="6" s="1"/>
  <c r="H361" i="6"/>
  <c r="F361" i="6"/>
  <c r="K360" i="6"/>
  <c r="J360" i="6"/>
  <c r="G360" i="6"/>
  <c r="H360" i="6" s="1"/>
  <c r="J359" i="6"/>
  <c r="K359" i="6" s="1"/>
  <c r="L359" i="6" s="1"/>
  <c r="M359" i="6" s="1"/>
  <c r="H359" i="6"/>
  <c r="G359" i="6"/>
  <c r="K358" i="6"/>
  <c r="L358" i="6" s="1"/>
  <c r="M358" i="6" s="1"/>
  <c r="J358" i="6"/>
  <c r="G358" i="6"/>
  <c r="H358" i="6" s="1"/>
  <c r="J357" i="6"/>
  <c r="K357" i="6" s="1"/>
  <c r="L357" i="6" s="1"/>
  <c r="M357" i="6" s="1"/>
  <c r="H357" i="6"/>
  <c r="G357" i="6"/>
  <c r="I356" i="6"/>
  <c r="J356" i="6" s="1"/>
  <c r="K356" i="6" s="1"/>
  <c r="F356" i="6"/>
  <c r="G356" i="6" s="1"/>
  <c r="H356" i="6" s="1"/>
  <c r="K354" i="6"/>
  <c r="J354" i="6"/>
  <c r="G354" i="6"/>
  <c r="H354" i="6" s="1"/>
  <c r="J353" i="6"/>
  <c r="K353" i="6" s="1"/>
  <c r="L353" i="6" s="1"/>
  <c r="M353" i="6" s="1"/>
  <c r="H353" i="6"/>
  <c r="M352" i="6"/>
  <c r="L352" i="6"/>
  <c r="J352" i="6"/>
  <c r="G352" i="6"/>
  <c r="J351" i="6"/>
  <c r="K350" i="6"/>
  <c r="L350" i="6" s="1"/>
  <c r="M350" i="6" s="1"/>
  <c r="J350" i="6"/>
  <c r="G350" i="6"/>
  <c r="H350" i="6" s="1"/>
  <c r="J349" i="6"/>
  <c r="K349" i="6" s="1"/>
  <c r="H349" i="6"/>
  <c r="H355" i="6" s="1"/>
  <c r="L324" i="6"/>
  <c r="K320" i="6"/>
  <c r="J320" i="6"/>
  <c r="I320" i="6"/>
  <c r="G320" i="6"/>
  <c r="H320" i="6" s="1"/>
  <c r="J319" i="6"/>
  <c r="K319" i="6" s="1"/>
  <c r="I319" i="6"/>
  <c r="H319" i="6"/>
  <c r="G319" i="6"/>
  <c r="J318" i="6"/>
  <c r="I318" i="6"/>
  <c r="K318" i="6" s="1"/>
  <c r="G318" i="6"/>
  <c r="F318" i="6"/>
  <c r="J317" i="6"/>
  <c r="I317" i="6"/>
  <c r="K317" i="6" s="1"/>
  <c r="G317" i="6"/>
  <c r="F317" i="6"/>
  <c r="J316" i="6"/>
  <c r="I316" i="6"/>
  <c r="K316" i="6" s="1"/>
  <c r="G316" i="6"/>
  <c r="F316" i="6"/>
  <c r="K314" i="6"/>
  <c r="L314" i="6" s="1"/>
  <c r="M314" i="6" s="1"/>
  <c r="I314" i="6"/>
  <c r="H314" i="6"/>
  <c r="J313" i="6"/>
  <c r="K313" i="6" s="1"/>
  <c r="G313" i="6"/>
  <c r="H313" i="6" s="1"/>
  <c r="F313" i="6"/>
  <c r="K312" i="6"/>
  <c r="J312" i="6"/>
  <c r="H312" i="6"/>
  <c r="G312" i="6"/>
  <c r="K310" i="6"/>
  <c r="L310" i="6" s="1"/>
  <c r="M310" i="6" s="1"/>
  <c r="J310" i="6"/>
  <c r="H310" i="6"/>
  <c r="G310" i="6"/>
  <c r="K309" i="6"/>
  <c r="L309" i="6" s="1"/>
  <c r="M309" i="6" s="1"/>
  <c r="J309" i="6"/>
  <c r="H309" i="6"/>
  <c r="G309" i="6"/>
  <c r="K307" i="6"/>
  <c r="L307" i="6" s="1"/>
  <c r="M307" i="6" s="1"/>
  <c r="J307" i="6"/>
  <c r="H307" i="6"/>
  <c r="G307" i="6"/>
  <c r="K306" i="6"/>
  <c r="L306" i="6" s="1"/>
  <c r="M306" i="6" s="1"/>
  <c r="H306" i="6"/>
  <c r="I305" i="6"/>
  <c r="K305" i="6" s="1"/>
  <c r="L305" i="6" s="1"/>
  <c r="M305" i="6" s="1"/>
  <c r="F305" i="6"/>
  <c r="H305" i="6" s="1"/>
  <c r="K304" i="6"/>
  <c r="L304" i="6" s="1"/>
  <c r="M304" i="6" s="1"/>
  <c r="J304" i="6"/>
  <c r="H304" i="6"/>
  <c r="G304" i="6"/>
  <c r="K303" i="6"/>
  <c r="L303" i="6" s="1"/>
  <c r="M303" i="6" s="1"/>
  <c r="J303" i="6"/>
  <c r="H303" i="6"/>
  <c r="G303" i="6"/>
  <c r="K302" i="6"/>
  <c r="L302" i="6" s="1"/>
  <c r="M302" i="6" s="1"/>
  <c r="J302" i="6"/>
  <c r="H302" i="6"/>
  <c r="G302" i="6"/>
  <c r="K301" i="6"/>
  <c r="L301" i="6" s="1"/>
  <c r="M301" i="6" s="1"/>
  <c r="J301" i="6"/>
  <c r="H301" i="6"/>
  <c r="G301" i="6"/>
  <c r="I300" i="6"/>
  <c r="J300" i="6" s="1"/>
  <c r="K300" i="6" s="1"/>
  <c r="G300" i="6"/>
  <c r="H300" i="6" s="1"/>
  <c r="F300" i="6"/>
  <c r="K298" i="6"/>
  <c r="L298" i="6" s="1"/>
  <c r="M298" i="6" s="1"/>
  <c r="J298" i="6"/>
  <c r="H298" i="6"/>
  <c r="G298" i="6"/>
  <c r="K297" i="6"/>
  <c r="L297" i="6" s="1"/>
  <c r="M297" i="6" s="1"/>
  <c r="J297" i="6"/>
  <c r="H297" i="6"/>
  <c r="L296" i="6"/>
  <c r="M296" i="6" s="1"/>
  <c r="J296" i="6"/>
  <c r="G296" i="6"/>
  <c r="J295" i="6"/>
  <c r="K294" i="6"/>
  <c r="L294" i="6" s="1"/>
  <c r="M294" i="6" s="1"/>
  <c r="J294" i="6"/>
  <c r="H294" i="6"/>
  <c r="G294" i="6"/>
  <c r="K293" i="6"/>
  <c r="L293" i="6" s="1"/>
  <c r="M293" i="6" s="1"/>
  <c r="J293" i="6"/>
  <c r="H293" i="6"/>
  <c r="H299" i="6" s="1"/>
  <c r="L268" i="6"/>
  <c r="K264" i="6"/>
  <c r="J264" i="6"/>
  <c r="I264" i="6"/>
  <c r="G264" i="6"/>
  <c r="H264" i="6" s="1"/>
  <c r="J263" i="6"/>
  <c r="K263" i="6" s="1"/>
  <c r="I263" i="6"/>
  <c r="G263" i="6"/>
  <c r="H263" i="6" s="1"/>
  <c r="J262" i="6"/>
  <c r="K262" i="6" s="1"/>
  <c r="I262" i="6"/>
  <c r="G262" i="6"/>
  <c r="F262" i="6"/>
  <c r="H262" i="6" s="1"/>
  <c r="J261" i="6"/>
  <c r="I261" i="6"/>
  <c r="G261" i="6"/>
  <c r="H261" i="6" s="1"/>
  <c r="F261" i="6"/>
  <c r="J260" i="6"/>
  <c r="K260" i="6" s="1"/>
  <c r="I260" i="6"/>
  <c r="H260" i="6"/>
  <c r="G260" i="6"/>
  <c r="F260" i="6"/>
  <c r="I258" i="6"/>
  <c r="K258" i="6" s="1"/>
  <c r="L258" i="6" s="1"/>
  <c r="M258" i="6" s="1"/>
  <c r="H258" i="6"/>
  <c r="J257" i="6"/>
  <c r="K257" i="6" s="1"/>
  <c r="L257" i="6" s="1"/>
  <c r="M257" i="6" s="1"/>
  <c r="H257" i="6"/>
  <c r="G257" i="6"/>
  <c r="F257" i="6"/>
  <c r="J256" i="6"/>
  <c r="K256" i="6" s="1"/>
  <c r="H256" i="6"/>
  <c r="G256" i="6"/>
  <c r="K254" i="6"/>
  <c r="L254" i="6" s="1"/>
  <c r="M254" i="6" s="1"/>
  <c r="J254" i="6"/>
  <c r="G254" i="6"/>
  <c r="H254" i="6" s="1"/>
  <c r="J253" i="6"/>
  <c r="K253" i="6" s="1"/>
  <c r="L253" i="6" s="1"/>
  <c r="M253" i="6" s="1"/>
  <c r="H253" i="6"/>
  <c r="G253" i="6"/>
  <c r="K251" i="6"/>
  <c r="J251" i="6"/>
  <c r="G251" i="6"/>
  <c r="H251" i="6" s="1"/>
  <c r="M250" i="6"/>
  <c r="L250" i="6"/>
  <c r="K250" i="6"/>
  <c r="H250" i="6"/>
  <c r="I249" i="6"/>
  <c r="K249" i="6" s="1"/>
  <c r="H249" i="6"/>
  <c r="F249" i="6"/>
  <c r="K248" i="6"/>
  <c r="L248" i="6" s="1"/>
  <c r="M248" i="6" s="1"/>
  <c r="J248" i="6"/>
  <c r="G248" i="6"/>
  <c r="H248" i="6" s="1"/>
  <c r="J247" i="6"/>
  <c r="K247" i="6" s="1"/>
  <c r="L247" i="6" s="1"/>
  <c r="M247" i="6" s="1"/>
  <c r="H247" i="6"/>
  <c r="G247" i="6"/>
  <c r="K246" i="6"/>
  <c r="J246" i="6"/>
  <c r="G246" i="6"/>
  <c r="H246" i="6" s="1"/>
  <c r="J245" i="6"/>
  <c r="K245" i="6" s="1"/>
  <c r="L245" i="6" s="1"/>
  <c r="M245" i="6" s="1"/>
  <c r="H245" i="6"/>
  <c r="G245" i="6"/>
  <c r="I244" i="6"/>
  <c r="J244" i="6" s="1"/>
  <c r="K244" i="6" s="1"/>
  <c r="F244" i="6"/>
  <c r="G244" i="6" s="1"/>
  <c r="H244" i="6" s="1"/>
  <c r="K242" i="6"/>
  <c r="J242" i="6"/>
  <c r="G242" i="6"/>
  <c r="H242" i="6" s="1"/>
  <c r="J241" i="6"/>
  <c r="K241" i="6" s="1"/>
  <c r="L241" i="6" s="1"/>
  <c r="M241" i="6" s="1"/>
  <c r="H241" i="6"/>
  <c r="M240" i="6"/>
  <c r="L240" i="6"/>
  <c r="J240" i="6"/>
  <c r="G240" i="6"/>
  <c r="J239" i="6"/>
  <c r="G239" i="6"/>
  <c r="K238" i="6"/>
  <c r="J238" i="6"/>
  <c r="G238" i="6"/>
  <c r="H238" i="6" s="1"/>
  <c r="L238" i="6" s="1"/>
  <c r="M238" i="6" s="1"/>
  <c r="J237" i="6"/>
  <c r="K237" i="6" s="1"/>
  <c r="H237" i="6"/>
  <c r="H243" i="6" s="1"/>
  <c r="L212" i="6"/>
  <c r="K208" i="6"/>
  <c r="J208" i="6"/>
  <c r="I208" i="6"/>
  <c r="G208" i="6"/>
  <c r="H208" i="6" s="1"/>
  <c r="J207" i="6"/>
  <c r="K207" i="6" s="1"/>
  <c r="I207" i="6"/>
  <c r="G207" i="6"/>
  <c r="H207" i="6" s="1"/>
  <c r="J206" i="6"/>
  <c r="I206" i="6"/>
  <c r="G206" i="6"/>
  <c r="H206" i="6" s="1"/>
  <c r="F206" i="6"/>
  <c r="J205" i="6"/>
  <c r="K205" i="6" s="1"/>
  <c r="I205" i="6"/>
  <c r="H205" i="6"/>
  <c r="G205" i="6"/>
  <c r="F205" i="6"/>
  <c r="J204" i="6"/>
  <c r="I204" i="6"/>
  <c r="G204" i="6"/>
  <c r="H204" i="6" s="1"/>
  <c r="F204" i="6"/>
  <c r="I202" i="6"/>
  <c r="K202" i="6" s="1"/>
  <c r="L202" i="6" s="1"/>
  <c r="M202" i="6" s="1"/>
  <c r="H202" i="6"/>
  <c r="J201" i="6"/>
  <c r="K201" i="6" s="1"/>
  <c r="L201" i="6" s="1"/>
  <c r="M201" i="6" s="1"/>
  <c r="H201" i="6"/>
  <c r="G201" i="6"/>
  <c r="F201" i="6"/>
  <c r="J200" i="6"/>
  <c r="K200" i="6" s="1"/>
  <c r="H200" i="6"/>
  <c r="G200" i="6"/>
  <c r="K198" i="6"/>
  <c r="L198" i="6" s="1"/>
  <c r="M198" i="6" s="1"/>
  <c r="J198" i="6"/>
  <c r="G198" i="6"/>
  <c r="H198" i="6" s="1"/>
  <c r="J197" i="6"/>
  <c r="K197" i="6" s="1"/>
  <c r="L197" i="6" s="1"/>
  <c r="M197" i="6" s="1"/>
  <c r="H197" i="6"/>
  <c r="G197" i="6"/>
  <c r="K195" i="6"/>
  <c r="J195" i="6"/>
  <c r="G195" i="6"/>
  <c r="H195" i="6" s="1"/>
  <c r="M194" i="6"/>
  <c r="L194" i="6"/>
  <c r="K194" i="6"/>
  <c r="H194" i="6"/>
  <c r="I193" i="6"/>
  <c r="K193" i="6" s="1"/>
  <c r="F193" i="6"/>
  <c r="H193" i="6" s="1"/>
  <c r="K192" i="6"/>
  <c r="L192" i="6" s="1"/>
  <c r="M192" i="6" s="1"/>
  <c r="J192" i="6"/>
  <c r="G192" i="6"/>
  <c r="H192" i="6" s="1"/>
  <c r="J191" i="6"/>
  <c r="K191" i="6" s="1"/>
  <c r="L191" i="6" s="1"/>
  <c r="M191" i="6" s="1"/>
  <c r="H191" i="6"/>
  <c r="G191" i="6"/>
  <c r="K190" i="6"/>
  <c r="J190" i="6"/>
  <c r="G190" i="6"/>
  <c r="H190" i="6" s="1"/>
  <c r="J189" i="6"/>
  <c r="K189" i="6" s="1"/>
  <c r="L189" i="6" s="1"/>
  <c r="M189" i="6" s="1"/>
  <c r="H189" i="6"/>
  <c r="G189" i="6"/>
  <c r="J188" i="6"/>
  <c r="K188" i="6" s="1"/>
  <c r="L188" i="6" s="1"/>
  <c r="M188" i="6" s="1"/>
  <c r="I188" i="6"/>
  <c r="G188" i="6"/>
  <c r="H188" i="6" s="1"/>
  <c r="F188" i="6"/>
  <c r="K186" i="6"/>
  <c r="J186" i="6"/>
  <c r="G186" i="6"/>
  <c r="H186" i="6" s="1"/>
  <c r="J185" i="6"/>
  <c r="K185" i="6" s="1"/>
  <c r="L185" i="6" s="1"/>
  <c r="M185" i="6" s="1"/>
  <c r="H185" i="6"/>
  <c r="M184" i="6"/>
  <c r="L184" i="6"/>
  <c r="J184" i="6"/>
  <c r="G184" i="6"/>
  <c r="J183" i="6"/>
  <c r="G183" i="6"/>
  <c r="K182" i="6"/>
  <c r="J182" i="6"/>
  <c r="G182" i="6"/>
  <c r="H182" i="6" s="1"/>
  <c r="L182" i="6" s="1"/>
  <c r="M182" i="6" s="1"/>
  <c r="J181" i="6"/>
  <c r="K181" i="6" s="1"/>
  <c r="H181" i="6"/>
  <c r="H187" i="6" s="1"/>
  <c r="L156" i="6"/>
  <c r="J152" i="6"/>
  <c r="I152" i="6"/>
  <c r="K152" i="6" s="1"/>
  <c r="G152" i="6"/>
  <c r="H152" i="6" s="1"/>
  <c r="J151" i="6"/>
  <c r="K151" i="6" s="1"/>
  <c r="I151" i="6"/>
  <c r="H151" i="6"/>
  <c r="G151" i="6"/>
  <c r="J150" i="6"/>
  <c r="I150" i="6"/>
  <c r="K150" i="6" s="1"/>
  <c r="G150" i="6"/>
  <c r="F150" i="6"/>
  <c r="J149" i="6"/>
  <c r="I149" i="6"/>
  <c r="K149" i="6" s="1"/>
  <c r="G149" i="6"/>
  <c r="H149" i="6" s="1"/>
  <c r="F149" i="6"/>
  <c r="K148" i="6"/>
  <c r="J148" i="6"/>
  <c r="I148" i="6"/>
  <c r="G148" i="6"/>
  <c r="F148" i="6"/>
  <c r="K146" i="6"/>
  <c r="L146" i="6" s="1"/>
  <c r="M146" i="6" s="1"/>
  <c r="I146" i="6"/>
  <c r="H146" i="6"/>
  <c r="J145" i="6"/>
  <c r="K145" i="6" s="1"/>
  <c r="G145" i="6"/>
  <c r="H145" i="6" s="1"/>
  <c r="F145" i="6"/>
  <c r="K144" i="6"/>
  <c r="L144" i="6" s="1"/>
  <c r="M144" i="6" s="1"/>
  <c r="J144" i="6"/>
  <c r="H144" i="6"/>
  <c r="G144" i="6"/>
  <c r="K142" i="6"/>
  <c r="L142" i="6" s="1"/>
  <c r="M142" i="6" s="1"/>
  <c r="J142" i="6"/>
  <c r="H142" i="6"/>
  <c r="G142" i="6"/>
  <c r="K141" i="6"/>
  <c r="L141" i="6" s="1"/>
  <c r="M141" i="6" s="1"/>
  <c r="J141" i="6"/>
  <c r="H141" i="6"/>
  <c r="G141" i="6"/>
  <c r="K139" i="6"/>
  <c r="L139" i="6" s="1"/>
  <c r="M139" i="6" s="1"/>
  <c r="J139" i="6"/>
  <c r="H139" i="6"/>
  <c r="G139" i="6"/>
  <c r="K138" i="6"/>
  <c r="L138" i="6" s="1"/>
  <c r="M138" i="6" s="1"/>
  <c r="H138" i="6"/>
  <c r="I137" i="6"/>
  <c r="K137" i="6" s="1"/>
  <c r="F137" i="6"/>
  <c r="H137" i="6" s="1"/>
  <c r="K136" i="6"/>
  <c r="L136" i="6" s="1"/>
  <c r="M136" i="6" s="1"/>
  <c r="J136" i="6"/>
  <c r="H136" i="6"/>
  <c r="G136" i="6"/>
  <c r="K135" i="6"/>
  <c r="L135" i="6" s="1"/>
  <c r="M135" i="6" s="1"/>
  <c r="J135" i="6"/>
  <c r="H135" i="6"/>
  <c r="G135" i="6"/>
  <c r="K134" i="6"/>
  <c r="L134" i="6" s="1"/>
  <c r="M134" i="6" s="1"/>
  <c r="J134" i="6"/>
  <c r="H134" i="6"/>
  <c r="G134" i="6"/>
  <c r="K133" i="6"/>
  <c r="L133" i="6" s="1"/>
  <c r="M133" i="6" s="1"/>
  <c r="J133" i="6"/>
  <c r="H133" i="6"/>
  <c r="G133" i="6"/>
  <c r="I132" i="6"/>
  <c r="J132" i="6" s="1"/>
  <c r="K132" i="6" s="1"/>
  <c r="G132" i="6"/>
  <c r="H132" i="6" s="1"/>
  <c r="F132" i="6"/>
  <c r="K130" i="6"/>
  <c r="L130" i="6" s="1"/>
  <c r="M130" i="6" s="1"/>
  <c r="J130" i="6"/>
  <c r="H130" i="6"/>
  <c r="G130" i="6"/>
  <c r="K129" i="6"/>
  <c r="L129" i="6" s="1"/>
  <c r="M129" i="6" s="1"/>
  <c r="J129" i="6"/>
  <c r="H129" i="6"/>
  <c r="L128" i="6"/>
  <c r="M128" i="6" s="1"/>
  <c r="J128" i="6"/>
  <c r="G128" i="6"/>
  <c r="J127" i="6"/>
  <c r="G127" i="6"/>
  <c r="J126" i="6"/>
  <c r="K126" i="6" s="1"/>
  <c r="G126" i="6"/>
  <c r="H126" i="6" s="1"/>
  <c r="J125" i="6"/>
  <c r="K125" i="6" s="1"/>
  <c r="H125" i="6"/>
  <c r="K96" i="6"/>
  <c r="J96" i="6"/>
  <c r="I96" i="6"/>
  <c r="G96" i="6"/>
  <c r="H96" i="6" s="1"/>
  <c r="J95" i="6"/>
  <c r="K95" i="6" s="1"/>
  <c r="I95" i="6"/>
  <c r="G95" i="6"/>
  <c r="H95" i="6" s="1"/>
  <c r="J94" i="6"/>
  <c r="I94" i="6"/>
  <c r="G94" i="6"/>
  <c r="F94" i="6"/>
  <c r="J93" i="6"/>
  <c r="I93" i="6"/>
  <c r="G93" i="6"/>
  <c r="F93" i="6"/>
  <c r="J92" i="6"/>
  <c r="I92" i="6"/>
  <c r="I76" i="6" s="1"/>
  <c r="J76" i="6" s="1"/>
  <c r="K76" i="6" s="1"/>
  <c r="G92" i="6"/>
  <c r="F92" i="6"/>
  <c r="F76" i="6" s="1"/>
  <c r="G76" i="6" s="1"/>
  <c r="H76" i="6" s="1"/>
  <c r="I90" i="6"/>
  <c r="K90" i="6" s="1"/>
  <c r="L90" i="6" s="1"/>
  <c r="M90" i="6" s="1"/>
  <c r="H90" i="6"/>
  <c r="J89" i="6"/>
  <c r="K89" i="6" s="1"/>
  <c r="G89" i="6"/>
  <c r="H89" i="6" s="1"/>
  <c r="F89" i="6"/>
  <c r="J88" i="6"/>
  <c r="K88" i="6" s="1"/>
  <c r="H88" i="6"/>
  <c r="G88" i="6"/>
  <c r="K86" i="6"/>
  <c r="J86" i="6"/>
  <c r="G86" i="6"/>
  <c r="H86" i="6" s="1"/>
  <c r="J85" i="6"/>
  <c r="K85" i="6" s="1"/>
  <c r="H85" i="6"/>
  <c r="G85" i="6"/>
  <c r="K83" i="6"/>
  <c r="J83" i="6"/>
  <c r="G83" i="6"/>
  <c r="H83" i="6" s="1"/>
  <c r="K82" i="6"/>
  <c r="L82" i="6" s="1"/>
  <c r="M82" i="6" s="1"/>
  <c r="H82" i="6"/>
  <c r="I81" i="6"/>
  <c r="K81" i="6" s="1"/>
  <c r="F81" i="6"/>
  <c r="H81" i="6" s="1"/>
  <c r="K80" i="6"/>
  <c r="L80" i="6" s="1"/>
  <c r="M80" i="6" s="1"/>
  <c r="J80" i="6"/>
  <c r="G80" i="6"/>
  <c r="H80" i="6" s="1"/>
  <c r="J79" i="6"/>
  <c r="K79" i="6" s="1"/>
  <c r="L79" i="6" s="1"/>
  <c r="M79" i="6" s="1"/>
  <c r="H79" i="6"/>
  <c r="G79" i="6"/>
  <c r="K78" i="6"/>
  <c r="L78" i="6" s="1"/>
  <c r="M78" i="6" s="1"/>
  <c r="J78" i="6"/>
  <c r="G78" i="6"/>
  <c r="H78" i="6" s="1"/>
  <c r="J77" i="6"/>
  <c r="K77" i="6" s="1"/>
  <c r="H77" i="6"/>
  <c r="G77" i="6"/>
  <c r="K75" i="6"/>
  <c r="K74" i="6"/>
  <c r="J74" i="6"/>
  <c r="G74" i="6"/>
  <c r="H74" i="6" s="1"/>
  <c r="J73" i="6"/>
  <c r="K73" i="6" s="1"/>
  <c r="H73" i="6"/>
  <c r="L72" i="6"/>
  <c r="M72" i="6" s="1"/>
  <c r="J72" i="6"/>
  <c r="G72" i="6"/>
  <c r="J71" i="6"/>
  <c r="G71" i="6"/>
  <c r="L70" i="6"/>
  <c r="M70" i="6" s="1"/>
  <c r="J70" i="6"/>
  <c r="K70" i="6" s="1"/>
  <c r="G70" i="6"/>
  <c r="H70" i="6" s="1"/>
  <c r="J69" i="6"/>
  <c r="K69" i="6" s="1"/>
  <c r="L69" i="6" s="1"/>
  <c r="M69" i="6" s="1"/>
  <c r="H69" i="6"/>
  <c r="H75" i="6" s="1"/>
  <c r="J40" i="6"/>
  <c r="K40" i="6" s="1"/>
  <c r="L40" i="6" s="1"/>
  <c r="M40" i="6" s="1"/>
  <c r="I40" i="6"/>
  <c r="H40" i="6"/>
  <c r="G40" i="6"/>
  <c r="J39" i="6"/>
  <c r="I39" i="6"/>
  <c r="K39" i="6" s="1"/>
  <c r="L39" i="6" s="1"/>
  <c r="M39" i="6" s="1"/>
  <c r="H39" i="6"/>
  <c r="G39" i="6"/>
  <c r="J38" i="6"/>
  <c r="I38" i="6"/>
  <c r="K38" i="6" s="1"/>
  <c r="G38" i="6"/>
  <c r="F38" i="6"/>
  <c r="J37" i="6"/>
  <c r="I37" i="6"/>
  <c r="K37" i="6" s="1"/>
  <c r="L37" i="6" s="1"/>
  <c r="M37" i="6" s="1"/>
  <c r="G37" i="6"/>
  <c r="H37" i="6" s="1"/>
  <c r="F37" i="6"/>
  <c r="K36" i="6"/>
  <c r="J36" i="6"/>
  <c r="I36" i="6"/>
  <c r="I20" i="6" s="1"/>
  <c r="J20" i="6" s="1"/>
  <c r="K20" i="6" s="1"/>
  <c r="G36" i="6"/>
  <c r="F36" i="6"/>
  <c r="F20" i="6" s="1"/>
  <c r="G20" i="6" s="1"/>
  <c r="H20" i="6" s="1"/>
  <c r="K34" i="6"/>
  <c r="L34" i="6" s="1"/>
  <c r="M34" i="6" s="1"/>
  <c r="I34" i="6"/>
  <c r="H34" i="6"/>
  <c r="K33" i="6"/>
  <c r="J33" i="6"/>
  <c r="G33" i="6"/>
  <c r="H33" i="6" s="1"/>
  <c r="L33" i="6" s="1"/>
  <c r="M33" i="6" s="1"/>
  <c r="F33" i="6"/>
  <c r="K32" i="6"/>
  <c r="J32" i="6"/>
  <c r="G32" i="6"/>
  <c r="H32" i="6" s="1"/>
  <c r="J30" i="6"/>
  <c r="K30" i="6" s="1"/>
  <c r="L30" i="6" s="1"/>
  <c r="M30" i="6" s="1"/>
  <c r="H30" i="6"/>
  <c r="G30" i="6"/>
  <c r="K29" i="6"/>
  <c r="L29" i="6" s="1"/>
  <c r="M29" i="6" s="1"/>
  <c r="J29" i="6"/>
  <c r="G29" i="6"/>
  <c r="H29" i="6" s="1"/>
  <c r="J27" i="6"/>
  <c r="K27" i="6" s="1"/>
  <c r="L27" i="6" s="1"/>
  <c r="M27" i="6" s="1"/>
  <c r="H27" i="6"/>
  <c r="G27" i="6"/>
  <c r="K26" i="6"/>
  <c r="L26" i="6" s="1"/>
  <c r="M26" i="6" s="1"/>
  <c r="H26" i="6"/>
  <c r="K25" i="6"/>
  <c r="I25" i="6"/>
  <c r="F25" i="6"/>
  <c r="H25" i="6" s="1"/>
  <c r="J24" i="6"/>
  <c r="K24" i="6" s="1"/>
  <c r="L24" i="6" s="1"/>
  <c r="M24" i="6" s="1"/>
  <c r="H24" i="6"/>
  <c r="G24" i="6"/>
  <c r="K23" i="6"/>
  <c r="J23" i="6"/>
  <c r="G23" i="6"/>
  <c r="H23" i="6" s="1"/>
  <c r="J22" i="6"/>
  <c r="K22" i="6" s="1"/>
  <c r="L22" i="6" s="1"/>
  <c r="M22" i="6" s="1"/>
  <c r="H22" i="6"/>
  <c r="G22" i="6"/>
  <c r="K21" i="6"/>
  <c r="L21" i="6" s="1"/>
  <c r="M21" i="6" s="1"/>
  <c r="J21" i="6"/>
  <c r="G21" i="6"/>
  <c r="H21" i="6" s="1"/>
  <c r="J18" i="6"/>
  <c r="K18" i="6" s="1"/>
  <c r="L18" i="6" s="1"/>
  <c r="M18" i="6" s="1"/>
  <c r="H18" i="6"/>
  <c r="G18" i="6"/>
  <c r="K17" i="6"/>
  <c r="L17" i="6" s="1"/>
  <c r="M17" i="6" s="1"/>
  <c r="J17" i="6"/>
  <c r="H17" i="6"/>
  <c r="L16" i="6"/>
  <c r="M16" i="6" s="1"/>
  <c r="J16" i="6"/>
  <c r="G16" i="6"/>
  <c r="J15" i="6"/>
  <c r="G15" i="6"/>
  <c r="J14" i="6"/>
  <c r="K14" i="6" s="1"/>
  <c r="L14" i="6" s="1"/>
  <c r="M14" i="6" s="1"/>
  <c r="H14" i="6"/>
  <c r="G14" i="6"/>
  <c r="L13" i="6"/>
  <c r="M13" i="6" s="1"/>
  <c r="K13" i="6"/>
  <c r="J13" i="6"/>
  <c r="H13" i="6"/>
  <c r="H19" i="6" s="1"/>
  <c r="L137" i="6" l="1"/>
  <c r="M137" i="6" s="1"/>
  <c r="L244" i="6"/>
  <c r="M244" i="6" s="1"/>
  <c r="L486" i="6"/>
  <c r="M486" i="6" s="1"/>
  <c r="L262" i="6"/>
  <c r="M262" i="6" s="1"/>
  <c r="H36" i="6"/>
  <c r="H148" i="6"/>
  <c r="K204" i="6"/>
  <c r="L204" i="6" s="1"/>
  <c r="M204" i="6" s="1"/>
  <c r="L300" i="6"/>
  <c r="M300" i="6" s="1"/>
  <c r="L361" i="6"/>
  <c r="M361" i="6" s="1"/>
  <c r="H372" i="6"/>
  <c r="H373" i="6"/>
  <c r="H374" i="6"/>
  <c r="H428" i="6"/>
  <c r="H429" i="6"/>
  <c r="L429" i="6" s="1"/>
  <c r="M429" i="6" s="1"/>
  <c r="H430" i="6"/>
  <c r="L430" i="6" s="1"/>
  <c r="M430" i="6" s="1"/>
  <c r="H484" i="6"/>
  <c r="L484" i="6" s="1"/>
  <c r="M484" i="6" s="1"/>
  <c r="L524" i="6"/>
  <c r="M524" i="6" s="1"/>
  <c r="K596" i="6"/>
  <c r="L596" i="6" s="1"/>
  <c r="M596" i="6" s="1"/>
  <c r="L148" i="6"/>
  <c r="M148" i="6" s="1"/>
  <c r="L428" i="6"/>
  <c r="M428" i="6" s="1"/>
  <c r="L585" i="6"/>
  <c r="M585" i="6" s="1"/>
  <c r="L597" i="6"/>
  <c r="M597" i="6" s="1"/>
  <c r="L76" i="6"/>
  <c r="M76" i="6" s="1"/>
  <c r="L372" i="6"/>
  <c r="M372" i="6" s="1"/>
  <c r="L373" i="6"/>
  <c r="M373" i="6" s="1"/>
  <c r="L374" i="6"/>
  <c r="M374" i="6" s="1"/>
  <c r="L25" i="6"/>
  <c r="M25" i="6" s="1"/>
  <c r="L193" i="6"/>
  <c r="M193" i="6" s="1"/>
  <c r="L205" i="6"/>
  <c r="M205" i="6" s="1"/>
  <c r="L260" i="6"/>
  <c r="M260" i="6" s="1"/>
  <c r="H38" i="6"/>
  <c r="L38" i="6" s="1"/>
  <c r="M38" i="6" s="1"/>
  <c r="H92" i="6"/>
  <c r="H93" i="6"/>
  <c r="H94" i="6"/>
  <c r="L132" i="6"/>
  <c r="M132" i="6" s="1"/>
  <c r="H150" i="6"/>
  <c r="L150" i="6" s="1"/>
  <c r="M150" i="6" s="1"/>
  <c r="K206" i="6"/>
  <c r="L206" i="6" s="1"/>
  <c r="M206" i="6" s="1"/>
  <c r="L249" i="6"/>
  <c r="M249" i="6" s="1"/>
  <c r="K261" i="6"/>
  <c r="L261" i="6" s="1"/>
  <c r="M261" i="6" s="1"/>
  <c r="H316" i="6"/>
  <c r="L316" i="6" s="1"/>
  <c r="M316" i="6" s="1"/>
  <c r="H317" i="6"/>
  <c r="L317" i="6" s="1"/>
  <c r="M317" i="6" s="1"/>
  <c r="H318" i="6"/>
  <c r="H486" i="6"/>
  <c r="H540" i="6"/>
  <c r="L540" i="6" s="1"/>
  <c r="M540" i="6" s="1"/>
  <c r="H541" i="6"/>
  <c r="H542" i="6"/>
  <c r="L598" i="6"/>
  <c r="M598" i="6" s="1"/>
  <c r="L536" i="6"/>
  <c r="M536" i="6" s="1"/>
  <c r="L312" i="6"/>
  <c r="M312" i="6" s="1"/>
  <c r="L582" i="6"/>
  <c r="M582" i="6" s="1"/>
  <c r="L587" i="6"/>
  <c r="M587" i="6" s="1"/>
  <c r="K579" i="6"/>
  <c r="L573" i="6"/>
  <c r="M573" i="6" s="1"/>
  <c r="L578" i="6"/>
  <c r="M578" i="6" s="1"/>
  <c r="L592" i="6"/>
  <c r="M592" i="6" s="1"/>
  <c r="L599" i="6"/>
  <c r="M599" i="6" s="1"/>
  <c r="H579" i="6"/>
  <c r="L580" i="6"/>
  <c r="M580" i="6" s="1"/>
  <c r="L600" i="6"/>
  <c r="M600" i="6" s="1"/>
  <c r="H523" i="6"/>
  <c r="L517" i="6"/>
  <c r="M517" i="6" s="1"/>
  <c r="K523" i="6"/>
  <c r="L541" i="6"/>
  <c r="M541" i="6" s="1"/>
  <c r="L542" i="6"/>
  <c r="M542" i="6" s="1"/>
  <c r="L543" i="6"/>
  <c r="M543" i="6" s="1"/>
  <c r="L518" i="6"/>
  <c r="M518" i="6" s="1"/>
  <c r="L537" i="6"/>
  <c r="M537" i="6" s="1"/>
  <c r="L544" i="6"/>
  <c r="M544" i="6" s="1"/>
  <c r="H476" i="6"/>
  <c r="L488" i="6"/>
  <c r="M488" i="6" s="1"/>
  <c r="K467" i="6"/>
  <c r="L470" i="6"/>
  <c r="M470" i="6" s="1"/>
  <c r="L472" i="6"/>
  <c r="M472" i="6" s="1"/>
  <c r="L478" i="6"/>
  <c r="M478" i="6" s="1"/>
  <c r="L487" i="6"/>
  <c r="M487" i="6" s="1"/>
  <c r="L480" i="6"/>
  <c r="M480" i="6" s="1"/>
  <c r="L466" i="6"/>
  <c r="M466" i="6" s="1"/>
  <c r="L485" i="6"/>
  <c r="M485" i="6" s="1"/>
  <c r="H411" i="6"/>
  <c r="L432" i="6"/>
  <c r="M432" i="6" s="1"/>
  <c r="L405" i="6"/>
  <c r="M405" i="6" s="1"/>
  <c r="K411" i="6"/>
  <c r="L412" i="6"/>
  <c r="M412" i="6" s="1"/>
  <c r="L431" i="6"/>
  <c r="M431" i="6" s="1"/>
  <c r="H364" i="6"/>
  <c r="L368" i="6"/>
  <c r="M368" i="6" s="1"/>
  <c r="L375" i="6"/>
  <c r="M375" i="6" s="1"/>
  <c r="L349" i="6"/>
  <c r="M349" i="6" s="1"/>
  <c r="K355" i="6"/>
  <c r="L354" i="6"/>
  <c r="M354" i="6" s="1"/>
  <c r="L356" i="6"/>
  <c r="M356" i="6" s="1"/>
  <c r="L360" i="6"/>
  <c r="M360" i="6" s="1"/>
  <c r="L363" i="6"/>
  <c r="M363" i="6" s="1"/>
  <c r="L369" i="6"/>
  <c r="M369" i="6" s="1"/>
  <c r="L376" i="6"/>
  <c r="M376" i="6" s="1"/>
  <c r="L318" i="6"/>
  <c r="M318" i="6" s="1"/>
  <c r="H308" i="6"/>
  <c r="L319" i="6"/>
  <c r="M319" i="6" s="1"/>
  <c r="L313" i="6"/>
  <c r="M313" i="6" s="1"/>
  <c r="K299" i="6"/>
  <c r="L320" i="6"/>
  <c r="M320" i="6" s="1"/>
  <c r="L246" i="6"/>
  <c r="M246" i="6" s="1"/>
  <c r="L251" i="6"/>
  <c r="M251" i="6" s="1"/>
  <c r="L237" i="6"/>
  <c r="M237" i="6" s="1"/>
  <c r="K243" i="6"/>
  <c r="L242" i="6"/>
  <c r="M242" i="6" s="1"/>
  <c r="L256" i="6"/>
  <c r="M256" i="6" s="1"/>
  <c r="L263" i="6"/>
  <c r="M263" i="6" s="1"/>
  <c r="H252" i="6"/>
  <c r="L264" i="6"/>
  <c r="M264" i="6" s="1"/>
  <c r="H196" i="6"/>
  <c r="L181" i="6"/>
  <c r="M181" i="6" s="1"/>
  <c r="K187" i="6"/>
  <c r="L190" i="6"/>
  <c r="M190" i="6" s="1"/>
  <c r="L195" i="6"/>
  <c r="M195" i="6" s="1"/>
  <c r="L186" i="6"/>
  <c r="M186" i="6" s="1"/>
  <c r="L200" i="6"/>
  <c r="M200" i="6" s="1"/>
  <c r="L207" i="6"/>
  <c r="M207" i="6" s="1"/>
  <c r="L208" i="6"/>
  <c r="M208" i="6" s="1"/>
  <c r="L126" i="6"/>
  <c r="M126" i="6" s="1"/>
  <c r="L145" i="6"/>
  <c r="M145" i="6" s="1"/>
  <c r="L152" i="6"/>
  <c r="M152" i="6" s="1"/>
  <c r="H131" i="6"/>
  <c r="L149" i="6"/>
  <c r="M149" i="6" s="1"/>
  <c r="K131" i="6"/>
  <c r="L125" i="6"/>
  <c r="M125" i="6" s="1"/>
  <c r="L151" i="6"/>
  <c r="M151" i="6" s="1"/>
  <c r="L75" i="6"/>
  <c r="M75" i="6" s="1"/>
  <c r="L77" i="6"/>
  <c r="M77" i="6" s="1"/>
  <c r="L83" i="6"/>
  <c r="M83" i="6" s="1"/>
  <c r="L85" i="6"/>
  <c r="M85" i="6" s="1"/>
  <c r="L86" i="6"/>
  <c r="M86" i="6" s="1"/>
  <c r="L88" i="6"/>
  <c r="M88" i="6" s="1"/>
  <c r="L89" i="6"/>
  <c r="M89" i="6" s="1"/>
  <c r="K93" i="6"/>
  <c r="L73" i="6"/>
  <c r="M73" i="6" s="1"/>
  <c r="L74" i="6"/>
  <c r="M74" i="6" s="1"/>
  <c r="L81" i="6"/>
  <c r="M81" i="6" s="1"/>
  <c r="K84" i="6"/>
  <c r="K94" i="6"/>
  <c r="L94" i="6" s="1"/>
  <c r="M94" i="6" s="1"/>
  <c r="L95" i="6"/>
  <c r="M95" i="6" s="1"/>
  <c r="L96" i="6"/>
  <c r="M96" i="6" s="1"/>
  <c r="H84" i="6"/>
  <c r="K92" i="6"/>
  <c r="L92" i="6" s="1"/>
  <c r="M92" i="6" s="1"/>
  <c r="K19" i="6"/>
  <c r="L20" i="6"/>
  <c r="M20" i="6" s="1"/>
  <c r="H28" i="6"/>
  <c r="L23" i="6"/>
  <c r="M23" i="6" s="1"/>
  <c r="L36" i="6"/>
  <c r="M36" i="6" s="1"/>
  <c r="L32" i="6"/>
  <c r="M32" i="6" s="1"/>
  <c r="L93" i="6" l="1"/>
  <c r="M93" i="6" s="1"/>
  <c r="L579" i="6"/>
  <c r="K588" i="6"/>
  <c r="H588" i="6"/>
  <c r="M579" i="6"/>
  <c r="L523" i="6"/>
  <c r="K532" i="6"/>
  <c r="H532" i="6"/>
  <c r="M523" i="6"/>
  <c r="L467" i="6"/>
  <c r="M467" i="6" s="1"/>
  <c r="K476" i="6"/>
  <c r="H479" i="6"/>
  <c r="L411" i="6"/>
  <c r="K420" i="6"/>
  <c r="H420" i="6"/>
  <c r="M411" i="6"/>
  <c r="L355" i="6"/>
  <c r="M355" i="6" s="1"/>
  <c r="K364" i="6"/>
  <c r="H367" i="6"/>
  <c r="L299" i="6"/>
  <c r="M299" i="6" s="1"/>
  <c r="K308" i="6"/>
  <c r="H311" i="6"/>
  <c r="H255" i="6"/>
  <c r="L243" i="6"/>
  <c r="M243" i="6" s="1"/>
  <c r="K252" i="6"/>
  <c r="H199" i="6"/>
  <c r="L187" i="6"/>
  <c r="M187" i="6" s="1"/>
  <c r="K196" i="6"/>
  <c r="H140" i="6"/>
  <c r="M131" i="6"/>
  <c r="L131" i="6"/>
  <c r="K140" i="6"/>
  <c r="H87" i="6"/>
  <c r="L84" i="6"/>
  <c r="M84" i="6" s="1"/>
  <c r="K87" i="6"/>
  <c r="L19" i="6"/>
  <c r="M19" i="6" s="1"/>
  <c r="K28" i="6"/>
  <c r="H31" i="6"/>
  <c r="L87" i="6" l="1"/>
  <c r="H591" i="6"/>
  <c r="K591" i="6"/>
  <c r="L588" i="6"/>
  <c r="M588" i="6" s="1"/>
  <c r="H535" i="6"/>
  <c r="L532" i="6"/>
  <c r="M532" i="6" s="1"/>
  <c r="K535" i="6"/>
  <c r="H495" i="6"/>
  <c r="H490" i="6"/>
  <c r="H500" i="6"/>
  <c r="L476" i="6"/>
  <c r="M476" i="6" s="1"/>
  <c r="K479" i="6"/>
  <c r="H423" i="6"/>
  <c r="L420" i="6"/>
  <c r="M420" i="6" s="1"/>
  <c r="K423" i="6"/>
  <c r="L364" i="6"/>
  <c r="M364" i="6" s="1"/>
  <c r="K367" i="6"/>
  <c r="H383" i="6"/>
  <c r="H378" i="6"/>
  <c r="H388" i="6"/>
  <c r="H327" i="6"/>
  <c r="H322" i="6"/>
  <c r="H332" i="6"/>
  <c r="L308" i="6"/>
  <c r="M308" i="6" s="1"/>
  <c r="K311" i="6"/>
  <c r="K255" i="6"/>
  <c r="L252" i="6"/>
  <c r="M252" i="6" s="1"/>
  <c r="H271" i="6"/>
  <c r="H266" i="6"/>
  <c r="H276" i="6"/>
  <c r="K199" i="6"/>
  <c r="L196" i="6"/>
  <c r="M196" i="6" s="1"/>
  <c r="H215" i="6"/>
  <c r="H220" i="6"/>
  <c r="H210" i="6"/>
  <c r="L140" i="6"/>
  <c r="M140" i="6" s="1"/>
  <c r="K143" i="6"/>
  <c r="H143" i="6"/>
  <c r="K98" i="6"/>
  <c r="M87" i="6"/>
  <c r="H98" i="6"/>
  <c r="H42" i="6"/>
  <c r="L28" i="6"/>
  <c r="M28" i="6" s="1"/>
  <c r="K31" i="6"/>
  <c r="H607" i="6" l="1"/>
  <c r="H612" i="6"/>
  <c r="H602" i="6"/>
  <c r="L591" i="6"/>
  <c r="M591" i="6" s="1"/>
  <c r="K602" i="6"/>
  <c r="K607" i="6"/>
  <c r="K612" i="6"/>
  <c r="H546" i="6"/>
  <c r="H551" i="6"/>
  <c r="H556" i="6"/>
  <c r="L535" i="6"/>
  <c r="M535" i="6" s="1"/>
  <c r="K551" i="6"/>
  <c r="K546" i="6"/>
  <c r="K556" i="6"/>
  <c r="H501" i="6"/>
  <c r="H503" i="6" s="1"/>
  <c r="H491" i="6"/>
  <c r="H493" i="6" s="1"/>
  <c r="L479" i="6"/>
  <c r="M479" i="6" s="1"/>
  <c r="K500" i="6"/>
  <c r="K495" i="6"/>
  <c r="K490" i="6"/>
  <c r="H496" i="6"/>
  <c r="L423" i="6"/>
  <c r="K439" i="6"/>
  <c r="K444" i="6"/>
  <c r="K434" i="6"/>
  <c r="M423" i="6"/>
  <c r="H444" i="6"/>
  <c r="H434" i="6"/>
  <c r="H439" i="6"/>
  <c r="H389" i="6"/>
  <c r="H391" i="6" s="1"/>
  <c r="L367" i="6"/>
  <c r="M367" i="6" s="1"/>
  <c r="K388" i="6"/>
  <c r="K378" i="6"/>
  <c r="K383" i="6"/>
  <c r="H379" i="6"/>
  <c r="H384" i="6"/>
  <c r="L311" i="6"/>
  <c r="M311" i="6" s="1"/>
  <c r="K327" i="6"/>
  <c r="K322" i="6"/>
  <c r="K332" i="6"/>
  <c r="H333" i="6"/>
  <c r="H335" i="6" s="1"/>
  <c r="H323" i="6"/>
  <c r="H325" i="6" s="1"/>
  <c r="H328" i="6"/>
  <c r="H330" i="6" s="1"/>
  <c r="L255" i="6"/>
  <c r="M255" i="6" s="1"/>
  <c r="K266" i="6"/>
  <c r="K271" i="6"/>
  <c r="K276" i="6"/>
  <c r="H272" i="6"/>
  <c r="H267" i="6"/>
  <c r="H277" i="6"/>
  <c r="H279" i="6" s="1"/>
  <c r="L199" i="6"/>
  <c r="M199" i="6" s="1"/>
  <c r="K220" i="6"/>
  <c r="K210" i="6"/>
  <c r="K215" i="6"/>
  <c r="H216" i="6"/>
  <c r="H223" i="6"/>
  <c r="H221" i="6"/>
  <c r="H211" i="6"/>
  <c r="H213" i="6" s="1"/>
  <c r="H159" i="6"/>
  <c r="H154" i="6"/>
  <c r="H164" i="6"/>
  <c r="L143" i="6"/>
  <c r="M143" i="6" s="1"/>
  <c r="K159" i="6"/>
  <c r="K154" i="6"/>
  <c r="K164" i="6"/>
  <c r="L98" i="6"/>
  <c r="K100" i="6"/>
  <c r="K99" i="6"/>
  <c r="H100" i="6"/>
  <c r="H101" i="6" s="1"/>
  <c r="H99" i="6"/>
  <c r="M98" i="6"/>
  <c r="H44" i="6"/>
  <c r="H43" i="6"/>
  <c r="L31" i="6"/>
  <c r="M31" i="6" s="1"/>
  <c r="K42" i="6"/>
  <c r="L99" i="6" l="1"/>
  <c r="L100" i="6"/>
  <c r="L612" i="6"/>
  <c r="K613" i="6"/>
  <c r="L607" i="6"/>
  <c r="K608" i="6"/>
  <c r="K610" i="6" s="1"/>
  <c r="M612" i="6"/>
  <c r="H615" i="6"/>
  <c r="H613" i="6"/>
  <c r="H603" i="6"/>
  <c r="H605" i="6"/>
  <c r="K603" i="6"/>
  <c r="L603" i="6" s="1"/>
  <c r="L602" i="6"/>
  <c r="M602" i="6" s="1"/>
  <c r="M607" i="6"/>
  <c r="H610" i="6"/>
  <c r="H608" i="6"/>
  <c r="L551" i="6"/>
  <c r="K552" i="6"/>
  <c r="K554" i="6" s="1"/>
  <c r="L556" i="6"/>
  <c r="M556" i="6" s="1"/>
  <c r="K557" i="6"/>
  <c r="H557" i="6"/>
  <c r="H559" i="6" s="1"/>
  <c r="K549" i="6"/>
  <c r="L546" i="6"/>
  <c r="M546" i="6" s="1"/>
  <c r="K547" i="6"/>
  <c r="M551" i="6"/>
  <c r="H554" i="6"/>
  <c r="H552" i="6"/>
  <c r="H547" i="6"/>
  <c r="H549" i="6" s="1"/>
  <c r="H498" i="6"/>
  <c r="L490" i="6"/>
  <c r="M490" i="6" s="1"/>
  <c r="K491" i="6"/>
  <c r="L491" i="6" s="1"/>
  <c r="M491" i="6" s="1"/>
  <c r="M501" i="6"/>
  <c r="K503" i="6"/>
  <c r="L503" i="6" s="1"/>
  <c r="M503" i="6" s="1"/>
  <c r="K501" i="6"/>
  <c r="L501" i="6" s="1"/>
  <c r="L500" i="6"/>
  <c r="M500" i="6" s="1"/>
  <c r="K496" i="6"/>
  <c r="L496" i="6" s="1"/>
  <c r="M496" i="6" s="1"/>
  <c r="L495" i="6"/>
  <c r="M495" i="6" s="1"/>
  <c r="H440" i="6"/>
  <c r="H442" i="6" s="1"/>
  <c r="L434" i="6"/>
  <c r="K435" i="6"/>
  <c r="H435" i="6"/>
  <c r="M434" i="6"/>
  <c r="L444" i="6"/>
  <c r="M444" i="6" s="1"/>
  <c r="K445" i="6"/>
  <c r="H445" i="6"/>
  <c r="H447" i="6" s="1"/>
  <c r="L439" i="6"/>
  <c r="M439" i="6" s="1"/>
  <c r="K440" i="6"/>
  <c r="L383" i="6"/>
  <c r="M383" i="6" s="1"/>
  <c r="K384" i="6"/>
  <c r="L384" i="6" s="1"/>
  <c r="M384" i="6" s="1"/>
  <c r="L378" i="6"/>
  <c r="M378" i="6" s="1"/>
  <c r="K379" i="6"/>
  <c r="L379" i="6" s="1"/>
  <c r="M379" i="6" s="1"/>
  <c r="H386" i="6"/>
  <c r="H381" i="6"/>
  <c r="L388" i="6"/>
  <c r="M388" i="6" s="1"/>
  <c r="K389" i="6"/>
  <c r="L389" i="6" s="1"/>
  <c r="M389" i="6" s="1"/>
  <c r="L332" i="6"/>
  <c r="M332" i="6" s="1"/>
  <c r="K333" i="6"/>
  <c r="L333" i="6" s="1"/>
  <c r="M333" i="6" s="1"/>
  <c r="L322" i="6"/>
  <c r="M322" i="6" s="1"/>
  <c r="K323" i="6"/>
  <c r="L323" i="6" s="1"/>
  <c r="M323" i="6" s="1"/>
  <c r="L327" i="6"/>
  <c r="M327" i="6" s="1"/>
  <c r="K328" i="6"/>
  <c r="L328" i="6" s="1"/>
  <c r="M328" i="6" s="1"/>
  <c r="L276" i="6"/>
  <c r="M276" i="6" s="1"/>
  <c r="K279" i="6"/>
  <c r="L279" i="6" s="1"/>
  <c r="M279" i="6" s="1"/>
  <c r="K277" i="6"/>
  <c r="L277" i="6" s="1"/>
  <c r="M277" i="6" s="1"/>
  <c r="L271" i="6"/>
  <c r="M271" i="6" s="1"/>
  <c r="K272" i="6"/>
  <c r="L272" i="6" s="1"/>
  <c r="M272" i="6" s="1"/>
  <c r="H269" i="6"/>
  <c r="H274" i="6"/>
  <c r="K267" i="6"/>
  <c r="L267" i="6" s="1"/>
  <c r="M267" i="6" s="1"/>
  <c r="K269" i="6"/>
  <c r="L266" i="6"/>
  <c r="M266" i="6" s="1"/>
  <c r="K211" i="6"/>
  <c r="L211" i="6" s="1"/>
  <c r="M211" i="6" s="1"/>
  <c r="L210" i="6"/>
  <c r="M210" i="6" s="1"/>
  <c r="L215" i="6"/>
  <c r="M215" i="6" s="1"/>
  <c r="K216" i="6"/>
  <c r="L216" i="6" s="1"/>
  <c r="M216" i="6" s="1"/>
  <c r="H218" i="6"/>
  <c r="L220" i="6"/>
  <c r="M220" i="6" s="1"/>
  <c r="K221" i="6"/>
  <c r="L221" i="6" s="1"/>
  <c r="M221" i="6" s="1"/>
  <c r="L164" i="6"/>
  <c r="M164" i="6" s="1"/>
  <c r="K165" i="6"/>
  <c r="H165" i="6"/>
  <c r="H167" i="6" s="1"/>
  <c r="L154" i="6"/>
  <c r="M154" i="6" s="1"/>
  <c r="K155" i="6"/>
  <c r="K157" i="6" s="1"/>
  <c r="H155" i="6"/>
  <c r="H157" i="6" s="1"/>
  <c r="L159" i="6"/>
  <c r="M159" i="6" s="1"/>
  <c r="K160" i="6"/>
  <c r="H160" i="6"/>
  <c r="H162" i="6" s="1"/>
  <c r="M99" i="6"/>
  <c r="K101" i="6"/>
  <c r="L101" i="6" s="1"/>
  <c r="M101" i="6" s="1"/>
  <c r="L42" i="6"/>
  <c r="M42" i="6" s="1"/>
  <c r="K44" i="6"/>
  <c r="L44" i="6" s="1"/>
  <c r="K43" i="6"/>
  <c r="L43" i="6" s="1"/>
  <c r="M43" i="6" s="1"/>
  <c r="H45" i="6"/>
  <c r="L155" i="6" l="1"/>
  <c r="M155" i="6" s="1"/>
  <c r="K274" i="6"/>
  <c r="K335" i="6"/>
  <c r="L335" i="6" s="1"/>
  <c r="M335" i="6" s="1"/>
  <c r="K391" i="6"/>
  <c r="L391" i="6" s="1"/>
  <c r="M391" i="6" s="1"/>
  <c r="K325" i="6"/>
  <c r="L325" i="6" s="1"/>
  <c r="M325" i="6" s="1"/>
  <c r="L440" i="6"/>
  <c r="L445" i="6"/>
  <c r="L435" i="6"/>
  <c r="L165" i="6"/>
  <c r="K213" i="6"/>
  <c r="L213" i="6" s="1"/>
  <c r="M213" i="6" s="1"/>
  <c r="K493" i="6"/>
  <c r="L493" i="6" s="1"/>
  <c r="M493" i="6" s="1"/>
  <c r="L557" i="6"/>
  <c r="L160" i="6"/>
  <c r="M160" i="6" s="1"/>
  <c r="L613" i="6"/>
  <c r="M608" i="6"/>
  <c r="K605" i="6"/>
  <c r="L605" i="6" s="1"/>
  <c r="M603" i="6"/>
  <c r="L608" i="6"/>
  <c r="K615" i="6"/>
  <c r="L615" i="6" s="1"/>
  <c r="M615" i="6" s="1"/>
  <c r="M605" i="6"/>
  <c r="M613" i="6"/>
  <c r="L610" i="6"/>
  <c r="M610" i="6" s="1"/>
  <c r="L547" i="6"/>
  <c r="M547" i="6" s="1"/>
  <c r="L552" i="6"/>
  <c r="M552" i="6" s="1"/>
  <c r="L549" i="6"/>
  <c r="M549" i="6" s="1"/>
  <c r="L554" i="6"/>
  <c r="M554" i="6" s="1"/>
  <c r="M557" i="6"/>
  <c r="K559" i="6"/>
  <c r="L559" i="6" s="1"/>
  <c r="M559" i="6" s="1"/>
  <c r="K498" i="6"/>
  <c r="L498" i="6" s="1"/>
  <c r="M498" i="6"/>
  <c r="K437" i="6"/>
  <c r="M445" i="6"/>
  <c r="K447" i="6"/>
  <c r="L447" i="6" s="1"/>
  <c r="M435" i="6"/>
  <c r="M440" i="6"/>
  <c r="M447" i="6"/>
  <c r="K442" i="6"/>
  <c r="L442" i="6" s="1"/>
  <c r="M442" i="6" s="1"/>
  <c r="H437" i="6"/>
  <c r="K381" i="6"/>
  <c r="L381" i="6" s="1"/>
  <c r="M381" i="6" s="1"/>
  <c r="K386" i="6"/>
  <c r="L386" i="6" s="1"/>
  <c r="M386" i="6" s="1"/>
  <c r="K330" i="6"/>
  <c r="L330" i="6" s="1"/>
  <c r="M330" i="6" s="1"/>
  <c r="L269" i="6"/>
  <c r="M269" i="6" s="1"/>
  <c r="M274" i="6"/>
  <c r="L274" i="6"/>
  <c r="K218" i="6"/>
  <c r="L218" i="6" s="1"/>
  <c r="M218" i="6" s="1"/>
  <c r="K223" i="6"/>
  <c r="L223" i="6" s="1"/>
  <c r="M223" i="6" s="1"/>
  <c r="L157" i="6"/>
  <c r="M157" i="6" s="1"/>
  <c r="K162" i="6"/>
  <c r="L162" i="6" s="1"/>
  <c r="M162" i="6" s="1"/>
  <c r="M165" i="6"/>
  <c r="K167" i="6"/>
  <c r="L167" i="6" s="1"/>
  <c r="M167" i="6" s="1"/>
  <c r="K45" i="6"/>
  <c r="L45" i="6" s="1"/>
  <c r="M45" i="6" s="1"/>
  <c r="L437" i="6" l="1"/>
  <c r="M437" i="6" s="1"/>
</calcChain>
</file>

<file path=xl/sharedStrings.xml><?xml version="1.0" encoding="utf-8"?>
<sst xmlns="http://schemas.openxmlformats.org/spreadsheetml/2006/main" count="1474" uniqueCount="74">
  <si>
    <t>YES</t>
  </si>
  <si>
    <t>RESIDENTIAL SERVICE CLASSIFICATION</t>
  </si>
  <si>
    <t>kWh</t>
  </si>
  <si>
    <t>RPP</t>
  </si>
  <si>
    <t>GENERAL SERVICE LESS THAN 50 KW SERVICE CLASSIFICATION</t>
  </si>
  <si>
    <t>kW</t>
  </si>
  <si>
    <t>Non-RPP (Other)</t>
  </si>
  <si>
    <t>LARGE USE SERVICE CLASSIFICATION</t>
  </si>
  <si>
    <t/>
  </si>
  <si>
    <t>UNMETERED SCATTERED LOAD SERVICE CLASSIFICATION</t>
  </si>
  <si>
    <t>STREET LIGHTING SERVICE CLASSIFICATION</t>
  </si>
  <si>
    <t>X</t>
  </si>
  <si>
    <t>Customer Class:</t>
  </si>
  <si>
    <t>RPP / Non-RPP:</t>
  </si>
  <si>
    <t>Consumption</t>
  </si>
  <si>
    <t>Demand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</si>
  <si>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</si>
  <si>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</si>
  <si>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</si>
  <si>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</si>
  <si>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</si>
  <si>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</si>
  <si>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</si>
  <si>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</si>
  <si>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</si>
  <si>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</si>
  <si>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</si>
  <si>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</si>
  <si>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</si>
  <si>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RRRP Credit</t>
  </si>
  <si>
    <t>DRP Adjustment</t>
  </si>
  <si>
    <t>Fixed Rate Riders</t>
  </si>
  <si>
    <t>Volumetric Rate Riders</t>
  </si>
  <si>
    <t>ST_A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</si>
  <si>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</si>
  <si>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</si>
  <si>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</si>
  <si>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</si>
  <si>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</si>
  <si>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</si>
  <si>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</si>
  <si>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</si>
  <si>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</si>
  <si>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ST_B</t>
  </si>
  <si>
    <t>Sub-Total B - Distribution (includes Sub-Total A)</t>
  </si>
  <si>
    <t>RTSR - Network</t>
  </si>
  <si>
    <t>RTSR - Connection and/or Line and Transformation Connection</t>
  </si>
  <si>
    <t>ST_C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</si>
  <si>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</si>
  <si>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</si>
  <si>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</si>
  <si>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</si>
  <si>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</si>
  <si>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</si>
  <si>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</si>
  <si>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</si>
  <si>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Non-RPP (Retailer)</t>
  </si>
  <si>
    <t>Non-RPP Retailer Avg. Price</t>
  </si>
  <si>
    <t>Average IESO Wholesale Market Price</t>
  </si>
  <si>
    <t>Total Bill on TOU (before Taxes)</t>
  </si>
  <si>
    <t>HST</t>
  </si>
  <si>
    <t>8% Rebate</t>
  </si>
  <si>
    <t>RPP_TOTAL</t>
  </si>
  <si>
    <t>Total Bill on TOU</t>
  </si>
  <si>
    <t>Total Bill on Non-RPP Avg. Price</t>
  </si>
  <si>
    <t>Non-RPP (Retailer)_TOTAL</t>
  </si>
  <si>
    <t>Total Bill on Average IESO Wholesale Market Price</t>
  </si>
  <si>
    <t>Non-RPP (Other)_TOTAL</t>
  </si>
  <si>
    <t>GENERAL SERVICE 50 TO 699 KW SERVICE CLASSIFICATION</t>
  </si>
  <si>
    <t>GENERAL SERVICE 700 TO 4,999 KW SERVICE CLASSIFICATION</t>
  </si>
  <si>
    <t>STANDBY POWER SERVICE CLASSIFICATION</t>
  </si>
  <si>
    <t>EMBEDDED DISTRIBUTOR SERVICE CLASSIFICATION</t>
  </si>
  <si>
    <t>DISTRIBUTED GENERATION [DGEN] SERVICE CLASSIFICATION</t>
  </si>
  <si>
    <t>ENERGY FROM WASTE SERVICE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</si>
</sst>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0"/>
    <numFmt numFmtId="167" formatCode="_-* #,##0_-;\-* #,##0_-;_-* &quot;-&quot;??_-;_-@_-"/>
    <numFmt numFmtId="168" formatCode="_-&quot;$&quot;* #,##0.0000_-;\-&quot;$&quot;* #,##0.0000_-;_-&quot;$&quot;* &quot;-&quot;??_-;_-@_-"/>
    <numFmt numFmtId="169" formatCode="_(* #,##0.0_);_(* \(#,##0.0\);_(* &quot;-&quot;??_);_(@_)"/>
    <numFmt numFmtId="170" formatCode="#,##0.0"/>
    <numFmt numFmtId="171" formatCode="mm/dd/yyyy"/>
    <numFmt numFmtId="172" formatCode="0\-0"/>
    <numFmt numFmtId="173" formatCode="##\-#"/>
    <numFmt numFmtId="174" formatCode="_(* #,##0_);_(* \(#,##0\);_(* &quot;-&quot;??_);_(@_)"/>
    <numFmt numFmtId="175" formatCode="&quot;£ &quot;#,##0.00;[Red]\-&quot;£ &quot;#,##0.0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0"/>
      <name val="Algerian"/>
      <family val="5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/>
    <xf numFmtId="17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1" fontId="1" fillId="0" borderId="0"/>
    <xf numFmtId="172" fontId="1" fillId="0" borderId="0"/>
    <xf numFmtId="171" fontId="1" fillId="0" borderId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19" fillId="10" borderId="0" applyNumberFormat="0" applyBorder="0" applyAlignment="0" applyProtection="0"/>
    <xf numFmtId="0" fontId="23" fillId="13" borderId="23" applyNumberFormat="0" applyAlignment="0" applyProtection="0"/>
    <xf numFmtId="0" fontId="25" fillId="14" borderId="26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18" fillId="9" borderId="0" applyNumberFormat="0" applyBorder="0" applyAlignment="0" applyProtection="0"/>
    <xf numFmtId="38" fontId="5" fillId="40" borderId="0" applyNumberFormat="0" applyBorder="0" applyAlignment="0" applyProtection="0"/>
    <xf numFmtId="0" fontId="15" fillId="0" borderId="20" applyNumberFormat="0" applyFill="0" applyAlignment="0" applyProtection="0"/>
    <xf numFmtId="0" fontId="16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0" fontId="5" fillId="41" borderId="1" applyNumberFormat="0" applyBorder="0" applyAlignment="0" applyProtection="0"/>
    <xf numFmtId="0" fontId="21" fillId="12" borderId="23" applyNumberFormat="0" applyAlignment="0" applyProtection="0"/>
    <xf numFmtId="0" fontId="24" fillId="0" borderId="25" applyNumberFormat="0" applyFill="0" applyAlignment="0" applyProtection="0"/>
    <xf numFmtId="173" fontId="1" fillId="0" borderId="0"/>
    <xf numFmtId="174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0" fillId="11" borderId="0" applyNumberFormat="0" applyBorder="0" applyAlignment="0" applyProtection="0"/>
    <xf numFmtId="175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15" borderId="27" applyNumberFormat="0" applyFont="0" applyAlignment="0" applyProtection="0"/>
    <xf numFmtId="0" fontId="13" fillId="15" borderId="27" applyNumberFormat="0" applyFont="0" applyAlignment="0" applyProtection="0"/>
    <xf numFmtId="0" fontId="13" fillId="15" borderId="27" applyNumberFormat="0" applyFont="0" applyAlignment="0" applyProtection="0"/>
    <xf numFmtId="0" fontId="22" fillId="13" borderId="24" applyNumberFormat="0" applyAlignment="0" applyProtection="0"/>
    <xf numFmtId="10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6" fillId="0" borderId="0" applyNumberFormat="0" applyFill="0" applyBorder="0" applyAlignment="0" applyProtection="0"/>
  </cellStyleXfs>
  <cellXfs count="129">
    <xf numFmtId="0" fontId="0" fillId="0" borderId="0" xfId="0"/>
    <xf numFmtId="0" fontId="2" fillId="2" borderId="0" xfId="1" applyFont="1" applyFill="1" applyAlignment="1" applyProtection="1">
      <alignment vertical="top" wrapText="1"/>
    </xf>
    <xf numFmtId="0" fontId="3" fillId="2" borderId="0" xfId="1" applyFont="1" applyFill="1" applyAlignment="1" applyProtection="1">
      <alignment vertical="top" wrapText="1"/>
    </xf>
    <xf numFmtId="0" fontId="4" fillId="0" borderId="0" xfId="1" applyFont="1" applyProtection="1"/>
    <xf numFmtId="0" fontId="5" fillId="0" borderId="0" xfId="1" applyFont="1" applyAlignment="1" applyProtection="1">
      <alignment horizontal="right" vertical="top"/>
    </xf>
    <xf numFmtId="0" fontId="1" fillId="2" borderId="0" xfId="1" applyFill="1" applyBorder="1" applyProtection="1"/>
    <xf numFmtId="0" fontId="1" fillId="0" borderId="0" xfId="1" applyProtection="1"/>
    <xf numFmtId="0" fontId="6" fillId="0" borderId="0" xfId="1" applyFont="1" applyProtection="1"/>
    <xf numFmtId="0" fontId="1" fillId="0" borderId="0" xfId="1" applyProtection="1">
      <protection locked="0"/>
    </xf>
    <xf numFmtId="0" fontId="6" fillId="0" borderId="0" xfId="1" applyFont="1" applyProtection="1"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9" fillId="4" borderId="0" xfId="1" applyFont="1" applyFill="1" applyBorder="1" applyAlignment="1" applyProtection="1">
      <alignment vertical="top"/>
      <protection locked="0"/>
    </xf>
    <xf numFmtId="167" fontId="4" fillId="4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7" fillId="4" borderId="0" xfId="1" applyFont="1" applyFill="1" applyAlignment="1" applyProtection="1">
      <alignment vertical="center"/>
      <protection locked="0"/>
    </xf>
    <xf numFmtId="0" fontId="4" fillId="0" borderId="0" xfId="1" applyFont="1" applyAlignment="1" applyProtection="1">
      <alignment horizontal="left"/>
      <protection locked="0"/>
    </xf>
    <xf numFmtId="0" fontId="4" fillId="0" borderId="0" xfId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166" fontId="4" fillId="4" borderId="1" xfId="4" applyNumberFormat="1" applyFont="1" applyFill="1" applyBorder="1" applyProtection="1">
      <protection locked="0"/>
    </xf>
    <xf numFmtId="0" fontId="4" fillId="0" borderId="0" xfId="1" applyFont="1" applyAlignment="1" applyProtection="1">
      <protection locked="0"/>
    </xf>
    <xf numFmtId="0" fontId="4" fillId="0" borderId="12" xfId="1" applyFont="1" applyBorder="1" applyAlignment="1" applyProtection="1">
      <alignment horizontal="center"/>
      <protection locked="0"/>
    </xf>
    <xf numFmtId="0" fontId="4" fillId="0" borderId="7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  <xf numFmtId="0" fontId="4" fillId="0" borderId="11" xfId="1" quotePrefix="1" applyFont="1" applyBorder="1" applyAlignment="1" applyProtection="1">
      <alignment horizontal="center"/>
      <protection locked="0"/>
    </xf>
    <xf numFmtId="0" fontId="4" fillId="0" borderId="10" xfId="1" quotePrefix="1" applyFont="1" applyBorder="1" applyAlignment="1" applyProtection="1">
      <alignment horizontal="center"/>
      <protection locked="0"/>
    </xf>
    <xf numFmtId="0" fontId="6" fillId="4" borderId="0" xfId="1" applyFont="1" applyFill="1" applyProtection="1">
      <protection locked="0"/>
    </xf>
    <xf numFmtId="0" fontId="1" fillId="0" borderId="0" xfId="1" applyBorder="1" applyAlignment="1" applyProtection="1">
      <alignment vertical="top"/>
    </xf>
    <xf numFmtId="0" fontId="1" fillId="4" borderId="0" xfId="1" applyFill="1" applyAlignment="1" applyProtection="1">
      <alignment vertical="top"/>
      <protection locked="0"/>
    </xf>
    <xf numFmtId="44" fontId="4" fillId="4" borderId="13" xfId="3" applyNumberFormat="1" applyFont="1" applyFill="1" applyBorder="1" applyAlignment="1" applyProtection="1">
      <alignment horizontal="left" vertical="center"/>
      <protection locked="0"/>
    </xf>
    <xf numFmtId="0" fontId="1" fillId="0" borderId="13" xfId="1" applyFont="1" applyFill="1" applyBorder="1" applyAlignment="1" applyProtection="1">
      <alignment vertical="center"/>
      <protection locked="0"/>
    </xf>
    <xf numFmtId="44" fontId="10" fillId="0" borderId="7" xfId="3" applyFont="1" applyBorder="1" applyAlignment="1" applyProtection="1">
      <alignment vertical="center"/>
      <protection locked="0"/>
    </xf>
    <xf numFmtId="44" fontId="11" fillId="4" borderId="13" xfId="3" applyNumberFormat="1" applyFont="1" applyFill="1" applyBorder="1" applyAlignment="1" applyProtection="1">
      <alignment horizontal="left" vertical="center"/>
      <protection locked="0"/>
    </xf>
    <xf numFmtId="0" fontId="1" fillId="0" borderId="7" xfId="1" applyFont="1" applyFill="1" applyBorder="1" applyAlignment="1" applyProtection="1">
      <alignment vertical="center"/>
      <protection locked="0"/>
    </xf>
    <xf numFmtId="44" fontId="1" fillId="0" borderId="13" xfId="1" applyNumberFormat="1" applyFont="1" applyBorder="1" applyAlignment="1" applyProtection="1">
      <alignment vertical="center"/>
      <protection locked="0"/>
    </xf>
    <xf numFmtId="10" fontId="10" fillId="0" borderId="7" xfId="4" applyNumberFormat="1" applyFont="1" applyBorder="1" applyAlignment="1" applyProtection="1">
      <alignment vertical="center"/>
      <protection locked="0"/>
    </xf>
    <xf numFmtId="168" fontId="4" fillId="4" borderId="13" xfId="3" applyNumberFormat="1" applyFont="1" applyFill="1" applyBorder="1" applyAlignment="1" applyProtection="1">
      <alignment horizontal="left" vertical="center"/>
      <protection locked="0"/>
    </xf>
    <xf numFmtId="168" fontId="11" fillId="4" borderId="13" xfId="3" applyNumberFormat="1" applyFont="1" applyFill="1" applyBorder="1" applyAlignment="1" applyProtection="1">
      <alignment horizontal="left" vertical="center"/>
      <protection locked="0"/>
    </xf>
    <xf numFmtId="0" fontId="1" fillId="0" borderId="0" xfId="1" applyFill="1" applyBorder="1" applyAlignment="1" applyProtection="1">
      <alignment vertical="top"/>
    </xf>
    <xf numFmtId="0" fontId="1" fillId="0" borderId="0" xfId="1" applyFont="1" applyFill="1" applyProtection="1">
      <protection locked="0"/>
    </xf>
    <xf numFmtId="0" fontId="4" fillId="6" borderId="2" xfId="1" applyFont="1" applyFill="1" applyBorder="1" applyAlignment="1" applyProtection="1">
      <alignment vertical="top"/>
      <protection locked="0"/>
    </xf>
    <xf numFmtId="0" fontId="1" fillId="6" borderId="3" xfId="1" applyFill="1" applyBorder="1" applyAlignment="1" applyProtection="1">
      <alignment vertical="top"/>
      <protection locked="0"/>
    </xf>
    <xf numFmtId="168" fontId="4" fillId="6" borderId="1" xfId="3" applyNumberFormat="1" applyFont="1" applyFill="1" applyBorder="1" applyAlignment="1" applyProtection="1">
      <alignment horizontal="left" vertical="center"/>
      <protection locked="0"/>
    </xf>
    <xf numFmtId="0" fontId="4" fillId="6" borderId="1" xfId="1" applyFont="1" applyFill="1" applyBorder="1" applyAlignment="1" applyProtection="1">
      <alignment vertical="center"/>
      <protection locked="0"/>
    </xf>
    <xf numFmtId="44" fontId="12" fillId="6" borderId="4" xfId="3" applyFont="1" applyFill="1" applyBorder="1" applyAlignment="1" applyProtection="1">
      <alignment vertical="center"/>
      <protection locked="0"/>
    </xf>
    <xf numFmtId="168" fontId="11" fillId="6" borderId="1" xfId="3" applyNumberFormat="1" applyFont="1" applyFill="1" applyBorder="1" applyAlignment="1" applyProtection="1">
      <alignment horizontal="left" vertical="center"/>
      <protection locked="0"/>
    </xf>
    <xf numFmtId="0" fontId="4" fillId="6" borderId="4" xfId="1" applyFont="1" applyFill="1" applyBorder="1" applyAlignment="1" applyProtection="1">
      <alignment vertical="center"/>
      <protection locked="0"/>
    </xf>
    <xf numFmtId="44" fontId="4" fillId="6" borderId="1" xfId="1" applyNumberFormat="1" applyFont="1" applyFill="1" applyBorder="1" applyAlignment="1" applyProtection="1">
      <alignment vertical="center"/>
      <protection locked="0"/>
    </xf>
    <xf numFmtId="10" fontId="4" fillId="6" borderId="4" xfId="4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vertical="top" wrapText="1"/>
    </xf>
    <xf numFmtId="167" fontId="1" fillId="3" borderId="13" xfId="2" applyNumberFormat="1" applyFont="1" applyFill="1" applyBorder="1" applyAlignment="1" applyProtection="1">
      <alignment vertical="center"/>
      <protection locked="0"/>
    </xf>
    <xf numFmtId="167" fontId="1" fillId="0" borderId="13" xfId="2" applyNumberFormat="1" applyFont="1" applyFill="1" applyBorder="1" applyAlignment="1" applyProtection="1">
      <alignment vertical="center"/>
      <protection locked="0"/>
    </xf>
    <xf numFmtId="0" fontId="1" fillId="0" borderId="0" xfId="1" applyFont="1" applyAlignment="1" applyProtection="1">
      <alignment vertical="top"/>
    </xf>
    <xf numFmtId="0" fontId="1" fillId="0" borderId="0" xfId="1" applyFont="1" applyAlignment="1" applyProtection="1">
      <alignment vertical="top" wrapText="1"/>
    </xf>
    <xf numFmtId="164" fontId="4" fillId="4" borderId="13" xfId="3" applyNumberFormat="1" applyFont="1" applyFill="1" applyBorder="1" applyAlignment="1" applyProtection="1">
      <alignment horizontal="left" vertical="center"/>
      <protection locked="0"/>
    </xf>
    <xf numFmtId="164" fontId="11" fillId="4" borderId="13" xfId="3" applyNumberFormat="1" applyFont="1" applyFill="1" applyBorder="1" applyAlignment="1" applyProtection="1">
      <alignment horizontal="left" vertical="center"/>
      <protection locked="0"/>
    </xf>
    <xf numFmtId="0" fontId="4" fillId="6" borderId="2" xfId="1" applyFont="1" applyFill="1" applyBorder="1" applyAlignment="1" applyProtection="1">
      <alignment vertical="top" wrapText="1"/>
      <protection locked="0"/>
    </xf>
    <xf numFmtId="0" fontId="1" fillId="6" borderId="3" xfId="1" applyFill="1" applyBorder="1" applyProtection="1">
      <protection locked="0"/>
    </xf>
    <xf numFmtId="0" fontId="4" fillId="6" borderId="1" xfId="1" applyFont="1" applyFill="1" applyBorder="1" applyAlignment="1" applyProtection="1">
      <alignment horizontal="left" vertical="center"/>
      <protection locked="0"/>
    </xf>
    <xf numFmtId="0" fontId="1" fillId="6" borderId="1" xfId="1" applyFont="1" applyFill="1" applyBorder="1" applyAlignment="1" applyProtection="1">
      <alignment vertical="center"/>
      <protection locked="0"/>
    </xf>
    <xf numFmtId="44" fontId="4" fillId="6" borderId="4" xfId="1" applyNumberFormat="1" applyFont="1" applyFill="1" applyBorder="1" applyAlignment="1" applyProtection="1">
      <alignment vertical="center"/>
      <protection locked="0"/>
    </xf>
    <xf numFmtId="0" fontId="11" fillId="6" borderId="1" xfId="1" applyFont="1" applyFill="1" applyBorder="1" applyAlignment="1" applyProtection="1">
      <alignment horizontal="left" vertical="center"/>
      <protection locked="0"/>
    </xf>
    <xf numFmtId="0" fontId="1" fillId="6" borderId="4" xfId="1" applyFont="1" applyFill="1" applyBorder="1" applyAlignment="1" applyProtection="1">
      <alignment vertical="center"/>
      <protection locked="0"/>
    </xf>
    <xf numFmtId="0" fontId="1" fillId="0" borderId="0" xfId="1" applyAlignment="1" applyProtection="1">
      <alignment vertical="center"/>
    </xf>
    <xf numFmtId="0" fontId="1" fillId="0" borderId="9" xfId="1" applyBorder="1" applyAlignment="1" applyProtection="1">
      <alignment vertical="center" wrapText="1"/>
    </xf>
    <xf numFmtId="0" fontId="1" fillId="0" borderId="0" xfId="1" applyAlignment="1" applyProtection="1">
      <alignment vertical="top" wrapText="1"/>
      <protection locked="0"/>
    </xf>
    <xf numFmtId="44" fontId="1" fillId="0" borderId="7" xfId="3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Font="1" applyAlignment="1" applyProtection="1">
      <alignment vertical="top"/>
      <protection locked="0"/>
    </xf>
    <xf numFmtId="168" fontId="4" fillId="0" borderId="13" xfId="3" applyNumberFormat="1" applyFont="1" applyFill="1" applyBorder="1" applyAlignment="1" applyProtection="1">
      <alignment horizontal="left" vertical="center"/>
      <protection locked="0"/>
    </xf>
    <xf numFmtId="167" fontId="1" fillId="4" borderId="13" xfId="2" applyNumberFormat="1" applyFont="1" applyFill="1" applyBorder="1" applyAlignment="1" applyProtection="1">
      <alignment vertical="center"/>
      <protection locked="0"/>
    </xf>
    <xf numFmtId="168" fontId="11" fillId="0" borderId="13" xfId="3" applyNumberFormat="1" applyFont="1" applyFill="1" applyBorder="1" applyAlignment="1" applyProtection="1">
      <alignment horizontal="left" vertical="center"/>
      <protection locked="0"/>
    </xf>
    <xf numFmtId="168" fontId="4" fillId="5" borderId="13" xfId="3" applyNumberFormat="1" applyFont="1" applyFill="1" applyBorder="1" applyAlignment="1" applyProtection="1">
      <alignment horizontal="left" vertical="center"/>
      <protection locked="0"/>
    </xf>
    <xf numFmtId="168" fontId="11" fillId="5" borderId="13" xfId="3" applyNumberFormat="1" applyFont="1" applyFill="1" applyBorder="1" applyAlignment="1" applyProtection="1">
      <alignment horizontal="left" vertical="center"/>
      <protection locked="0"/>
    </xf>
    <xf numFmtId="0" fontId="1" fillId="7" borderId="14" xfId="1" applyFont="1" applyFill="1" applyBorder="1" applyProtection="1">
      <protection locked="0"/>
    </xf>
    <xf numFmtId="0" fontId="1" fillId="7" borderId="15" xfId="1" applyFill="1" applyBorder="1" applyAlignment="1" applyProtection="1">
      <alignment vertical="top"/>
      <protection locked="0"/>
    </xf>
    <xf numFmtId="168" fontId="1" fillId="7" borderId="16" xfId="3" applyNumberFormat="1" applyFont="1" applyFill="1" applyBorder="1" applyAlignment="1" applyProtection="1">
      <alignment vertical="top"/>
      <protection locked="0"/>
    </xf>
    <xf numFmtId="0" fontId="1" fillId="7" borderId="17" xfId="1" applyFont="1" applyFill="1" applyBorder="1" applyAlignment="1" applyProtection="1">
      <alignment vertical="center"/>
      <protection locked="0"/>
    </xf>
    <xf numFmtId="44" fontId="1" fillId="7" borderId="15" xfId="3" applyFont="1" applyFill="1" applyBorder="1" applyAlignment="1" applyProtection="1">
      <alignment vertical="center"/>
      <protection locked="0"/>
    </xf>
    <xf numFmtId="0" fontId="1" fillId="7" borderId="16" xfId="1" applyFont="1" applyFill="1" applyBorder="1" applyAlignment="1" applyProtection="1">
      <alignment vertical="center"/>
      <protection locked="0"/>
    </xf>
    <xf numFmtId="44" fontId="1" fillId="7" borderId="16" xfId="1" applyNumberFormat="1" applyFont="1" applyFill="1" applyBorder="1" applyAlignment="1" applyProtection="1">
      <alignment vertical="center"/>
      <protection locked="0"/>
    </xf>
    <xf numFmtId="10" fontId="1" fillId="7" borderId="18" xfId="4" applyNumberFormat="1" applyFont="1" applyFill="1" applyBorder="1" applyAlignment="1" applyProtection="1">
      <alignment vertical="center"/>
      <protection locked="0"/>
    </xf>
    <xf numFmtId="0" fontId="4" fillId="0" borderId="0" xfId="1" applyFont="1" applyFill="1" applyAlignment="1" applyProtection="1">
      <alignment vertical="top"/>
      <protection locked="0"/>
    </xf>
    <xf numFmtId="9" fontId="1" fillId="0" borderId="13" xfId="1" applyNumberFormat="1" applyFont="1" applyFill="1" applyBorder="1" applyAlignment="1" applyProtection="1">
      <alignment vertical="top"/>
      <protection locked="0"/>
    </xf>
    <xf numFmtId="9" fontId="1" fillId="0" borderId="0" xfId="1" applyNumberFormat="1" applyFont="1" applyFill="1" applyBorder="1" applyAlignment="1" applyProtection="1">
      <alignment vertical="center"/>
      <protection locked="0"/>
    </xf>
    <xf numFmtId="44" fontId="4" fillId="0" borderId="6" xfId="1" applyNumberFormat="1" applyFont="1" applyFill="1" applyBorder="1" applyAlignment="1" applyProtection="1">
      <alignment vertical="center"/>
      <protection locked="0"/>
    </xf>
    <xf numFmtId="9" fontId="4" fillId="0" borderId="13" xfId="1" applyNumberFormat="1" applyFont="1" applyFill="1" applyBorder="1" applyAlignment="1" applyProtection="1">
      <alignment vertical="center"/>
      <protection locked="0"/>
    </xf>
    <xf numFmtId="44" fontId="4" fillId="0" borderId="13" xfId="1" applyNumberFormat="1" applyFont="1" applyFill="1" applyBorder="1" applyAlignment="1" applyProtection="1">
      <alignment vertical="center"/>
      <protection locked="0"/>
    </xf>
    <xf numFmtId="10" fontId="4" fillId="0" borderId="7" xfId="4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left" vertical="top" inden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4" fontId="1" fillId="0" borderId="6" xfId="1" applyNumberFormat="1" applyFont="1" applyFill="1" applyBorder="1" applyAlignment="1" applyProtection="1">
      <alignment vertical="center"/>
      <protection locked="0"/>
    </xf>
    <xf numFmtId="9" fontId="1" fillId="0" borderId="13" xfId="1" applyNumberFormat="1" applyFont="1" applyFill="1" applyBorder="1" applyAlignment="1" applyProtection="1">
      <alignment vertical="center"/>
      <protection locked="0"/>
    </xf>
    <xf numFmtId="44" fontId="1" fillId="0" borderId="13" xfId="1" applyNumberFormat="1" applyFont="1" applyFill="1" applyBorder="1" applyAlignment="1" applyProtection="1">
      <alignment vertical="center"/>
      <protection locked="0"/>
    </xf>
    <xf numFmtId="10" fontId="1" fillId="0" borderId="7" xfId="4" applyNumberFormat="1" applyFont="1" applyFill="1" applyBorder="1" applyAlignment="1" applyProtection="1">
      <alignment vertical="center"/>
      <protection locked="0"/>
    </xf>
    <xf numFmtId="0" fontId="1" fillId="8" borderId="11" xfId="1" applyFont="1" applyFill="1" applyBorder="1" applyAlignment="1" applyProtection="1">
      <alignment vertical="top"/>
      <protection locked="0"/>
    </xf>
    <xf numFmtId="0" fontId="1" fillId="8" borderId="9" xfId="1" applyFont="1" applyFill="1" applyBorder="1" applyAlignment="1" applyProtection="1">
      <alignment vertical="center"/>
      <protection locked="0"/>
    </xf>
    <xf numFmtId="44" fontId="4" fillId="8" borderId="6" xfId="1" applyNumberFormat="1" applyFont="1" applyFill="1" applyBorder="1" applyAlignment="1" applyProtection="1">
      <alignment vertical="center"/>
      <protection locked="0"/>
    </xf>
    <xf numFmtId="0" fontId="4" fillId="8" borderId="11" xfId="1" applyFont="1" applyFill="1" applyBorder="1" applyAlignment="1" applyProtection="1">
      <alignment vertical="center"/>
      <protection locked="0"/>
    </xf>
    <xf numFmtId="44" fontId="4" fillId="8" borderId="8" xfId="1" applyNumberFormat="1" applyFont="1" applyFill="1" applyBorder="1" applyAlignment="1" applyProtection="1">
      <alignment vertical="center"/>
      <protection locked="0"/>
    </xf>
    <xf numFmtId="44" fontId="4" fillId="8" borderId="11" xfId="1" applyNumberFormat="1" applyFont="1" applyFill="1" applyBorder="1" applyAlignment="1" applyProtection="1">
      <alignment vertical="center"/>
      <protection locked="0"/>
    </xf>
    <xf numFmtId="10" fontId="4" fillId="8" borderId="10" xfId="4" applyNumberFormat="1" applyFont="1" applyFill="1" applyBorder="1" applyAlignment="1" applyProtection="1">
      <alignment vertical="center"/>
      <protection locked="0"/>
    </xf>
    <xf numFmtId="0" fontId="1" fillId="8" borderId="13" xfId="1" applyFont="1" applyFill="1" applyBorder="1" applyAlignment="1" applyProtection="1">
      <alignment vertical="top"/>
      <protection locked="0"/>
    </xf>
    <xf numFmtId="0" fontId="1" fillId="8" borderId="0" xfId="1" applyFont="1" applyFill="1" applyBorder="1" applyAlignment="1" applyProtection="1">
      <alignment vertical="center"/>
      <protection locked="0"/>
    </xf>
    <xf numFmtId="0" fontId="4" fillId="8" borderId="13" xfId="1" applyFont="1" applyFill="1" applyBorder="1" applyAlignment="1" applyProtection="1">
      <alignment vertical="center"/>
      <protection locked="0"/>
    </xf>
    <xf numFmtId="44" fontId="4" fillId="8" borderId="13" xfId="1" applyNumberFormat="1" applyFont="1" applyFill="1" applyBorder="1" applyAlignment="1" applyProtection="1">
      <alignment vertical="center"/>
      <protection locked="0"/>
    </xf>
    <xf numFmtId="10" fontId="4" fillId="8" borderId="7" xfId="4" applyNumberFormat="1" applyFont="1" applyFill="1" applyBorder="1" applyAlignment="1" applyProtection="1">
      <alignment vertical="center"/>
      <protection locked="0"/>
    </xf>
    <xf numFmtId="168" fontId="1" fillId="7" borderId="17" xfId="3" applyNumberFormat="1" applyFont="1" applyFill="1" applyBorder="1" applyAlignment="1" applyProtection="1">
      <alignment vertical="top"/>
      <protection locked="0"/>
    </xf>
    <xf numFmtId="0" fontId="1" fillId="7" borderId="15" xfId="1" applyFont="1" applyFill="1" applyBorder="1" applyAlignment="1" applyProtection="1">
      <alignment vertical="center"/>
      <protection locked="0"/>
    </xf>
    <xf numFmtId="44" fontId="1" fillId="7" borderId="19" xfId="3" applyFont="1" applyFill="1" applyBorder="1" applyAlignment="1" applyProtection="1">
      <alignment vertical="center"/>
      <protection locked="0"/>
    </xf>
    <xf numFmtId="44" fontId="1" fillId="7" borderId="17" xfId="1" applyNumberFormat="1" applyFont="1" applyFill="1" applyBorder="1" applyAlignment="1" applyProtection="1">
      <alignment vertical="center"/>
      <protection locked="0"/>
    </xf>
    <xf numFmtId="168" fontId="1" fillId="7" borderId="17" xfId="3" applyNumberFormat="1" applyFill="1" applyBorder="1" applyAlignment="1" applyProtection="1">
      <alignment vertical="top"/>
      <protection locked="0"/>
    </xf>
    <xf numFmtId="0" fontId="1" fillId="7" borderId="15" xfId="1" applyFill="1" applyBorder="1" applyAlignment="1" applyProtection="1">
      <alignment vertical="center"/>
      <protection locked="0"/>
    </xf>
    <xf numFmtId="44" fontId="1" fillId="7" borderId="19" xfId="3" applyFill="1" applyBorder="1" applyAlignment="1" applyProtection="1">
      <alignment vertical="center"/>
      <protection locked="0"/>
    </xf>
    <xf numFmtId="0" fontId="1" fillId="7" borderId="17" xfId="1" applyFill="1" applyBorder="1" applyAlignment="1" applyProtection="1">
      <alignment vertical="center"/>
      <protection locked="0"/>
    </xf>
    <xf numFmtId="44" fontId="1" fillId="7" borderId="17" xfId="1" applyNumberFormat="1" applyFill="1" applyBorder="1" applyAlignment="1" applyProtection="1">
      <alignment vertical="center"/>
      <protection locked="0"/>
    </xf>
    <xf numFmtId="10" fontId="1" fillId="7" borderId="18" xfId="4" applyNumberFormat="1" applyFill="1" applyBorder="1" applyAlignment="1" applyProtection="1">
      <alignment vertical="center"/>
      <protection locked="0"/>
    </xf>
    <xf numFmtId="0" fontId="4" fillId="4" borderId="0" xfId="1" applyFont="1" applyFill="1" applyAlignment="1" applyProtection="1">
      <alignment horizontal="center" wrapText="1"/>
      <protection locked="0"/>
    </xf>
    <xf numFmtId="0" fontId="1" fillId="4" borderId="0" xfId="1" applyFill="1" applyAlignment="1" applyProtection="1">
      <alignment horizontal="center" wrapText="1"/>
      <protection locked="0"/>
    </xf>
    <xf numFmtId="0" fontId="4" fillId="0" borderId="13" xfId="1" applyFont="1" applyFill="1" applyBorder="1" applyAlignment="1" applyProtection="1">
      <alignment horizontal="center" wrapText="1"/>
      <protection locked="0"/>
    </xf>
    <xf numFmtId="0" fontId="1" fillId="0" borderId="11" xfId="1" applyBorder="1" applyAlignment="1" applyProtection="1">
      <alignment wrapText="1"/>
      <protection locked="0"/>
    </xf>
    <xf numFmtId="0" fontId="4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  <xf numFmtId="0" fontId="4" fillId="8" borderId="0" xfId="1" applyFont="1" applyFill="1" applyAlignment="1" applyProtection="1">
      <alignment horizontal="left" vertical="top" wrapText="1"/>
      <protection locked="0"/>
    </xf>
    <xf numFmtId="0" fontId="8" fillId="4" borderId="1" xfId="1" applyFont="1" applyFill="1" applyBorder="1" applyAlignment="1" applyProtection="1">
      <alignment horizontal="left" vertical="top"/>
      <protection locked="0"/>
    </xf>
    <xf numFmtId="0" fontId="4" fillId="4" borderId="11" xfId="1" applyFont="1" applyFill="1" applyBorder="1" applyAlignment="1" applyProtection="1">
      <alignment horizontal="left" vertical="top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4" fillId="0" borderId="3" xfId="1" applyFont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</cellXfs>
  <cellStyles count="218">
    <cellStyle name="$" xfId="5"/>
    <cellStyle name="$.00" xfId="6"/>
    <cellStyle name="$_9. Rev2Cost_GDPIPI" xfId="7"/>
    <cellStyle name="$_9. Rev2Cost_GDPIPI 2" xfId="8"/>
    <cellStyle name="$_9. Rev2Cost_GDPIPI_6.2 CBR B" xfId="9"/>
    <cellStyle name="$_9. Rev2Cost_GDPIPI_9. Shared Tax - Rate Rider" xfId="10"/>
    <cellStyle name="$_lists" xfId="11"/>
    <cellStyle name="$_lists 2" xfId="12"/>
    <cellStyle name="$_lists_4. Current Monthly Fixed Charge" xfId="13"/>
    <cellStyle name="$_lists_6.2 CBR B" xfId="14"/>
    <cellStyle name="$_lists_9. Shared Tax - Rate Rider" xfId="15"/>
    <cellStyle name="$_Sheet4" xfId="16"/>
    <cellStyle name="$_Sheet4 2" xfId="17"/>
    <cellStyle name="$_Sheet4_6.2 CBR B" xfId="18"/>
    <cellStyle name="$_Sheet4_9. Shared Tax - Rate Rider" xfId="19"/>
    <cellStyle name="$M" xfId="20"/>
    <cellStyle name="$M.00" xfId="21"/>
    <cellStyle name="$M_9. Rev2Cost_GDPIPI" xfId="22"/>
    <cellStyle name="20% - Accent1 2" xfId="23"/>
    <cellStyle name="20% - Accent1 2 2" xfId="24"/>
    <cellStyle name="20% - Accent1 2_6.2 CBR B" xfId="25"/>
    <cellStyle name="20% - Accent1 3" xfId="26"/>
    <cellStyle name="20% - Accent2 2" xfId="27"/>
    <cellStyle name="20% - Accent2 2 2" xfId="28"/>
    <cellStyle name="20% - Accent2 2_6.2 CBR B" xfId="29"/>
    <cellStyle name="20% - Accent2 3" xfId="30"/>
    <cellStyle name="20% - Accent3 2" xfId="31"/>
    <cellStyle name="20% - Accent3 2 2" xfId="32"/>
    <cellStyle name="20% - Accent3 2_6.2 CBR B" xfId="33"/>
    <cellStyle name="20% - Accent3 3" xfId="34"/>
    <cellStyle name="20% - Accent4 2" xfId="35"/>
    <cellStyle name="20% - Accent4 2 2" xfId="36"/>
    <cellStyle name="20% - Accent4 2_6.2 CBR B" xfId="37"/>
    <cellStyle name="20% - Accent4 3" xfId="38"/>
    <cellStyle name="20% - Accent5 2" xfId="39"/>
    <cellStyle name="20% - Accent5 2 2" xfId="40"/>
    <cellStyle name="20% - Accent5 2_6.2 CBR B" xfId="41"/>
    <cellStyle name="20% - Accent5 3" xfId="42"/>
    <cellStyle name="20% - Accent6 2" xfId="43"/>
    <cellStyle name="20% - Accent6 2 2" xfId="44"/>
    <cellStyle name="20% - Accent6 2_6.2 CBR B" xfId="45"/>
    <cellStyle name="20% - Accent6 3" xfId="46"/>
    <cellStyle name="40% - Accent1 2" xfId="47"/>
    <cellStyle name="40% - Accent1 2 2" xfId="48"/>
    <cellStyle name="40% - Accent1 2_6.2 CBR B" xfId="49"/>
    <cellStyle name="40% - Accent1 3" xfId="50"/>
    <cellStyle name="40% - Accent2 2" xfId="51"/>
    <cellStyle name="40% - Accent2 2 2" xfId="52"/>
    <cellStyle name="40% - Accent2 2_6.2 CBR B" xfId="53"/>
    <cellStyle name="40% - Accent2 3" xfId="54"/>
    <cellStyle name="40% - Accent3 2" xfId="55"/>
    <cellStyle name="40% - Accent3 2 2" xfId="56"/>
    <cellStyle name="40% - Accent3 2_6.2 CBR B" xfId="57"/>
    <cellStyle name="40% - Accent3 3" xfId="58"/>
    <cellStyle name="40% - Accent4 2" xfId="59"/>
    <cellStyle name="40% - Accent4 2 2" xfId="60"/>
    <cellStyle name="40% - Accent4 2_6.2 CBR B" xfId="61"/>
    <cellStyle name="40% - Accent4 3" xfId="62"/>
    <cellStyle name="40% - Accent5 2" xfId="63"/>
    <cellStyle name="40% - Accent5 2 2" xfId="64"/>
    <cellStyle name="40% - Accent5 2_6.2 CBR B" xfId="65"/>
    <cellStyle name="40% - Accent5 3" xfId="66"/>
    <cellStyle name="40% - Accent6 2" xfId="67"/>
    <cellStyle name="40% - Accent6 2 2" xfId="68"/>
    <cellStyle name="40% - Accent6 2_6.2 CBR B" xfId="69"/>
    <cellStyle name="40% - Accent6 3" xfId="70"/>
    <cellStyle name="60% - Accent1 2" xfId="71"/>
    <cellStyle name="60% - Accent2 2" xfId="72"/>
    <cellStyle name="60% - Accent3 2" xfId="73"/>
    <cellStyle name="60% - Accent4 2" xfId="74"/>
    <cellStyle name="60% - Accent5 2" xfId="75"/>
    <cellStyle name="60% - Accent6 2" xfId="76"/>
    <cellStyle name="Accent1 2" xfId="77"/>
    <cellStyle name="Accent2 2" xfId="78"/>
    <cellStyle name="Accent3 2" xfId="79"/>
    <cellStyle name="Accent4 2" xfId="80"/>
    <cellStyle name="Accent5 2" xfId="81"/>
    <cellStyle name="Accent6 2" xfId="82"/>
    <cellStyle name="Bad 2" xfId="83"/>
    <cellStyle name="Calculation 2" xfId="84"/>
    <cellStyle name="Check Cell 2" xfId="85"/>
    <cellStyle name="Comma 2" xfId="86"/>
    <cellStyle name="Comma 2 2" xfId="87"/>
    <cellStyle name="Comma 2 2 2" xfId="88"/>
    <cellStyle name="Comma 2 2 3" xfId="89"/>
    <cellStyle name="Comma 2 2 4" xfId="90"/>
    <cellStyle name="Comma 2 2_Database" xfId="91"/>
    <cellStyle name="Comma 3" xfId="92"/>
    <cellStyle name="Comma 3 2" xfId="93"/>
    <cellStyle name="Comma 3 2 2" xfId="94"/>
    <cellStyle name="Comma 3 3" xfId="95"/>
    <cellStyle name="Comma 4" xfId="2"/>
    <cellStyle name="Comma 5" xfId="96"/>
    <cellStyle name="Comma0" xfId="97"/>
    <cellStyle name="Currency 2" xfId="3"/>
    <cellStyle name="Currency 3" xfId="98"/>
    <cellStyle name="Currency 4" xfId="99"/>
    <cellStyle name="Currency 4 2" xfId="100"/>
    <cellStyle name="Currency 4 3" xfId="101"/>
    <cellStyle name="Currency 4 4" xfId="102"/>
    <cellStyle name="Currency 5" xfId="103"/>
    <cellStyle name="Currency 6" xfId="104"/>
    <cellStyle name="Currency0" xfId="105"/>
    <cellStyle name="Date" xfId="106"/>
    <cellStyle name="Explanatory Text 2" xfId="107"/>
    <cellStyle name="Fixed" xfId="108"/>
    <cellStyle name="Good 2" xfId="109"/>
    <cellStyle name="Grey" xfId="110"/>
    <cellStyle name="Heading 1 2" xfId="111"/>
    <cellStyle name="Heading 2 2" xfId="112"/>
    <cellStyle name="Heading 3 2" xfId="113"/>
    <cellStyle name="Heading 4 2" xfId="114"/>
    <cellStyle name="Hyperlink 2" xfId="115"/>
    <cellStyle name="Input [yellow]" xfId="116"/>
    <cellStyle name="Input 2" xfId="117"/>
    <cellStyle name="Linked Cell 2" xfId="118"/>
    <cellStyle name="M" xfId="119"/>
    <cellStyle name="M.00" xfId="120"/>
    <cellStyle name="M_9. Rev2Cost_GDPIPI" xfId="121"/>
    <cellStyle name="M_9. Rev2Cost_GDPIPI 2" xfId="122"/>
    <cellStyle name="M_9. Rev2Cost_GDPIPI_6.2 CBR B" xfId="123"/>
    <cellStyle name="M_9. Rev2Cost_GDPIPI_9. Shared Tax - Rate Rider" xfId="124"/>
    <cellStyle name="M_lists" xfId="125"/>
    <cellStyle name="M_lists 2" xfId="126"/>
    <cellStyle name="M_lists_4. Current Monthly Fixed Charge" xfId="127"/>
    <cellStyle name="M_lists_6.2 CBR B" xfId="128"/>
    <cellStyle name="M_lists_9. Shared Tax - Rate Rider" xfId="129"/>
    <cellStyle name="M_Sheet4" xfId="130"/>
    <cellStyle name="M_Sheet4 2" xfId="131"/>
    <cellStyle name="M_Sheet4_6.2 CBR B" xfId="132"/>
    <cellStyle name="M_Sheet4_9. Shared Tax - Rate Rider" xfId="133"/>
    <cellStyle name="Neutral 2" xfId="134"/>
    <cellStyle name="Normal" xfId="0" builtinId="0"/>
    <cellStyle name="Normal - Style1" xfId="135"/>
    <cellStyle name="Normal 10 12" xfId="136"/>
    <cellStyle name="Normal 167" xfId="137"/>
    <cellStyle name="Normal 167 2" xfId="138"/>
    <cellStyle name="Normal 167_6.2 CBR B" xfId="139"/>
    <cellStyle name="Normal 168" xfId="140"/>
    <cellStyle name="Normal 168 2" xfId="141"/>
    <cellStyle name="Normal 168_6.2 CBR B" xfId="142"/>
    <cellStyle name="Normal 169" xfId="143"/>
    <cellStyle name="Normal 169 2" xfId="144"/>
    <cellStyle name="Normal 169_6.2 CBR B" xfId="145"/>
    <cellStyle name="Normal 170" xfId="146"/>
    <cellStyle name="Normal 170 2" xfId="147"/>
    <cellStyle name="Normal 170_6.2 CBR B" xfId="148"/>
    <cellStyle name="Normal 171" xfId="149"/>
    <cellStyle name="Normal 171 2" xfId="150"/>
    <cellStyle name="Normal 171_6.2 CBR B" xfId="151"/>
    <cellStyle name="Normal 19" xfId="152"/>
    <cellStyle name="Normal 2" xfId="1"/>
    <cellStyle name="Normal 25" xfId="153"/>
    <cellStyle name="Normal 3" xfId="154"/>
    <cellStyle name="Normal 3 2" xfId="155"/>
    <cellStyle name="Normal 3_6.2 CBR B" xfId="156"/>
    <cellStyle name="Normal 30" xfId="157"/>
    <cellStyle name="Normal 31" xfId="158"/>
    <cellStyle name="Normal 4" xfId="159"/>
    <cellStyle name="Normal 4 2" xfId="160"/>
    <cellStyle name="Normal 4_6.2 CBR B" xfId="161"/>
    <cellStyle name="Normal 41" xfId="162"/>
    <cellStyle name="Normal 42" xfId="163"/>
    <cellStyle name="Normal 5" xfId="164"/>
    <cellStyle name="Normal 5 2" xfId="165"/>
    <cellStyle name="Normal 5 2 2" xfId="166"/>
    <cellStyle name="Normal 5 2_6.2 CBR B" xfId="167"/>
    <cellStyle name="Normal 5 3" xfId="168"/>
    <cellStyle name="Normal 5_6.2 CBR B" xfId="169"/>
    <cellStyle name="Normal 50" xfId="170"/>
    <cellStyle name="Normal 51" xfId="171"/>
    <cellStyle name="Normal 52" xfId="172"/>
    <cellStyle name="Normal 6" xfId="173"/>
    <cellStyle name="Normal 6 2" xfId="174"/>
    <cellStyle name="Normal 6 3" xfId="175"/>
    <cellStyle name="Normal 6_6.2 CBR B" xfId="176"/>
    <cellStyle name="Normal 60" xfId="177"/>
    <cellStyle name="Normal 61" xfId="178"/>
    <cellStyle name="Note 2" xfId="179"/>
    <cellStyle name="Note 2 2" xfId="180"/>
    <cellStyle name="Note 3" xfId="181"/>
    <cellStyle name="Output 2" xfId="182"/>
    <cellStyle name="Percent [2]" xfId="183"/>
    <cellStyle name="Percent 10" xfId="184"/>
    <cellStyle name="Percent 11" xfId="185"/>
    <cellStyle name="Percent 12" xfId="186"/>
    <cellStyle name="Percent 13" xfId="187"/>
    <cellStyle name="Percent 14" xfId="188"/>
    <cellStyle name="Percent 15" xfId="189"/>
    <cellStyle name="Percent 16" xfId="190"/>
    <cellStyle name="Percent 17" xfId="191"/>
    <cellStyle name="Percent 18" xfId="192"/>
    <cellStyle name="Percent 19" xfId="193"/>
    <cellStyle name="Percent 2" xfId="4"/>
    <cellStyle name="Percent 20" xfId="194"/>
    <cellStyle name="Percent 21" xfId="195"/>
    <cellStyle name="Percent 22" xfId="196"/>
    <cellStyle name="Percent 23" xfId="197"/>
    <cellStyle name="Percent 24" xfId="198"/>
    <cellStyle name="Percent 25" xfId="199"/>
    <cellStyle name="Percent 26" xfId="200"/>
    <cellStyle name="Percent 27" xfId="201"/>
    <cellStyle name="Percent 28" xfId="202"/>
    <cellStyle name="Percent 29" xfId="203"/>
    <cellStyle name="Percent 3" xfId="204"/>
    <cellStyle name="Percent 3 2" xfId="205"/>
    <cellStyle name="Percent 3 2 2" xfId="206"/>
    <cellStyle name="Percent 3 3" xfId="207"/>
    <cellStyle name="Percent 4" xfId="208"/>
    <cellStyle name="Percent 4 2" xfId="209"/>
    <cellStyle name="Percent 5" xfId="210"/>
    <cellStyle name="Percent 6" xfId="211"/>
    <cellStyle name="Percent 7" xfId="212"/>
    <cellStyle name="Percent 8" xfId="213"/>
    <cellStyle name="Percent 9" xfId="214"/>
    <cellStyle name="Title 2" xfId="215"/>
    <cellStyle name="Total 2" xfId="216"/>
    <cellStyle name="Warning Text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-Staff-9_Attach%203_%20RGM%20PRZ_20181024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4%20Electricity%20Rates/$Filing%20Requirements/Filing_Requirements_Chapter2_Appendices_V1.1%20FOR%202014_June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2\Groups\Wangka\%7bprofile%7d\Desktop\Users\AbramoMa\Downloads\2016_Filing_Requirements_Chapter2_Appendices_DRAFT%20(1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%2011_%20DRO_RGM_BRZ_NY_WC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  <cell r="C2" t="str">
            <v>Brampton Rate Zone</v>
          </cell>
        </row>
        <row r="3">
          <cell r="A3" t="str">
            <v>Atikokan Hydro Inc.</v>
          </cell>
          <cell r="C3" t="str">
            <v>Enersource Rate Zone</v>
          </cell>
        </row>
        <row r="4">
          <cell r="A4" t="str">
            <v>Bluewater Power Distribution Corporation</v>
          </cell>
          <cell r="C4" t="str">
            <v>Horizon Rate Zone</v>
          </cell>
        </row>
        <row r="5">
          <cell r="A5" t="str">
            <v>Brantford Power Inc.</v>
          </cell>
          <cell r="C5" t="str">
            <v>PowerStream Rate Zone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Collus PowerStream Corp.</v>
          </cell>
        </row>
        <row r="11">
          <cell r="A11" t="str">
            <v>Cooperative Hydro Embrun Inc.</v>
          </cell>
        </row>
        <row r="12">
          <cell r="A12" t="str">
            <v>E.L.K.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Erie Thames Powerlines Corporation</v>
          </cell>
        </row>
        <row r="17">
          <cell r="A17" t="str">
            <v>Espanola Regional Hydro Distribution Corporation</v>
          </cell>
        </row>
        <row r="18">
          <cell r="A18" t="str">
            <v>Essex Powerlines Corporation</v>
          </cell>
        </row>
        <row r="19">
          <cell r="A19" t="str">
            <v>Festival Hydro Inc.</v>
          </cell>
        </row>
        <row r="20">
          <cell r="A20" t="str">
            <v>Fort Frances Power Corporation</v>
          </cell>
        </row>
        <row r="21">
          <cell r="A21" t="str">
            <v>Greater Sudbury Hydro Inc.</v>
          </cell>
        </row>
        <row r="22">
          <cell r="A22" t="str">
            <v>Grimsby Power Incorporated</v>
          </cell>
        </row>
        <row r="23">
          <cell r="A23" t="str">
            <v>Guelph Hydro Electric Systems Inc.</v>
          </cell>
        </row>
        <row r="24">
          <cell r="A24" t="str">
            <v>Halton Hills Hydro Inc.</v>
          </cell>
        </row>
        <row r="25">
          <cell r="A25" t="str">
            <v>Hearst Power Distribution Company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</row>
        <row r="29">
          <cell r="A29" t="str">
            <v>Hydro One Remote Communities Inc.</v>
          </cell>
        </row>
        <row r="30">
          <cell r="A30" t="str">
            <v>Hydro Ottawa Limited</v>
          </cell>
        </row>
        <row r="31">
          <cell r="A31" t="str">
            <v>InnPower Corporation</v>
          </cell>
        </row>
        <row r="32">
          <cell r="A32" t="str">
            <v>Kenora Hydro Electric Corporation Ltd.</v>
          </cell>
        </row>
        <row r="33">
          <cell r="A33" t="str">
            <v>Kingston Hydro Corporation</v>
          </cell>
        </row>
        <row r="34">
          <cell r="A34" t="str">
            <v>Kitchener-Wilmot Hydro Inc.</v>
          </cell>
        </row>
        <row r="35">
          <cell r="A35" t="str">
            <v>Lakefront Utilities Inc.</v>
          </cell>
        </row>
        <row r="36">
          <cell r="A36" t="str">
            <v>Lakeland Power Distribution Ltd.</v>
          </cell>
        </row>
        <row r="37">
          <cell r="A37" t="str">
            <v>London Hydro Inc.</v>
          </cell>
        </row>
        <row r="38">
          <cell r="A38" t="str">
            <v>Midland Power Utility Corporation</v>
          </cell>
        </row>
        <row r="39">
          <cell r="A39" t="str">
            <v>Milton Hydro Distribution Inc.</v>
          </cell>
        </row>
        <row r="40">
          <cell r="A40" t="str">
            <v>Newmarket - Tay Power Distribution Ltd.</v>
          </cell>
        </row>
        <row r="41">
          <cell r="A41" t="str">
            <v>Niagara Peninsula Energy Inc.</v>
          </cell>
        </row>
        <row r="42">
          <cell r="A42" t="str">
            <v>Niagara-on-the-Lake Hydro Inc.</v>
          </cell>
        </row>
        <row r="43">
          <cell r="A43" t="str">
            <v>North Bay Hydro Distribution Limited</v>
          </cell>
        </row>
        <row r="44">
          <cell r="A44" t="str">
            <v>Northern Ontario Wires Inc.</v>
          </cell>
        </row>
        <row r="45">
          <cell r="A45" t="str">
            <v>Oakville Hydro Electricity Distribution Inc.</v>
          </cell>
        </row>
        <row r="46">
          <cell r="A46" t="str">
            <v>Orangeville Hydro Limited</v>
          </cell>
        </row>
        <row r="47">
          <cell r="A47" t="str">
            <v>Orillia Power Distribution Corporation</v>
          </cell>
        </row>
        <row r="48">
          <cell r="A48" t="str">
            <v>Oshawa PUC Networks Inc.</v>
          </cell>
        </row>
        <row r="49">
          <cell r="A49" t="str">
            <v>Ottawa River Power Corporation</v>
          </cell>
        </row>
        <row r="50">
          <cell r="A50" t="str">
            <v>Peterborough Distribution Incorporated</v>
          </cell>
        </row>
        <row r="51">
          <cell r="A51" t="str">
            <v>PUC Distribution Inc.</v>
          </cell>
        </row>
        <row r="52">
          <cell r="A52" t="str">
            <v>Renfrew Hydro Inc.</v>
          </cell>
        </row>
        <row r="53">
          <cell r="A53" t="str">
            <v>Rideau St. Lawrence Distribution Inc.</v>
          </cell>
        </row>
        <row r="54">
          <cell r="A54" t="str">
            <v>Sioux Lookout Hydro Inc.</v>
          </cell>
        </row>
        <row r="55">
          <cell r="A55" t="str">
            <v>St. Thomas Energy Inc.</v>
          </cell>
        </row>
        <row r="56">
          <cell r="A56" t="str">
            <v>Thunder Bay Hydro Electricity Distribution Inc.</v>
          </cell>
        </row>
        <row r="57">
          <cell r="A57" t="str">
            <v>Tillsonburg Hydro Inc.</v>
          </cell>
        </row>
        <row r="58">
          <cell r="A58" t="str">
            <v>Toronto Hydro-Electric System Limited</v>
          </cell>
        </row>
        <row r="59">
          <cell r="A59" t="str">
            <v>Veridian Connections Inc.</v>
          </cell>
        </row>
        <row r="60">
          <cell r="A60" t="str">
            <v>Wasaga Distribution Inc.</v>
          </cell>
        </row>
        <row r="61">
          <cell r="A61" t="str">
            <v>Waterloo North Hydro Inc.</v>
          </cell>
        </row>
        <row r="62">
          <cell r="A62" t="str">
            <v>Welland Hydro-Electric System Corp.</v>
          </cell>
        </row>
        <row r="63">
          <cell r="A63" t="str">
            <v>Wellington North Power Inc.</v>
          </cell>
        </row>
        <row r="64">
          <cell r="A64" t="str">
            <v>West Coast Huron Energy Inc.</v>
          </cell>
        </row>
        <row r="65">
          <cell r="A65" t="str">
            <v>Westario Power Inc.</v>
          </cell>
        </row>
        <row r="66">
          <cell r="A66" t="str">
            <v>Whitby Hydro Electric Corporation</v>
          </cell>
        </row>
      </sheetData>
      <sheetData sheetId="6"/>
      <sheetData sheetId="7"/>
      <sheetData sheetId="8">
        <row r="14">
          <cell r="C14">
            <v>2016</v>
          </cell>
        </row>
        <row r="25">
          <cell r="C25">
            <v>101</v>
          </cell>
        </row>
      </sheetData>
      <sheetData sheetId="9"/>
      <sheetData sheetId="10"/>
      <sheetData sheetId="11"/>
      <sheetData sheetId="12"/>
      <sheetData sheetId="13"/>
      <sheetData sheetId="14">
        <row r="19">
          <cell r="N19">
            <v>0</v>
          </cell>
        </row>
      </sheetData>
      <sheetData sheetId="15"/>
      <sheetData sheetId="16"/>
      <sheetData sheetId="17"/>
      <sheetData sheetId="18"/>
      <sheetData sheetId="19">
        <row r="109">
          <cell r="F109">
            <v>58620815.729999997</v>
          </cell>
        </row>
        <row r="113">
          <cell r="P113">
            <v>30934596.326091953</v>
          </cell>
        </row>
      </sheetData>
      <sheetData sheetId="20">
        <row r="109">
          <cell r="F109">
            <v>58620815.729999997</v>
          </cell>
        </row>
        <row r="113">
          <cell r="P113">
            <v>30934596.326091953</v>
          </cell>
        </row>
      </sheetData>
      <sheetData sheetId="21"/>
      <sheetData sheetId="22">
        <row r="12">
          <cell r="F12">
            <v>331461</v>
          </cell>
        </row>
        <row r="13">
          <cell r="F13">
            <v>2689802037</v>
          </cell>
        </row>
        <row r="14">
          <cell r="F14">
            <v>2</v>
          </cell>
        </row>
      </sheetData>
      <sheetData sheetId="23">
        <row r="23">
          <cell r="D23">
            <v>6.5000000000000002E-2</v>
          </cell>
        </row>
        <row r="24">
          <cell r="D24">
            <v>9.4E-2</v>
          </cell>
        </row>
        <row r="25">
          <cell r="D25">
            <v>0.13200000000000001</v>
          </cell>
        </row>
        <row r="33">
          <cell r="D33">
            <v>0.56999999999999995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_Capital Projects"/>
      <sheetName val="App.2-BA_Fixed Asset Cont.CGAAP"/>
      <sheetName val="App.2-BA_Fixed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HAROLD SS"/>
      <sheetName val="App.2-FC Conn. Enhance."/>
      <sheetName val="App.2-G SQI"/>
      <sheetName val="App.2-H_Other_Oper_Rev"/>
      <sheetName val="App.2-I LF_CDM_WF"/>
      <sheetName val="App.2-JA_Detailed_OM&amp;A_Expenses"/>
      <sheetName val="App.2-JB_OM&amp;A_Detailed_Analysis"/>
      <sheetName val="App.2-JC_OM&amp;A_Summary_Analys"/>
      <sheetName val="App.2-JD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Sheet19"/>
    </sheetNames>
    <sheetDataSet>
      <sheetData sheetId="0">
        <row r="3">
          <cell r="AA3" t="str">
            <v>Algoma Power Inc.</v>
          </cell>
        </row>
        <row r="24">
          <cell r="E24">
            <v>2014</v>
          </cell>
        </row>
        <row r="26">
          <cell r="E26">
            <v>2013</v>
          </cell>
        </row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3">
          <cell r="AA3" t="str">
            <v>Algoma Power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">
          <cell r="Z1" t="str">
            <v>Account History</v>
          </cell>
        </row>
        <row r="2">
          <cell r="A2" t="str">
            <v>DISTRIBUTED GENERATION [DGEN]</v>
          </cell>
        </row>
        <row r="3">
          <cell r="A3" t="str">
            <v>EMBEDDED DISTRIBUTOR</v>
          </cell>
        </row>
        <row r="4">
          <cell r="A4" t="str">
            <v>EMBEDDED DISTRIBUTOR</v>
          </cell>
        </row>
        <row r="5">
          <cell r="A5" t="str">
            <v>FARMS - SINGLE PHASE ENERGY-BILLED [F1]</v>
          </cell>
        </row>
        <row r="6">
          <cell r="A6" t="str">
            <v>FARMS - THREE PHASE ENERGY-BILLED [F3]</v>
          </cell>
        </row>
        <row r="7">
          <cell r="A7" t="str">
            <v>GENERAL SERVICE - COMMERCIAL</v>
          </cell>
        </row>
        <row r="8">
          <cell r="A8" t="str">
            <v>GENERAL SERVICE - INSTITUTIONAL</v>
          </cell>
        </row>
        <row r="9">
          <cell r="A9" t="str">
            <v>GENERAL SERVICE 1,000 TO 2,999 KW</v>
          </cell>
        </row>
        <row r="10">
          <cell r="A10" t="str">
            <v>GENERAL SERVICE 1,000 TO 4,999 KW</v>
          </cell>
        </row>
        <row r="11">
          <cell r="A11" t="str">
            <v>GENERAL SERVICE 1,000 TO 4,999 KW - INTERVAL METERS</v>
          </cell>
        </row>
        <row r="12">
          <cell r="A12" t="str">
            <v>GENERAL SERVICE 1,000 TO 4,999 KW (CO-GENERATION)</v>
          </cell>
        </row>
        <row r="13">
          <cell r="A13" t="str">
            <v>GENERAL SERVICE 1,500 TO 4,999 KW</v>
          </cell>
        </row>
        <row r="14">
          <cell r="A14" t="str">
            <v>GENERAL SERVICE 2,500 TO 4,999 KW</v>
          </cell>
        </row>
        <row r="15">
          <cell r="A15" t="str">
            <v>GENERAL SERVICE 3,000 TO 4,999 KW</v>
          </cell>
        </row>
        <row r="16">
          <cell r="A16" t="str">
            <v>GENERAL SERVICE 3,000 TO 4,999 KW - INTERMEDIATE USE</v>
          </cell>
        </row>
        <row r="17">
          <cell r="A17" t="str">
            <v>GENERAL SERVICE 3,000 TO 4,999 KW - INTERVAL METERED</v>
          </cell>
        </row>
        <row r="18">
          <cell r="A18" t="str">
            <v>GENERAL SERVICE 3,000 TO 4,999 KW - TIME OF USE</v>
          </cell>
        </row>
        <row r="19">
          <cell r="A19" t="str">
            <v>GENERAL SERVICE 50 TO 1,000 KW</v>
          </cell>
        </row>
        <row r="20">
          <cell r="A20" t="str">
            <v>GENERAL SERVICE 50 TO 1,000 KW - INTERVAL METERS</v>
          </cell>
        </row>
        <row r="21">
          <cell r="A21" t="str">
            <v>GENERAL SERVICE 50 TO 1,000 KW - NON INTERVAL METERS</v>
          </cell>
        </row>
        <row r="22">
          <cell r="A22" t="str">
            <v>GENERAL SERVICE 50 TO 1,499 KW</v>
          </cell>
        </row>
        <row r="23">
          <cell r="A23" t="str">
            <v>GENERAL SERVICE 50 TO 1,499 KW - INTERVAL METERED</v>
          </cell>
        </row>
        <row r="24">
          <cell r="A24" t="str">
            <v>GENERAL SERVICE 50 TO 2,499 KW</v>
          </cell>
        </row>
        <row r="25">
          <cell r="A25" t="str">
            <v>GENERAL SERVICE 50 TO 2,999 KW</v>
          </cell>
        </row>
        <row r="26">
          <cell r="A26" t="str">
            <v>GENERAL SERVICE 50 TO 2,999 KW - INTERVAL METERED</v>
          </cell>
        </row>
        <row r="27">
          <cell r="A27" t="str">
            <v>GENERAL SERVICE 50 TO 2,999 KW - TIME OF USE</v>
          </cell>
        </row>
        <row r="28">
          <cell r="A28" t="str">
            <v>GENERAL SERVICE 50 TO 4,999 KW</v>
          </cell>
        </row>
        <row r="29">
          <cell r="A29" t="str">
            <v>GENERAL SERVICE 50 TO 4,999 KW - INTERVAL METERED</v>
          </cell>
        </row>
        <row r="30">
          <cell r="A30" t="str">
            <v>GENERAL SERVICE 50 TO 4,999 KW - TIME OF USE</v>
          </cell>
        </row>
        <row r="31">
          <cell r="A31" t="str">
            <v>GENERAL SERVICE 50 TO 4,999 KW (COGENERATION)</v>
          </cell>
        </row>
        <row r="32">
          <cell r="A32" t="str">
            <v>GENERAL SERVICE 50 TO 4,999 KW (FORMERLY TIME OF USE)</v>
          </cell>
        </row>
        <row r="33">
          <cell r="A33" t="str">
            <v>GENERAL SERVICE 50 TO 499 KW</v>
          </cell>
        </row>
        <row r="34">
          <cell r="A34" t="str">
            <v>GENERAL SERVICE 50 TO 699 KW</v>
          </cell>
        </row>
        <row r="35">
          <cell r="A35" t="str">
            <v>GENERAL SERVICE 50 TO 999 KW</v>
          </cell>
        </row>
        <row r="36">
          <cell r="A36" t="str">
            <v>GENERAL SERVICE 50 TO 999 KW - INTERVAL METERED</v>
          </cell>
        </row>
        <row r="37">
          <cell r="A37" t="str">
            <v>GENERAL SERVICE 500 TO 4,999 KW</v>
          </cell>
        </row>
        <row r="38">
          <cell r="A38" t="str">
            <v>GENERAL SERVICE 700 TO 4,999 KW</v>
          </cell>
        </row>
        <row r="39">
          <cell r="A39" t="str">
            <v>GENERAL SERVICE DEMAND BILLED (50 KW AND ABOVE) [GSD]</v>
          </cell>
        </row>
        <row r="40">
          <cell r="A40" t="str">
            <v>GENERAL SERVICE ENERGY BILLED (LESS THAN 50 KW) [GSE-METERED]</v>
          </cell>
        </row>
        <row r="41">
          <cell r="A41" t="str">
            <v>GENERAL SERVICE ENERGY BILLED (LESS THAN TO 50 KW) [GSE-UNMETERED]</v>
          </cell>
        </row>
        <row r="42">
          <cell r="A42" t="str">
            <v>GENERAL SERVICE EQUAL TO OR GREATER THAN 1,500 KW</v>
          </cell>
        </row>
        <row r="43">
          <cell r="A43" t="str">
            <v>GENERAL SERVICE EQUAL TO OR GREATER THAN 1,500 KW - INTERVAL METERED</v>
          </cell>
        </row>
        <row r="44">
          <cell r="A44" t="str">
            <v>GENERAL SERVICE GREATER THAN 1,000 KW</v>
          </cell>
        </row>
        <row r="45">
          <cell r="A45" t="str">
            <v>GENERAL SERVICE GREATER THAN 50 kW - WMP</v>
          </cell>
        </row>
        <row r="46">
          <cell r="A46" t="str">
            <v>GENERAL SERVICE INTERMEDIATE 1,000 TO 4,999 KW</v>
          </cell>
        </row>
        <row r="47">
          <cell r="A47" t="str">
            <v>GENERAL SERVICE INTERMEDIATE RATE CLASS 1,000 TO 4,999 KW (FORMERLY GENERAL SERVICE &gt; 50 KW CUSTOMERS)</v>
          </cell>
        </row>
        <row r="48">
          <cell r="A48" t="str">
            <v>GENERAL SERVICE INTERMEDIATE RATE CLASS 1,000 TO 4,999 KW (FORMERLY LARGE USE CUSTOMERS)</v>
          </cell>
        </row>
        <row r="49">
          <cell r="A49" t="str">
            <v>GENERAL SERVICE LESS THAN 50 KW</v>
          </cell>
        </row>
        <row r="50">
          <cell r="A50" t="str">
            <v>GENERAL SERVICE LESS THAN 50 KW - SINGLE PHASE ENERGY-BILLED [G1]</v>
          </cell>
        </row>
        <row r="51">
          <cell r="A51" t="str">
            <v>GENERAL SERVICE LESS THAN 50 KW - THREE PHASE ENERGY-BILLED [G3]</v>
          </cell>
        </row>
        <row r="52">
          <cell r="A52" t="str">
            <v>GENERAL SERVICE LESS THAN 50 KW - TRANSMISSION CLASS ENERGY-BILLED [T]</v>
          </cell>
        </row>
        <row r="53">
          <cell r="A53" t="str">
            <v>GENERAL SERVICE LESS THAN 50 KW - URBAN ENERGY-BILLED [UG]</v>
          </cell>
        </row>
        <row r="54">
          <cell r="A54" t="str">
            <v>GENERAL SERVICE SINGLE PHASE - G1</v>
          </cell>
        </row>
        <row r="55">
          <cell r="A55" t="str">
            <v>GENERAL SERVICE THREE PHASE - G3</v>
          </cell>
        </row>
        <row r="56">
          <cell r="A56" t="str">
            <v>INTERMEDIATE USERS</v>
          </cell>
        </row>
        <row r="57">
          <cell r="A57" t="str">
            <v>INTERMEDIATE WITH SELF GENERATION</v>
          </cell>
        </row>
        <row r="58">
          <cell r="A58" t="str">
            <v>LARGE USE</v>
          </cell>
        </row>
        <row r="59">
          <cell r="A59" t="str">
            <v>LARGE USE - 3TS</v>
          </cell>
        </row>
        <row r="60">
          <cell r="A60" t="str">
            <v>LARGE USE - FORD ANNEX</v>
          </cell>
        </row>
        <row r="61">
          <cell r="A61" t="str">
            <v>LARGE USE - REGULAR</v>
          </cell>
        </row>
        <row r="62">
          <cell r="A62" t="str">
            <v>LARGE USE &gt; 5000 KW</v>
          </cell>
        </row>
        <row r="63">
          <cell r="A63" t="str">
            <v>microFIT</v>
          </cell>
        </row>
        <row r="64">
          <cell r="A64" t="str">
            <v>RESIDENTIAL</v>
          </cell>
        </row>
        <row r="65">
          <cell r="A65" t="str">
            <v>RESIDENTIAL - HENSALL</v>
          </cell>
        </row>
        <row r="66">
          <cell r="A66" t="str">
            <v>RESIDENTIAL - HIGH DENSITY [R1]</v>
          </cell>
        </row>
        <row r="67">
          <cell r="A67" t="str">
            <v>RESIDENTIAL - LOW DENSITY [R2]</v>
          </cell>
        </row>
        <row r="68">
          <cell r="A68" t="str">
            <v>RESIDENTIAL - MEDIUM DENSITY [R1]</v>
          </cell>
        </row>
        <row r="69">
          <cell r="A69" t="str">
            <v>RESIDENTIAL - NORMAL DENSITY [R2]</v>
          </cell>
        </row>
        <row r="70">
          <cell r="A70" t="str">
            <v>RESIDENTIAL - TIME OF USE</v>
          </cell>
        </row>
        <row r="71">
          <cell r="A71" t="str">
            <v>RESIDENTIAL - URBAN [UR]</v>
          </cell>
        </row>
        <row r="72">
          <cell r="A72" t="str">
            <v>RESIDENTIAL REGULAR</v>
          </cell>
        </row>
        <row r="73">
          <cell r="A73" t="str">
            <v>RESIDENTIAL SUBURBAN</v>
          </cell>
        </row>
        <row r="74">
          <cell r="A74" t="str">
            <v>RESIDENTIAL SUBURBAN SEASONAL</v>
          </cell>
        </row>
        <row r="75">
          <cell r="A75" t="str">
            <v>RESIDENTIAL SUBURBAN YEAR ROUND</v>
          </cell>
        </row>
        <row r="76">
          <cell r="A76" t="str">
            <v>RESIDENTIAL URBAN</v>
          </cell>
        </row>
        <row r="77">
          <cell r="A77" t="str">
            <v>RESIDENTIAL URBAN YEAR-ROUND</v>
          </cell>
        </row>
        <row r="78">
          <cell r="A78" t="str">
            <v>SEASONAL RESIDENTIAL</v>
          </cell>
        </row>
        <row r="79">
          <cell r="A79" t="str">
            <v>SEASONAL RESIDENTIAL - HIGH DENSITY [R3]</v>
          </cell>
        </row>
        <row r="80">
          <cell r="A80" t="str">
            <v>SEASONAL RESIDENTIAL - NORMAL DENSITY [R4]</v>
          </cell>
        </row>
        <row r="81">
          <cell r="A81" t="str">
            <v>SENTINEL LIGHTING</v>
          </cell>
        </row>
        <row r="82">
          <cell r="A82" t="str">
            <v>SMALL COMMERCIAL AND USL - PER CONNECTION</v>
          </cell>
        </row>
        <row r="83">
          <cell r="A83" t="str">
            <v>SMALL COMMERCIAL AND USL - PER METER</v>
          </cell>
        </row>
        <row r="84">
          <cell r="A84" t="str">
            <v>STANDARD A GENERAL SERVICE AIR ACCESS</v>
          </cell>
        </row>
        <row r="85">
          <cell r="A85" t="str">
            <v>STANDARD A GENERAL SERVICE ROAD/RAIL</v>
          </cell>
        </row>
        <row r="86">
          <cell r="A86" t="str">
            <v>STANDARD A GRID CONNECTED</v>
          </cell>
        </row>
        <row r="87">
          <cell r="A87" t="str">
            <v>STANDARD A RESIDENTIAL AIR ACCESS</v>
          </cell>
        </row>
        <row r="88">
          <cell r="A88" t="str">
            <v>STANDARD A RESIDENTIAL ROAD/RAIL</v>
          </cell>
        </row>
        <row r="89">
          <cell r="A89" t="str">
            <v>STANDBY - GENERAL SERVICE 1,000 - 5,000 KW</v>
          </cell>
        </row>
        <row r="90">
          <cell r="A90" t="str">
            <v>STANDBY - GENERAL SERVICE 50 - 1,000 KW</v>
          </cell>
        </row>
        <row r="91">
          <cell r="A91" t="str">
            <v>STANDBY - LARGE USE</v>
          </cell>
        </row>
        <row r="92">
          <cell r="A92" t="str">
            <v>STANDBY DISTRIBUTION SERVICE</v>
          </cell>
        </row>
        <row r="93">
          <cell r="A93" t="str">
            <v>STANDBY POWER</v>
          </cell>
        </row>
        <row r="94">
          <cell r="A94" t="str">
            <v>STANDBY POWER - APPROVED ON AN INTERIM BASIS</v>
          </cell>
        </row>
        <row r="95">
          <cell r="A95" t="str">
            <v>STANDBY POWER GENERAL SERVICE 1,500 TO 4,999 KW</v>
          </cell>
        </row>
        <row r="96">
          <cell r="A96" t="str">
            <v>STANDBY POWER GENERAL SERVICE 50 TO 1,499 KW</v>
          </cell>
        </row>
        <row r="97">
          <cell r="A97" t="str">
            <v>STANDBY POWER GENERAL SERVICE LARGE USE</v>
          </cell>
        </row>
        <row r="98">
          <cell r="A98" t="str">
            <v>STREET LIGHTING</v>
          </cell>
        </row>
        <row r="99">
          <cell r="A99" t="str">
            <v>SUB TRANSMISSION [ST]</v>
          </cell>
        </row>
        <row r="100">
          <cell r="A100" t="str">
            <v>UNMETERED SCATTERED LOAD</v>
          </cell>
        </row>
        <row r="101">
          <cell r="A101" t="str">
            <v>URBAN GENERAL SERVICE DEMAND BILLED (50 KW AND ABOVE) [UGD]</v>
          </cell>
        </row>
        <row r="102">
          <cell r="A102" t="str">
            <v>URBAN GENERAL SERVICE ENERGY BILLED (LESS THAN 50 KW) [UGE]</v>
          </cell>
        </row>
        <row r="103">
          <cell r="A103" t="str">
            <v>WESTPORT SEWAGE TREATMENT PLANT</v>
          </cell>
        </row>
        <row r="104">
          <cell r="A104" t="str">
            <v>YEAR-ROUND RESIDENTIAL - R2</v>
          </cell>
        </row>
      </sheetData>
      <sheetData sheetId="55"/>
      <sheetData sheetId="5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6">
          <cell r="D16">
            <v>5.0000000000000001E-4</v>
          </cell>
        </row>
        <row r="17">
          <cell r="D17">
            <v>0.25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16"/>
  <sheetViews>
    <sheetView showGridLines="0" tabSelected="1" view="pageBreakPreview" topLeftCell="C1" zoomScale="70" zoomScaleNormal="60" zoomScaleSheetLayoutView="70" workbookViewId="0">
      <selection activeCell="I191" sqref="I191"/>
    </sheetView>
  </sheetViews>
  <sheetFormatPr defaultColWidth="9.140625" defaultRowHeight="12.75" x14ac:dyDescent="0.2"/>
  <cols>
    <col min="1" max="1" width="9" style="8" hidden="1" customWidth="1"/>
    <col min="2" max="2" width="4.7109375" style="8" hidden="1" customWidth="1"/>
    <col min="3" max="3" width="3.42578125" style="9" customWidth="1"/>
    <col min="4" max="4" width="34.7109375" style="8" customWidth="1"/>
    <col min="5" max="5" width="13.140625" style="8" customWidth="1"/>
    <col min="6" max="6" width="26.85546875" style="8" customWidth="1"/>
    <col min="7" max="7" width="12.7109375" style="8" bestFit="1" customWidth="1"/>
    <col min="8" max="8" width="18.140625" style="8" customWidth="1"/>
    <col min="9" max="9" width="12.85546875" style="8" customWidth="1"/>
    <col min="10" max="10" width="14.42578125" style="8" bestFit="1" customWidth="1"/>
    <col min="11" max="11" width="19" style="8" bestFit="1" customWidth="1"/>
    <col min="12" max="12" width="15.42578125" style="8" bestFit="1" customWidth="1"/>
    <col min="13" max="13" width="15.85546875" style="8" customWidth="1"/>
    <col min="14" max="14" width="22.140625" style="8" customWidth="1"/>
    <col min="15" max="15" width="14.42578125" style="8" customWidth="1"/>
    <col min="16" max="16" width="3.85546875" style="8" customWidth="1"/>
    <col min="17" max="17" width="11.28515625" style="8" customWidth="1"/>
    <col min="18" max="19" width="9.140625" style="8" customWidth="1"/>
    <col min="20" max="46" width="9.140625" style="8" hidden="1" customWidth="1"/>
    <col min="47" max="82" width="9.140625" style="8" customWidth="1"/>
    <col min="83" max="16384" width="9.140625" style="8"/>
  </cols>
  <sheetData>
    <row r="1" spans="1:79" s="5" customFormat="1" ht="22.9" x14ac:dyDescent="0.25">
      <c r="C1" s="1"/>
      <c r="D1" s="2"/>
      <c r="E1" s="2"/>
      <c r="F1" s="2"/>
      <c r="G1" s="2"/>
      <c r="H1" s="2"/>
      <c r="I1" s="2"/>
      <c r="J1" s="2"/>
      <c r="K1" s="2"/>
      <c r="L1" s="3"/>
      <c r="M1" s="4"/>
      <c r="P1" s="6"/>
      <c r="AZ1" s="5" t="s">
        <v>0</v>
      </c>
      <c r="CA1" s="5">
        <v>1</v>
      </c>
    </row>
    <row r="2" spans="1:79" s="6" customFormat="1" ht="13.15" x14ac:dyDescent="0.25">
      <c r="C2" s="7"/>
    </row>
    <row r="3" spans="1:79" ht="13.15" x14ac:dyDescent="0.25">
      <c r="C3" s="8"/>
      <c r="D3" s="10" t="s">
        <v>12</v>
      </c>
      <c r="E3" s="124" t="s">
        <v>1</v>
      </c>
      <c r="F3" s="124"/>
      <c r="G3" s="124"/>
      <c r="H3" s="124"/>
      <c r="I3" s="124"/>
      <c r="J3" s="124"/>
      <c r="K3" s="8" t="s">
        <v>8</v>
      </c>
      <c r="T3" s="8" t="s">
        <v>11</v>
      </c>
    </row>
    <row r="4" spans="1:79" x14ac:dyDescent="0.2">
      <c r="C4" s="8"/>
      <c r="D4" s="10" t="s">
        <v>13</v>
      </c>
      <c r="E4" s="125" t="s">
        <v>3</v>
      </c>
      <c r="F4" s="125"/>
      <c r="G4" s="125"/>
      <c r="H4" s="11"/>
      <c r="I4" s="11"/>
    </row>
    <row r="5" spans="1:79" ht="15.75" x14ac:dyDescent="0.2">
      <c r="C5" s="8"/>
      <c r="D5" s="10" t="s">
        <v>14</v>
      </c>
      <c r="E5" s="12">
        <v>750</v>
      </c>
      <c r="F5" s="13" t="s">
        <v>2</v>
      </c>
      <c r="G5" s="14"/>
      <c r="J5" s="15"/>
      <c r="K5" s="15"/>
      <c r="L5" s="15"/>
      <c r="M5" s="15"/>
    </row>
    <row r="6" spans="1:79" ht="15.75" x14ac:dyDescent="0.25">
      <c r="C6" s="8"/>
      <c r="D6" s="10" t="s">
        <v>15</v>
      </c>
      <c r="E6" s="12">
        <v>0</v>
      </c>
      <c r="F6" s="16" t="s">
        <v>5</v>
      </c>
      <c r="G6" s="17"/>
      <c r="H6" s="18"/>
      <c r="I6" s="18"/>
      <c r="J6" s="18"/>
    </row>
    <row r="7" spans="1:79" x14ac:dyDescent="0.2">
      <c r="C7" s="8"/>
      <c r="D7" s="10" t="s">
        <v>16</v>
      </c>
      <c r="E7" s="19">
        <v>1.0341</v>
      </c>
    </row>
    <row r="8" spans="1:79" x14ac:dyDescent="0.2">
      <c r="C8" s="8"/>
      <c r="D8" s="10" t="s">
        <v>17</v>
      </c>
      <c r="E8" s="19">
        <v>1.0341</v>
      </c>
    </row>
    <row r="9" spans="1:79" x14ac:dyDescent="0.2">
      <c r="C9" s="8"/>
      <c r="D9" s="14"/>
    </row>
    <row r="10" spans="1:79" x14ac:dyDescent="0.2">
      <c r="C10" s="8"/>
      <c r="D10" s="14"/>
      <c r="E10" s="20"/>
      <c r="F10" s="126" t="s">
        <v>18</v>
      </c>
      <c r="G10" s="127"/>
      <c r="H10" s="128"/>
      <c r="I10" s="126" t="s">
        <v>19</v>
      </c>
      <c r="J10" s="127"/>
      <c r="K10" s="128"/>
      <c r="L10" s="126" t="s">
        <v>20</v>
      </c>
      <c r="M10" s="128"/>
    </row>
    <row r="11" spans="1:79" x14ac:dyDescent="0.2">
      <c r="C11" s="8"/>
      <c r="D11" s="14"/>
      <c r="E11" s="117"/>
      <c r="F11" s="21" t="s">
        <v>21</v>
      </c>
      <c r="G11" s="21" t="s">
        <v>22</v>
      </c>
      <c r="H11" s="22" t="s">
        <v>23</v>
      </c>
      <c r="I11" s="21" t="s">
        <v>21</v>
      </c>
      <c r="J11" s="23" t="s">
        <v>22</v>
      </c>
      <c r="K11" s="22" t="s">
        <v>23</v>
      </c>
      <c r="L11" s="119" t="s">
        <v>24</v>
      </c>
      <c r="M11" s="121" t="s">
        <v>25</v>
      </c>
    </row>
    <row r="12" spans="1:79" x14ac:dyDescent="0.2">
      <c r="C12" s="8"/>
      <c r="D12" s="14"/>
      <c r="E12" s="118"/>
      <c r="F12" s="24" t="s">
        <v>26</v>
      </c>
      <c r="G12" s="24"/>
      <c r="H12" s="25" t="s">
        <v>26</v>
      </c>
      <c r="I12" s="24" t="s">
        <v>26</v>
      </c>
      <c r="J12" s="25"/>
      <c r="K12" s="25" t="s">
        <v>26</v>
      </c>
      <c r="L12" s="120"/>
      <c r="M12" s="122"/>
    </row>
    <row r="13" spans="1:79" x14ac:dyDescent="0.2">
      <c r="A13" s="8" t="s">
        <v>1</v>
      </c>
      <c r="C13" s="26"/>
      <c r="D13" s="27" t="s">
        <v>27</v>
      </c>
      <c r="E13" s="28"/>
      <c r="F13" s="29">
        <v>20.92</v>
      </c>
      <c r="G13" s="30">
        <v>1</v>
      </c>
      <c r="H13" s="31">
        <f>G13*F13</f>
        <v>20.92</v>
      </c>
      <c r="I13" s="32">
        <v>24.3</v>
      </c>
      <c r="J13" s="33">
        <f>G13</f>
        <v>1</v>
      </c>
      <c r="K13" s="31">
        <f>J13*I13</f>
        <v>24.3</v>
      </c>
      <c r="L13" s="34">
        <f t="shared" ref="L13:L34" si="0">K13-H13</f>
        <v>3.379999999999999</v>
      </c>
      <c r="M13" s="35">
        <f>IF(ISERROR(L13/H13), "", L13/H13)</f>
        <v>0.16156787762906305</v>
      </c>
    </row>
    <row r="14" spans="1:79" x14ac:dyDescent="0.2">
      <c r="A14" s="8" t="s">
        <v>1</v>
      </c>
      <c r="C14" s="26"/>
      <c r="D14" s="27" t="s">
        <v>28</v>
      </c>
      <c r="E14" s="28"/>
      <c r="F14" s="36">
        <v>4.0000000000000001E-3</v>
      </c>
      <c r="G14" s="30">
        <f>IF($E6&gt;0, $E6, $E5)</f>
        <v>750</v>
      </c>
      <c r="H14" s="31">
        <f t="shared" ref="H14:H26" si="1">G14*F14</f>
        <v>3</v>
      </c>
      <c r="I14" s="37">
        <v>0</v>
      </c>
      <c r="J14" s="33">
        <f>IF($E6&gt;0, $E6, $E5)</f>
        <v>750</v>
      </c>
      <c r="K14" s="31">
        <f>J14*I14</f>
        <v>0</v>
      </c>
      <c r="L14" s="34">
        <f t="shared" si="0"/>
        <v>-3</v>
      </c>
      <c r="M14" s="35">
        <f t="shared" ref="M14:M24" si="2">IF(ISERROR(L14/H14), "", L14/H14)</f>
        <v>-1</v>
      </c>
    </row>
    <row r="15" spans="1:79" hidden="1" x14ac:dyDescent="0.2">
      <c r="A15" s="8" t="s">
        <v>1</v>
      </c>
      <c r="C15" s="26"/>
      <c r="D15" s="27" t="s">
        <v>29</v>
      </c>
      <c r="E15" s="28"/>
      <c r="F15" s="36"/>
      <c r="G15" s="30">
        <f>IF($E6&gt;0, $E6, $E5)</f>
        <v>750</v>
      </c>
      <c r="H15" s="31">
        <v>0</v>
      </c>
      <c r="I15" s="37"/>
      <c r="J15" s="33">
        <f>IF($E6&gt;0, $E6, $E5)</f>
        <v>750</v>
      </c>
      <c r="K15" s="31">
        <v>0</v>
      </c>
      <c r="L15" s="34"/>
      <c r="M15" s="35"/>
    </row>
    <row r="16" spans="1:79" hidden="1" x14ac:dyDescent="0.2">
      <c r="A16" s="8" t="s">
        <v>1</v>
      </c>
      <c r="C16" s="26"/>
      <c r="D16" s="27" t="s">
        <v>30</v>
      </c>
      <c r="E16" s="28"/>
      <c r="F16" s="36"/>
      <c r="G16" s="30">
        <f>IF($E6&gt;0, $E6, $E5)</f>
        <v>750</v>
      </c>
      <c r="H16" s="31">
        <v>0</v>
      </c>
      <c r="I16" s="37"/>
      <c r="J16" s="30">
        <f>IF($E6&gt;0, $E6, $E5)</f>
        <v>750</v>
      </c>
      <c r="K16" s="31">
        <v>0</v>
      </c>
      <c r="L16" s="34">
        <f>K16-H16</f>
        <v>0</v>
      </c>
      <c r="M16" s="35" t="str">
        <f>IF(ISERROR(L16/H16), "", L16/H16)</f>
        <v/>
      </c>
    </row>
    <row r="17" spans="1:13" x14ac:dyDescent="0.2">
      <c r="A17" s="8" t="s">
        <v>1</v>
      </c>
      <c r="C17" s="26"/>
      <c r="D17" s="38" t="s">
        <v>31</v>
      </c>
      <c r="E17" s="28"/>
      <c r="F17" s="29">
        <v>0.5</v>
      </c>
      <c r="G17" s="30">
        <v>1</v>
      </c>
      <c r="H17" s="31">
        <f t="shared" si="1"/>
        <v>0.5</v>
      </c>
      <c r="I17" s="32">
        <v>0.28000000000000003</v>
      </c>
      <c r="J17" s="33">
        <f>G17</f>
        <v>1</v>
      </c>
      <c r="K17" s="31">
        <f t="shared" ref="K17:K24" si="3">J17*I17</f>
        <v>0.28000000000000003</v>
      </c>
      <c r="L17" s="34">
        <f t="shared" si="0"/>
        <v>-0.21999999999999997</v>
      </c>
      <c r="M17" s="35">
        <f t="shared" si="2"/>
        <v>-0.43999999999999995</v>
      </c>
    </row>
    <row r="18" spans="1:13" x14ac:dyDescent="0.2">
      <c r="A18" s="8" t="s">
        <v>1</v>
      </c>
      <c r="C18" s="26"/>
      <c r="D18" s="27" t="s">
        <v>32</v>
      </c>
      <c r="E18" s="28"/>
      <c r="F18" s="36">
        <v>0</v>
      </c>
      <c r="G18" s="30">
        <f>IF($E6&gt;0, $E6, $E5)</f>
        <v>750</v>
      </c>
      <c r="H18" s="31">
        <f t="shared" si="1"/>
        <v>0</v>
      </c>
      <c r="I18" s="37">
        <v>2.9999999999999997E-4</v>
      </c>
      <c r="J18" s="33">
        <f>IF($E6&gt;0, $E6, $E5)</f>
        <v>750</v>
      </c>
      <c r="K18" s="31">
        <f t="shared" si="3"/>
        <v>0.22499999999999998</v>
      </c>
      <c r="L18" s="34">
        <f t="shared" si="0"/>
        <v>0.22499999999999998</v>
      </c>
      <c r="M18" s="35" t="str">
        <f t="shared" si="2"/>
        <v/>
      </c>
    </row>
    <row r="19" spans="1:13" x14ac:dyDescent="0.2">
      <c r="A19" s="8" t="s">
        <v>1</v>
      </c>
      <c r="B19" s="39" t="s">
        <v>33</v>
      </c>
      <c r="C19" s="26">
        <v>1</v>
      </c>
      <c r="D19" s="40" t="s">
        <v>34</v>
      </c>
      <c r="E19" s="41"/>
      <c r="F19" s="42"/>
      <c r="G19" s="43"/>
      <c r="H19" s="44">
        <f>SUM(H13:H18)</f>
        <v>24.42</v>
      </c>
      <c r="I19" s="45"/>
      <c r="J19" s="46"/>
      <c r="K19" s="44">
        <f>SUM(K13:K18)</f>
        <v>24.805000000000003</v>
      </c>
      <c r="L19" s="47">
        <f t="shared" si="0"/>
        <v>0.38500000000000156</v>
      </c>
      <c r="M19" s="48">
        <f>IF((H19)=0,"",(L19/H19))</f>
        <v>1.576576576576583E-2</v>
      </c>
    </row>
    <row r="20" spans="1:13" x14ac:dyDescent="0.2">
      <c r="A20" s="8" t="s">
        <v>1</v>
      </c>
      <c r="C20" s="26"/>
      <c r="D20" s="49" t="s">
        <v>35</v>
      </c>
      <c r="E20" s="28"/>
      <c r="F20" s="36">
        <f>IF((E5*12&gt;=150000), 0, IF(E4="RPP",(F36*0.65+F37*0.17+F38*0.18),IF(E4="Non-RPP (Retailer)",F39,F40)))</f>
        <v>8.1990000000000007E-2</v>
      </c>
      <c r="G20" s="50">
        <f>IF(F20=0, 0, $E5*E7-E5)</f>
        <v>25.575000000000045</v>
      </c>
      <c r="H20" s="31">
        <f>G20*F20</f>
        <v>2.0968942500000041</v>
      </c>
      <c r="I20" s="37">
        <f>IF((E5*12&gt;=150000), 0, IF(E4="RPP",(I36*0.65+I37*0.17+I38*0.18),IF(E4="Non-RPP (Retailer)",I39,I40)))</f>
        <v>8.1990000000000007E-2</v>
      </c>
      <c r="J20" s="50">
        <f>IF(I20=0, 0, E5*E8-E5)</f>
        <v>25.575000000000045</v>
      </c>
      <c r="K20" s="31">
        <f>J20*I20</f>
        <v>2.0968942500000041</v>
      </c>
      <c r="L20" s="34">
        <f>K20-H20</f>
        <v>0</v>
      </c>
      <c r="M20" s="35">
        <f>IF(ISERROR(L20/H20), "", L20/H20)</f>
        <v>0</v>
      </c>
    </row>
    <row r="21" spans="1:13" ht="25.5" x14ac:dyDescent="0.2">
      <c r="A21" s="8" t="s">
        <v>1</v>
      </c>
      <c r="C21" s="26"/>
      <c r="D21" s="49" t="s">
        <v>36</v>
      </c>
      <c r="E21" s="28"/>
      <c r="F21" s="36">
        <v>-1E-3</v>
      </c>
      <c r="G21" s="51">
        <f>IF($E6&gt;0, $E6, $E5)</f>
        <v>750</v>
      </c>
      <c r="H21" s="31">
        <f t="shared" si="1"/>
        <v>-0.75</v>
      </c>
      <c r="I21" s="37">
        <v>-2.3999999999999998E-3</v>
      </c>
      <c r="J21" s="51">
        <f>IF($E6&gt;0, $E6, $E5)</f>
        <v>750</v>
      </c>
      <c r="K21" s="31">
        <f t="shared" si="3"/>
        <v>-1.7999999999999998</v>
      </c>
      <c r="L21" s="34">
        <f t="shared" si="0"/>
        <v>-1.0499999999999998</v>
      </c>
      <c r="M21" s="35">
        <f t="shared" si="2"/>
        <v>1.3999999999999997</v>
      </c>
    </row>
    <row r="22" spans="1:13" x14ac:dyDescent="0.2">
      <c r="A22" s="8" t="s">
        <v>1</v>
      </c>
      <c r="C22" s="26"/>
      <c r="D22" s="49" t="s">
        <v>37</v>
      </c>
      <c r="E22" s="28"/>
      <c r="F22" s="36">
        <v>0</v>
      </c>
      <c r="G22" s="51">
        <f>IF($E6&gt;0, $E6, $E5)</f>
        <v>750</v>
      </c>
      <c r="H22" s="31">
        <f>G22*F22</f>
        <v>0</v>
      </c>
      <c r="I22" s="37">
        <v>0</v>
      </c>
      <c r="J22" s="51">
        <f>IF($E6&gt;0, $E6, $E5)</f>
        <v>750</v>
      </c>
      <c r="K22" s="31">
        <f>J22*I22</f>
        <v>0</v>
      </c>
      <c r="L22" s="34">
        <f t="shared" si="0"/>
        <v>0</v>
      </c>
      <c r="M22" s="35" t="str">
        <f t="shared" si="2"/>
        <v/>
      </c>
    </row>
    <row r="23" spans="1:13" x14ac:dyDescent="0.2">
      <c r="A23" s="8" t="s">
        <v>1</v>
      </c>
      <c r="C23" s="26"/>
      <c r="D23" s="49" t="s">
        <v>38</v>
      </c>
      <c r="E23" s="28"/>
      <c r="F23" s="36">
        <v>0</v>
      </c>
      <c r="G23" s="51">
        <f>E5</f>
        <v>750</v>
      </c>
      <c r="H23" s="31">
        <f>G23*F23</f>
        <v>0</v>
      </c>
      <c r="I23" s="37">
        <v>0</v>
      </c>
      <c r="J23" s="51">
        <f>E5</f>
        <v>750</v>
      </c>
      <c r="K23" s="31">
        <f t="shared" si="3"/>
        <v>0</v>
      </c>
      <c r="L23" s="34">
        <f t="shared" si="0"/>
        <v>0</v>
      </c>
      <c r="M23" s="35" t="str">
        <f t="shared" si="2"/>
        <v/>
      </c>
    </row>
    <row r="24" spans="1:13" x14ac:dyDescent="0.2">
      <c r="A24" s="8" t="s">
        <v>1</v>
      </c>
      <c r="C24" s="26"/>
      <c r="D24" s="52" t="s">
        <v>39</v>
      </c>
      <c r="E24" s="28"/>
      <c r="F24" s="36">
        <v>0</v>
      </c>
      <c r="G24" s="51">
        <f>IF($E6&gt;0, $E6, $E5)</f>
        <v>750</v>
      </c>
      <c r="H24" s="31">
        <f t="shared" si="1"/>
        <v>0</v>
      </c>
      <c r="I24" s="37"/>
      <c r="J24" s="51">
        <f>IF($E6&gt;0, $E6, $E5)</f>
        <v>750</v>
      </c>
      <c r="K24" s="31">
        <f t="shared" si="3"/>
        <v>0</v>
      </c>
      <c r="L24" s="34">
        <f t="shared" si="0"/>
        <v>0</v>
      </c>
      <c r="M24" s="35" t="str">
        <f t="shared" si="2"/>
        <v/>
      </c>
    </row>
    <row r="25" spans="1:13" ht="25.5" x14ac:dyDescent="0.2">
      <c r="A25" s="8" t="s">
        <v>1</v>
      </c>
      <c r="C25" s="26"/>
      <c r="D25" s="53" t="s">
        <v>40</v>
      </c>
      <c r="E25" s="28"/>
      <c r="F25" s="54">
        <f>IF(OR(ISNUMBER(SEARCH("RESIDENTIAL", E3))=TRUE, ISNUMBER(SEARCH("GENERAL SERVICE LESS THAN 50", E3))=TRUE), SME, 0)</f>
        <v>0.56999999999999995</v>
      </c>
      <c r="G25" s="30">
        <v>1</v>
      </c>
      <c r="H25" s="31">
        <f>G25*F25</f>
        <v>0.56999999999999995</v>
      </c>
      <c r="I25" s="55">
        <f>IF(OR(ISNUMBER(SEARCH("RESIDENTIAL", E3))=TRUE, ISNUMBER(SEARCH("GENERAL SERVICE LESS THAN 50", E3))=TRUE), SME, 0)</f>
        <v>0.56999999999999995</v>
      </c>
      <c r="J25" s="30">
        <v>1</v>
      </c>
      <c r="K25" s="31">
        <f>J25*I25</f>
        <v>0.56999999999999995</v>
      </c>
      <c r="L25" s="34">
        <f t="shared" si="0"/>
        <v>0</v>
      </c>
      <c r="M25" s="35">
        <f>IF(ISERROR(L25/H25), "", L25/H25)</f>
        <v>0</v>
      </c>
    </row>
    <row r="26" spans="1:13" x14ac:dyDescent="0.2">
      <c r="A26" s="8" t="s">
        <v>1</v>
      </c>
      <c r="C26" s="26"/>
      <c r="D26" s="52" t="s">
        <v>41</v>
      </c>
      <c r="E26" s="28"/>
      <c r="F26" s="29">
        <v>0</v>
      </c>
      <c r="G26" s="30">
        <v>1</v>
      </c>
      <c r="H26" s="31">
        <f t="shared" si="1"/>
        <v>0</v>
      </c>
      <c r="I26" s="32">
        <v>0</v>
      </c>
      <c r="J26" s="30">
        <v>1</v>
      </c>
      <c r="K26" s="31">
        <f>J26*I26</f>
        <v>0</v>
      </c>
      <c r="L26" s="34">
        <f>K26-H26</f>
        <v>0</v>
      </c>
      <c r="M26" s="35" t="str">
        <f>IF(ISERROR(L26/H26), "", L26/H26)</f>
        <v/>
      </c>
    </row>
    <row r="27" spans="1:13" x14ac:dyDescent="0.2">
      <c r="A27" s="8" t="s">
        <v>1</v>
      </c>
      <c r="C27" s="26"/>
      <c r="D27" s="52" t="s">
        <v>42</v>
      </c>
      <c r="E27" s="28"/>
      <c r="F27" s="36"/>
      <c r="G27" s="51">
        <f>IF($E6&gt;0, $E6, $E5)</f>
        <v>750</v>
      </c>
      <c r="H27" s="31">
        <f>G27*F27</f>
        <v>0</v>
      </c>
      <c r="I27" s="37">
        <v>0</v>
      </c>
      <c r="J27" s="51">
        <f>IF($E6&gt;0, $E6, $E5)</f>
        <v>750</v>
      </c>
      <c r="K27" s="31">
        <f>J27*I27</f>
        <v>0</v>
      </c>
      <c r="L27" s="34">
        <f t="shared" si="0"/>
        <v>0</v>
      </c>
      <c r="M27" s="35" t="str">
        <f>IF(ISERROR(L27/H27), "", L27/H27)</f>
        <v/>
      </c>
    </row>
    <row r="28" spans="1:13" ht="25.5" x14ac:dyDescent="0.2">
      <c r="A28" s="8" t="s">
        <v>1</v>
      </c>
      <c r="B28" s="14" t="s">
        <v>43</v>
      </c>
      <c r="C28" s="26">
        <v>1</v>
      </c>
      <c r="D28" s="56" t="s">
        <v>44</v>
      </c>
      <c r="E28" s="57"/>
      <c r="F28" s="58"/>
      <c r="G28" s="59"/>
      <c r="H28" s="60">
        <f>SUM(H19:H27)</f>
        <v>26.336894250000007</v>
      </c>
      <c r="I28" s="61"/>
      <c r="J28" s="62"/>
      <c r="K28" s="60">
        <f>SUM(K19:K27)</f>
        <v>25.671894250000008</v>
      </c>
      <c r="L28" s="47">
        <f t="shared" si="0"/>
        <v>-0.66499999999999915</v>
      </c>
      <c r="M28" s="48">
        <f>IF((H28)=0,"",(L28/H28))</f>
        <v>-2.5249750167486016E-2</v>
      </c>
    </row>
    <row r="29" spans="1:13" x14ac:dyDescent="0.2">
      <c r="A29" s="8" t="s">
        <v>1</v>
      </c>
      <c r="C29" s="26"/>
      <c r="D29" s="63" t="s">
        <v>45</v>
      </c>
      <c r="E29" s="28"/>
      <c r="F29" s="36">
        <v>7.4000000000000003E-3</v>
      </c>
      <c r="G29" s="50">
        <f>IF($E6&gt;0, $E6, $E5*$E7)</f>
        <v>775.57500000000005</v>
      </c>
      <c r="H29" s="31">
        <f>G29*F29</f>
        <v>5.7392550000000009</v>
      </c>
      <c r="I29" s="37">
        <v>7.1999999999999998E-3</v>
      </c>
      <c r="J29" s="50">
        <f>IF($E6&gt;0, $E6, $E5*$E8)</f>
        <v>775.57500000000005</v>
      </c>
      <c r="K29" s="31">
        <f>J29*I29</f>
        <v>5.5841400000000005</v>
      </c>
      <c r="L29" s="34">
        <f t="shared" si="0"/>
        <v>-0.15511500000000034</v>
      </c>
      <c r="M29" s="35">
        <f>IF(ISERROR(L29/H29), "", L29/H29)</f>
        <v>-2.7027027027027081E-2</v>
      </c>
    </row>
    <row r="30" spans="1:13" ht="25.5" x14ac:dyDescent="0.2">
      <c r="A30" s="8" t="s">
        <v>1</v>
      </c>
      <c r="C30" s="26"/>
      <c r="D30" s="64" t="s">
        <v>46</v>
      </c>
      <c r="E30" s="28"/>
      <c r="F30" s="36">
        <v>6.4999999999999997E-3</v>
      </c>
      <c r="G30" s="50">
        <f>IF($E6&gt;0, $E6, $E5*$E7)</f>
        <v>775.57500000000005</v>
      </c>
      <c r="H30" s="31">
        <f>G30*F30</f>
        <v>5.0412375000000003</v>
      </c>
      <c r="I30" s="37">
        <v>6.3E-3</v>
      </c>
      <c r="J30" s="50">
        <f>IF($E6&gt;0, $E6, $E5*$E8)</f>
        <v>775.57500000000005</v>
      </c>
      <c r="K30" s="31">
        <f>J30*I30</f>
        <v>4.8861224999999999</v>
      </c>
      <c r="L30" s="34">
        <f t="shared" si="0"/>
        <v>-0.15511500000000034</v>
      </c>
      <c r="M30" s="35">
        <f>IF(ISERROR(L30/H30), "", L30/H30)</f>
        <v>-3.0769230769230833E-2</v>
      </c>
    </row>
    <row r="31" spans="1:13" ht="25.5" x14ac:dyDescent="0.2">
      <c r="A31" s="8" t="s">
        <v>1</v>
      </c>
      <c r="B31" s="14" t="s">
        <v>47</v>
      </c>
      <c r="C31" s="26">
        <v>1</v>
      </c>
      <c r="D31" s="56" t="s">
        <v>48</v>
      </c>
      <c r="E31" s="41"/>
      <c r="F31" s="58"/>
      <c r="G31" s="59"/>
      <c r="H31" s="60">
        <f>SUM(H28:H30)</f>
        <v>37.117386750000009</v>
      </c>
      <c r="I31" s="61"/>
      <c r="J31" s="46"/>
      <c r="K31" s="60">
        <f>SUM(K28:K30)</f>
        <v>36.142156750000012</v>
      </c>
      <c r="L31" s="47">
        <f t="shared" si="0"/>
        <v>-0.97522999999999627</v>
      </c>
      <c r="M31" s="48">
        <f>IF((H31)=0,"",(L31/H31))</f>
        <v>-2.627420961956585E-2</v>
      </c>
    </row>
    <row r="32" spans="1:13" ht="25.5" x14ac:dyDescent="0.2">
      <c r="A32" s="8" t="s">
        <v>1</v>
      </c>
      <c r="C32" s="26"/>
      <c r="D32" s="65" t="s">
        <v>49</v>
      </c>
      <c r="E32" s="28"/>
      <c r="F32" s="36">
        <v>3.3999999999999998E-3</v>
      </c>
      <c r="G32" s="50">
        <f>E5*E7</f>
        <v>775.57500000000005</v>
      </c>
      <c r="H32" s="66">
        <f t="shared" ref="H32:H38" si="4">G32*F32</f>
        <v>2.6369549999999999</v>
      </c>
      <c r="I32" s="37">
        <v>3.4000000000000002E-3</v>
      </c>
      <c r="J32" s="50">
        <f>E5*E8</f>
        <v>775.57500000000005</v>
      </c>
      <c r="K32" s="66">
        <f t="shared" ref="K32:K38" si="5">J32*I32</f>
        <v>2.6369550000000004</v>
      </c>
      <c r="L32" s="34">
        <f t="shared" si="0"/>
        <v>0</v>
      </c>
      <c r="M32" s="35">
        <f t="shared" ref="M32:M40" si="6">IF(ISERROR(L32/H32), "", L32/H32)</f>
        <v>0</v>
      </c>
    </row>
    <row r="33" spans="1:13" ht="25.5" x14ac:dyDescent="0.2">
      <c r="A33" s="8" t="s">
        <v>1</v>
      </c>
      <c r="C33" s="26"/>
      <c r="D33" s="65" t="s">
        <v>50</v>
      </c>
      <c r="E33" s="28"/>
      <c r="F33" s="36">
        <f>'[7]17. Regulatory Charges'!$D$16</f>
        <v>5.0000000000000001E-4</v>
      </c>
      <c r="G33" s="50">
        <f>E5*E7</f>
        <v>775.57500000000005</v>
      </c>
      <c r="H33" s="66">
        <f t="shared" si="4"/>
        <v>0.38778750000000001</v>
      </c>
      <c r="I33" s="37">
        <v>5.0000000000000001E-4</v>
      </c>
      <c r="J33" s="50">
        <f>E5*E8</f>
        <v>775.57500000000005</v>
      </c>
      <c r="K33" s="66">
        <f t="shared" si="5"/>
        <v>0.38778750000000001</v>
      </c>
      <c r="L33" s="34">
        <f t="shared" si="0"/>
        <v>0</v>
      </c>
      <c r="M33" s="35">
        <f t="shared" si="6"/>
        <v>0</v>
      </c>
    </row>
    <row r="34" spans="1:13" x14ac:dyDescent="0.2">
      <c r="A34" s="8" t="s">
        <v>1</v>
      </c>
      <c r="C34" s="26"/>
      <c r="D34" s="67" t="s">
        <v>51</v>
      </c>
      <c r="E34" s="28"/>
      <c r="F34" s="54">
        <v>0.25</v>
      </c>
      <c r="G34" s="30">
        <v>1</v>
      </c>
      <c r="H34" s="66">
        <f t="shared" si="4"/>
        <v>0.25</v>
      </c>
      <c r="I34" s="55">
        <f>'[7]17. Regulatory Charges'!$D$17</f>
        <v>0.25</v>
      </c>
      <c r="J34" s="33">
        <v>1</v>
      </c>
      <c r="K34" s="66">
        <f t="shared" si="5"/>
        <v>0.25</v>
      </c>
      <c r="L34" s="34">
        <f t="shared" si="0"/>
        <v>0</v>
      </c>
      <c r="M34" s="35">
        <f t="shared" si="6"/>
        <v>0</v>
      </c>
    </row>
    <row r="35" spans="1:13" ht="25.5" hidden="1" x14ac:dyDescent="0.2">
      <c r="A35" s="8" t="s">
        <v>1</v>
      </c>
      <c r="C35" s="26"/>
      <c r="D35" s="65" t="s">
        <v>52</v>
      </c>
      <c r="E35" s="28"/>
      <c r="F35" s="36"/>
      <c r="G35" s="50"/>
      <c r="H35" s="66"/>
      <c r="I35" s="37"/>
      <c r="J35" s="50"/>
      <c r="K35" s="66"/>
      <c r="L35" s="34"/>
      <c r="M35" s="35"/>
    </row>
    <row r="36" spans="1:13" x14ac:dyDescent="0.2">
      <c r="A36" s="8" t="s">
        <v>1</v>
      </c>
      <c r="B36" s="14" t="s">
        <v>3</v>
      </c>
      <c r="C36" s="26"/>
      <c r="D36" s="68" t="s">
        <v>53</v>
      </c>
      <c r="E36" s="28"/>
      <c r="F36" s="69">
        <f>OffPeak</f>
        <v>6.5000000000000002E-2</v>
      </c>
      <c r="G36" s="70">
        <f>IF(AND(E5*12&gt;=150000),0.65*E5*E7,0.65*E5)</f>
        <v>487.5</v>
      </c>
      <c r="H36" s="66">
        <f t="shared" si="4"/>
        <v>31.6875</v>
      </c>
      <c r="I36" s="71">
        <f>OffPeak</f>
        <v>6.5000000000000002E-2</v>
      </c>
      <c r="J36" s="70">
        <f>IF(AND(E5*12&gt;=150000),0.65*E5*E8,0.65*E5)</f>
        <v>487.5</v>
      </c>
      <c r="K36" s="66">
        <f t="shared" si="5"/>
        <v>31.6875</v>
      </c>
      <c r="L36" s="34">
        <f>K36-H36</f>
        <v>0</v>
      </c>
      <c r="M36" s="35">
        <f t="shared" si="6"/>
        <v>0</v>
      </c>
    </row>
    <row r="37" spans="1:13" x14ac:dyDescent="0.2">
      <c r="A37" s="8" t="s">
        <v>1</v>
      </c>
      <c r="B37" s="14" t="s">
        <v>3</v>
      </c>
      <c r="C37" s="26"/>
      <c r="D37" s="68" t="s">
        <v>54</v>
      </c>
      <c r="E37" s="28"/>
      <c r="F37" s="69">
        <f>MidPeak</f>
        <v>9.4E-2</v>
      </c>
      <c r="G37" s="70">
        <f>IF(AND(E5*12&gt;=150000),0.17*E5*E7,0.17*E5)</f>
        <v>127.50000000000001</v>
      </c>
      <c r="H37" s="66">
        <f t="shared" si="4"/>
        <v>11.985000000000001</v>
      </c>
      <c r="I37" s="71">
        <f>MidPeak</f>
        <v>9.4E-2</v>
      </c>
      <c r="J37" s="70">
        <f>IF(AND(E5*12&gt;=150000),0.17*E5*E8,0.17*E5)</f>
        <v>127.50000000000001</v>
      </c>
      <c r="K37" s="66">
        <f t="shared" si="5"/>
        <v>11.985000000000001</v>
      </c>
      <c r="L37" s="34">
        <f>K37-H37</f>
        <v>0</v>
      </c>
      <c r="M37" s="35">
        <f t="shared" si="6"/>
        <v>0</v>
      </c>
    </row>
    <row r="38" spans="1:13" ht="13.5" thickBot="1" x14ac:dyDescent="0.25">
      <c r="A38" s="8" t="s">
        <v>1</v>
      </c>
      <c r="B38" s="14" t="s">
        <v>3</v>
      </c>
      <c r="C38" s="26"/>
      <c r="D38" s="14" t="s">
        <v>55</v>
      </c>
      <c r="E38" s="28"/>
      <c r="F38" s="69">
        <f>OnPeak</f>
        <v>0.13200000000000001</v>
      </c>
      <c r="G38" s="70">
        <f>IF(AND(E5*12&gt;=150000),0.18*E5*E7,0.18*E5)</f>
        <v>135</v>
      </c>
      <c r="H38" s="66">
        <f t="shared" si="4"/>
        <v>17.82</v>
      </c>
      <c r="I38" s="71">
        <f>OnPeak</f>
        <v>0.13200000000000001</v>
      </c>
      <c r="J38" s="70">
        <f>IF(AND(E5*12&gt;=150000),0.18*E5*E8,0.18*E5)</f>
        <v>135</v>
      </c>
      <c r="K38" s="66">
        <f t="shared" si="5"/>
        <v>17.82</v>
      </c>
      <c r="L38" s="34">
        <f>K38-H38</f>
        <v>0</v>
      </c>
      <c r="M38" s="35">
        <f t="shared" si="6"/>
        <v>0</v>
      </c>
    </row>
    <row r="39" spans="1:13" ht="13.5" hidden="1" thickBot="1" x14ac:dyDescent="0.25">
      <c r="A39" s="8" t="s">
        <v>1</v>
      </c>
      <c r="B39" s="8" t="s">
        <v>56</v>
      </c>
      <c r="C39" s="26"/>
      <c r="D39" s="68" t="s">
        <v>57</v>
      </c>
      <c r="E39" s="28"/>
      <c r="F39" s="72">
        <v>0.1101</v>
      </c>
      <c r="G39" s="70">
        <f>IF(AND(E5*12&gt;=150000),E5*E7,E5)</f>
        <v>750</v>
      </c>
      <c r="H39" s="66">
        <f>G39*F39</f>
        <v>82.575000000000003</v>
      </c>
      <c r="I39" s="73">
        <f>F39</f>
        <v>0.1101</v>
      </c>
      <c r="J39" s="70">
        <f>IF(AND(E5*12&gt;=150000),E5*E8,E5)</f>
        <v>750</v>
      </c>
      <c r="K39" s="66">
        <f>J39*I39</f>
        <v>82.575000000000003</v>
      </c>
      <c r="L39" s="34">
        <f>K39-H39</f>
        <v>0</v>
      </c>
      <c r="M39" s="35">
        <f t="shared" si="6"/>
        <v>0</v>
      </c>
    </row>
    <row r="40" spans="1:13" ht="13.5" hidden="1" thickBot="1" x14ac:dyDescent="0.25">
      <c r="A40" s="8" t="s">
        <v>1</v>
      </c>
      <c r="B40" s="8" t="s">
        <v>6</v>
      </c>
      <c r="C40" s="26"/>
      <c r="D40" s="68" t="s">
        <v>58</v>
      </c>
      <c r="E40" s="28"/>
      <c r="F40" s="72">
        <v>0.1101</v>
      </c>
      <c r="G40" s="70">
        <f>IF(AND(E5*12&gt;=150000),E5*E7,E5)</f>
        <v>750</v>
      </c>
      <c r="H40" s="66">
        <f>G40*F40</f>
        <v>82.575000000000003</v>
      </c>
      <c r="I40" s="73">
        <f>F40</f>
        <v>0.1101</v>
      </c>
      <c r="J40" s="70">
        <f>IF(AND(E5*12&gt;=150000),E5*E8,E5)</f>
        <v>750</v>
      </c>
      <c r="K40" s="66">
        <f>J40*I40</f>
        <v>82.575000000000003</v>
      </c>
      <c r="L40" s="34">
        <f>K40-H40</f>
        <v>0</v>
      </c>
      <c r="M40" s="35">
        <f t="shared" si="6"/>
        <v>0</v>
      </c>
    </row>
    <row r="41" spans="1:13" ht="13.5" thickBot="1" x14ac:dyDescent="0.25">
      <c r="A41" s="8" t="s">
        <v>1</v>
      </c>
      <c r="B41" s="14"/>
      <c r="C41" s="26"/>
      <c r="D41" s="74"/>
      <c r="E41" s="75"/>
      <c r="F41" s="76"/>
      <c r="G41" s="77"/>
      <c r="H41" s="78"/>
      <c r="I41" s="76"/>
      <c r="J41" s="79"/>
      <c r="K41" s="78"/>
      <c r="L41" s="80"/>
      <c r="M41" s="81"/>
    </row>
    <row r="42" spans="1:13" x14ac:dyDescent="0.2">
      <c r="A42" s="8" t="s">
        <v>1</v>
      </c>
      <c r="B42" s="14" t="s">
        <v>3</v>
      </c>
      <c r="C42" s="26"/>
      <c r="D42" s="82" t="s">
        <v>59</v>
      </c>
      <c r="E42" s="67"/>
      <c r="F42" s="83"/>
      <c r="G42" s="84"/>
      <c r="H42" s="85">
        <f>SUM(H32:H38,H31)</f>
        <v>101.88462925000002</v>
      </c>
      <c r="I42" s="86"/>
      <c r="J42" s="86"/>
      <c r="K42" s="85">
        <f>SUM(K32:K38,K31)</f>
        <v>100.90939925000002</v>
      </c>
      <c r="L42" s="87">
        <f>K42-H42</f>
        <v>-0.97522999999999627</v>
      </c>
      <c r="M42" s="88">
        <f>IF((H42)=0,"",(L42/H42))</f>
        <v>-9.5719050771340582E-3</v>
      </c>
    </row>
    <row r="43" spans="1:13" x14ac:dyDescent="0.2">
      <c r="A43" s="8" t="s">
        <v>1</v>
      </c>
      <c r="B43" s="14" t="s">
        <v>3</v>
      </c>
      <c r="C43" s="26"/>
      <c r="D43" s="89" t="s">
        <v>60</v>
      </c>
      <c r="E43" s="67"/>
      <c r="F43" s="83">
        <v>0.13</v>
      </c>
      <c r="G43" s="90"/>
      <c r="H43" s="91">
        <f>H42*F43</f>
        <v>13.245001802500003</v>
      </c>
      <c r="I43" s="92">
        <v>0.13</v>
      </c>
      <c r="J43" s="30"/>
      <c r="K43" s="91">
        <f>K42*I43</f>
        <v>13.118221902500004</v>
      </c>
      <c r="L43" s="93">
        <f>K43-H43</f>
        <v>-0.12677989999999895</v>
      </c>
      <c r="M43" s="94">
        <f>IF((H43)=0,"",(L43/H43))</f>
        <v>-9.5719050771340148E-3</v>
      </c>
    </row>
    <row r="44" spans="1:13" x14ac:dyDescent="0.2">
      <c r="A44" s="8" t="s">
        <v>1</v>
      </c>
      <c r="B44" s="14" t="s">
        <v>3</v>
      </c>
      <c r="C44" s="26"/>
      <c r="D44" s="89" t="s">
        <v>61</v>
      </c>
      <c r="E44" s="67"/>
      <c r="F44" s="83">
        <v>0.08</v>
      </c>
      <c r="G44" s="90"/>
      <c r="H44" s="91">
        <f>H42*-F44</f>
        <v>-8.1507703400000011</v>
      </c>
      <c r="I44" s="83">
        <v>0.08</v>
      </c>
      <c r="J44" s="30"/>
      <c r="K44" s="91">
        <f>K42*-I44</f>
        <v>-8.0727519400000016</v>
      </c>
      <c r="L44" s="93">
        <f>K44-H44</f>
        <v>7.8018399999999488E-2</v>
      </c>
      <c r="M44" s="94"/>
    </row>
    <row r="45" spans="1:13" ht="13.5" thickBot="1" x14ac:dyDescent="0.25">
      <c r="A45" s="8" t="s">
        <v>1</v>
      </c>
      <c r="B45" s="14" t="s">
        <v>62</v>
      </c>
      <c r="C45" s="26">
        <v>1</v>
      </c>
      <c r="D45" s="123" t="s">
        <v>63</v>
      </c>
      <c r="E45" s="123"/>
      <c r="F45" s="95"/>
      <c r="G45" s="96"/>
      <c r="H45" s="97">
        <f>H42+H43+H44</f>
        <v>106.97886071250002</v>
      </c>
      <c r="I45" s="98"/>
      <c r="J45" s="98"/>
      <c r="K45" s="99">
        <f>K42+K43+K44</f>
        <v>105.95486921250001</v>
      </c>
      <c r="L45" s="100">
        <f>K45-H45</f>
        <v>-1.0239915000000082</v>
      </c>
      <c r="M45" s="101">
        <f>IF((H45)=0,"",(L45/H45))</f>
        <v>-9.5719050771341692E-3</v>
      </c>
    </row>
    <row r="46" spans="1:13" ht="13.5" thickBot="1" x14ac:dyDescent="0.25">
      <c r="A46" s="8" t="s">
        <v>1</v>
      </c>
      <c r="B46" s="8" t="s">
        <v>3</v>
      </c>
      <c r="C46" s="26"/>
      <c r="D46" s="74"/>
      <c r="E46" s="75"/>
      <c r="F46" s="76"/>
      <c r="G46" s="77"/>
      <c r="H46" s="78"/>
      <c r="I46" s="76"/>
      <c r="J46" s="79"/>
      <c r="K46" s="78"/>
      <c r="L46" s="80"/>
      <c r="M46" s="81"/>
    </row>
    <row r="47" spans="1:13" hidden="1" x14ac:dyDescent="0.2">
      <c r="A47" s="8" t="s">
        <v>1</v>
      </c>
      <c r="B47" s="8" t="s">
        <v>56</v>
      </c>
      <c r="C47" s="26"/>
      <c r="D47" s="82" t="s">
        <v>64</v>
      </c>
      <c r="E47" s="67"/>
      <c r="F47" s="83"/>
      <c r="G47" s="84"/>
      <c r="H47" s="85">
        <v>123.12224425000001</v>
      </c>
      <c r="I47" s="86"/>
      <c r="J47" s="86"/>
      <c r="K47" s="85">
        <v>121.99189925000002</v>
      </c>
      <c r="L47" s="87">
        <v>-1.1303449999999913</v>
      </c>
      <c r="M47" s="88">
        <v>-9.1806724843710857E-3</v>
      </c>
    </row>
    <row r="48" spans="1:13" hidden="1" x14ac:dyDescent="0.2">
      <c r="A48" s="8" t="s">
        <v>1</v>
      </c>
      <c r="B48" s="8" t="s">
        <v>56</v>
      </c>
      <c r="C48" s="26"/>
      <c r="D48" s="89" t="s">
        <v>60</v>
      </c>
      <c r="E48" s="67"/>
      <c r="F48" s="83">
        <v>0.13</v>
      </c>
      <c r="G48" s="84"/>
      <c r="H48" s="91">
        <v>16.005891752500002</v>
      </c>
      <c r="I48" s="83">
        <v>0.13</v>
      </c>
      <c r="J48" s="92"/>
      <c r="K48" s="91">
        <v>15.858946902500003</v>
      </c>
      <c r="L48" s="93">
        <v>-0.14694484999999879</v>
      </c>
      <c r="M48" s="94">
        <v>-9.1806724843710805E-3</v>
      </c>
    </row>
    <row r="49" spans="1:20" hidden="1" x14ac:dyDescent="0.2">
      <c r="A49" s="8" t="s">
        <v>1</v>
      </c>
      <c r="B49" s="8" t="s">
        <v>56</v>
      </c>
      <c r="C49" s="26"/>
      <c r="D49" s="89" t="s">
        <v>61</v>
      </c>
      <c r="E49" s="67"/>
      <c r="F49" s="83">
        <v>0.08</v>
      </c>
      <c r="G49" s="84"/>
      <c r="H49" s="91"/>
      <c r="I49" s="83">
        <v>0.08</v>
      </c>
      <c r="J49" s="92"/>
      <c r="K49" s="91"/>
      <c r="L49" s="93"/>
      <c r="M49" s="94"/>
    </row>
    <row r="50" spans="1:20" hidden="1" x14ac:dyDescent="0.2">
      <c r="A50" s="8" t="s">
        <v>1</v>
      </c>
      <c r="B50" s="8" t="s">
        <v>65</v>
      </c>
      <c r="C50" s="26"/>
      <c r="D50" s="123" t="s">
        <v>64</v>
      </c>
      <c r="E50" s="123"/>
      <c r="F50" s="102"/>
      <c r="G50" s="103"/>
      <c r="H50" s="97">
        <v>139.12813600250001</v>
      </c>
      <c r="I50" s="104"/>
      <c r="J50" s="104"/>
      <c r="K50" s="97">
        <v>137.85084615250003</v>
      </c>
      <c r="L50" s="105">
        <v>-1.2772898499999883</v>
      </c>
      <c r="M50" s="106">
        <v>-9.1806724843710736E-3</v>
      </c>
    </row>
    <row r="51" spans="1:20" ht="13.5" hidden="1" thickBot="1" x14ac:dyDescent="0.25">
      <c r="A51" s="8" t="s">
        <v>1</v>
      </c>
      <c r="B51" s="8" t="s">
        <v>56</v>
      </c>
      <c r="C51" s="26"/>
      <c r="D51" s="74"/>
      <c r="E51" s="75"/>
      <c r="F51" s="107"/>
      <c r="G51" s="108"/>
      <c r="H51" s="109"/>
      <c r="I51" s="107"/>
      <c r="J51" s="77"/>
      <c r="K51" s="109"/>
      <c r="L51" s="110"/>
      <c r="M51" s="81"/>
    </row>
    <row r="52" spans="1:20" hidden="1" x14ac:dyDescent="0.2">
      <c r="A52" s="8" t="s">
        <v>1</v>
      </c>
      <c r="B52" s="8" t="s">
        <v>6</v>
      </c>
      <c r="C52" s="26"/>
      <c r="D52" s="82" t="s">
        <v>66</v>
      </c>
      <c r="E52" s="67"/>
      <c r="F52" s="83"/>
      <c r="G52" s="84"/>
      <c r="H52" s="85">
        <v>123.12224425000001</v>
      </c>
      <c r="I52" s="86"/>
      <c r="J52" s="86"/>
      <c r="K52" s="85">
        <v>121.99189925000002</v>
      </c>
      <c r="L52" s="87">
        <v>-1.1303449999999913</v>
      </c>
      <c r="M52" s="88">
        <v>-9.1806724843710857E-3</v>
      </c>
    </row>
    <row r="53" spans="1:20" hidden="1" x14ac:dyDescent="0.2">
      <c r="A53" s="8" t="s">
        <v>1</v>
      </c>
      <c r="B53" s="8" t="s">
        <v>6</v>
      </c>
      <c r="C53" s="26"/>
      <c r="D53" s="89" t="s">
        <v>60</v>
      </c>
      <c r="E53" s="67"/>
      <c r="F53" s="83">
        <v>0.13</v>
      </c>
      <c r="G53" s="84"/>
      <c r="H53" s="91">
        <v>16.005891752500002</v>
      </c>
      <c r="I53" s="83">
        <v>0.13</v>
      </c>
      <c r="J53" s="92"/>
      <c r="K53" s="91">
        <v>15.858946902500003</v>
      </c>
      <c r="L53" s="93">
        <v>-0.14694484999999879</v>
      </c>
      <c r="M53" s="94">
        <v>-9.1806724843710805E-3</v>
      </c>
    </row>
    <row r="54" spans="1:20" hidden="1" x14ac:dyDescent="0.2">
      <c r="A54" s="8" t="s">
        <v>1</v>
      </c>
      <c r="B54" s="8" t="s">
        <v>6</v>
      </c>
      <c r="C54" s="26"/>
      <c r="D54" s="89" t="s">
        <v>61</v>
      </c>
      <c r="E54" s="67"/>
      <c r="F54" s="83">
        <v>0.08</v>
      </c>
      <c r="G54" s="84"/>
      <c r="H54" s="91"/>
      <c r="I54" s="83">
        <v>0.08</v>
      </c>
      <c r="J54" s="92"/>
      <c r="K54" s="91"/>
      <c r="L54" s="93"/>
      <c r="M54" s="94"/>
    </row>
    <row r="55" spans="1:20" hidden="1" x14ac:dyDescent="0.2">
      <c r="A55" s="8" t="s">
        <v>1</v>
      </c>
      <c r="B55" s="8" t="s">
        <v>67</v>
      </c>
      <c r="C55" s="26"/>
      <c r="D55" s="123" t="s">
        <v>66</v>
      </c>
      <c r="E55" s="123"/>
      <c r="F55" s="102"/>
      <c r="G55" s="103"/>
      <c r="H55" s="97">
        <v>139.12813600250001</v>
      </c>
      <c r="I55" s="104"/>
      <c r="J55" s="104"/>
      <c r="K55" s="97">
        <v>137.85084615250003</v>
      </c>
      <c r="L55" s="105">
        <v>-1.2772898499999883</v>
      </c>
      <c r="M55" s="106">
        <v>-9.1806724843710736E-3</v>
      </c>
    </row>
    <row r="56" spans="1:20" ht="13.5" hidden="1" thickBot="1" x14ac:dyDescent="0.25">
      <c r="A56" s="8" t="s">
        <v>1</v>
      </c>
      <c r="B56" s="8" t="s">
        <v>6</v>
      </c>
      <c r="C56" s="26"/>
      <c r="D56" s="74"/>
      <c r="E56" s="75"/>
      <c r="F56" s="111"/>
      <c r="G56" s="112"/>
      <c r="H56" s="113"/>
      <c r="I56" s="111"/>
      <c r="J56" s="114"/>
      <c r="K56" s="113"/>
      <c r="L56" s="115"/>
      <c r="M56" s="116"/>
    </row>
    <row r="59" spans="1:20" x14ac:dyDescent="0.2">
      <c r="C59" s="8"/>
      <c r="D59" s="10" t="s">
        <v>12</v>
      </c>
      <c r="E59" s="124" t="s">
        <v>4</v>
      </c>
      <c r="F59" s="124"/>
      <c r="G59" s="124"/>
      <c r="H59" s="124"/>
      <c r="I59" s="124"/>
      <c r="J59" s="124"/>
      <c r="K59" s="8" t="s">
        <v>8</v>
      </c>
      <c r="T59" s="8" t="s">
        <v>11</v>
      </c>
    </row>
    <row r="60" spans="1:20" x14ac:dyDescent="0.2">
      <c r="C60" s="8"/>
      <c r="D60" s="10" t="s">
        <v>13</v>
      </c>
      <c r="E60" s="125" t="s">
        <v>3</v>
      </c>
      <c r="F60" s="125"/>
      <c r="G60" s="125"/>
      <c r="H60" s="11"/>
      <c r="I60" s="11"/>
    </row>
    <row r="61" spans="1:20" ht="15.75" x14ac:dyDescent="0.2">
      <c r="C61" s="8"/>
      <c r="D61" s="10" t="s">
        <v>14</v>
      </c>
      <c r="E61" s="12">
        <v>2000</v>
      </c>
      <c r="F61" s="13" t="s">
        <v>2</v>
      </c>
      <c r="G61" s="14"/>
      <c r="J61" s="15"/>
      <c r="K61" s="15"/>
      <c r="L61" s="15"/>
      <c r="M61" s="15"/>
    </row>
    <row r="62" spans="1:20" ht="15.75" x14ac:dyDescent="0.25">
      <c r="C62" s="8"/>
      <c r="D62" s="10" t="s">
        <v>15</v>
      </c>
      <c r="E62" s="12">
        <v>0</v>
      </c>
      <c r="F62" s="16" t="s">
        <v>5</v>
      </c>
      <c r="G62" s="17"/>
      <c r="H62" s="18"/>
      <c r="I62" s="18"/>
      <c r="J62" s="18"/>
    </row>
    <row r="63" spans="1:20" x14ac:dyDescent="0.2">
      <c r="C63" s="8"/>
      <c r="D63" s="10" t="s">
        <v>16</v>
      </c>
      <c r="E63" s="19">
        <v>1.0341</v>
      </c>
    </row>
    <row r="64" spans="1:20" x14ac:dyDescent="0.2">
      <c r="C64" s="8"/>
      <c r="D64" s="10" t="s">
        <v>17</v>
      </c>
      <c r="E64" s="19">
        <v>1.0341</v>
      </c>
    </row>
    <row r="65" spans="1:13" x14ac:dyDescent="0.2">
      <c r="C65" s="8"/>
      <c r="D65" s="14"/>
    </row>
    <row r="66" spans="1:13" x14ac:dyDescent="0.2">
      <c r="C66" s="8"/>
      <c r="D66" s="14"/>
      <c r="E66" s="20"/>
      <c r="F66" s="126" t="s">
        <v>18</v>
      </c>
      <c r="G66" s="127"/>
      <c r="H66" s="128"/>
      <c r="I66" s="126" t="s">
        <v>19</v>
      </c>
      <c r="J66" s="127"/>
      <c r="K66" s="128"/>
      <c r="L66" s="126" t="s">
        <v>20</v>
      </c>
      <c r="M66" s="128"/>
    </row>
    <row r="67" spans="1:13" x14ac:dyDescent="0.2">
      <c r="C67" s="8"/>
      <c r="D67" s="14"/>
      <c r="E67" s="117"/>
      <c r="F67" s="21" t="s">
        <v>21</v>
      </c>
      <c r="G67" s="21" t="s">
        <v>22</v>
      </c>
      <c r="H67" s="22" t="s">
        <v>23</v>
      </c>
      <c r="I67" s="21" t="s">
        <v>21</v>
      </c>
      <c r="J67" s="23" t="s">
        <v>22</v>
      </c>
      <c r="K67" s="22" t="s">
        <v>23</v>
      </c>
      <c r="L67" s="119" t="s">
        <v>24</v>
      </c>
      <c r="M67" s="121" t="s">
        <v>25</v>
      </c>
    </row>
    <row r="68" spans="1:13" x14ac:dyDescent="0.2">
      <c r="C68" s="8"/>
      <c r="D68" s="14"/>
      <c r="E68" s="118"/>
      <c r="F68" s="24" t="s">
        <v>26</v>
      </c>
      <c r="G68" s="24"/>
      <c r="H68" s="25" t="s">
        <v>26</v>
      </c>
      <c r="I68" s="24" t="s">
        <v>26</v>
      </c>
      <c r="J68" s="25"/>
      <c r="K68" s="25" t="s">
        <v>26</v>
      </c>
      <c r="L68" s="120"/>
      <c r="M68" s="122"/>
    </row>
    <row r="69" spans="1:13" x14ac:dyDescent="0.2">
      <c r="A69" s="8" t="s">
        <v>4</v>
      </c>
      <c r="C69" s="26"/>
      <c r="D69" s="27" t="s">
        <v>27</v>
      </c>
      <c r="E69" s="28"/>
      <c r="F69" s="29">
        <v>25.35</v>
      </c>
      <c r="G69" s="30">
        <v>1</v>
      </c>
      <c r="H69" s="31">
        <f>G69*F69</f>
        <v>25.35</v>
      </c>
      <c r="I69" s="32">
        <v>25.65</v>
      </c>
      <c r="J69" s="33">
        <f>G69</f>
        <v>1</v>
      </c>
      <c r="K69" s="31">
        <f>J69*I69</f>
        <v>25.65</v>
      </c>
      <c r="L69" s="34">
        <f t="shared" ref="L69:L90" si="7">K69-H69</f>
        <v>0.29999999999999716</v>
      </c>
      <c r="M69" s="35">
        <f>IF(ISERROR(L69/H69), "", L69/H69)</f>
        <v>1.1834319526627106E-2</v>
      </c>
    </row>
    <row r="70" spans="1:13" x14ac:dyDescent="0.2">
      <c r="A70" s="8" t="s">
        <v>4</v>
      </c>
      <c r="C70" s="26"/>
      <c r="D70" s="27" t="s">
        <v>28</v>
      </c>
      <c r="E70" s="28"/>
      <c r="F70" s="36">
        <v>1.6899999999999998E-2</v>
      </c>
      <c r="G70" s="30">
        <f>IF($E62&gt;0, $E62, $E61)</f>
        <v>2000</v>
      </c>
      <c r="H70" s="31">
        <f t="shared" ref="H70:H82" si="8">G70*F70</f>
        <v>33.799999999999997</v>
      </c>
      <c r="I70" s="37">
        <v>1.7100000000000001E-2</v>
      </c>
      <c r="J70" s="33">
        <f>IF($E62&gt;0, $E62, $E61)</f>
        <v>2000</v>
      </c>
      <c r="K70" s="31">
        <f>J70*I70</f>
        <v>34.200000000000003</v>
      </c>
      <c r="L70" s="34">
        <f t="shared" si="7"/>
        <v>0.40000000000000568</v>
      </c>
      <c r="M70" s="35">
        <f t="shared" ref="M70:M80" si="9">IF(ISERROR(L70/H70), "", L70/H70)</f>
        <v>1.1834319526627389E-2</v>
      </c>
    </row>
    <row r="71" spans="1:13" hidden="1" x14ac:dyDescent="0.2">
      <c r="A71" s="8" t="s">
        <v>4</v>
      </c>
      <c r="C71" s="26"/>
      <c r="D71" s="27" t="s">
        <v>29</v>
      </c>
      <c r="E71" s="28"/>
      <c r="F71" s="36"/>
      <c r="G71" s="30">
        <f>IF($E62&gt;0, $E62, $E61)</f>
        <v>2000</v>
      </c>
      <c r="H71" s="31">
        <v>0</v>
      </c>
      <c r="I71" s="37"/>
      <c r="J71" s="33">
        <f>IF($E62&gt;0, $E62, $E61)</f>
        <v>2000</v>
      </c>
      <c r="K71" s="31">
        <v>0</v>
      </c>
      <c r="L71" s="34"/>
      <c r="M71" s="35"/>
    </row>
    <row r="72" spans="1:13" hidden="1" x14ac:dyDescent="0.2">
      <c r="A72" s="8" t="s">
        <v>4</v>
      </c>
      <c r="C72" s="26"/>
      <c r="D72" s="27" t="s">
        <v>30</v>
      </c>
      <c r="E72" s="28"/>
      <c r="F72" s="36"/>
      <c r="G72" s="30">
        <f>IF($E62&gt;0, $E62, $E61)</f>
        <v>2000</v>
      </c>
      <c r="H72" s="31">
        <v>0</v>
      </c>
      <c r="I72" s="37"/>
      <c r="J72" s="30">
        <f>IF($E62&gt;0, $E62, $E61)</f>
        <v>2000</v>
      </c>
      <c r="K72" s="31">
        <v>0</v>
      </c>
      <c r="L72" s="34">
        <f>K72-H72</f>
        <v>0</v>
      </c>
      <c r="M72" s="35" t="str">
        <f>IF(ISERROR(L72/H72), "", L72/H72)</f>
        <v/>
      </c>
    </row>
    <row r="73" spans="1:13" x14ac:dyDescent="0.2">
      <c r="A73" s="8" t="s">
        <v>4</v>
      </c>
      <c r="C73" s="26"/>
      <c r="D73" s="38" t="s">
        <v>31</v>
      </c>
      <c r="E73" s="28"/>
      <c r="F73" s="29">
        <v>0.64</v>
      </c>
      <c r="G73" s="30">
        <v>1</v>
      </c>
      <c r="H73" s="31">
        <f t="shared" si="8"/>
        <v>0.64</v>
      </c>
      <c r="I73" s="32">
        <v>0.32999999999999996</v>
      </c>
      <c r="J73" s="33">
        <f>G73</f>
        <v>1</v>
      </c>
      <c r="K73" s="31">
        <f t="shared" ref="K73:K80" si="10">J73*I73</f>
        <v>0.32999999999999996</v>
      </c>
      <c r="L73" s="34">
        <f t="shared" si="7"/>
        <v>-0.31000000000000005</v>
      </c>
      <c r="M73" s="35">
        <f t="shared" si="9"/>
        <v>-0.48437500000000006</v>
      </c>
    </row>
    <row r="74" spans="1:13" x14ac:dyDescent="0.2">
      <c r="A74" s="8" t="s">
        <v>4</v>
      </c>
      <c r="C74" s="26"/>
      <c r="D74" s="27" t="s">
        <v>32</v>
      </c>
      <c r="E74" s="28"/>
      <c r="F74" s="36">
        <v>2.0000000000000001E-4</v>
      </c>
      <c r="G74" s="30">
        <f>IF($E62&gt;0, $E62, $E61)</f>
        <v>2000</v>
      </c>
      <c r="H74" s="31">
        <f t="shared" si="8"/>
        <v>0.4</v>
      </c>
      <c r="I74" s="37">
        <v>1.1000000000000001E-3</v>
      </c>
      <c r="J74" s="33">
        <f>IF($E62&gt;0, $E62, $E61)</f>
        <v>2000</v>
      </c>
      <c r="K74" s="31">
        <f t="shared" si="10"/>
        <v>2.2000000000000002</v>
      </c>
      <c r="L74" s="34">
        <f t="shared" si="7"/>
        <v>1.8000000000000003</v>
      </c>
      <c r="M74" s="35">
        <f t="shared" si="9"/>
        <v>4.5</v>
      </c>
    </row>
    <row r="75" spans="1:13" x14ac:dyDescent="0.2">
      <c r="A75" s="8" t="s">
        <v>4</v>
      </c>
      <c r="B75" s="39" t="s">
        <v>33</v>
      </c>
      <c r="C75" s="26">
        <v>2</v>
      </c>
      <c r="D75" s="40" t="s">
        <v>34</v>
      </c>
      <c r="E75" s="41"/>
      <c r="F75" s="42"/>
      <c r="G75" s="43"/>
      <c r="H75" s="44">
        <f>SUM(H69:H74)</f>
        <v>60.19</v>
      </c>
      <c r="I75" s="45"/>
      <c r="J75" s="46"/>
      <c r="K75" s="44">
        <f>SUM(K69:K74)</f>
        <v>62.38</v>
      </c>
      <c r="L75" s="47">
        <f t="shared" si="7"/>
        <v>2.1900000000000048</v>
      </c>
      <c r="M75" s="48">
        <f>IF((H75)=0,"",(L75/H75))</f>
        <v>3.6384781525170377E-2</v>
      </c>
    </row>
    <row r="76" spans="1:13" x14ac:dyDescent="0.2">
      <c r="A76" s="8" t="s">
        <v>4</v>
      </c>
      <c r="C76" s="26"/>
      <c r="D76" s="49" t="s">
        <v>35</v>
      </c>
      <c r="E76" s="28"/>
      <c r="F76" s="36">
        <f>IF((E61*12&gt;=150000), 0, IF(E60="RPP",(F92*0.65+F93*0.17+F94*0.18),IF(E60="Non-RPP (Retailer)",F95,F96)))</f>
        <v>8.1990000000000007E-2</v>
      </c>
      <c r="G76" s="50">
        <f>IF(F76=0, 0, $E61*E63-E61)</f>
        <v>68.199999999999818</v>
      </c>
      <c r="H76" s="31">
        <f>G76*F76</f>
        <v>5.591717999999986</v>
      </c>
      <c r="I76" s="37">
        <f>IF((E61*12&gt;=150000), 0, IF(E60="RPP",(I92*0.65+I93*0.17+I94*0.18),IF(E60="Non-RPP (Retailer)",I95,I96)))</f>
        <v>8.1990000000000007E-2</v>
      </c>
      <c r="J76" s="50">
        <f>IF(I76=0, 0, E61*E64-E61)</f>
        <v>68.199999999999818</v>
      </c>
      <c r="K76" s="31">
        <f>J76*I76</f>
        <v>5.591717999999986</v>
      </c>
      <c r="L76" s="34">
        <f>K76-H76</f>
        <v>0</v>
      </c>
      <c r="M76" s="35">
        <f>IF(ISERROR(L76/H76), "", L76/H76)</f>
        <v>0</v>
      </c>
    </row>
    <row r="77" spans="1:13" ht="25.5" x14ac:dyDescent="0.2">
      <c r="A77" s="8" t="s">
        <v>4</v>
      </c>
      <c r="C77" s="26"/>
      <c r="D77" s="49" t="s">
        <v>36</v>
      </c>
      <c r="E77" s="28"/>
      <c r="F77" s="36">
        <v>-1E-3</v>
      </c>
      <c r="G77" s="51">
        <f>IF($E62&gt;0, $E62, $E61)</f>
        <v>2000</v>
      </c>
      <c r="H77" s="31">
        <f t="shared" si="8"/>
        <v>-2</v>
      </c>
      <c r="I77" s="37">
        <v>-2.3E-3</v>
      </c>
      <c r="J77" s="51">
        <f>IF($E62&gt;0, $E62, $E61)</f>
        <v>2000</v>
      </c>
      <c r="K77" s="31">
        <f t="shared" si="10"/>
        <v>-4.5999999999999996</v>
      </c>
      <c r="L77" s="34">
        <f t="shared" si="7"/>
        <v>-2.5999999999999996</v>
      </c>
      <c r="M77" s="35">
        <f t="shared" si="9"/>
        <v>1.2999999999999998</v>
      </c>
    </row>
    <row r="78" spans="1:13" x14ac:dyDescent="0.2">
      <c r="A78" s="8" t="s">
        <v>4</v>
      </c>
      <c r="C78" s="26"/>
      <c r="D78" s="49" t="s">
        <v>37</v>
      </c>
      <c r="E78" s="28"/>
      <c r="F78" s="36">
        <v>0</v>
      </c>
      <c r="G78" s="51">
        <f>IF($E62&gt;0, $E62, $E61)</f>
        <v>2000</v>
      </c>
      <c r="H78" s="31">
        <f>G78*F78</f>
        <v>0</v>
      </c>
      <c r="I78" s="37">
        <v>0</v>
      </c>
      <c r="J78" s="51">
        <f>IF($E62&gt;0, $E62, $E61)</f>
        <v>2000</v>
      </c>
      <c r="K78" s="31">
        <f>J78*I78</f>
        <v>0</v>
      </c>
      <c r="L78" s="34">
        <f t="shared" si="7"/>
        <v>0</v>
      </c>
      <c r="M78" s="35" t="str">
        <f t="shared" si="9"/>
        <v/>
      </c>
    </row>
    <row r="79" spans="1:13" x14ac:dyDescent="0.2">
      <c r="A79" s="8" t="s">
        <v>4</v>
      </c>
      <c r="C79" s="26"/>
      <c r="D79" s="49" t="s">
        <v>38</v>
      </c>
      <c r="E79" s="28"/>
      <c r="F79" s="36">
        <v>0</v>
      </c>
      <c r="G79" s="51">
        <f>E61</f>
        <v>2000</v>
      </c>
      <c r="H79" s="31">
        <f>G79*F79</f>
        <v>0</v>
      </c>
      <c r="I79" s="37">
        <v>0</v>
      </c>
      <c r="J79" s="51">
        <f>E61</f>
        <v>2000</v>
      </c>
      <c r="K79" s="31">
        <f t="shared" si="10"/>
        <v>0</v>
      </c>
      <c r="L79" s="34">
        <f t="shared" si="7"/>
        <v>0</v>
      </c>
      <c r="M79" s="35" t="str">
        <f t="shared" si="9"/>
        <v/>
      </c>
    </row>
    <row r="80" spans="1:13" x14ac:dyDescent="0.2">
      <c r="A80" s="8" t="s">
        <v>4</v>
      </c>
      <c r="C80" s="26"/>
      <c r="D80" s="52" t="s">
        <v>39</v>
      </c>
      <c r="E80" s="28"/>
      <c r="F80" s="36">
        <v>0</v>
      </c>
      <c r="G80" s="51">
        <f>IF($E62&gt;0, $E62, $E61)</f>
        <v>2000</v>
      </c>
      <c r="H80" s="31">
        <f t="shared" si="8"/>
        <v>0</v>
      </c>
      <c r="I80" s="37"/>
      <c r="J80" s="51">
        <f>IF($E62&gt;0, $E62, $E61)</f>
        <v>2000</v>
      </c>
      <c r="K80" s="31">
        <f t="shared" si="10"/>
        <v>0</v>
      </c>
      <c r="L80" s="34">
        <f t="shared" si="7"/>
        <v>0</v>
      </c>
      <c r="M80" s="35" t="str">
        <f t="shared" si="9"/>
        <v/>
      </c>
    </row>
    <row r="81" spans="1:13" ht="25.5" x14ac:dyDescent="0.2">
      <c r="A81" s="8" t="s">
        <v>4</v>
      </c>
      <c r="C81" s="26"/>
      <c r="D81" s="53" t="s">
        <v>40</v>
      </c>
      <c r="E81" s="28"/>
      <c r="F81" s="54">
        <f>IF(OR(ISNUMBER(SEARCH("RESIDENTIAL", E59))=TRUE, ISNUMBER(SEARCH("GENERAL SERVICE LESS THAN 50", E59))=TRUE), SME, 0)</f>
        <v>0.56999999999999995</v>
      </c>
      <c r="G81" s="30">
        <v>1</v>
      </c>
      <c r="H81" s="31">
        <f>G81*F81</f>
        <v>0.56999999999999995</v>
      </c>
      <c r="I81" s="55">
        <f>IF(OR(ISNUMBER(SEARCH("RESIDENTIAL", E59))=TRUE, ISNUMBER(SEARCH("GENERAL SERVICE LESS THAN 50", E59))=TRUE), SME, 0)</f>
        <v>0.56999999999999995</v>
      </c>
      <c r="J81" s="30">
        <v>1</v>
      </c>
      <c r="K81" s="31">
        <f>J81*I81</f>
        <v>0.56999999999999995</v>
      </c>
      <c r="L81" s="34">
        <f t="shared" si="7"/>
        <v>0</v>
      </c>
      <c r="M81" s="35">
        <f>IF(ISERROR(L81/H81), "", L81/H81)</f>
        <v>0</v>
      </c>
    </row>
    <row r="82" spans="1:13" x14ac:dyDescent="0.2">
      <c r="A82" s="8" t="s">
        <v>4</v>
      </c>
      <c r="C82" s="26"/>
      <c r="D82" s="52" t="s">
        <v>41</v>
      </c>
      <c r="E82" s="28"/>
      <c r="F82" s="29">
        <v>0</v>
      </c>
      <c r="G82" s="30">
        <v>1</v>
      </c>
      <c r="H82" s="31">
        <f t="shared" si="8"/>
        <v>0</v>
      </c>
      <c r="I82" s="32">
        <v>0</v>
      </c>
      <c r="J82" s="30">
        <v>1</v>
      </c>
      <c r="K82" s="31">
        <f>J82*I82</f>
        <v>0</v>
      </c>
      <c r="L82" s="34">
        <f>K82-H82</f>
        <v>0</v>
      </c>
      <c r="M82" s="35" t="str">
        <f>IF(ISERROR(L82/H82), "", L82/H82)</f>
        <v/>
      </c>
    </row>
    <row r="83" spans="1:13" x14ac:dyDescent="0.2">
      <c r="A83" s="8" t="s">
        <v>4</v>
      </c>
      <c r="C83" s="26"/>
      <c r="D83" s="52" t="s">
        <v>42</v>
      </c>
      <c r="E83" s="28"/>
      <c r="F83" s="36"/>
      <c r="G83" s="51">
        <f>IF($E62&gt;0, $E62, $E61)</f>
        <v>2000</v>
      </c>
      <c r="H83" s="31">
        <f>G83*F83</f>
        <v>0</v>
      </c>
      <c r="I83" s="37">
        <v>0</v>
      </c>
      <c r="J83" s="51">
        <f>IF($E62&gt;0, $E62, $E61)</f>
        <v>2000</v>
      </c>
      <c r="K83" s="31">
        <f>J83*I83</f>
        <v>0</v>
      </c>
      <c r="L83" s="34">
        <f t="shared" si="7"/>
        <v>0</v>
      </c>
      <c r="M83" s="35" t="str">
        <f>IF(ISERROR(L83/H83), "", L83/H83)</f>
        <v/>
      </c>
    </row>
    <row r="84" spans="1:13" ht="25.5" x14ac:dyDescent="0.2">
      <c r="A84" s="8" t="s">
        <v>4</v>
      </c>
      <c r="B84" s="14" t="s">
        <v>43</v>
      </c>
      <c r="C84" s="26">
        <v>2</v>
      </c>
      <c r="D84" s="56" t="s">
        <v>44</v>
      </c>
      <c r="E84" s="57"/>
      <c r="F84" s="58"/>
      <c r="G84" s="59"/>
      <c r="H84" s="60">
        <f>SUM(H75:H83)</f>
        <v>64.351717999999977</v>
      </c>
      <c r="I84" s="61"/>
      <c r="J84" s="62"/>
      <c r="K84" s="60">
        <f>SUM(K75:K83)</f>
        <v>63.94171799999998</v>
      </c>
      <c r="L84" s="47">
        <f t="shared" si="7"/>
        <v>-0.40999999999999659</v>
      </c>
      <c r="M84" s="48">
        <f>IF((H84)=0,"",(L84/H84))</f>
        <v>-6.3712362737541328E-3</v>
      </c>
    </row>
    <row r="85" spans="1:13" x14ac:dyDescent="0.2">
      <c r="A85" s="8" t="s">
        <v>4</v>
      </c>
      <c r="C85" s="26"/>
      <c r="D85" s="63" t="s">
        <v>45</v>
      </c>
      <c r="E85" s="28"/>
      <c r="F85" s="36">
        <v>6.6E-3</v>
      </c>
      <c r="G85" s="50">
        <f>IF($E62&gt;0, $E62, $E61*$E63)</f>
        <v>2068.1999999999998</v>
      </c>
      <c r="H85" s="31">
        <f>G85*F85</f>
        <v>13.650119999999999</v>
      </c>
      <c r="I85" s="37">
        <v>6.4000000000000003E-3</v>
      </c>
      <c r="J85" s="50">
        <f>IF($E62&gt;0, $E62, $E61*$E64)</f>
        <v>2068.1999999999998</v>
      </c>
      <c r="K85" s="31">
        <f>J85*I85</f>
        <v>13.23648</v>
      </c>
      <c r="L85" s="34">
        <f t="shared" si="7"/>
        <v>-0.41363999999999912</v>
      </c>
      <c r="M85" s="35">
        <f>IF(ISERROR(L85/H85), "", L85/H85)</f>
        <v>-3.0303030303030241E-2</v>
      </c>
    </row>
    <row r="86" spans="1:13" ht="25.5" x14ac:dyDescent="0.2">
      <c r="A86" s="8" t="s">
        <v>4</v>
      </c>
      <c r="C86" s="26"/>
      <c r="D86" s="64" t="s">
        <v>46</v>
      </c>
      <c r="E86" s="28"/>
      <c r="F86" s="36">
        <v>5.4999999999999997E-3</v>
      </c>
      <c r="G86" s="50">
        <f>IF($E62&gt;0, $E62, $E61*$E63)</f>
        <v>2068.1999999999998</v>
      </c>
      <c r="H86" s="31">
        <f>G86*F86</f>
        <v>11.375099999999998</v>
      </c>
      <c r="I86" s="37">
        <v>5.3E-3</v>
      </c>
      <c r="J86" s="50">
        <f>IF($E62&gt;0, $E62, $E61*$E64)</f>
        <v>2068.1999999999998</v>
      </c>
      <c r="K86" s="31">
        <f>J86*I86</f>
        <v>10.961459999999999</v>
      </c>
      <c r="L86" s="34">
        <f t="shared" si="7"/>
        <v>-0.41363999999999912</v>
      </c>
      <c r="M86" s="35">
        <f>IF(ISERROR(L86/H86), "", L86/H86)</f>
        <v>-3.6363636363636292E-2</v>
      </c>
    </row>
    <row r="87" spans="1:13" ht="25.5" x14ac:dyDescent="0.2">
      <c r="A87" s="8" t="s">
        <v>4</v>
      </c>
      <c r="B87" s="14" t="s">
        <v>47</v>
      </c>
      <c r="C87" s="26">
        <v>2</v>
      </c>
      <c r="D87" s="56" t="s">
        <v>48</v>
      </c>
      <c r="E87" s="41"/>
      <c r="F87" s="58"/>
      <c r="G87" s="59"/>
      <c r="H87" s="60">
        <f>SUM(H84:H86)</f>
        <v>89.376937999999981</v>
      </c>
      <c r="I87" s="61"/>
      <c r="J87" s="46"/>
      <c r="K87" s="60">
        <f>SUM(K84:K86)</f>
        <v>88.139657999999983</v>
      </c>
      <c r="L87" s="47">
        <f t="shared" si="7"/>
        <v>-1.2372799999999984</v>
      </c>
      <c r="M87" s="48">
        <f>IF((H87)=0,"",(L87/H87))</f>
        <v>-1.3843392128739055E-2</v>
      </c>
    </row>
    <row r="88" spans="1:13" ht="25.5" x14ac:dyDescent="0.2">
      <c r="A88" s="8" t="s">
        <v>4</v>
      </c>
      <c r="C88" s="26"/>
      <c r="D88" s="65" t="s">
        <v>49</v>
      </c>
      <c r="E88" s="28"/>
      <c r="F88" s="36">
        <v>3.3999999999999998E-3</v>
      </c>
      <c r="G88" s="50">
        <f>E61*E63</f>
        <v>2068.1999999999998</v>
      </c>
      <c r="H88" s="66">
        <f t="shared" ref="H88:H94" si="11">G88*F88</f>
        <v>7.0318799999999992</v>
      </c>
      <c r="I88" s="37">
        <v>3.4000000000000002E-3</v>
      </c>
      <c r="J88" s="50">
        <f>E61*E64</f>
        <v>2068.1999999999998</v>
      </c>
      <c r="K88" s="66">
        <f t="shared" ref="K88:K94" si="12">J88*I88</f>
        <v>7.0318800000000001</v>
      </c>
      <c r="L88" s="34">
        <f t="shared" si="7"/>
        <v>0</v>
      </c>
      <c r="M88" s="35">
        <f t="shared" ref="M88:M96" si="13">IF(ISERROR(L88/H88), "", L88/H88)</f>
        <v>0</v>
      </c>
    </row>
    <row r="89" spans="1:13" ht="25.5" x14ac:dyDescent="0.2">
      <c r="A89" s="8" t="s">
        <v>4</v>
      </c>
      <c r="C89" s="26"/>
      <c r="D89" s="65" t="s">
        <v>50</v>
      </c>
      <c r="E89" s="28"/>
      <c r="F89" s="36">
        <f>'[7]17. Regulatory Charges'!$D$16</f>
        <v>5.0000000000000001E-4</v>
      </c>
      <c r="G89" s="50">
        <f>E61*E63</f>
        <v>2068.1999999999998</v>
      </c>
      <c r="H89" s="66">
        <f t="shared" si="11"/>
        <v>1.0341</v>
      </c>
      <c r="I89" s="37">
        <v>5.0000000000000001E-4</v>
      </c>
      <c r="J89" s="50">
        <f>E61*E64</f>
        <v>2068.1999999999998</v>
      </c>
      <c r="K89" s="66">
        <f t="shared" si="12"/>
        <v>1.0341</v>
      </c>
      <c r="L89" s="34">
        <f t="shared" si="7"/>
        <v>0</v>
      </c>
      <c r="M89" s="35">
        <f t="shared" si="13"/>
        <v>0</v>
      </c>
    </row>
    <row r="90" spans="1:13" x14ac:dyDescent="0.2">
      <c r="A90" s="8" t="s">
        <v>4</v>
      </c>
      <c r="C90" s="26"/>
      <c r="D90" s="67" t="s">
        <v>51</v>
      </c>
      <c r="E90" s="28"/>
      <c r="F90" s="54">
        <v>0.25</v>
      </c>
      <c r="G90" s="30">
        <v>1</v>
      </c>
      <c r="H90" s="66">
        <f t="shared" si="11"/>
        <v>0.25</v>
      </c>
      <c r="I90" s="55">
        <f>'[7]17. Regulatory Charges'!$D$17</f>
        <v>0.25</v>
      </c>
      <c r="J90" s="33">
        <v>1</v>
      </c>
      <c r="K90" s="66">
        <f t="shared" si="12"/>
        <v>0.25</v>
      </c>
      <c r="L90" s="34">
        <f t="shared" si="7"/>
        <v>0</v>
      </c>
      <c r="M90" s="35">
        <f t="shared" si="13"/>
        <v>0</v>
      </c>
    </row>
    <row r="91" spans="1:13" ht="25.5" hidden="1" x14ac:dyDescent="0.2">
      <c r="A91" s="8" t="s">
        <v>4</v>
      </c>
      <c r="C91" s="26"/>
      <c r="D91" s="65" t="s">
        <v>52</v>
      </c>
      <c r="E91" s="28"/>
      <c r="F91" s="36"/>
      <c r="G91" s="50"/>
      <c r="H91" s="66"/>
      <c r="I91" s="37"/>
      <c r="J91" s="50"/>
      <c r="K91" s="66"/>
      <c r="L91" s="34"/>
      <c r="M91" s="35"/>
    </row>
    <row r="92" spans="1:13" x14ac:dyDescent="0.2">
      <c r="A92" s="8" t="s">
        <v>4</v>
      </c>
      <c r="B92" s="14" t="s">
        <v>3</v>
      </c>
      <c r="C92" s="26"/>
      <c r="D92" s="68" t="s">
        <v>53</v>
      </c>
      <c r="E92" s="28"/>
      <c r="F92" s="69">
        <f>OffPeak</f>
        <v>6.5000000000000002E-2</v>
      </c>
      <c r="G92" s="70">
        <f>IF(AND(E61*12&gt;=150000),0.65*E61*E63,0.65*E61)</f>
        <v>1300</v>
      </c>
      <c r="H92" s="66">
        <f t="shared" si="11"/>
        <v>84.5</v>
      </c>
      <c r="I92" s="71">
        <f>OffPeak</f>
        <v>6.5000000000000002E-2</v>
      </c>
      <c r="J92" s="70">
        <f>IF(AND(E61*12&gt;=150000),0.65*E61*E64,0.65*E61)</f>
        <v>1300</v>
      </c>
      <c r="K92" s="66">
        <f t="shared" si="12"/>
        <v>84.5</v>
      </c>
      <c r="L92" s="34">
        <f>K92-H92</f>
        <v>0</v>
      </c>
      <c r="M92" s="35">
        <f t="shared" si="13"/>
        <v>0</v>
      </c>
    </row>
    <row r="93" spans="1:13" x14ac:dyDescent="0.2">
      <c r="A93" s="8" t="s">
        <v>4</v>
      </c>
      <c r="B93" s="14" t="s">
        <v>3</v>
      </c>
      <c r="C93" s="26"/>
      <c r="D93" s="68" t="s">
        <v>54</v>
      </c>
      <c r="E93" s="28"/>
      <c r="F93" s="69">
        <f>MidPeak</f>
        <v>9.4E-2</v>
      </c>
      <c r="G93" s="70">
        <f>IF(AND(E61*12&gt;=150000),0.17*E61*E63,0.17*E61)</f>
        <v>340</v>
      </c>
      <c r="H93" s="66">
        <f t="shared" si="11"/>
        <v>31.96</v>
      </c>
      <c r="I93" s="71">
        <f>MidPeak</f>
        <v>9.4E-2</v>
      </c>
      <c r="J93" s="70">
        <f>IF(AND(E61*12&gt;=150000),0.17*E61*E64,0.17*E61)</f>
        <v>340</v>
      </c>
      <c r="K93" s="66">
        <f t="shared" si="12"/>
        <v>31.96</v>
      </c>
      <c r="L93" s="34">
        <f>K93-H93</f>
        <v>0</v>
      </c>
      <c r="M93" s="35">
        <f t="shared" si="13"/>
        <v>0</v>
      </c>
    </row>
    <row r="94" spans="1:13" ht="13.5" thickBot="1" x14ac:dyDescent="0.25">
      <c r="A94" s="8" t="s">
        <v>4</v>
      </c>
      <c r="B94" s="14" t="s">
        <v>3</v>
      </c>
      <c r="C94" s="26"/>
      <c r="D94" s="14" t="s">
        <v>55</v>
      </c>
      <c r="E94" s="28"/>
      <c r="F94" s="69">
        <f>OnPeak</f>
        <v>0.13200000000000001</v>
      </c>
      <c r="G94" s="70">
        <f>IF(AND(E61*12&gt;=150000),0.18*E61*E63,0.18*E61)</f>
        <v>360</v>
      </c>
      <c r="H94" s="66">
        <f t="shared" si="11"/>
        <v>47.52</v>
      </c>
      <c r="I94" s="71">
        <f>OnPeak</f>
        <v>0.13200000000000001</v>
      </c>
      <c r="J94" s="70">
        <f>IF(AND(E61*12&gt;=150000),0.18*E61*E64,0.18*E61)</f>
        <v>360</v>
      </c>
      <c r="K94" s="66">
        <f t="shared" si="12"/>
        <v>47.52</v>
      </c>
      <c r="L94" s="34">
        <f>K94-H94</f>
        <v>0</v>
      </c>
      <c r="M94" s="35">
        <f t="shared" si="13"/>
        <v>0</v>
      </c>
    </row>
    <row r="95" spans="1:13" ht="13.5" hidden="1" thickBot="1" x14ac:dyDescent="0.25">
      <c r="A95" s="8" t="s">
        <v>4</v>
      </c>
      <c r="B95" s="8" t="s">
        <v>56</v>
      </c>
      <c r="C95" s="26"/>
      <c r="D95" s="68" t="s">
        <v>57</v>
      </c>
      <c r="E95" s="28"/>
      <c r="F95" s="72">
        <v>0.1101</v>
      </c>
      <c r="G95" s="70">
        <f>IF(AND(E61*12&gt;=150000),E61*E63,E61)</f>
        <v>2000</v>
      </c>
      <c r="H95" s="66">
        <f>G95*F95</f>
        <v>220.20000000000002</v>
      </c>
      <c r="I95" s="73">
        <f>F95</f>
        <v>0.1101</v>
      </c>
      <c r="J95" s="70">
        <f>IF(AND(E61*12&gt;=150000),E61*E64,E61)</f>
        <v>2000</v>
      </c>
      <c r="K95" s="66">
        <f>J95*I95</f>
        <v>220.20000000000002</v>
      </c>
      <c r="L95" s="34">
        <f>K95-H95</f>
        <v>0</v>
      </c>
      <c r="M95" s="35">
        <f t="shared" si="13"/>
        <v>0</v>
      </c>
    </row>
    <row r="96" spans="1:13" ht="13.5" hidden="1" thickBot="1" x14ac:dyDescent="0.25">
      <c r="A96" s="8" t="s">
        <v>4</v>
      </c>
      <c r="B96" s="8" t="s">
        <v>6</v>
      </c>
      <c r="C96" s="26"/>
      <c r="D96" s="68" t="s">
        <v>58</v>
      </c>
      <c r="E96" s="28"/>
      <c r="F96" s="72">
        <v>0.1101</v>
      </c>
      <c r="G96" s="70">
        <f>IF(AND(E61*12&gt;=150000),E61*E63,E61)</f>
        <v>2000</v>
      </c>
      <c r="H96" s="66">
        <f>G96*F96</f>
        <v>220.20000000000002</v>
      </c>
      <c r="I96" s="73">
        <f>F96</f>
        <v>0.1101</v>
      </c>
      <c r="J96" s="70">
        <f>IF(AND(E61*12&gt;=150000),E61*E64,E61)</f>
        <v>2000</v>
      </c>
      <c r="K96" s="66">
        <f>J96*I96</f>
        <v>220.20000000000002</v>
      </c>
      <c r="L96" s="34">
        <f>K96-H96</f>
        <v>0</v>
      </c>
      <c r="M96" s="35">
        <f t="shared" si="13"/>
        <v>0</v>
      </c>
    </row>
    <row r="97" spans="1:13" ht="13.5" thickBot="1" x14ac:dyDescent="0.25">
      <c r="A97" s="8" t="s">
        <v>4</v>
      </c>
      <c r="B97" s="14"/>
      <c r="C97" s="26"/>
      <c r="D97" s="74"/>
      <c r="E97" s="75"/>
      <c r="F97" s="76"/>
      <c r="G97" s="77"/>
      <c r="H97" s="78"/>
      <c r="I97" s="76"/>
      <c r="J97" s="79"/>
      <c r="K97" s="78"/>
      <c r="L97" s="80"/>
      <c r="M97" s="81"/>
    </row>
    <row r="98" spans="1:13" x14ac:dyDescent="0.2">
      <c r="A98" s="8" t="s">
        <v>4</v>
      </c>
      <c r="B98" s="14" t="s">
        <v>3</v>
      </c>
      <c r="C98" s="26"/>
      <c r="D98" s="82" t="s">
        <v>59</v>
      </c>
      <c r="E98" s="67"/>
      <c r="F98" s="83"/>
      <c r="G98" s="84"/>
      <c r="H98" s="85">
        <f>SUM(H88:H94,H87)</f>
        <v>261.67291799999998</v>
      </c>
      <c r="I98" s="86"/>
      <c r="J98" s="86"/>
      <c r="K98" s="85">
        <f>SUM(K88:K94,K87)</f>
        <v>260.43563799999998</v>
      </c>
      <c r="L98" s="87">
        <f>K98-H98</f>
        <v>-1.2372799999999984</v>
      </c>
      <c r="M98" s="88">
        <f>IF((H98)=0,"",(L98/H98))</f>
        <v>-4.7283456364406746E-3</v>
      </c>
    </row>
    <row r="99" spans="1:13" x14ac:dyDescent="0.2">
      <c r="A99" s="8" t="s">
        <v>4</v>
      </c>
      <c r="B99" s="14" t="s">
        <v>3</v>
      </c>
      <c r="C99" s="26"/>
      <c r="D99" s="89" t="s">
        <v>60</v>
      </c>
      <c r="E99" s="67"/>
      <c r="F99" s="83">
        <v>0.13</v>
      </c>
      <c r="G99" s="90"/>
      <c r="H99" s="91">
        <f>H98*F99</f>
        <v>34.017479340000001</v>
      </c>
      <c r="I99" s="92">
        <v>0.13</v>
      </c>
      <c r="J99" s="30"/>
      <c r="K99" s="91">
        <f>K98*I99</f>
        <v>33.856632939999997</v>
      </c>
      <c r="L99" s="93">
        <f>K99-H99</f>
        <v>-0.16084640000000405</v>
      </c>
      <c r="M99" s="94">
        <f>IF((H99)=0,"",(L99/H99))</f>
        <v>-4.7283456364407995E-3</v>
      </c>
    </row>
    <row r="100" spans="1:13" x14ac:dyDescent="0.2">
      <c r="A100" s="8" t="s">
        <v>4</v>
      </c>
      <c r="B100" s="14" t="s">
        <v>3</v>
      </c>
      <c r="C100" s="26"/>
      <c r="D100" s="89" t="s">
        <v>61</v>
      </c>
      <c r="E100" s="67"/>
      <c r="F100" s="83">
        <v>0.08</v>
      </c>
      <c r="G100" s="90"/>
      <c r="H100" s="91">
        <f>H98*-F100</f>
        <v>-20.933833439999997</v>
      </c>
      <c r="I100" s="83">
        <v>0.08</v>
      </c>
      <c r="J100" s="30"/>
      <c r="K100" s="91">
        <f>K98*-I100</f>
        <v>-20.83485104</v>
      </c>
      <c r="L100" s="93">
        <f>K100-H100</f>
        <v>9.8982399999997028E-2</v>
      </c>
      <c r="M100" s="94"/>
    </row>
    <row r="101" spans="1:13" ht="13.5" thickBot="1" x14ac:dyDescent="0.25">
      <c r="A101" s="8" t="s">
        <v>4</v>
      </c>
      <c r="B101" s="14" t="s">
        <v>62</v>
      </c>
      <c r="C101" s="26">
        <v>2</v>
      </c>
      <c r="D101" s="123" t="s">
        <v>63</v>
      </c>
      <c r="E101" s="123"/>
      <c r="F101" s="95"/>
      <c r="G101" s="96"/>
      <c r="H101" s="97">
        <f>H98+H99+H100</f>
        <v>274.7565639</v>
      </c>
      <c r="I101" s="98"/>
      <c r="J101" s="98"/>
      <c r="K101" s="99">
        <f>K98+K99+K100</f>
        <v>273.45741989999999</v>
      </c>
      <c r="L101" s="100">
        <f>K101-H101</f>
        <v>-1.2991440000000125</v>
      </c>
      <c r="M101" s="101">
        <f>IF((H101)=0,"",(L101/H101))</f>
        <v>-4.7283456364407258E-3</v>
      </c>
    </row>
    <row r="102" spans="1:13" ht="13.5" thickBot="1" x14ac:dyDescent="0.25">
      <c r="A102" s="8" t="s">
        <v>4</v>
      </c>
      <c r="B102" s="8" t="s">
        <v>3</v>
      </c>
      <c r="C102" s="26"/>
      <c r="D102" s="74"/>
      <c r="E102" s="75"/>
      <c r="F102" s="76"/>
      <c r="G102" s="77"/>
      <c r="H102" s="78"/>
      <c r="I102" s="76"/>
      <c r="J102" s="79"/>
      <c r="K102" s="78"/>
      <c r="L102" s="80"/>
      <c r="M102" s="81"/>
    </row>
    <row r="103" spans="1:13" hidden="1" x14ac:dyDescent="0.2">
      <c r="A103" s="8" t="s">
        <v>4</v>
      </c>
      <c r="B103" s="8" t="s">
        <v>56</v>
      </c>
      <c r="C103" s="26"/>
      <c r="D103" s="82" t="s">
        <v>64</v>
      </c>
      <c r="E103" s="67"/>
      <c r="F103" s="83"/>
      <c r="G103" s="84"/>
      <c r="H103" s="85">
        <v>318.306558</v>
      </c>
      <c r="I103" s="86"/>
      <c r="J103" s="86"/>
      <c r="K103" s="85">
        <v>316.65563800000001</v>
      </c>
      <c r="L103" s="87">
        <v>-1.6509199999999851</v>
      </c>
      <c r="M103" s="88">
        <v>-5.1865723734161491E-3</v>
      </c>
    </row>
    <row r="104" spans="1:13" hidden="1" x14ac:dyDescent="0.2">
      <c r="A104" s="8" t="s">
        <v>4</v>
      </c>
      <c r="B104" s="8" t="s">
        <v>56</v>
      </c>
      <c r="C104" s="26"/>
      <c r="D104" s="89" t="s">
        <v>60</v>
      </c>
      <c r="E104" s="67"/>
      <c r="F104" s="83">
        <v>0.13</v>
      </c>
      <c r="G104" s="84"/>
      <c r="H104" s="91">
        <v>41.379852540000002</v>
      </c>
      <c r="I104" s="83">
        <v>0.13</v>
      </c>
      <c r="J104" s="92"/>
      <c r="K104" s="91">
        <v>41.165232940000003</v>
      </c>
      <c r="L104" s="93">
        <v>-0.21461959999999891</v>
      </c>
      <c r="M104" s="94">
        <v>-5.1865723734161691E-3</v>
      </c>
    </row>
    <row r="105" spans="1:13" hidden="1" x14ac:dyDescent="0.2">
      <c r="A105" s="8" t="s">
        <v>4</v>
      </c>
      <c r="B105" s="8" t="s">
        <v>56</v>
      </c>
      <c r="C105" s="26"/>
      <c r="D105" s="89" t="s">
        <v>61</v>
      </c>
      <c r="E105" s="67"/>
      <c r="F105" s="83">
        <v>0.08</v>
      </c>
      <c r="G105" s="84"/>
      <c r="H105" s="91"/>
      <c r="I105" s="83">
        <v>0.08</v>
      </c>
      <c r="J105" s="92"/>
      <c r="K105" s="91"/>
      <c r="L105" s="93"/>
      <c r="M105" s="94"/>
    </row>
    <row r="106" spans="1:13" hidden="1" x14ac:dyDescent="0.2">
      <c r="A106" s="8" t="s">
        <v>4</v>
      </c>
      <c r="B106" s="8" t="s">
        <v>65</v>
      </c>
      <c r="C106" s="26"/>
      <c r="D106" s="123" t="s">
        <v>64</v>
      </c>
      <c r="E106" s="123"/>
      <c r="F106" s="102"/>
      <c r="G106" s="103"/>
      <c r="H106" s="97">
        <v>359.68641054</v>
      </c>
      <c r="I106" s="104"/>
      <c r="J106" s="104"/>
      <c r="K106" s="97">
        <v>357.82087094000002</v>
      </c>
      <c r="L106" s="105">
        <v>-1.8655395999999769</v>
      </c>
      <c r="M106" s="106">
        <v>-5.1865723734161318E-3</v>
      </c>
    </row>
    <row r="107" spans="1:13" ht="13.5" hidden="1" thickBot="1" x14ac:dyDescent="0.25">
      <c r="A107" s="8" t="s">
        <v>4</v>
      </c>
      <c r="B107" s="8" t="s">
        <v>56</v>
      </c>
      <c r="C107" s="26"/>
      <c r="D107" s="74"/>
      <c r="E107" s="75"/>
      <c r="F107" s="107"/>
      <c r="G107" s="108"/>
      <c r="H107" s="109"/>
      <c r="I107" s="107"/>
      <c r="J107" s="77"/>
      <c r="K107" s="109"/>
      <c r="L107" s="110"/>
      <c r="M107" s="81"/>
    </row>
    <row r="108" spans="1:13" hidden="1" x14ac:dyDescent="0.2">
      <c r="A108" s="8" t="s">
        <v>4</v>
      </c>
      <c r="B108" s="8" t="s">
        <v>6</v>
      </c>
      <c r="C108" s="26"/>
      <c r="D108" s="82" t="s">
        <v>66</v>
      </c>
      <c r="E108" s="67"/>
      <c r="F108" s="83"/>
      <c r="G108" s="84"/>
      <c r="H108" s="85">
        <v>318.306558</v>
      </c>
      <c r="I108" s="86"/>
      <c r="J108" s="86"/>
      <c r="K108" s="85">
        <v>316.65563800000001</v>
      </c>
      <c r="L108" s="87">
        <v>-1.6509199999999851</v>
      </c>
      <c r="M108" s="88">
        <v>-5.1865723734161491E-3</v>
      </c>
    </row>
    <row r="109" spans="1:13" hidden="1" x14ac:dyDescent="0.2">
      <c r="A109" s="8" t="s">
        <v>4</v>
      </c>
      <c r="B109" s="8" t="s">
        <v>6</v>
      </c>
      <c r="C109" s="26"/>
      <c r="D109" s="89" t="s">
        <v>60</v>
      </c>
      <c r="E109" s="67"/>
      <c r="F109" s="83">
        <v>0.13</v>
      </c>
      <c r="G109" s="84"/>
      <c r="H109" s="91">
        <v>41.379852540000002</v>
      </c>
      <c r="I109" s="83">
        <v>0.13</v>
      </c>
      <c r="J109" s="92"/>
      <c r="K109" s="91">
        <v>41.165232940000003</v>
      </c>
      <c r="L109" s="93">
        <v>-0.21461959999999891</v>
      </c>
      <c r="M109" s="94">
        <v>-5.1865723734161691E-3</v>
      </c>
    </row>
    <row r="110" spans="1:13" hidden="1" x14ac:dyDescent="0.2">
      <c r="A110" s="8" t="s">
        <v>4</v>
      </c>
      <c r="B110" s="8" t="s">
        <v>6</v>
      </c>
      <c r="C110" s="26"/>
      <c r="D110" s="89" t="s">
        <v>61</v>
      </c>
      <c r="E110" s="67"/>
      <c r="F110" s="83">
        <v>0.08</v>
      </c>
      <c r="G110" s="84"/>
      <c r="H110" s="91"/>
      <c r="I110" s="83">
        <v>0.08</v>
      </c>
      <c r="J110" s="92"/>
      <c r="K110" s="91"/>
      <c r="L110" s="93"/>
      <c r="M110" s="94"/>
    </row>
    <row r="111" spans="1:13" hidden="1" x14ac:dyDescent="0.2">
      <c r="A111" s="8" t="s">
        <v>4</v>
      </c>
      <c r="B111" s="8" t="s">
        <v>67</v>
      </c>
      <c r="C111" s="26"/>
      <c r="D111" s="123" t="s">
        <v>66</v>
      </c>
      <c r="E111" s="123"/>
      <c r="F111" s="102"/>
      <c r="G111" s="103"/>
      <c r="H111" s="97">
        <v>359.68641054</v>
      </c>
      <c r="I111" s="104"/>
      <c r="J111" s="104"/>
      <c r="K111" s="97">
        <v>357.82087094000002</v>
      </c>
      <c r="L111" s="105">
        <v>-1.8655395999999769</v>
      </c>
      <c r="M111" s="106">
        <v>-5.1865723734161318E-3</v>
      </c>
    </row>
    <row r="112" spans="1:13" ht="13.5" hidden="1" thickBot="1" x14ac:dyDescent="0.25">
      <c r="A112" s="8" t="s">
        <v>4</v>
      </c>
      <c r="B112" s="8" t="s">
        <v>6</v>
      </c>
      <c r="C112" s="26"/>
      <c r="D112" s="74"/>
      <c r="E112" s="75"/>
      <c r="F112" s="111"/>
      <c r="G112" s="112"/>
      <c r="H112" s="113"/>
      <c r="I112" s="111"/>
      <c r="J112" s="114"/>
      <c r="K112" s="113"/>
      <c r="L112" s="115"/>
      <c r="M112" s="116"/>
    </row>
    <row r="115" spans="1:20" x14ac:dyDescent="0.2">
      <c r="C115" s="8"/>
      <c r="D115" s="10" t="s">
        <v>12</v>
      </c>
      <c r="E115" s="124" t="s">
        <v>68</v>
      </c>
      <c r="F115" s="124"/>
      <c r="G115" s="124"/>
      <c r="H115" s="124"/>
      <c r="I115" s="124"/>
      <c r="J115" s="124"/>
      <c r="K115" s="8" t="s">
        <v>8</v>
      </c>
      <c r="T115" s="8" t="s">
        <v>11</v>
      </c>
    </row>
    <row r="116" spans="1:20" x14ac:dyDescent="0.2">
      <c r="C116" s="8"/>
      <c r="D116" s="10" t="s">
        <v>13</v>
      </c>
      <c r="E116" s="125" t="s">
        <v>6</v>
      </c>
      <c r="F116" s="125"/>
      <c r="G116" s="125"/>
      <c r="H116" s="11"/>
      <c r="I116" s="11"/>
    </row>
    <row r="117" spans="1:20" ht="15.75" x14ac:dyDescent="0.2">
      <c r="C117" s="8"/>
      <c r="D117" s="10" t="s">
        <v>14</v>
      </c>
      <c r="E117" s="12">
        <v>182500</v>
      </c>
      <c r="F117" s="13" t="s">
        <v>2</v>
      </c>
      <c r="G117" s="14"/>
      <c r="J117" s="15"/>
      <c r="K117" s="15"/>
      <c r="L117" s="15"/>
      <c r="M117" s="15"/>
    </row>
    <row r="118" spans="1:20" ht="15.75" x14ac:dyDescent="0.25">
      <c r="C118" s="8"/>
      <c r="D118" s="10" t="s">
        <v>15</v>
      </c>
      <c r="E118" s="12">
        <v>500</v>
      </c>
      <c r="F118" s="16" t="s">
        <v>5</v>
      </c>
      <c r="G118" s="17"/>
      <c r="H118" s="18"/>
      <c r="I118" s="18"/>
      <c r="J118" s="18"/>
    </row>
    <row r="119" spans="1:20" x14ac:dyDescent="0.2">
      <c r="C119" s="8"/>
      <c r="D119" s="10" t="s">
        <v>16</v>
      </c>
      <c r="E119" s="19">
        <v>1.0341</v>
      </c>
    </row>
    <row r="120" spans="1:20" x14ac:dyDescent="0.2">
      <c r="C120" s="8"/>
      <c r="D120" s="10" t="s">
        <v>17</v>
      </c>
      <c r="E120" s="19">
        <v>1.0341</v>
      </c>
    </row>
    <row r="121" spans="1:20" x14ac:dyDescent="0.2">
      <c r="C121" s="8"/>
      <c r="D121" s="14"/>
    </row>
    <row r="122" spans="1:20" x14ac:dyDescent="0.2">
      <c r="C122" s="8"/>
      <c r="D122" s="14"/>
      <c r="E122" s="20"/>
      <c r="F122" s="126" t="s">
        <v>18</v>
      </c>
      <c r="G122" s="127"/>
      <c r="H122" s="128"/>
      <c r="I122" s="126" t="s">
        <v>19</v>
      </c>
      <c r="J122" s="127"/>
      <c r="K122" s="128"/>
      <c r="L122" s="126" t="s">
        <v>20</v>
      </c>
      <c r="M122" s="128"/>
    </row>
    <row r="123" spans="1:20" x14ac:dyDescent="0.2">
      <c r="C123" s="8"/>
      <c r="D123" s="14"/>
      <c r="E123" s="117"/>
      <c r="F123" s="21" t="s">
        <v>21</v>
      </c>
      <c r="G123" s="21" t="s">
        <v>22</v>
      </c>
      <c r="H123" s="22" t="s">
        <v>23</v>
      </c>
      <c r="I123" s="21" t="s">
        <v>21</v>
      </c>
      <c r="J123" s="23" t="s">
        <v>22</v>
      </c>
      <c r="K123" s="22" t="s">
        <v>23</v>
      </c>
      <c r="L123" s="119" t="s">
        <v>24</v>
      </c>
      <c r="M123" s="121" t="s">
        <v>25</v>
      </c>
    </row>
    <row r="124" spans="1:20" x14ac:dyDescent="0.2">
      <c r="C124" s="8"/>
      <c r="D124" s="14"/>
      <c r="E124" s="118"/>
      <c r="F124" s="24" t="s">
        <v>26</v>
      </c>
      <c r="G124" s="24"/>
      <c r="H124" s="25" t="s">
        <v>26</v>
      </c>
      <c r="I124" s="24" t="s">
        <v>26</v>
      </c>
      <c r="J124" s="25"/>
      <c r="K124" s="25" t="s">
        <v>26</v>
      </c>
      <c r="L124" s="120"/>
      <c r="M124" s="122"/>
    </row>
    <row r="125" spans="1:20" x14ac:dyDescent="0.2">
      <c r="A125" s="8" t="s">
        <v>68</v>
      </c>
      <c r="C125" s="26"/>
      <c r="D125" s="27" t="s">
        <v>27</v>
      </c>
      <c r="E125" s="28"/>
      <c r="F125" s="29">
        <v>126.46</v>
      </c>
      <c r="G125" s="30">
        <v>1</v>
      </c>
      <c r="H125" s="31">
        <f>G125*F125</f>
        <v>126.46</v>
      </c>
      <c r="I125" s="32">
        <v>127.98</v>
      </c>
      <c r="J125" s="33">
        <f>G125</f>
        <v>1</v>
      </c>
      <c r="K125" s="31">
        <f>J125*I125</f>
        <v>127.98</v>
      </c>
      <c r="L125" s="34">
        <f t="shared" ref="L125:L146" si="14">K125-H125</f>
        <v>1.5200000000000102</v>
      </c>
      <c r="M125" s="35">
        <f>IF(ISERROR(L125/H125), "", L125/H125)</f>
        <v>1.2019610944172152E-2</v>
      </c>
    </row>
    <row r="126" spans="1:20" x14ac:dyDescent="0.2">
      <c r="A126" s="8" t="s">
        <v>68</v>
      </c>
      <c r="C126" s="26"/>
      <c r="D126" s="27" t="s">
        <v>28</v>
      </c>
      <c r="E126" s="28"/>
      <c r="F126" s="36">
        <v>2.8641999999999999</v>
      </c>
      <c r="G126" s="30">
        <f>IF($E118&gt;0, $E118, $E117)</f>
        <v>500</v>
      </c>
      <c r="H126" s="31">
        <f t="shared" ref="H126:H138" si="15">G126*F126</f>
        <v>1432.1</v>
      </c>
      <c r="I126" s="37">
        <v>2.8986000000000001</v>
      </c>
      <c r="J126" s="33">
        <f>IF($E118&gt;0, $E118, $E117)</f>
        <v>500</v>
      </c>
      <c r="K126" s="31">
        <f>J126*I126</f>
        <v>1449.3</v>
      </c>
      <c r="L126" s="34">
        <f t="shared" si="14"/>
        <v>17.200000000000045</v>
      </c>
      <c r="M126" s="35">
        <f t="shared" ref="M126:M136" si="16">IF(ISERROR(L126/H126), "", L126/H126)</f>
        <v>1.2010334473849624E-2</v>
      </c>
    </row>
    <row r="127" spans="1:20" hidden="1" x14ac:dyDescent="0.2">
      <c r="A127" s="8" t="s">
        <v>68</v>
      </c>
      <c r="C127" s="26"/>
      <c r="D127" s="27" t="s">
        <v>29</v>
      </c>
      <c r="E127" s="28"/>
      <c r="F127" s="36"/>
      <c r="G127" s="30">
        <f>IF($E118&gt;0, $E118, $E117)</f>
        <v>500</v>
      </c>
      <c r="H127" s="31">
        <v>0</v>
      </c>
      <c r="I127" s="37"/>
      <c r="J127" s="33">
        <f>IF($E118&gt;0, $E118, $E117)</f>
        <v>500</v>
      </c>
      <c r="K127" s="31">
        <v>0</v>
      </c>
      <c r="L127" s="34"/>
      <c r="M127" s="35"/>
    </row>
    <row r="128" spans="1:20" hidden="1" x14ac:dyDescent="0.2">
      <c r="A128" s="8" t="s">
        <v>68</v>
      </c>
      <c r="C128" s="26"/>
      <c r="D128" s="27" t="s">
        <v>30</v>
      </c>
      <c r="E128" s="28"/>
      <c r="F128" s="36"/>
      <c r="G128" s="30">
        <f>IF($E118&gt;0, $E118, $E117)</f>
        <v>500</v>
      </c>
      <c r="H128" s="31">
        <v>0</v>
      </c>
      <c r="I128" s="37"/>
      <c r="J128" s="30">
        <f>IF($E118&gt;0, $E118, $E117)</f>
        <v>500</v>
      </c>
      <c r="K128" s="31">
        <v>0</v>
      </c>
      <c r="L128" s="34">
        <f>K128-H128</f>
        <v>0</v>
      </c>
      <c r="M128" s="35" t="str">
        <f>IF(ISERROR(L128/H128), "", L128/H128)</f>
        <v/>
      </c>
    </row>
    <row r="129" spans="1:13" x14ac:dyDescent="0.2">
      <c r="A129" s="8" t="s">
        <v>68</v>
      </c>
      <c r="C129" s="26"/>
      <c r="D129" s="38" t="s">
        <v>31</v>
      </c>
      <c r="E129" s="28"/>
      <c r="F129" s="29">
        <v>3.83</v>
      </c>
      <c r="G129" s="30">
        <v>1</v>
      </c>
      <c r="H129" s="31">
        <f t="shared" si="15"/>
        <v>3.83</v>
      </c>
      <c r="I129" s="32">
        <v>1.8599999999999999</v>
      </c>
      <c r="J129" s="33">
        <f>G129</f>
        <v>1</v>
      </c>
      <c r="K129" s="31">
        <f t="shared" ref="K129:K136" si="17">J129*I129</f>
        <v>1.8599999999999999</v>
      </c>
      <c r="L129" s="34">
        <f t="shared" si="14"/>
        <v>-1.9700000000000002</v>
      </c>
      <c r="M129" s="35">
        <f t="shared" si="16"/>
        <v>-0.51436031331592691</v>
      </c>
    </row>
    <row r="130" spans="1:13" x14ac:dyDescent="0.2">
      <c r="A130" s="8" t="s">
        <v>68</v>
      </c>
      <c r="C130" s="26"/>
      <c r="D130" s="27" t="s">
        <v>32</v>
      </c>
      <c r="E130" s="28"/>
      <c r="F130" s="36">
        <v>2.7300000000000001E-2</v>
      </c>
      <c r="G130" s="30">
        <f>IF($E118&gt;0, $E118, $E117)</f>
        <v>500</v>
      </c>
      <c r="H130" s="31">
        <f t="shared" si="15"/>
        <v>13.65</v>
      </c>
      <c r="I130" s="37">
        <v>6.4100000000000004E-2</v>
      </c>
      <c r="J130" s="33">
        <f>IF($E118&gt;0, $E118, $E117)</f>
        <v>500</v>
      </c>
      <c r="K130" s="31">
        <f t="shared" si="17"/>
        <v>32.050000000000004</v>
      </c>
      <c r="L130" s="34">
        <f t="shared" si="14"/>
        <v>18.400000000000006</v>
      </c>
      <c r="M130" s="35">
        <f t="shared" si="16"/>
        <v>1.3479853479853483</v>
      </c>
    </row>
    <row r="131" spans="1:13" x14ac:dyDescent="0.2">
      <c r="A131" s="8" t="s">
        <v>68</v>
      </c>
      <c r="B131" s="39" t="s">
        <v>33</v>
      </c>
      <c r="C131" s="26">
        <v>3</v>
      </c>
      <c r="D131" s="40" t="s">
        <v>34</v>
      </c>
      <c r="E131" s="41"/>
      <c r="F131" s="42"/>
      <c r="G131" s="43"/>
      <c r="H131" s="44">
        <f>SUM(H125:H130)</f>
        <v>1576.04</v>
      </c>
      <c r="I131" s="45"/>
      <c r="J131" s="46"/>
      <c r="K131" s="44">
        <f>SUM(K125:K130)</f>
        <v>1611.1899999999998</v>
      </c>
      <c r="L131" s="47">
        <f t="shared" si="14"/>
        <v>35.149999999999864</v>
      </c>
      <c r="M131" s="48">
        <f>IF((H131)=0,"",(L131/H131))</f>
        <v>2.2302733433161508E-2</v>
      </c>
    </row>
    <row r="132" spans="1:13" x14ac:dyDescent="0.2">
      <c r="A132" s="8" t="s">
        <v>68</v>
      </c>
      <c r="C132" s="26"/>
      <c r="D132" s="49" t="s">
        <v>35</v>
      </c>
      <c r="E132" s="28"/>
      <c r="F132" s="36">
        <f>IF((E117*12&gt;=150000), 0, IF(E116="RPP",(F148*0.65+F149*0.17+F150*0.18),IF(E116="Non-RPP (Retailer)",F151,F152)))</f>
        <v>0</v>
      </c>
      <c r="G132" s="50">
        <f>IF(F132=0, 0, $E117*E119-E117)</f>
        <v>0</v>
      </c>
      <c r="H132" s="31">
        <f>G132*F132</f>
        <v>0</v>
      </c>
      <c r="I132" s="37">
        <f>IF((E117*12&gt;=150000), 0, IF(E116="RPP",(I148*0.65+I149*0.17+I150*0.18),IF(E116="Non-RPP (Retailer)",I151,I152)))</f>
        <v>0</v>
      </c>
      <c r="J132" s="50">
        <f>IF(I132=0, 0, E117*E120-E117)</f>
        <v>0</v>
      </c>
      <c r="K132" s="31">
        <f>J132*I132</f>
        <v>0</v>
      </c>
      <c r="L132" s="34">
        <f>K132-H132</f>
        <v>0</v>
      </c>
      <c r="M132" s="35" t="str">
        <f>IF(ISERROR(L132/H132), "", L132/H132)</f>
        <v/>
      </c>
    </row>
    <row r="133" spans="1:13" ht="25.5" x14ac:dyDescent="0.2">
      <c r="A133" s="8" t="s">
        <v>68</v>
      </c>
      <c r="C133" s="26"/>
      <c r="D133" s="49" t="s">
        <v>36</v>
      </c>
      <c r="E133" s="28"/>
      <c r="F133" s="36">
        <v>-0.35709999999999997</v>
      </c>
      <c r="G133" s="51">
        <f>IF($E118&gt;0, $E118, $E117)</f>
        <v>500</v>
      </c>
      <c r="H133" s="31">
        <f t="shared" si="15"/>
        <v>-178.54999999999998</v>
      </c>
      <c r="I133" s="37">
        <v>-0.81659999999999999</v>
      </c>
      <c r="J133" s="51">
        <f>IF($E118&gt;0, $E118, $E117)</f>
        <v>500</v>
      </c>
      <c r="K133" s="31">
        <f t="shared" si="17"/>
        <v>-408.3</v>
      </c>
      <c r="L133" s="34">
        <f t="shared" si="14"/>
        <v>-229.75000000000003</v>
      </c>
      <c r="M133" s="35">
        <f t="shared" si="16"/>
        <v>1.2867544105292639</v>
      </c>
    </row>
    <row r="134" spans="1:13" x14ac:dyDescent="0.2">
      <c r="A134" s="8" t="s">
        <v>68</v>
      </c>
      <c r="C134" s="26"/>
      <c r="D134" s="49" t="s">
        <v>37</v>
      </c>
      <c r="E134" s="28"/>
      <c r="F134" s="36">
        <v>0</v>
      </c>
      <c r="G134" s="51">
        <f>IF($E118&gt;0, $E118, $E117)</f>
        <v>500</v>
      </c>
      <c r="H134" s="31">
        <f>G134*F134</f>
        <v>0</v>
      </c>
      <c r="I134" s="37">
        <v>0</v>
      </c>
      <c r="J134" s="51">
        <f>IF($E118&gt;0, $E118, $E117)</f>
        <v>500</v>
      </c>
      <c r="K134" s="31">
        <f>J134*I134</f>
        <v>0</v>
      </c>
      <c r="L134" s="34">
        <f t="shared" si="14"/>
        <v>0</v>
      </c>
      <c r="M134" s="35" t="str">
        <f t="shared" si="16"/>
        <v/>
      </c>
    </row>
    <row r="135" spans="1:13" x14ac:dyDescent="0.2">
      <c r="A135" s="8" t="s">
        <v>68</v>
      </c>
      <c r="C135" s="26"/>
      <c r="D135" s="49" t="s">
        <v>38</v>
      </c>
      <c r="E135" s="28"/>
      <c r="F135" s="36">
        <v>-8.9999999999999998E-4</v>
      </c>
      <c r="G135" s="51">
        <f>E117</f>
        <v>182500</v>
      </c>
      <c r="H135" s="31">
        <f>G135*F135</f>
        <v>-164.25</v>
      </c>
      <c r="I135" s="37">
        <v>8.9999999999999998E-4</v>
      </c>
      <c r="J135" s="51">
        <f>E117</f>
        <v>182500</v>
      </c>
      <c r="K135" s="31">
        <f t="shared" si="17"/>
        <v>164.25</v>
      </c>
      <c r="L135" s="34">
        <f t="shared" si="14"/>
        <v>328.5</v>
      </c>
      <c r="M135" s="35">
        <f t="shared" si="16"/>
        <v>-2</v>
      </c>
    </row>
    <row r="136" spans="1:13" x14ac:dyDescent="0.2">
      <c r="A136" s="8" t="s">
        <v>68</v>
      </c>
      <c r="C136" s="26"/>
      <c r="D136" s="52" t="s">
        <v>39</v>
      </c>
      <c r="E136" s="28"/>
      <c r="F136" s="36">
        <v>0</v>
      </c>
      <c r="G136" s="51">
        <f>IF($E118&gt;0, $E118, $E117)</f>
        <v>500</v>
      </c>
      <c r="H136" s="31">
        <f t="shared" si="15"/>
        <v>0</v>
      </c>
      <c r="I136" s="37"/>
      <c r="J136" s="51">
        <f>IF($E118&gt;0, $E118, $E117)</f>
        <v>500</v>
      </c>
      <c r="K136" s="31">
        <f t="shared" si="17"/>
        <v>0</v>
      </c>
      <c r="L136" s="34">
        <f t="shared" si="14"/>
        <v>0</v>
      </c>
      <c r="M136" s="35" t="str">
        <f t="shared" si="16"/>
        <v/>
      </c>
    </row>
    <row r="137" spans="1:13" ht="25.5" x14ac:dyDescent="0.2">
      <c r="A137" s="8" t="s">
        <v>68</v>
      </c>
      <c r="C137" s="26"/>
      <c r="D137" s="53" t="s">
        <v>40</v>
      </c>
      <c r="E137" s="28"/>
      <c r="F137" s="54">
        <f>IF(OR(ISNUMBER(SEARCH("RESIDENTIAL", E115))=TRUE, ISNUMBER(SEARCH("GENERAL SERVICE LESS THAN 50", E115))=TRUE), SME, 0)</f>
        <v>0</v>
      </c>
      <c r="G137" s="30">
        <v>1</v>
      </c>
      <c r="H137" s="31">
        <f>G137*F137</f>
        <v>0</v>
      </c>
      <c r="I137" s="55">
        <f>IF(OR(ISNUMBER(SEARCH("RESIDENTIAL", E115))=TRUE, ISNUMBER(SEARCH("GENERAL SERVICE LESS THAN 50", E115))=TRUE), SME, 0)</f>
        <v>0</v>
      </c>
      <c r="J137" s="30">
        <v>1</v>
      </c>
      <c r="K137" s="31">
        <f>J137*I137</f>
        <v>0</v>
      </c>
      <c r="L137" s="34">
        <f t="shared" si="14"/>
        <v>0</v>
      </c>
      <c r="M137" s="35" t="str">
        <f>IF(ISERROR(L137/H137), "", L137/H137)</f>
        <v/>
      </c>
    </row>
    <row r="138" spans="1:13" x14ac:dyDescent="0.2">
      <c r="A138" s="8" t="s">
        <v>68</v>
      </c>
      <c r="C138" s="26"/>
      <c r="D138" s="52" t="s">
        <v>41</v>
      </c>
      <c r="E138" s="28"/>
      <c r="F138" s="29">
        <v>0</v>
      </c>
      <c r="G138" s="30">
        <v>1</v>
      </c>
      <c r="H138" s="31">
        <f t="shared" si="15"/>
        <v>0</v>
      </c>
      <c r="I138" s="32">
        <v>0</v>
      </c>
      <c r="J138" s="30">
        <v>1</v>
      </c>
      <c r="K138" s="31">
        <f>J138*I138</f>
        <v>0</v>
      </c>
      <c r="L138" s="34">
        <f>K138-H138</f>
        <v>0</v>
      </c>
      <c r="M138" s="35" t="str">
        <f>IF(ISERROR(L138/H138), "", L138/H138)</f>
        <v/>
      </c>
    </row>
    <row r="139" spans="1:13" x14ac:dyDescent="0.2">
      <c r="A139" s="8" t="s">
        <v>68</v>
      </c>
      <c r="C139" s="26"/>
      <c r="D139" s="52" t="s">
        <v>42</v>
      </c>
      <c r="E139" s="28"/>
      <c r="F139" s="36"/>
      <c r="G139" s="51">
        <f>IF($E118&gt;0, $E118, $E117)</f>
        <v>500</v>
      </c>
      <c r="H139" s="31">
        <f>G139*F139</f>
        <v>0</v>
      </c>
      <c r="I139" s="37">
        <v>0</v>
      </c>
      <c r="J139" s="51">
        <f>IF($E118&gt;0, $E118, $E117)</f>
        <v>500</v>
      </c>
      <c r="K139" s="31">
        <f>J139*I139</f>
        <v>0</v>
      </c>
      <c r="L139" s="34">
        <f t="shared" si="14"/>
        <v>0</v>
      </c>
      <c r="M139" s="35" t="str">
        <f>IF(ISERROR(L139/H139), "", L139/H139)</f>
        <v/>
      </c>
    </row>
    <row r="140" spans="1:13" ht="25.5" x14ac:dyDescent="0.2">
      <c r="A140" s="8" t="s">
        <v>68</v>
      </c>
      <c r="B140" s="14" t="s">
        <v>43</v>
      </c>
      <c r="C140" s="26">
        <v>3</v>
      </c>
      <c r="D140" s="56" t="s">
        <v>44</v>
      </c>
      <c r="E140" s="57"/>
      <c r="F140" s="58"/>
      <c r="G140" s="59"/>
      <c r="H140" s="60">
        <f>SUM(H131:H139)</f>
        <v>1233.24</v>
      </c>
      <c r="I140" s="61"/>
      <c r="J140" s="62"/>
      <c r="K140" s="60">
        <f>SUM(K131:K139)</f>
        <v>1367.1399999999999</v>
      </c>
      <c r="L140" s="47">
        <f t="shared" si="14"/>
        <v>133.89999999999986</v>
      </c>
      <c r="M140" s="48">
        <f>IF((H140)=0,"",(L140/H140))</f>
        <v>0.10857578411339225</v>
      </c>
    </row>
    <row r="141" spans="1:13" x14ac:dyDescent="0.2">
      <c r="A141" s="8" t="s">
        <v>68</v>
      </c>
      <c r="C141" s="26"/>
      <c r="D141" s="63" t="s">
        <v>45</v>
      </c>
      <c r="E141" s="28"/>
      <c r="F141" s="36">
        <v>2.5630000000000002</v>
      </c>
      <c r="G141" s="50">
        <f>IF($E118&gt;0, $E118, $E117*$E119)</f>
        <v>500</v>
      </c>
      <c r="H141" s="31">
        <f>G141*F141</f>
        <v>1281.5</v>
      </c>
      <c r="I141" s="37">
        <v>2.4986999999999999</v>
      </c>
      <c r="J141" s="50">
        <f>IF($E118&gt;0, $E118, $E117*$E120)</f>
        <v>500</v>
      </c>
      <c r="K141" s="31">
        <f>J141*I141</f>
        <v>1249.3499999999999</v>
      </c>
      <c r="L141" s="34">
        <f t="shared" si="14"/>
        <v>-32.150000000000091</v>
      </c>
      <c r="M141" s="35">
        <f>IF(ISERROR(L141/H141), "", L141/H141)</f>
        <v>-2.5087787748732025E-2</v>
      </c>
    </row>
    <row r="142" spans="1:13" ht="25.5" x14ac:dyDescent="0.2">
      <c r="A142" s="8" t="s">
        <v>68</v>
      </c>
      <c r="C142" s="26"/>
      <c r="D142" s="64" t="s">
        <v>46</v>
      </c>
      <c r="E142" s="28"/>
      <c r="F142" s="36">
        <v>2.1878000000000002</v>
      </c>
      <c r="G142" s="50">
        <f>IF($E118&gt;0, $E118, $E117*$E119)</f>
        <v>500</v>
      </c>
      <c r="H142" s="31">
        <f>G142*F142</f>
        <v>1093.9000000000001</v>
      </c>
      <c r="I142" s="37">
        <v>2.1236000000000002</v>
      </c>
      <c r="J142" s="50">
        <f>IF($E118&gt;0, $E118, $E117*$E120)</f>
        <v>500</v>
      </c>
      <c r="K142" s="31">
        <f>J142*I142</f>
        <v>1061.8000000000002</v>
      </c>
      <c r="L142" s="34">
        <f t="shared" si="14"/>
        <v>-32.099999999999909</v>
      </c>
      <c r="M142" s="35">
        <f>IF(ISERROR(L142/H142), "", L142/H142)</f>
        <v>-2.9344547033549599E-2</v>
      </c>
    </row>
    <row r="143" spans="1:13" ht="25.5" x14ac:dyDescent="0.2">
      <c r="A143" s="8" t="s">
        <v>68</v>
      </c>
      <c r="B143" s="14" t="s">
        <v>47</v>
      </c>
      <c r="C143" s="26">
        <v>3</v>
      </c>
      <c r="D143" s="56" t="s">
        <v>48</v>
      </c>
      <c r="E143" s="41"/>
      <c r="F143" s="58"/>
      <c r="G143" s="59"/>
      <c r="H143" s="60">
        <f>SUM(H140:H142)</f>
        <v>3608.64</v>
      </c>
      <c r="I143" s="61"/>
      <c r="J143" s="46"/>
      <c r="K143" s="60">
        <f>SUM(K140:K142)</f>
        <v>3678.29</v>
      </c>
      <c r="L143" s="47">
        <f t="shared" si="14"/>
        <v>69.650000000000091</v>
      </c>
      <c r="M143" s="48">
        <f>IF((H143)=0,"",(L143/H143))</f>
        <v>1.9300900062073273E-2</v>
      </c>
    </row>
    <row r="144" spans="1:13" ht="25.5" x14ac:dyDescent="0.2">
      <c r="A144" s="8" t="s">
        <v>68</v>
      </c>
      <c r="C144" s="26"/>
      <c r="D144" s="65" t="s">
        <v>49</v>
      </c>
      <c r="E144" s="28"/>
      <c r="F144" s="36">
        <v>3.3999999999999998E-3</v>
      </c>
      <c r="G144" s="50">
        <f>E117*E119</f>
        <v>188723.25</v>
      </c>
      <c r="H144" s="66">
        <f t="shared" ref="H144:H150" si="18">G144*F144</f>
        <v>641.65904999999998</v>
      </c>
      <c r="I144" s="37">
        <v>3.4000000000000002E-3</v>
      </c>
      <c r="J144" s="50">
        <f>E117*E120</f>
        <v>188723.25</v>
      </c>
      <c r="K144" s="66">
        <f t="shared" ref="K144:K150" si="19">J144*I144</f>
        <v>641.65905000000009</v>
      </c>
      <c r="L144" s="34">
        <f t="shared" si="14"/>
        <v>0</v>
      </c>
      <c r="M144" s="35">
        <f t="shared" ref="M144:M152" si="20">IF(ISERROR(L144/H144), "", L144/H144)</f>
        <v>0</v>
      </c>
    </row>
    <row r="145" spans="1:13" ht="25.5" x14ac:dyDescent="0.2">
      <c r="A145" s="8" t="s">
        <v>68</v>
      </c>
      <c r="C145" s="26"/>
      <c r="D145" s="65" t="s">
        <v>50</v>
      </c>
      <c r="E145" s="28"/>
      <c r="F145" s="36">
        <f>'[7]17. Regulatory Charges'!$D$16</f>
        <v>5.0000000000000001E-4</v>
      </c>
      <c r="G145" s="50">
        <f>E117*E119</f>
        <v>188723.25</v>
      </c>
      <c r="H145" s="66">
        <f t="shared" si="18"/>
        <v>94.361625000000004</v>
      </c>
      <c r="I145" s="37">
        <v>5.0000000000000001E-4</v>
      </c>
      <c r="J145" s="50">
        <f>E117*E120</f>
        <v>188723.25</v>
      </c>
      <c r="K145" s="66">
        <f t="shared" si="19"/>
        <v>94.361625000000004</v>
      </c>
      <c r="L145" s="34">
        <f t="shared" si="14"/>
        <v>0</v>
      </c>
      <c r="M145" s="35">
        <f t="shared" si="20"/>
        <v>0</v>
      </c>
    </row>
    <row r="146" spans="1:13" x14ac:dyDescent="0.2">
      <c r="A146" s="8" t="s">
        <v>68</v>
      </c>
      <c r="C146" s="26"/>
      <c r="D146" s="67" t="s">
        <v>51</v>
      </c>
      <c r="E146" s="28"/>
      <c r="F146" s="54">
        <v>0.25</v>
      </c>
      <c r="G146" s="30">
        <v>1</v>
      </c>
      <c r="H146" s="66">
        <f t="shared" si="18"/>
        <v>0.25</v>
      </c>
      <c r="I146" s="55">
        <f>'[7]17. Regulatory Charges'!$D$17</f>
        <v>0.25</v>
      </c>
      <c r="J146" s="33">
        <v>1</v>
      </c>
      <c r="K146" s="66">
        <f t="shared" si="19"/>
        <v>0.25</v>
      </c>
      <c r="L146" s="34">
        <f t="shared" si="14"/>
        <v>0</v>
      </c>
      <c r="M146" s="35">
        <f t="shared" si="20"/>
        <v>0</v>
      </c>
    </row>
    <row r="147" spans="1:13" ht="25.5" hidden="1" x14ac:dyDescent="0.2">
      <c r="A147" s="8" t="s">
        <v>68</v>
      </c>
      <c r="C147" s="26"/>
      <c r="D147" s="65" t="s">
        <v>52</v>
      </c>
      <c r="E147" s="28"/>
      <c r="F147" s="36"/>
      <c r="G147" s="50"/>
      <c r="H147" s="66"/>
      <c r="I147" s="37"/>
      <c r="J147" s="50"/>
      <c r="K147" s="66"/>
      <c r="L147" s="34"/>
      <c r="M147" s="35"/>
    </row>
    <row r="148" spans="1:13" hidden="1" x14ac:dyDescent="0.2">
      <c r="A148" s="8" t="s">
        <v>68</v>
      </c>
      <c r="B148" s="14" t="s">
        <v>3</v>
      </c>
      <c r="C148" s="26"/>
      <c r="D148" s="68" t="s">
        <v>53</v>
      </c>
      <c r="E148" s="28"/>
      <c r="F148" s="69">
        <f>OffPeak</f>
        <v>6.5000000000000002E-2</v>
      </c>
      <c r="G148" s="70">
        <f>IF(AND(E117*12&gt;=150000),0.65*E117*E119,0.65*E117)</f>
        <v>122670.1125</v>
      </c>
      <c r="H148" s="66">
        <f t="shared" si="18"/>
        <v>7973.5573125000001</v>
      </c>
      <c r="I148" s="71">
        <f>OffPeak</f>
        <v>6.5000000000000002E-2</v>
      </c>
      <c r="J148" s="70">
        <f>IF(AND(E117*12&gt;=150000),0.65*E117*E120,0.65*E117)</f>
        <v>122670.1125</v>
      </c>
      <c r="K148" s="66">
        <f t="shared" si="19"/>
        <v>7973.5573125000001</v>
      </c>
      <c r="L148" s="34">
        <f>K148-H148</f>
        <v>0</v>
      </c>
      <c r="M148" s="35">
        <f t="shared" si="20"/>
        <v>0</v>
      </c>
    </row>
    <row r="149" spans="1:13" hidden="1" x14ac:dyDescent="0.2">
      <c r="A149" s="8" t="s">
        <v>68</v>
      </c>
      <c r="B149" s="14" t="s">
        <v>3</v>
      </c>
      <c r="C149" s="26"/>
      <c r="D149" s="68" t="s">
        <v>54</v>
      </c>
      <c r="E149" s="28"/>
      <c r="F149" s="69">
        <f>MidPeak</f>
        <v>9.4E-2</v>
      </c>
      <c r="G149" s="70">
        <f>IF(AND(E117*12&gt;=150000),0.17*E117*E119,0.17*E117)</f>
        <v>32082.952500000003</v>
      </c>
      <c r="H149" s="66">
        <f t="shared" si="18"/>
        <v>3015.7975350000002</v>
      </c>
      <c r="I149" s="71">
        <f>MidPeak</f>
        <v>9.4E-2</v>
      </c>
      <c r="J149" s="70">
        <f>IF(AND(E117*12&gt;=150000),0.17*E117*E120,0.17*E117)</f>
        <v>32082.952500000003</v>
      </c>
      <c r="K149" s="66">
        <f t="shared" si="19"/>
        <v>3015.7975350000002</v>
      </c>
      <c r="L149" s="34">
        <f>K149-H149</f>
        <v>0</v>
      </c>
      <c r="M149" s="35">
        <f t="shared" si="20"/>
        <v>0</v>
      </c>
    </row>
    <row r="150" spans="1:13" hidden="1" x14ac:dyDescent="0.2">
      <c r="A150" s="8" t="s">
        <v>68</v>
      </c>
      <c r="B150" s="14" t="s">
        <v>3</v>
      </c>
      <c r="C150" s="26"/>
      <c r="D150" s="14" t="s">
        <v>55</v>
      </c>
      <c r="E150" s="28"/>
      <c r="F150" s="69">
        <f>OnPeak</f>
        <v>0.13200000000000001</v>
      </c>
      <c r="G150" s="70">
        <f>IF(AND(E117*12&gt;=150000),0.18*E117*E119,0.18*E117)</f>
        <v>33970.184999999998</v>
      </c>
      <c r="H150" s="66">
        <f t="shared" si="18"/>
        <v>4484.0644199999997</v>
      </c>
      <c r="I150" s="71">
        <f>OnPeak</f>
        <v>0.13200000000000001</v>
      </c>
      <c r="J150" s="70">
        <f>IF(AND(E117*12&gt;=150000),0.18*E117*E120,0.18*E117)</f>
        <v>33970.184999999998</v>
      </c>
      <c r="K150" s="66">
        <f t="shared" si="19"/>
        <v>4484.0644199999997</v>
      </c>
      <c r="L150" s="34">
        <f>K150-H150</f>
        <v>0</v>
      </c>
      <c r="M150" s="35">
        <f t="shared" si="20"/>
        <v>0</v>
      </c>
    </row>
    <row r="151" spans="1:13" hidden="1" x14ac:dyDescent="0.2">
      <c r="A151" s="8" t="s">
        <v>68</v>
      </c>
      <c r="B151" s="8" t="s">
        <v>56</v>
      </c>
      <c r="C151" s="26"/>
      <c r="D151" s="68" t="s">
        <v>57</v>
      </c>
      <c r="E151" s="28"/>
      <c r="F151" s="72">
        <v>0.1101</v>
      </c>
      <c r="G151" s="70">
        <f>IF(AND(E117*12&gt;=150000),E117*E119,E117)</f>
        <v>188723.25</v>
      </c>
      <c r="H151" s="66">
        <f>G151*F151</f>
        <v>20778.429824999999</v>
      </c>
      <c r="I151" s="73">
        <f>F151</f>
        <v>0.1101</v>
      </c>
      <c r="J151" s="70">
        <f>IF(AND(E117*12&gt;=150000),E117*E120,E117)</f>
        <v>188723.25</v>
      </c>
      <c r="K151" s="66">
        <f>J151*I151</f>
        <v>20778.429824999999</v>
      </c>
      <c r="L151" s="34">
        <f>K151-H151</f>
        <v>0</v>
      </c>
      <c r="M151" s="35">
        <f t="shared" si="20"/>
        <v>0</v>
      </c>
    </row>
    <row r="152" spans="1:13" ht="13.5" thickBot="1" x14ac:dyDescent="0.25">
      <c r="A152" s="8" t="s">
        <v>68</v>
      </c>
      <c r="B152" s="8" t="s">
        <v>6</v>
      </c>
      <c r="C152" s="26"/>
      <c r="D152" s="68" t="s">
        <v>58</v>
      </c>
      <c r="E152" s="28"/>
      <c r="F152" s="72">
        <v>0.1101</v>
      </c>
      <c r="G152" s="70">
        <f>IF(AND(E117*12&gt;=150000),E117*E119,E117)</f>
        <v>188723.25</v>
      </c>
      <c r="H152" s="66">
        <f>G152*F152</f>
        <v>20778.429824999999</v>
      </c>
      <c r="I152" s="73">
        <f>F152</f>
        <v>0.1101</v>
      </c>
      <c r="J152" s="70">
        <f>IF(AND(E117*12&gt;=150000),E117*E120,E117)</f>
        <v>188723.25</v>
      </c>
      <c r="K152" s="66">
        <f>J152*I152</f>
        <v>20778.429824999999</v>
      </c>
      <c r="L152" s="34">
        <f>K152-H152</f>
        <v>0</v>
      </c>
      <c r="M152" s="35">
        <f t="shared" si="20"/>
        <v>0</v>
      </c>
    </row>
    <row r="153" spans="1:13" ht="13.5" thickBot="1" x14ac:dyDescent="0.25">
      <c r="A153" s="8" t="s">
        <v>68</v>
      </c>
      <c r="B153" s="14"/>
      <c r="C153" s="26"/>
      <c r="D153" s="74"/>
      <c r="E153" s="75"/>
      <c r="F153" s="76"/>
      <c r="G153" s="77"/>
      <c r="H153" s="78"/>
      <c r="I153" s="76"/>
      <c r="J153" s="79"/>
      <c r="K153" s="78"/>
      <c r="L153" s="80"/>
      <c r="M153" s="81"/>
    </row>
    <row r="154" spans="1:13" hidden="1" x14ac:dyDescent="0.2">
      <c r="A154" s="8" t="s">
        <v>68</v>
      </c>
      <c r="B154" s="14" t="s">
        <v>3</v>
      </c>
      <c r="C154" s="26"/>
      <c r="D154" s="82" t="s">
        <v>59</v>
      </c>
      <c r="E154" s="67"/>
      <c r="F154" s="83"/>
      <c r="G154" s="84"/>
      <c r="H154" s="85">
        <f>SUM(H144:H150,H143)</f>
        <v>19818.3299425</v>
      </c>
      <c r="I154" s="86"/>
      <c r="J154" s="86"/>
      <c r="K154" s="85">
        <f>SUM(K144:K150,K143)</f>
        <v>19887.979942500002</v>
      </c>
      <c r="L154" s="87">
        <f>K154-H154</f>
        <v>69.650000000001455</v>
      </c>
      <c r="M154" s="88">
        <f>IF((H154)=0,"",(L154/H154))</f>
        <v>3.5144232739126248E-3</v>
      </c>
    </row>
    <row r="155" spans="1:13" hidden="1" x14ac:dyDescent="0.2">
      <c r="A155" s="8" t="s">
        <v>68</v>
      </c>
      <c r="B155" s="14" t="s">
        <v>3</v>
      </c>
      <c r="C155" s="26"/>
      <c r="D155" s="89" t="s">
        <v>60</v>
      </c>
      <c r="E155" s="67"/>
      <c r="F155" s="83">
        <v>0.13</v>
      </c>
      <c r="G155" s="90"/>
      <c r="H155" s="91">
        <f>H154*F155</f>
        <v>2576.382892525</v>
      </c>
      <c r="I155" s="92">
        <v>0.13</v>
      </c>
      <c r="J155" s="30"/>
      <c r="K155" s="91">
        <f>K154*I155</f>
        <v>2585.4373925250002</v>
      </c>
      <c r="L155" s="93">
        <f>K155-H155</f>
        <v>9.0545000000001892</v>
      </c>
      <c r="M155" s="94">
        <f>IF((H155)=0,"",(L155/H155))</f>
        <v>3.5144232739126248E-3</v>
      </c>
    </row>
    <row r="156" spans="1:13" hidden="1" x14ac:dyDescent="0.2">
      <c r="A156" s="8" t="s">
        <v>68</v>
      </c>
      <c r="B156" s="14" t="s">
        <v>3</v>
      </c>
      <c r="C156" s="26"/>
      <c r="D156" s="89" t="s">
        <v>61</v>
      </c>
      <c r="E156" s="67"/>
      <c r="F156" s="83">
        <v>0.08</v>
      </c>
      <c r="G156" s="90"/>
      <c r="H156" s="91">
        <v>0</v>
      </c>
      <c r="I156" s="83">
        <v>0.08</v>
      </c>
      <c r="J156" s="30"/>
      <c r="K156" s="91">
        <v>0</v>
      </c>
      <c r="L156" s="93">
        <f>K156-H156</f>
        <v>0</v>
      </c>
      <c r="M156" s="94"/>
    </row>
    <row r="157" spans="1:13" hidden="1" x14ac:dyDescent="0.2">
      <c r="A157" s="8" t="s">
        <v>68</v>
      </c>
      <c r="B157" s="14" t="s">
        <v>62</v>
      </c>
      <c r="C157" s="26"/>
      <c r="D157" s="123" t="s">
        <v>63</v>
      </c>
      <c r="E157" s="123"/>
      <c r="F157" s="95"/>
      <c r="G157" s="96"/>
      <c r="H157" s="97">
        <f>H154+H155+H156</f>
        <v>22394.712835024999</v>
      </c>
      <c r="I157" s="98"/>
      <c r="J157" s="98"/>
      <c r="K157" s="99">
        <f>K154+K155+K156</f>
        <v>22473.417335025002</v>
      </c>
      <c r="L157" s="100">
        <f>K157-H157</f>
        <v>78.704500000003463</v>
      </c>
      <c r="M157" s="101">
        <f>IF((H157)=0,"",(L157/H157))</f>
        <v>3.5144232739127063E-3</v>
      </c>
    </row>
    <row r="158" spans="1:13" ht="13.5" hidden="1" thickBot="1" x14ac:dyDescent="0.25">
      <c r="A158" s="8" t="s">
        <v>68</v>
      </c>
      <c r="B158" s="8" t="s">
        <v>3</v>
      </c>
      <c r="C158" s="26"/>
      <c r="D158" s="74"/>
      <c r="E158" s="75"/>
      <c r="F158" s="76"/>
      <c r="G158" s="77"/>
      <c r="H158" s="78"/>
      <c r="I158" s="76"/>
      <c r="J158" s="79"/>
      <c r="K158" s="78"/>
      <c r="L158" s="80"/>
      <c r="M158" s="81"/>
    </row>
    <row r="159" spans="1:13" hidden="1" x14ac:dyDescent="0.2">
      <c r="A159" s="8" t="s">
        <v>68</v>
      </c>
      <c r="B159" s="8" t="s">
        <v>56</v>
      </c>
      <c r="C159" s="26"/>
      <c r="D159" s="82" t="s">
        <v>64</v>
      </c>
      <c r="E159" s="67"/>
      <c r="F159" s="83"/>
      <c r="G159" s="84"/>
      <c r="H159" s="85">
        <f>SUM(H151,H144:H147,H143)</f>
        <v>25123.340499999998</v>
      </c>
      <c r="I159" s="86"/>
      <c r="J159" s="86"/>
      <c r="K159" s="85">
        <f>SUM(K151,K144:K147,K143)</f>
        <v>25192.9905</v>
      </c>
      <c r="L159" s="87">
        <f>K159-H159</f>
        <v>69.650000000001455</v>
      </c>
      <c r="M159" s="88">
        <f>IF((H159)=0,"",(L159/H159))</f>
        <v>2.772322414688503E-3</v>
      </c>
    </row>
    <row r="160" spans="1:13" hidden="1" x14ac:dyDescent="0.2">
      <c r="A160" s="8" t="s">
        <v>68</v>
      </c>
      <c r="B160" s="8" t="s">
        <v>56</v>
      </c>
      <c r="C160" s="26"/>
      <c r="D160" s="89" t="s">
        <v>60</v>
      </c>
      <c r="E160" s="67"/>
      <c r="F160" s="83">
        <v>0.13</v>
      </c>
      <c r="G160" s="84"/>
      <c r="H160" s="91">
        <f>H159*F160</f>
        <v>3266.0342649999998</v>
      </c>
      <c r="I160" s="83">
        <v>0.13</v>
      </c>
      <c r="J160" s="92"/>
      <c r="K160" s="91">
        <f>K159*I160</f>
        <v>3275.088765</v>
      </c>
      <c r="L160" s="93">
        <f>K160-H160</f>
        <v>9.0545000000001892</v>
      </c>
      <c r="M160" s="94">
        <f>IF((H160)=0,"",(L160/H160))</f>
        <v>2.772322414688503E-3</v>
      </c>
    </row>
    <row r="161" spans="1:20" hidden="1" x14ac:dyDescent="0.2">
      <c r="A161" s="8" t="s">
        <v>68</v>
      </c>
      <c r="B161" s="8" t="s">
        <v>56</v>
      </c>
      <c r="C161" s="26"/>
      <c r="D161" s="89" t="s">
        <v>61</v>
      </c>
      <c r="E161" s="67"/>
      <c r="F161" s="83">
        <v>0.08</v>
      </c>
      <c r="G161" s="84"/>
      <c r="H161" s="91">
        <v>0</v>
      </c>
      <c r="I161" s="83">
        <v>0.08</v>
      </c>
      <c r="J161" s="92"/>
      <c r="K161" s="91">
        <v>0</v>
      </c>
      <c r="L161" s="93"/>
      <c r="M161" s="94"/>
    </row>
    <row r="162" spans="1:20" hidden="1" x14ac:dyDescent="0.2">
      <c r="A162" s="8" t="s">
        <v>68</v>
      </c>
      <c r="B162" s="8" t="s">
        <v>65</v>
      </c>
      <c r="C162" s="26"/>
      <c r="D162" s="123" t="s">
        <v>64</v>
      </c>
      <c r="E162" s="123"/>
      <c r="F162" s="102"/>
      <c r="G162" s="103"/>
      <c r="H162" s="97">
        <f>SUM(H159,H160)</f>
        <v>28389.374764999997</v>
      </c>
      <c r="I162" s="104"/>
      <c r="J162" s="104"/>
      <c r="K162" s="97">
        <f>SUM(K159,K160)</f>
        <v>28468.079265</v>
      </c>
      <c r="L162" s="105">
        <f>K162-H162</f>
        <v>78.704500000003463</v>
      </c>
      <c r="M162" s="106">
        <f>IF((H162)=0,"",(L162/H162))</f>
        <v>2.7723224146885671E-3</v>
      </c>
    </row>
    <row r="163" spans="1:20" ht="13.5" hidden="1" thickBot="1" x14ac:dyDescent="0.25">
      <c r="A163" s="8" t="s">
        <v>68</v>
      </c>
      <c r="B163" s="8" t="s">
        <v>56</v>
      </c>
      <c r="C163" s="26"/>
      <c r="D163" s="74"/>
      <c r="E163" s="75"/>
      <c r="F163" s="107"/>
      <c r="G163" s="108"/>
      <c r="H163" s="109"/>
      <c r="I163" s="107"/>
      <c r="J163" s="77"/>
      <c r="K163" s="109"/>
      <c r="L163" s="110"/>
      <c r="M163" s="81"/>
    </row>
    <row r="164" spans="1:20" x14ac:dyDescent="0.2">
      <c r="A164" s="8" t="s">
        <v>68</v>
      </c>
      <c r="B164" s="8" t="s">
        <v>6</v>
      </c>
      <c r="C164" s="26"/>
      <c r="D164" s="82" t="s">
        <v>66</v>
      </c>
      <c r="E164" s="67"/>
      <c r="F164" s="83"/>
      <c r="G164" s="84"/>
      <c r="H164" s="85">
        <f>SUM(H152,H144:H147,H143)</f>
        <v>25123.340499999998</v>
      </c>
      <c r="I164" s="86"/>
      <c r="J164" s="86"/>
      <c r="K164" s="85">
        <f>SUM(K152,K144:K147,K143)</f>
        <v>25192.9905</v>
      </c>
      <c r="L164" s="87">
        <f>K164-H164</f>
        <v>69.650000000001455</v>
      </c>
      <c r="M164" s="88">
        <f>IF((H164)=0,"",(L164/H164))</f>
        <v>2.772322414688503E-3</v>
      </c>
    </row>
    <row r="165" spans="1:20" x14ac:dyDescent="0.2">
      <c r="A165" s="8" t="s">
        <v>68</v>
      </c>
      <c r="B165" s="8" t="s">
        <v>6</v>
      </c>
      <c r="C165" s="26"/>
      <c r="D165" s="89" t="s">
        <v>60</v>
      </c>
      <c r="E165" s="67"/>
      <c r="F165" s="83">
        <v>0.13</v>
      </c>
      <c r="G165" s="84"/>
      <c r="H165" s="91">
        <f>H164*F165</f>
        <v>3266.0342649999998</v>
      </c>
      <c r="I165" s="83">
        <v>0.13</v>
      </c>
      <c r="J165" s="92"/>
      <c r="K165" s="91">
        <f>K164*I165</f>
        <v>3275.088765</v>
      </c>
      <c r="L165" s="93">
        <f>K165-H165</f>
        <v>9.0545000000001892</v>
      </c>
      <c r="M165" s="94">
        <f>IF((H165)=0,"",(L165/H165))</f>
        <v>2.772322414688503E-3</v>
      </c>
    </row>
    <row r="166" spans="1:20" hidden="1" x14ac:dyDescent="0.2">
      <c r="A166" s="8" t="s">
        <v>68</v>
      </c>
      <c r="B166" s="8" t="s">
        <v>6</v>
      </c>
      <c r="C166" s="26"/>
      <c r="D166" s="89" t="s">
        <v>61</v>
      </c>
      <c r="E166" s="67"/>
      <c r="F166" s="83">
        <v>0.08</v>
      </c>
      <c r="G166" s="84"/>
      <c r="H166" s="91">
        <v>0</v>
      </c>
      <c r="I166" s="83">
        <v>0.08</v>
      </c>
      <c r="J166" s="92"/>
      <c r="K166" s="91">
        <v>0</v>
      </c>
      <c r="L166" s="93"/>
      <c r="M166" s="94"/>
    </row>
    <row r="167" spans="1:20" ht="13.5" thickBot="1" x14ac:dyDescent="0.25">
      <c r="A167" s="8" t="s">
        <v>68</v>
      </c>
      <c r="B167" s="8" t="s">
        <v>67</v>
      </c>
      <c r="C167" s="26">
        <v>3</v>
      </c>
      <c r="D167" s="123" t="s">
        <v>66</v>
      </c>
      <c r="E167" s="123"/>
      <c r="F167" s="102"/>
      <c r="G167" s="103"/>
      <c r="H167" s="97">
        <f>SUM(H164,H165)</f>
        <v>28389.374764999997</v>
      </c>
      <c r="I167" s="104"/>
      <c r="J167" s="104"/>
      <c r="K167" s="97">
        <f>SUM(K164,K165)</f>
        <v>28468.079265</v>
      </c>
      <c r="L167" s="105">
        <f>K167-H167</f>
        <v>78.704500000003463</v>
      </c>
      <c r="M167" s="106">
        <f>IF((H167)=0,"",(L167/H167))</f>
        <v>2.7723224146885671E-3</v>
      </c>
    </row>
    <row r="168" spans="1:20" ht="13.5" thickBot="1" x14ac:dyDescent="0.25">
      <c r="A168" s="8" t="s">
        <v>68</v>
      </c>
      <c r="B168" s="8" t="s">
        <v>6</v>
      </c>
      <c r="C168" s="26"/>
      <c r="D168" s="74"/>
      <c r="E168" s="75"/>
      <c r="F168" s="111"/>
      <c r="G168" s="112"/>
      <c r="H168" s="113"/>
      <c r="I168" s="111"/>
      <c r="J168" s="114"/>
      <c r="K168" s="113"/>
      <c r="L168" s="115"/>
      <c r="M168" s="116"/>
    </row>
    <row r="171" spans="1:20" x14ac:dyDescent="0.2">
      <c r="C171" s="8"/>
      <c r="D171" s="10" t="s">
        <v>12</v>
      </c>
      <c r="E171" s="124" t="s">
        <v>69</v>
      </c>
      <c r="F171" s="124"/>
      <c r="G171" s="124"/>
      <c r="H171" s="124"/>
      <c r="I171" s="124"/>
      <c r="J171" s="124"/>
      <c r="K171" s="8" t="s">
        <v>8</v>
      </c>
      <c r="T171" s="8" t="s">
        <v>11</v>
      </c>
    </row>
    <row r="172" spans="1:20" x14ac:dyDescent="0.2">
      <c r="C172" s="8"/>
      <c r="D172" s="10" t="s">
        <v>13</v>
      </c>
      <c r="E172" s="125" t="s">
        <v>6</v>
      </c>
      <c r="F172" s="125"/>
      <c r="G172" s="125"/>
      <c r="H172" s="11"/>
      <c r="I172" s="11"/>
    </row>
    <row r="173" spans="1:20" ht="15.75" x14ac:dyDescent="0.2">
      <c r="C173" s="8"/>
      <c r="D173" s="10" t="s">
        <v>14</v>
      </c>
      <c r="E173" s="12">
        <v>627216</v>
      </c>
      <c r="F173" s="13" t="s">
        <v>2</v>
      </c>
      <c r="G173" s="14"/>
      <c r="J173" s="15"/>
      <c r="K173" s="15"/>
      <c r="L173" s="15"/>
      <c r="M173" s="15"/>
    </row>
    <row r="174" spans="1:20" ht="15.75" x14ac:dyDescent="0.25">
      <c r="C174" s="8"/>
      <c r="D174" s="10" t="s">
        <v>15</v>
      </c>
      <c r="E174" s="12">
        <v>1432</v>
      </c>
      <c r="F174" s="16" t="s">
        <v>5</v>
      </c>
      <c r="G174" s="17"/>
      <c r="H174" s="18"/>
      <c r="I174" s="18"/>
      <c r="J174" s="18"/>
    </row>
    <row r="175" spans="1:20" x14ac:dyDescent="0.2">
      <c r="C175" s="8"/>
      <c r="D175" s="10" t="s">
        <v>16</v>
      </c>
      <c r="E175" s="19">
        <v>1.0341</v>
      </c>
    </row>
    <row r="176" spans="1:20" x14ac:dyDescent="0.2">
      <c r="C176" s="8"/>
      <c r="D176" s="10" t="s">
        <v>17</v>
      </c>
      <c r="E176" s="19">
        <v>1.0341</v>
      </c>
    </row>
    <row r="177" spans="1:13" x14ac:dyDescent="0.2">
      <c r="C177" s="8"/>
      <c r="D177" s="14"/>
    </row>
    <row r="178" spans="1:13" x14ac:dyDescent="0.2">
      <c r="C178" s="8"/>
      <c r="D178" s="14"/>
      <c r="E178" s="20"/>
      <c r="F178" s="126" t="s">
        <v>18</v>
      </c>
      <c r="G178" s="127"/>
      <c r="H178" s="128"/>
      <c r="I178" s="126" t="s">
        <v>19</v>
      </c>
      <c r="J178" s="127"/>
      <c r="K178" s="128"/>
      <c r="L178" s="126" t="s">
        <v>20</v>
      </c>
      <c r="M178" s="128"/>
    </row>
    <row r="179" spans="1:13" x14ac:dyDescent="0.2">
      <c r="C179" s="8"/>
      <c r="D179" s="14"/>
      <c r="E179" s="117"/>
      <c r="F179" s="21" t="s">
        <v>21</v>
      </c>
      <c r="G179" s="21" t="s">
        <v>22</v>
      </c>
      <c r="H179" s="22" t="s">
        <v>23</v>
      </c>
      <c r="I179" s="21" t="s">
        <v>21</v>
      </c>
      <c r="J179" s="23" t="s">
        <v>22</v>
      </c>
      <c r="K179" s="22" t="s">
        <v>23</v>
      </c>
      <c r="L179" s="119" t="s">
        <v>24</v>
      </c>
      <c r="M179" s="121" t="s">
        <v>25</v>
      </c>
    </row>
    <row r="180" spans="1:13" x14ac:dyDescent="0.2">
      <c r="C180" s="8"/>
      <c r="D180" s="14"/>
      <c r="E180" s="118"/>
      <c r="F180" s="24" t="s">
        <v>26</v>
      </c>
      <c r="G180" s="24"/>
      <c r="H180" s="25" t="s">
        <v>26</v>
      </c>
      <c r="I180" s="24" t="s">
        <v>26</v>
      </c>
      <c r="J180" s="25"/>
      <c r="K180" s="25" t="s">
        <v>26</v>
      </c>
      <c r="L180" s="120"/>
      <c r="M180" s="122"/>
    </row>
    <row r="181" spans="1:13" x14ac:dyDescent="0.2">
      <c r="A181" s="8" t="s">
        <v>69</v>
      </c>
      <c r="C181" s="26"/>
      <c r="D181" s="27" t="s">
        <v>27</v>
      </c>
      <c r="E181" s="28"/>
      <c r="F181" s="29">
        <v>1141.02</v>
      </c>
      <c r="G181" s="30">
        <v>1</v>
      </c>
      <c r="H181" s="31">
        <f>G181*F181</f>
        <v>1141.02</v>
      </c>
      <c r="I181" s="32">
        <v>1154.71</v>
      </c>
      <c r="J181" s="33">
        <f>G181</f>
        <v>1</v>
      </c>
      <c r="K181" s="31">
        <f>J181*I181</f>
        <v>1154.71</v>
      </c>
      <c r="L181" s="34">
        <f t="shared" ref="L181:L202" si="21">K181-H181</f>
        <v>13.690000000000055</v>
      </c>
      <c r="M181" s="35">
        <f>IF(ISERROR(L181/H181), "", L181/H181)</f>
        <v>1.1998036844227143E-2</v>
      </c>
    </row>
    <row r="182" spans="1:13" x14ac:dyDescent="0.2">
      <c r="A182" s="8" t="s">
        <v>69</v>
      </c>
      <c r="C182" s="26"/>
      <c r="D182" s="27" t="s">
        <v>28</v>
      </c>
      <c r="E182" s="28"/>
      <c r="F182" s="36">
        <v>3.3250000000000002</v>
      </c>
      <c r="G182" s="30">
        <f>IF($E174&gt;0, $E174, $E173)</f>
        <v>1432</v>
      </c>
      <c r="H182" s="31">
        <f t="shared" ref="H182:H194" si="22">G182*F182</f>
        <v>4761.4000000000005</v>
      </c>
      <c r="I182" s="37">
        <v>3.3649</v>
      </c>
      <c r="J182" s="33">
        <f>IF($E174&gt;0, $E174, $E173)</f>
        <v>1432</v>
      </c>
      <c r="K182" s="31">
        <f>J182*I182</f>
        <v>4818.5367999999999</v>
      </c>
      <c r="L182" s="34">
        <f t="shared" si="21"/>
        <v>57.136799999999312</v>
      </c>
      <c r="M182" s="35">
        <f t="shared" ref="M182:M192" si="23">IF(ISERROR(L182/H182), "", L182/H182)</f>
        <v>1.1999999999999855E-2</v>
      </c>
    </row>
    <row r="183" spans="1:13" hidden="1" x14ac:dyDescent="0.2">
      <c r="A183" s="8" t="s">
        <v>69</v>
      </c>
      <c r="C183" s="26"/>
      <c r="D183" s="27" t="s">
        <v>29</v>
      </c>
      <c r="E183" s="28"/>
      <c r="F183" s="36"/>
      <c r="G183" s="30">
        <f>IF($E174&gt;0, $E174, $E173)</f>
        <v>1432</v>
      </c>
      <c r="H183" s="31">
        <v>0</v>
      </c>
      <c r="I183" s="37"/>
      <c r="J183" s="33">
        <f>IF($E174&gt;0, $E174, $E173)</f>
        <v>1432</v>
      </c>
      <c r="K183" s="31">
        <v>0</v>
      </c>
      <c r="L183" s="34"/>
      <c r="M183" s="35"/>
    </row>
    <row r="184" spans="1:13" hidden="1" x14ac:dyDescent="0.2">
      <c r="A184" s="8" t="s">
        <v>69</v>
      </c>
      <c r="C184" s="26"/>
      <c r="D184" s="27" t="s">
        <v>30</v>
      </c>
      <c r="E184" s="28"/>
      <c r="F184" s="36"/>
      <c r="G184" s="30">
        <f>IF($E174&gt;0, $E174, $E173)</f>
        <v>1432</v>
      </c>
      <c r="H184" s="31">
        <v>0</v>
      </c>
      <c r="I184" s="37"/>
      <c r="J184" s="30">
        <f>IF($E174&gt;0, $E174, $E173)</f>
        <v>1432</v>
      </c>
      <c r="K184" s="31">
        <v>0</v>
      </c>
      <c r="L184" s="34">
        <f>K184-H184</f>
        <v>0</v>
      </c>
      <c r="M184" s="35" t="str">
        <f>IF(ISERROR(L184/H184), "", L184/H184)</f>
        <v/>
      </c>
    </row>
    <row r="185" spans="1:13" x14ac:dyDescent="0.2">
      <c r="A185" s="8" t="s">
        <v>69</v>
      </c>
      <c r="C185" s="26"/>
      <c r="D185" s="38" t="s">
        <v>31</v>
      </c>
      <c r="E185" s="28"/>
      <c r="F185" s="29">
        <v>39.07</v>
      </c>
      <c r="G185" s="30">
        <v>1</v>
      </c>
      <c r="H185" s="31">
        <f t="shared" si="22"/>
        <v>39.07</v>
      </c>
      <c r="I185" s="32">
        <v>17.52</v>
      </c>
      <c r="J185" s="33">
        <f>G185</f>
        <v>1</v>
      </c>
      <c r="K185" s="31">
        <f t="shared" ref="K185:K192" si="24">J185*I185</f>
        <v>17.52</v>
      </c>
      <c r="L185" s="34">
        <f t="shared" si="21"/>
        <v>-21.55</v>
      </c>
      <c r="M185" s="35">
        <f t="shared" si="23"/>
        <v>-0.55157409777322752</v>
      </c>
    </row>
    <row r="186" spans="1:13" x14ac:dyDescent="0.2">
      <c r="A186" s="8" t="s">
        <v>69</v>
      </c>
      <c r="C186" s="26"/>
      <c r="D186" s="27" t="s">
        <v>32</v>
      </c>
      <c r="E186" s="28"/>
      <c r="F186" s="36">
        <v>3.1699999999999999E-2</v>
      </c>
      <c r="G186" s="30">
        <f>IF($E174&gt;0, $E174, $E173)</f>
        <v>1432</v>
      </c>
      <c r="H186" s="31">
        <f t="shared" si="22"/>
        <v>45.394399999999997</v>
      </c>
      <c r="I186" s="37">
        <v>6.4000000000000001E-2</v>
      </c>
      <c r="J186" s="33">
        <f>IF($E174&gt;0, $E174, $E173)</f>
        <v>1432</v>
      </c>
      <c r="K186" s="31">
        <f t="shared" si="24"/>
        <v>91.647999999999996</v>
      </c>
      <c r="L186" s="34">
        <f t="shared" si="21"/>
        <v>46.253599999999999</v>
      </c>
      <c r="M186" s="35">
        <f t="shared" si="23"/>
        <v>1.0189274447949528</v>
      </c>
    </row>
    <row r="187" spans="1:13" x14ac:dyDescent="0.2">
      <c r="A187" s="8" t="s">
        <v>69</v>
      </c>
      <c r="B187" s="39" t="s">
        <v>33</v>
      </c>
      <c r="C187" s="26">
        <v>4</v>
      </c>
      <c r="D187" s="40" t="s">
        <v>34</v>
      </c>
      <c r="E187" s="41"/>
      <c r="F187" s="42"/>
      <c r="G187" s="43"/>
      <c r="H187" s="44">
        <f>SUM(H181:H186)</f>
        <v>5986.8843999999999</v>
      </c>
      <c r="I187" s="45"/>
      <c r="J187" s="46"/>
      <c r="K187" s="44">
        <f>SUM(K181:K186)</f>
        <v>6082.4148000000005</v>
      </c>
      <c r="L187" s="47">
        <f t="shared" si="21"/>
        <v>95.530400000000554</v>
      </c>
      <c r="M187" s="48">
        <f>IF((H187)=0,"",(L187/H187))</f>
        <v>1.5956613426509548E-2</v>
      </c>
    </row>
    <row r="188" spans="1:13" x14ac:dyDescent="0.2">
      <c r="A188" s="8" t="s">
        <v>69</v>
      </c>
      <c r="C188" s="26"/>
      <c r="D188" s="49" t="s">
        <v>35</v>
      </c>
      <c r="E188" s="28"/>
      <c r="F188" s="36">
        <f>IF((E173*12&gt;=150000), 0, IF(E172="RPP",(F204*0.65+F205*0.17+F206*0.18),IF(E172="Non-RPP (Retailer)",F207,F208)))</f>
        <v>0</v>
      </c>
      <c r="G188" s="50">
        <f>IF(F188=0, 0, $E173*E175-E173)</f>
        <v>0</v>
      </c>
      <c r="H188" s="31">
        <f>G188*F188</f>
        <v>0</v>
      </c>
      <c r="I188" s="37">
        <f>IF((E173*12&gt;=150000), 0, IF(E172="RPP",(I204*0.65+I205*0.17+I206*0.18),IF(E172="Non-RPP (Retailer)",I207,I208)))</f>
        <v>0</v>
      </c>
      <c r="J188" s="50">
        <f>IF(I188=0, 0, E173*E176-E173)</f>
        <v>0</v>
      </c>
      <c r="K188" s="31">
        <f>J188*I188</f>
        <v>0</v>
      </c>
      <c r="L188" s="34">
        <f>K188-H188</f>
        <v>0</v>
      </c>
      <c r="M188" s="35" t="str">
        <f>IF(ISERROR(L188/H188), "", L188/H188)</f>
        <v/>
      </c>
    </row>
    <row r="189" spans="1:13" ht="25.5" x14ac:dyDescent="0.2">
      <c r="A189" s="8" t="s">
        <v>69</v>
      </c>
      <c r="C189" s="26"/>
      <c r="D189" s="49" t="s">
        <v>36</v>
      </c>
      <c r="E189" s="28"/>
      <c r="F189" s="36">
        <v>-0.4158</v>
      </c>
      <c r="G189" s="51">
        <f>IF($E174&gt;0, $E174, $E173)</f>
        <v>1432</v>
      </c>
      <c r="H189" s="31">
        <f t="shared" si="22"/>
        <v>-595.42560000000003</v>
      </c>
      <c r="I189" s="37">
        <v>-0.95930000000000004</v>
      </c>
      <c r="J189" s="51">
        <f>IF($E174&gt;0, $E174, $E173)</f>
        <v>1432</v>
      </c>
      <c r="K189" s="31">
        <f t="shared" si="24"/>
        <v>-1373.7175999999999</v>
      </c>
      <c r="L189" s="34">
        <f t="shared" si="21"/>
        <v>-778.29199999999992</v>
      </c>
      <c r="M189" s="35">
        <f t="shared" si="23"/>
        <v>1.3071188071188069</v>
      </c>
    </row>
    <row r="190" spans="1:13" x14ac:dyDescent="0.2">
      <c r="A190" s="8" t="s">
        <v>69</v>
      </c>
      <c r="C190" s="26"/>
      <c r="D190" s="49" t="s">
        <v>37</v>
      </c>
      <c r="E190" s="28"/>
      <c r="F190" s="36">
        <v>0</v>
      </c>
      <c r="G190" s="51">
        <f>IF($E174&gt;0, $E174, $E173)</f>
        <v>1432</v>
      </c>
      <c r="H190" s="31">
        <f>G190*F190</f>
        <v>0</v>
      </c>
      <c r="I190" s="37">
        <v>0</v>
      </c>
      <c r="J190" s="51">
        <f>IF($E174&gt;0, $E174, $E173)</f>
        <v>1432</v>
      </c>
      <c r="K190" s="31">
        <f>J190*I190</f>
        <v>0</v>
      </c>
      <c r="L190" s="34">
        <f t="shared" si="21"/>
        <v>0</v>
      </c>
      <c r="M190" s="35" t="str">
        <f t="shared" si="23"/>
        <v/>
      </c>
    </row>
    <row r="191" spans="1:13" x14ac:dyDescent="0.2">
      <c r="A191" s="8" t="s">
        <v>69</v>
      </c>
      <c r="C191" s="26"/>
      <c r="D191" s="49" t="s">
        <v>38</v>
      </c>
      <c r="E191" s="28"/>
      <c r="F191" s="36">
        <v>-8.9999999999999998E-4</v>
      </c>
      <c r="G191" s="51">
        <f>E173</f>
        <v>627216</v>
      </c>
      <c r="H191" s="31">
        <f>G191*F191</f>
        <v>-564.49439999999993</v>
      </c>
      <c r="I191" s="37">
        <v>8.9999999999999998E-4</v>
      </c>
      <c r="J191" s="51">
        <f>E173</f>
        <v>627216</v>
      </c>
      <c r="K191" s="31">
        <f t="shared" si="24"/>
        <v>564.49439999999993</v>
      </c>
      <c r="L191" s="34">
        <f t="shared" si="21"/>
        <v>1128.9887999999999</v>
      </c>
      <c r="M191" s="35">
        <f t="shared" si="23"/>
        <v>-2</v>
      </c>
    </row>
    <row r="192" spans="1:13" x14ac:dyDescent="0.2">
      <c r="A192" s="8" t="s">
        <v>69</v>
      </c>
      <c r="C192" s="26"/>
      <c r="D192" s="52" t="s">
        <v>39</v>
      </c>
      <c r="E192" s="28"/>
      <c r="F192" s="36">
        <v>0</v>
      </c>
      <c r="G192" s="51">
        <f>IF($E174&gt;0, $E174, $E173)</f>
        <v>1432</v>
      </c>
      <c r="H192" s="31">
        <f t="shared" si="22"/>
        <v>0</v>
      </c>
      <c r="I192" s="37"/>
      <c r="J192" s="51">
        <f>IF($E174&gt;0, $E174, $E173)</f>
        <v>1432</v>
      </c>
      <c r="K192" s="31">
        <f t="shared" si="24"/>
        <v>0</v>
      </c>
      <c r="L192" s="34">
        <f t="shared" si="21"/>
        <v>0</v>
      </c>
      <c r="M192" s="35" t="str">
        <f t="shared" si="23"/>
        <v/>
      </c>
    </row>
    <row r="193" spans="1:13" ht="25.5" x14ac:dyDescent="0.2">
      <c r="A193" s="8" t="s">
        <v>69</v>
      </c>
      <c r="C193" s="26"/>
      <c r="D193" s="53" t="s">
        <v>40</v>
      </c>
      <c r="E193" s="28"/>
      <c r="F193" s="54">
        <f>IF(OR(ISNUMBER(SEARCH("RESIDENTIAL", E171))=TRUE, ISNUMBER(SEARCH("GENERAL SERVICE LESS THAN 50", E171))=TRUE), SME, 0)</f>
        <v>0</v>
      </c>
      <c r="G193" s="30">
        <v>1</v>
      </c>
      <c r="H193" s="31">
        <f>G193*F193</f>
        <v>0</v>
      </c>
      <c r="I193" s="55">
        <f>IF(OR(ISNUMBER(SEARCH("RESIDENTIAL", E171))=TRUE, ISNUMBER(SEARCH("GENERAL SERVICE LESS THAN 50", E171))=TRUE), SME, 0)</f>
        <v>0</v>
      </c>
      <c r="J193" s="30">
        <v>1</v>
      </c>
      <c r="K193" s="31">
        <f>J193*I193</f>
        <v>0</v>
      </c>
      <c r="L193" s="34">
        <f t="shared" si="21"/>
        <v>0</v>
      </c>
      <c r="M193" s="35" t="str">
        <f>IF(ISERROR(L193/H193), "", L193/H193)</f>
        <v/>
      </c>
    </row>
    <row r="194" spans="1:13" x14ac:dyDescent="0.2">
      <c r="A194" s="8" t="s">
        <v>69</v>
      </c>
      <c r="C194" s="26"/>
      <c r="D194" s="52" t="s">
        <v>41</v>
      </c>
      <c r="E194" s="28"/>
      <c r="F194" s="29">
        <v>0</v>
      </c>
      <c r="G194" s="30">
        <v>1</v>
      </c>
      <c r="H194" s="31">
        <f t="shared" si="22"/>
        <v>0</v>
      </c>
      <c r="I194" s="32">
        <v>0</v>
      </c>
      <c r="J194" s="30">
        <v>1</v>
      </c>
      <c r="K194" s="31">
        <f>J194*I194</f>
        <v>0</v>
      </c>
      <c r="L194" s="34">
        <f>K194-H194</f>
        <v>0</v>
      </c>
      <c r="M194" s="35" t="str">
        <f>IF(ISERROR(L194/H194), "", L194/H194)</f>
        <v/>
      </c>
    </row>
    <row r="195" spans="1:13" x14ac:dyDescent="0.2">
      <c r="A195" s="8" t="s">
        <v>69</v>
      </c>
      <c r="C195" s="26"/>
      <c r="D195" s="52" t="s">
        <v>42</v>
      </c>
      <c r="E195" s="28"/>
      <c r="F195" s="36"/>
      <c r="G195" s="51">
        <f>IF($E174&gt;0, $E174, $E173)</f>
        <v>1432</v>
      </c>
      <c r="H195" s="31">
        <f>G195*F195</f>
        <v>0</v>
      </c>
      <c r="I195" s="37">
        <v>0</v>
      </c>
      <c r="J195" s="51">
        <f>IF($E174&gt;0, $E174, $E173)</f>
        <v>1432</v>
      </c>
      <c r="K195" s="31">
        <f>J195*I195</f>
        <v>0</v>
      </c>
      <c r="L195" s="34">
        <f t="shared" si="21"/>
        <v>0</v>
      </c>
      <c r="M195" s="35" t="str">
        <f>IF(ISERROR(L195/H195), "", L195/H195)</f>
        <v/>
      </c>
    </row>
    <row r="196" spans="1:13" ht="25.5" x14ac:dyDescent="0.2">
      <c r="A196" s="8" t="s">
        <v>69</v>
      </c>
      <c r="B196" s="14" t="s">
        <v>43</v>
      </c>
      <c r="C196" s="26">
        <v>4</v>
      </c>
      <c r="D196" s="56" t="s">
        <v>44</v>
      </c>
      <c r="E196" s="57"/>
      <c r="F196" s="58"/>
      <c r="G196" s="59"/>
      <c r="H196" s="60">
        <f>SUM(H187:H195)</f>
        <v>4826.9644000000008</v>
      </c>
      <c r="I196" s="61"/>
      <c r="J196" s="62"/>
      <c r="K196" s="60">
        <f>SUM(K187:K195)</f>
        <v>5273.1916000000001</v>
      </c>
      <c r="L196" s="47">
        <f t="shared" si="21"/>
        <v>446.22719999999936</v>
      </c>
      <c r="M196" s="48">
        <f>IF((H196)=0,"",(L196/H196))</f>
        <v>9.2444684282320222E-2</v>
      </c>
    </row>
    <row r="197" spans="1:13" x14ac:dyDescent="0.2">
      <c r="A197" s="8" t="s">
        <v>69</v>
      </c>
      <c r="C197" s="26"/>
      <c r="D197" s="63" t="s">
        <v>45</v>
      </c>
      <c r="E197" s="28"/>
      <c r="F197" s="36">
        <v>2.8742999999999999</v>
      </c>
      <c r="G197" s="50">
        <f>IF($E174&gt;0, $E174, $E173*$E175)</f>
        <v>1432</v>
      </c>
      <c r="H197" s="31">
        <f>G197*F197</f>
        <v>4115.9975999999997</v>
      </c>
      <c r="I197" s="37">
        <v>2.8022</v>
      </c>
      <c r="J197" s="50">
        <f>IF($E174&gt;0, $E174, $E173*$E176)</f>
        <v>1432</v>
      </c>
      <c r="K197" s="31">
        <f>J197*I197</f>
        <v>4012.7503999999999</v>
      </c>
      <c r="L197" s="34">
        <f t="shared" si="21"/>
        <v>-103.24719999999979</v>
      </c>
      <c r="M197" s="35">
        <f>IF(ISERROR(L197/H197), "", L197/H197)</f>
        <v>-2.5084368367950409E-2</v>
      </c>
    </row>
    <row r="198" spans="1:13" ht="25.5" x14ac:dyDescent="0.2">
      <c r="A198" s="8" t="s">
        <v>69</v>
      </c>
      <c r="C198" s="26"/>
      <c r="D198" s="64" t="s">
        <v>46</v>
      </c>
      <c r="E198" s="28"/>
      <c r="F198" s="36">
        <v>2.3517000000000001</v>
      </c>
      <c r="G198" s="50">
        <f>IF($E174&gt;0, $E174, $E173*$E175)</f>
        <v>1432</v>
      </c>
      <c r="H198" s="31">
        <f>G198*F198</f>
        <v>3367.6344000000004</v>
      </c>
      <c r="I198" s="37">
        <v>2.2827000000000002</v>
      </c>
      <c r="J198" s="50">
        <f>IF($E174&gt;0, $E174, $E173*$E176)</f>
        <v>1432</v>
      </c>
      <c r="K198" s="31">
        <f>J198*I198</f>
        <v>3268.8264000000004</v>
      </c>
      <c r="L198" s="34">
        <f t="shared" si="21"/>
        <v>-98.807999999999993</v>
      </c>
      <c r="M198" s="35">
        <f>IF(ISERROR(L198/H198), "", L198/H198)</f>
        <v>-2.9340477101671127E-2</v>
      </c>
    </row>
    <row r="199" spans="1:13" ht="25.5" x14ac:dyDescent="0.2">
      <c r="A199" s="8" t="s">
        <v>69</v>
      </c>
      <c r="B199" s="14" t="s">
        <v>47</v>
      </c>
      <c r="C199" s="26">
        <v>4</v>
      </c>
      <c r="D199" s="56" t="s">
        <v>48</v>
      </c>
      <c r="E199" s="41"/>
      <c r="F199" s="58"/>
      <c r="G199" s="59"/>
      <c r="H199" s="60">
        <f>SUM(H196:H198)</f>
        <v>12310.5964</v>
      </c>
      <c r="I199" s="61"/>
      <c r="J199" s="46"/>
      <c r="K199" s="60">
        <f>SUM(K196:K198)</f>
        <v>12554.768399999999</v>
      </c>
      <c r="L199" s="47">
        <f t="shared" si="21"/>
        <v>244.17199999999866</v>
      </c>
      <c r="M199" s="48">
        <f>IF((H199)=0,"",(L199/H199))</f>
        <v>1.9834294949349379E-2</v>
      </c>
    </row>
    <row r="200" spans="1:13" ht="25.5" x14ac:dyDescent="0.2">
      <c r="A200" s="8" t="s">
        <v>69</v>
      </c>
      <c r="C200" s="26"/>
      <c r="D200" s="65" t="s">
        <v>49</v>
      </c>
      <c r="E200" s="28"/>
      <c r="F200" s="36">
        <v>3.3999999999999998E-3</v>
      </c>
      <c r="G200" s="50">
        <f>E173*E175</f>
        <v>648604.06559999997</v>
      </c>
      <c r="H200" s="66">
        <f t="shared" ref="H200:H206" si="25">G200*F200</f>
        <v>2205.2538230399996</v>
      </c>
      <c r="I200" s="37">
        <v>3.4000000000000002E-3</v>
      </c>
      <c r="J200" s="50">
        <f>E173*E176</f>
        <v>648604.06559999997</v>
      </c>
      <c r="K200" s="66">
        <f t="shared" ref="K200:K206" si="26">J200*I200</f>
        <v>2205.25382304</v>
      </c>
      <c r="L200" s="34">
        <f t="shared" si="21"/>
        <v>0</v>
      </c>
      <c r="M200" s="35">
        <f t="shared" ref="M200:M208" si="27">IF(ISERROR(L200/H200), "", L200/H200)</f>
        <v>0</v>
      </c>
    </row>
    <row r="201" spans="1:13" ht="25.5" x14ac:dyDescent="0.2">
      <c r="A201" s="8" t="s">
        <v>69</v>
      </c>
      <c r="C201" s="26"/>
      <c r="D201" s="65" t="s">
        <v>50</v>
      </c>
      <c r="E201" s="28"/>
      <c r="F201" s="36">
        <f>'[7]17. Regulatory Charges'!$D$16</f>
        <v>5.0000000000000001E-4</v>
      </c>
      <c r="G201" s="50">
        <f>E173*E175</f>
        <v>648604.06559999997</v>
      </c>
      <c r="H201" s="66">
        <f t="shared" si="25"/>
        <v>324.30203280000001</v>
      </c>
      <c r="I201" s="37">
        <v>5.0000000000000001E-4</v>
      </c>
      <c r="J201" s="50">
        <f>E173*E176</f>
        <v>648604.06559999997</v>
      </c>
      <c r="K201" s="66">
        <f t="shared" si="26"/>
        <v>324.30203280000001</v>
      </c>
      <c r="L201" s="34">
        <f t="shared" si="21"/>
        <v>0</v>
      </c>
      <c r="M201" s="35">
        <f t="shared" si="27"/>
        <v>0</v>
      </c>
    </row>
    <row r="202" spans="1:13" x14ac:dyDescent="0.2">
      <c r="A202" s="8" t="s">
        <v>69</v>
      </c>
      <c r="C202" s="26"/>
      <c r="D202" s="67" t="s">
        <v>51</v>
      </c>
      <c r="E202" s="28"/>
      <c r="F202" s="54">
        <v>0.25</v>
      </c>
      <c r="G202" s="30">
        <v>1</v>
      </c>
      <c r="H202" s="66">
        <f t="shared" si="25"/>
        <v>0.25</v>
      </c>
      <c r="I202" s="55">
        <f>'[7]17. Regulatory Charges'!$D$17</f>
        <v>0.25</v>
      </c>
      <c r="J202" s="33">
        <v>1</v>
      </c>
      <c r="K202" s="66">
        <f t="shared" si="26"/>
        <v>0.25</v>
      </c>
      <c r="L202" s="34">
        <f t="shared" si="21"/>
        <v>0</v>
      </c>
      <c r="M202" s="35">
        <f t="shared" si="27"/>
        <v>0</v>
      </c>
    </row>
    <row r="203" spans="1:13" ht="25.5" hidden="1" x14ac:dyDescent="0.2">
      <c r="A203" s="8" t="s">
        <v>69</v>
      </c>
      <c r="C203" s="26"/>
      <c r="D203" s="65" t="s">
        <v>52</v>
      </c>
      <c r="E203" s="28"/>
      <c r="F203" s="36"/>
      <c r="G203" s="50"/>
      <c r="H203" s="66"/>
      <c r="I203" s="37"/>
      <c r="J203" s="50"/>
      <c r="K203" s="66"/>
      <c r="L203" s="34"/>
      <c r="M203" s="35"/>
    </row>
    <row r="204" spans="1:13" hidden="1" x14ac:dyDescent="0.2">
      <c r="A204" s="8" t="s">
        <v>69</v>
      </c>
      <c r="B204" s="14" t="s">
        <v>3</v>
      </c>
      <c r="C204" s="26"/>
      <c r="D204" s="68" t="s">
        <v>53</v>
      </c>
      <c r="E204" s="28"/>
      <c r="F204" s="69">
        <f>OffPeak</f>
        <v>6.5000000000000002E-2</v>
      </c>
      <c r="G204" s="70">
        <f>IF(AND(E173*12&gt;=150000),0.65*E173*E175,0.65*E173)</f>
        <v>421592.64264000003</v>
      </c>
      <c r="H204" s="66">
        <f t="shared" si="25"/>
        <v>27403.521771600004</v>
      </c>
      <c r="I204" s="71">
        <f>OffPeak</f>
        <v>6.5000000000000002E-2</v>
      </c>
      <c r="J204" s="70">
        <f>IF(AND(E173*12&gt;=150000),0.65*E173*E176,0.65*E173)</f>
        <v>421592.64264000003</v>
      </c>
      <c r="K204" s="66">
        <f t="shared" si="26"/>
        <v>27403.521771600004</v>
      </c>
      <c r="L204" s="34">
        <f>K204-H204</f>
        <v>0</v>
      </c>
      <c r="M204" s="35">
        <f t="shared" si="27"/>
        <v>0</v>
      </c>
    </row>
    <row r="205" spans="1:13" hidden="1" x14ac:dyDescent="0.2">
      <c r="A205" s="8" t="s">
        <v>69</v>
      </c>
      <c r="B205" s="14" t="s">
        <v>3</v>
      </c>
      <c r="C205" s="26"/>
      <c r="D205" s="68" t="s">
        <v>54</v>
      </c>
      <c r="E205" s="28"/>
      <c r="F205" s="69">
        <f>MidPeak</f>
        <v>9.4E-2</v>
      </c>
      <c r="G205" s="70">
        <f>IF(AND(E173*12&gt;=150000),0.17*E173*E175,0.17*E173)</f>
        <v>110262.691152</v>
      </c>
      <c r="H205" s="66">
        <f t="shared" si="25"/>
        <v>10364.692968288</v>
      </c>
      <c r="I205" s="71">
        <f>MidPeak</f>
        <v>9.4E-2</v>
      </c>
      <c r="J205" s="70">
        <f>IF(AND(E173*12&gt;=150000),0.17*E173*E176,0.17*E173)</f>
        <v>110262.691152</v>
      </c>
      <c r="K205" s="66">
        <f t="shared" si="26"/>
        <v>10364.692968288</v>
      </c>
      <c r="L205" s="34">
        <f>K205-H205</f>
        <v>0</v>
      </c>
      <c r="M205" s="35">
        <f t="shared" si="27"/>
        <v>0</v>
      </c>
    </row>
    <row r="206" spans="1:13" hidden="1" x14ac:dyDescent="0.2">
      <c r="A206" s="8" t="s">
        <v>69</v>
      </c>
      <c r="B206" s="14" t="s">
        <v>3</v>
      </c>
      <c r="C206" s="26"/>
      <c r="D206" s="14" t="s">
        <v>55</v>
      </c>
      <c r="E206" s="28"/>
      <c r="F206" s="69">
        <f>OnPeak</f>
        <v>0.13200000000000001</v>
      </c>
      <c r="G206" s="70">
        <f>IF(AND(E173*12&gt;=150000),0.18*E173*E175,0.18*E173)</f>
        <v>116748.731808</v>
      </c>
      <c r="H206" s="66">
        <f t="shared" si="25"/>
        <v>15410.832598656001</v>
      </c>
      <c r="I206" s="71">
        <f>OnPeak</f>
        <v>0.13200000000000001</v>
      </c>
      <c r="J206" s="70">
        <f>IF(AND(E173*12&gt;=150000),0.18*E173*E176,0.18*E173)</f>
        <v>116748.731808</v>
      </c>
      <c r="K206" s="66">
        <f t="shared" si="26"/>
        <v>15410.832598656001</v>
      </c>
      <c r="L206" s="34">
        <f>K206-H206</f>
        <v>0</v>
      </c>
      <c r="M206" s="35">
        <f t="shared" si="27"/>
        <v>0</v>
      </c>
    </row>
    <row r="207" spans="1:13" hidden="1" x14ac:dyDescent="0.2">
      <c r="A207" s="8" t="s">
        <v>69</v>
      </c>
      <c r="B207" s="8" t="s">
        <v>56</v>
      </c>
      <c r="C207" s="26"/>
      <c r="D207" s="68" t="s">
        <v>57</v>
      </c>
      <c r="E207" s="28"/>
      <c r="F207" s="72">
        <v>0.1101</v>
      </c>
      <c r="G207" s="70">
        <f>IF(AND(E173*12&gt;=150000),E173*E175,E173)</f>
        <v>648604.06559999997</v>
      </c>
      <c r="H207" s="66">
        <f>G207*F207</f>
        <v>71411.307622559994</v>
      </c>
      <c r="I207" s="73">
        <f>F207</f>
        <v>0.1101</v>
      </c>
      <c r="J207" s="70">
        <f>IF(AND(E173*12&gt;=150000),E173*E176,E173)</f>
        <v>648604.06559999997</v>
      </c>
      <c r="K207" s="66">
        <f>J207*I207</f>
        <v>71411.307622559994</v>
      </c>
      <c r="L207" s="34">
        <f>K207-H207</f>
        <v>0</v>
      </c>
      <c r="M207" s="35">
        <f t="shared" si="27"/>
        <v>0</v>
      </c>
    </row>
    <row r="208" spans="1:13" ht="13.5" thickBot="1" x14ac:dyDescent="0.25">
      <c r="A208" s="8" t="s">
        <v>69</v>
      </c>
      <c r="B208" s="8" t="s">
        <v>6</v>
      </c>
      <c r="C208" s="26"/>
      <c r="D208" s="68" t="s">
        <v>58</v>
      </c>
      <c r="E208" s="28"/>
      <c r="F208" s="72">
        <v>0.1101</v>
      </c>
      <c r="G208" s="70">
        <f>IF(AND(E173*12&gt;=150000),E173*E175,E173)</f>
        <v>648604.06559999997</v>
      </c>
      <c r="H208" s="66">
        <f>G208*F208</f>
        <v>71411.307622559994</v>
      </c>
      <c r="I208" s="73">
        <f>F208</f>
        <v>0.1101</v>
      </c>
      <c r="J208" s="70">
        <f>IF(AND(E173*12&gt;=150000),E173*E176,E173)</f>
        <v>648604.06559999997</v>
      </c>
      <c r="K208" s="66">
        <f>J208*I208</f>
        <v>71411.307622559994</v>
      </c>
      <c r="L208" s="34">
        <f>K208-H208</f>
        <v>0</v>
      </c>
      <c r="M208" s="35">
        <f t="shared" si="27"/>
        <v>0</v>
      </c>
    </row>
    <row r="209" spans="1:13" ht="13.5" thickBot="1" x14ac:dyDescent="0.25">
      <c r="A209" s="8" t="s">
        <v>69</v>
      </c>
      <c r="B209" s="14"/>
      <c r="C209" s="26"/>
      <c r="D209" s="74"/>
      <c r="E209" s="75"/>
      <c r="F209" s="76"/>
      <c r="G209" s="77"/>
      <c r="H209" s="78"/>
      <c r="I209" s="76"/>
      <c r="J209" s="79"/>
      <c r="K209" s="78"/>
      <c r="L209" s="80"/>
      <c r="M209" s="81"/>
    </row>
    <row r="210" spans="1:13" hidden="1" x14ac:dyDescent="0.2">
      <c r="A210" s="8" t="s">
        <v>69</v>
      </c>
      <c r="B210" s="14" t="s">
        <v>3</v>
      </c>
      <c r="C210" s="26"/>
      <c r="D210" s="82" t="s">
        <v>59</v>
      </c>
      <c r="E210" s="67"/>
      <c r="F210" s="83"/>
      <c r="G210" s="84"/>
      <c r="H210" s="85">
        <f>SUM(H200:H206,H199)</f>
        <v>68019.449594384001</v>
      </c>
      <c r="I210" s="86"/>
      <c r="J210" s="86"/>
      <c r="K210" s="85">
        <f>SUM(K200:K206,K199)</f>
        <v>68263.621594384007</v>
      </c>
      <c r="L210" s="87">
        <f>K210-H210</f>
        <v>244.17200000000594</v>
      </c>
      <c r="M210" s="88">
        <f>IF((H210)=0,"",(L210/H210))</f>
        <v>3.5897379566588836E-3</v>
      </c>
    </row>
    <row r="211" spans="1:13" hidden="1" x14ac:dyDescent="0.2">
      <c r="A211" s="8" t="s">
        <v>69</v>
      </c>
      <c r="B211" s="14" t="s">
        <v>3</v>
      </c>
      <c r="C211" s="26"/>
      <c r="D211" s="89" t="s">
        <v>60</v>
      </c>
      <c r="E211" s="67"/>
      <c r="F211" s="83">
        <v>0.13</v>
      </c>
      <c r="G211" s="90"/>
      <c r="H211" s="91">
        <f>H210*F211</f>
        <v>8842.5284472699204</v>
      </c>
      <c r="I211" s="92">
        <v>0.13</v>
      </c>
      <c r="J211" s="30"/>
      <c r="K211" s="91">
        <f>K210*I211</f>
        <v>8874.2708072699206</v>
      </c>
      <c r="L211" s="93">
        <f>K211-H211</f>
        <v>31.74236000000019</v>
      </c>
      <c r="M211" s="94">
        <f>IF((H211)=0,"",(L211/H211))</f>
        <v>3.5897379566588172E-3</v>
      </c>
    </row>
    <row r="212" spans="1:13" hidden="1" x14ac:dyDescent="0.2">
      <c r="A212" s="8" t="s">
        <v>69</v>
      </c>
      <c r="B212" s="14" t="s">
        <v>3</v>
      </c>
      <c r="C212" s="26"/>
      <c r="D212" s="89" t="s">
        <v>61</v>
      </c>
      <c r="E212" s="67"/>
      <c r="F212" s="83">
        <v>0.08</v>
      </c>
      <c r="G212" s="90"/>
      <c r="H212" s="91">
        <v>0</v>
      </c>
      <c r="I212" s="83">
        <v>0.08</v>
      </c>
      <c r="J212" s="30"/>
      <c r="K212" s="91">
        <v>0</v>
      </c>
      <c r="L212" s="93">
        <f>K212-H212</f>
        <v>0</v>
      </c>
      <c r="M212" s="94"/>
    </row>
    <row r="213" spans="1:13" hidden="1" x14ac:dyDescent="0.2">
      <c r="A213" s="8" t="s">
        <v>69</v>
      </c>
      <c r="B213" s="14" t="s">
        <v>62</v>
      </c>
      <c r="C213" s="26"/>
      <c r="D213" s="123" t="s">
        <v>63</v>
      </c>
      <c r="E213" s="123"/>
      <c r="F213" s="95"/>
      <c r="G213" s="96"/>
      <c r="H213" s="97">
        <f>H210+H211+H212</f>
        <v>76861.978041653929</v>
      </c>
      <c r="I213" s="98"/>
      <c r="J213" s="98"/>
      <c r="K213" s="99">
        <f>K210+K211+K212</f>
        <v>77137.892401653924</v>
      </c>
      <c r="L213" s="100">
        <f>K213-H213</f>
        <v>275.91435999999521</v>
      </c>
      <c r="M213" s="101">
        <f>IF((H213)=0,"",(L213/H213))</f>
        <v>3.5897379566587335E-3</v>
      </c>
    </row>
    <row r="214" spans="1:13" ht="13.5" hidden="1" thickBot="1" x14ac:dyDescent="0.25">
      <c r="A214" s="8" t="s">
        <v>69</v>
      </c>
      <c r="B214" s="8" t="s">
        <v>3</v>
      </c>
      <c r="C214" s="26"/>
      <c r="D214" s="74"/>
      <c r="E214" s="75"/>
      <c r="F214" s="76"/>
      <c r="G214" s="77"/>
      <c r="H214" s="78"/>
      <c r="I214" s="76"/>
      <c r="J214" s="79"/>
      <c r="K214" s="78"/>
      <c r="L214" s="80"/>
      <c r="M214" s="81"/>
    </row>
    <row r="215" spans="1:13" hidden="1" x14ac:dyDescent="0.2">
      <c r="A215" s="8" t="s">
        <v>69</v>
      </c>
      <c r="B215" s="8" t="s">
        <v>56</v>
      </c>
      <c r="C215" s="26"/>
      <c r="D215" s="82" t="s">
        <v>64</v>
      </c>
      <c r="E215" s="67"/>
      <c r="F215" s="83"/>
      <c r="G215" s="84"/>
      <c r="H215" s="85">
        <f>SUM(H207,H200:H203,H199)</f>
        <v>86251.709878399983</v>
      </c>
      <c r="I215" s="86"/>
      <c r="J215" s="86"/>
      <c r="K215" s="85">
        <f>SUM(K207,K200:K203,K199)</f>
        <v>86495.881878399989</v>
      </c>
      <c r="L215" s="87">
        <f>K215-H215</f>
        <v>244.17200000000594</v>
      </c>
      <c r="M215" s="88">
        <f>IF((H215)=0,"",(L215/H215))</f>
        <v>2.8309235879989659E-3</v>
      </c>
    </row>
    <row r="216" spans="1:13" hidden="1" x14ac:dyDescent="0.2">
      <c r="A216" s="8" t="s">
        <v>69</v>
      </c>
      <c r="B216" s="8" t="s">
        <v>56</v>
      </c>
      <c r="C216" s="26"/>
      <c r="D216" s="89" t="s">
        <v>60</v>
      </c>
      <c r="E216" s="67"/>
      <c r="F216" s="83">
        <v>0.13</v>
      </c>
      <c r="G216" s="84"/>
      <c r="H216" s="91">
        <f>H215*F216</f>
        <v>11212.722284191997</v>
      </c>
      <c r="I216" s="83">
        <v>0.13</v>
      </c>
      <c r="J216" s="92"/>
      <c r="K216" s="91">
        <f>K215*I216</f>
        <v>11244.464644191999</v>
      </c>
      <c r="L216" s="93">
        <f>K216-H216</f>
        <v>31.742360000002009</v>
      </c>
      <c r="M216" s="94">
        <f>IF((H216)=0,"",(L216/H216))</f>
        <v>2.8309235879990765E-3</v>
      </c>
    </row>
    <row r="217" spans="1:13" hidden="1" x14ac:dyDescent="0.2">
      <c r="A217" s="8" t="s">
        <v>69</v>
      </c>
      <c r="B217" s="8" t="s">
        <v>56</v>
      </c>
      <c r="C217" s="26"/>
      <c r="D217" s="89" t="s">
        <v>61</v>
      </c>
      <c r="E217" s="67"/>
      <c r="F217" s="83">
        <v>0.08</v>
      </c>
      <c r="G217" s="84"/>
      <c r="H217" s="91">
        <v>0</v>
      </c>
      <c r="I217" s="83">
        <v>0.08</v>
      </c>
      <c r="J217" s="92"/>
      <c r="K217" s="91">
        <v>0</v>
      </c>
      <c r="L217" s="93"/>
      <c r="M217" s="94"/>
    </row>
    <row r="218" spans="1:13" hidden="1" x14ac:dyDescent="0.2">
      <c r="A218" s="8" t="s">
        <v>69</v>
      </c>
      <c r="B218" s="8" t="s">
        <v>65</v>
      </c>
      <c r="C218" s="26"/>
      <c r="D218" s="123" t="s">
        <v>64</v>
      </c>
      <c r="E218" s="123"/>
      <c r="F218" s="102"/>
      <c r="G218" s="103"/>
      <c r="H218" s="97">
        <f>SUM(H215,H216)</f>
        <v>97464.432162591984</v>
      </c>
      <c r="I218" s="104"/>
      <c r="J218" s="104"/>
      <c r="K218" s="97">
        <f>SUM(K215,K216)</f>
        <v>97740.346522591994</v>
      </c>
      <c r="L218" s="105">
        <f>K218-H218</f>
        <v>275.91436000000976</v>
      </c>
      <c r="M218" s="106">
        <f>IF((H218)=0,"",(L218/H218))</f>
        <v>2.8309235879989971E-3</v>
      </c>
    </row>
    <row r="219" spans="1:13" ht="13.5" hidden="1" thickBot="1" x14ac:dyDescent="0.25">
      <c r="A219" s="8" t="s">
        <v>69</v>
      </c>
      <c r="B219" s="8" t="s">
        <v>56</v>
      </c>
      <c r="C219" s="26"/>
      <c r="D219" s="74"/>
      <c r="E219" s="75"/>
      <c r="F219" s="107"/>
      <c r="G219" s="108"/>
      <c r="H219" s="109"/>
      <c r="I219" s="107"/>
      <c r="J219" s="77"/>
      <c r="K219" s="109"/>
      <c r="L219" s="110"/>
      <c r="M219" s="81"/>
    </row>
    <row r="220" spans="1:13" x14ac:dyDescent="0.2">
      <c r="A220" s="8" t="s">
        <v>69</v>
      </c>
      <c r="B220" s="8" t="s">
        <v>6</v>
      </c>
      <c r="C220" s="26"/>
      <c r="D220" s="82" t="s">
        <v>66</v>
      </c>
      <c r="E220" s="67"/>
      <c r="F220" s="83"/>
      <c r="G220" s="84"/>
      <c r="H220" s="85">
        <f>SUM(H208,H200:H203,H199)</f>
        <v>86251.709878399983</v>
      </c>
      <c r="I220" s="86"/>
      <c r="J220" s="86"/>
      <c r="K220" s="85">
        <f>SUM(K208,K200:K203,K199)</f>
        <v>86495.881878399989</v>
      </c>
      <c r="L220" s="87">
        <f>K220-H220</f>
        <v>244.17200000000594</v>
      </c>
      <c r="M220" s="88">
        <f>IF((H220)=0,"",(L220/H220))</f>
        <v>2.8309235879989659E-3</v>
      </c>
    </row>
    <row r="221" spans="1:13" x14ac:dyDescent="0.2">
      <c r="A221" s="8" t="s">
        <v>69</v>
      </c>
      <c r="B221" s="8" t="s">
        <v>6</v>
      </c>
      <c r="C221" s="26"/>
      <c r="D221" s="89" t="s">
        <v>60</v>
      </c>
      <c r="E221" s="67"/>
      <c r="F221" s="83">
        <v>0.13</v>
      </c>
      <c r="G221" s="84"/>
      <c r="H221" s="91">
        <f>H220*F221</f>
        <v>11212.722284191997</v>
      </c>
      <c r="I221" s="83">
        <v>0.13</v>
      </c>
      <c r="J221" s="92"/>
      <c r="K221" s="91">
        <f>K220*I221</f>
        <v>11244.464644191999</v>
      </c>
      <c r="L221" s="93">
        <f>K221-H221</f>
        <v>31.742360000002009</v>
      </c>
      <c r="M221" s="94">
        <f>IF((H221)=0,"",(L221/H221))</f>
        <v>2.8309235879990765E-3</v>
      </c>
    </row>
    <row r="222" spans="1:13" hidden="1" x14ac:dyDescent="0.2">
      <c r="A222" s="8" t="s">
        <v>69</v>
      </c>
      <c r="B222" s="8" t="s">
        <v>6</v>
      </c>
      <c r="C222" s="26"/>
      <c r="D222" s="89" t="s">
        <v>61</v>
      </c>
      <c r="E222" s="67"/>
      <c r="F222" s="83">
        <v>0.08</v>
      </c>
      <c r="G222" s="84"/>
      <c r="H222" s="91">
        <v>0</v>
      </c>
      <c r="I222" s="83">
        <v>0.08</v>
      </c>
      <c r="J222" s="92"/>
      <c r="K222" s="91">
        <v>0</v>
      </c>
      <c r="L222" s="93"/>
      <c r="M222" s="94"/>
    </row>
    <row r="223" spans="1:13" ht="13.5" thickBot="1" x14ac:dyDescent="0.25">
      <c r="A223" s="8" t="s">
        <v>69</v>
      </c>
      <c r="B223" s="8" t="s">
        <v>67</v>
      </c>
      <c r="C223" s="26">
        <v>4</v>
      </c>
      <c r="D223" s="123" t="s">
        <v>66</v>
      </c>
      <c r="E223" s="123"/>
      <c r="F223" s="102"/>
      <c r="G223" s="103"/>
      <c r="H223" s="97">
        <f>SUM(H220,H221)</f>
        <v>97464.432162591984</v>
      </c>
      <c r="I223" s="104"/>
      <c r="J223" s="104"/>
      <c r="K223" s="97">
        <f>SUM(K220,K221)</f>
        <v>97740.346522591994</v>
      </c>
      <c r="L223" s="105">
        <f>K223-H223</f>
        <v>275.91436000000976</v>
      </c>
      <c r="M223" s="106">
        <f>IF((H223)=0,"",(L223/H223))</f>
        <v>2.8309235879989971E-3</v>
      </c>
    </row>
    <row r="224" spans="1:13" ht="13.5" thickBot="1" x14ac:dyDescent="0.25">
      <c r="A224" s="8" t="s">
        <v>69</v>
      </c>
      <c r="B224" s="8" t="s">
        <v>6</v>
      </c>
      <c r="C224" s="26"/>
      <c r="D224" s="74"/>
      <c r="E224" s="75"/>
      <c r="F224" s="111"/>
      <c r="G224" s="112"/>
      <c r="H224" s="113"/>
      <c r="I224" s="111"/>
      <c r="J224" s="114"/>
      <c r="K224" s="113"/>
      <c r="L224" s="115"/>
      <c r="M224" s="116"/>
    </row>
    <row r="227" spans="1:20" x14ac:dyDescent="0.2">
      <c r="C227" s="8"/>
      <c r="D227" s="10" t="s">
        <v>12</v>
      </c>
      <c r="E227" s="124" t="s">
        <v>7</v>
      </c>
      <c r="F227" s="124"/>
      <c r="G227" s="124"/>
      <c r="H227" s="124"/>
      <c r="I227" s="124"/>
      <c r="J227" s="124"/>
      <c r="K227" s="8" t="s">
        <v>8</v>
      </c>
      <c r="T227" s="8" t="s">
        <v>11</v>
      </c>
    </row>
    <row r="228" spans="1:20" x14ac:dyDescent="0.2">
      <c r="C228" s="8"/>
      <c r="D228" s="10" t="s">
        <v>13</v>
      </c>
      <c r="E228" s="125" t="s">
        <v>6</v>
      </c>
      <c r="F228" s="125"/>
      <c r="G228" s="125"/>
      <c r="H228" s="11"/>
      <c r="I228" s="11"/>
    </row>
    <row r="229" spans="1:20" ht="15.75" x14ac:dyDescent="0.2">
      <c r="C229" s="8"/>
      <c r="D229" s="10" t="s">
        <v>14</v>
      </c>
      <c r="E229" s="12">
        <v>10220000</v>
      </c>
      <c r="F229" s="13" t="s">
        <v>2</v>
      </c>
      <c r="G229" s="14"/>
      <c r="J229" s="15"/>
      <c r="K229" s="15"/>
      <c r="L229" s="15"/>
      <c r="M229" s="15"/>
    </row>
    <row r="230" spans="1:20" ht="15.75" x14ac:dyDescent="0.25">
      <c r="C230" s="8"/>
      <c r="D230" s="10" t="s">
        <v>15</v>
      </c>
      <c r="E230" s="12">
        <v>20000</v>
      </c>
      <c r="F230" s="16" t="s">
        <v>5</v>
      </c>
      <c r="G230" s="17"/>
      <c r="H230" s="18"/>
      <c r="I230" s="18"/>
      <c r="J230" s="18"/>
    </row>
    <row r="231" spans="1:20" x14ac:dyDescent="0.2">
      <c r="C231" s="8"/>
      <c r="D231" s="10" t="s">
        <v>16</v>
      </c>
      <c r="E231" s="19">
        <v>1.0341</v>
      </c>
    </row>
    <row r="232" spans="1:20" x14ac:dyDescent="0.2">
      <c r="C232" s="8"/>
      <c r="D232" s="10" t="s">
        <v>17</v>
      </c>
      <c r="E232" s="19">
        <v>1.0341</v>
      </c>
    </row>
    <row r="233" spans="1:20" x14ac:dyDescent="0.2">
      <c r="C233" s="8"/>
      <c r="D233" s="14"/>
    </row>
    <row r="234" spans="1:20" x14ac:dyDescent="0.2">
      <c r="C234" s="8"/>
      <c r="D234" s="14"/>
      <c r="E234" s="20"/>
      <c r="F234" s="126" t="s">
        <v>18</v>
      </c>
      <c r="G234" s="127"/>
      <c r="H234" s="128"/>
      <c r="I234" s="126" t="s">
        <v>19</v>
      </c>
      <c r="J234" s="127"/>
      <c r="K234" s="128"/>
      <c r="L234" s="126" t="s">
        <v>20</v>
      </c>
      <c r="M234" s="128"/>
    </row>
    <row r="235" spans="1:20" x14ac:dyDescent="0.2">
      <c r="C235" s="8"/>
      <c r="D235" s="14"/>
      <c r="E235" s="117"/>
      <c r="F235" s="21" t="s">
        <v>21</v>
      </c>
      <c r="G235" s="21" t="s">
        <v>22</v>
      </c>
      <c r="H235" s="22" t="s">
        <v>23</v>
      </c>
      <c r="I235" s="21" t="s">
        <v>21</v>
      </c>
      <c r="J235" s="23" t="s">
        <v>22</v>
      </c>
      <c r="K235" s="22" t="s">
        <v>23</v>
      </c>
      <c r="L235" s="119" t="s">
        <v>24</v>
      </c>
      <c r="M235" s="121" t="s">
        <v>25</v>
      </c>
    </row>
    <row r="236" spans="1:20" x14ac:dyDescent="0.2">
      <c r="C236" s="8"/>
      <c r="D236" s="14"/>
      <c r="E236" s="118"/>
      <c r="F236" s="24" t="s">
        <v>26</v>
      </c>
      <c r="G236" s="24"/>
      <c r="H236" s="25" t="s">
        <v>26</v>
      </c>
      <c r="I236" s="24" t="s">
        <v>26</v>
      </c>
      <c r="J236" s="25"/>
      <c r="K236" s="25" t="s">
        <v>26</v>
      </c>
      <c r="L236" s="120"/>
      <c r="M236" s="122"/>
    </row>
    <row r="237" spans="1:20" x14ac:dyDescent="0.2">
      <c r="A237" s="8" t="s">
        <v>7</v>
      </c>
      <c r="C237" s="26"/>
      <c r="D237" s="27" t="s">
        <v>27</v>
      </c>
      <c r="E237" s="28"/>
      <c r="F237" s="29">
        <v>4748.01</v>
      </c>
      <c r="G237" s="30">
        <v>1</v>
      </c>
      <c r="H237" s="31">
        <f>G237*F237</f>
        <v>4748.01</v>
      </c>
      <c r="I237" s="32">
        <v>4804.99</v>
      </c>
      <c r="J237" s="33">
        <f>G237</f>
        <v>1</v>
      </c>
      <c r="K237" s="31">
        <f>J237*I237</f>
        <v>4804.99</v>
      </c>
      <c r="L237" s="34">
        <f t="shared" ref="L237:L258" si="28">K237-H237</f>
        <v>56.979999999999563</v>
      </c>
      <c r="M237" s="35">
        <f>IF(ISERROR(L237/H237), "", L237/H237)</f>
        <v>1.2000817184462451E-2</v>
      </c>
    </row>
    <row r="238" spans="1:20" x14ac:dyDescent="0.2">
      <c r="A238" s="8" t="s">
        <v>7</v>
      </c>
      <c r="C238" s="26"/>
      <c r="D238" s="27" t="s">
        <v>28</v>
      </c>
      <c r="E238" s="28"/>
      <c r="F238" s="36">
        <v>2.5173999999999999</v>
      </c>
      <c r="G238" s="30">
        <f>IF($E230&gt;0, $E230, $E229)</f>
        <v>20000</v>
      </c>
      <c r="H238" s="31">
        <f t="shared" ref="H238:H250" si="29">G238*F238</f>
        <v>50348</v>
      </c>
      <c r="I238" s="37">
        <v>2.5476000000000001</v>
      </c>
      <c r="J238" s="33">
        <f>IF($E230&gt;0, $E230, $E229)</f>
        <v>20000</v>
      </c>
      <c r="K238" s="31">
        <f>J238*I238</f>
        <v>50952</v>
      </c>
      <c r="L238" s="34">
        <f t="shared" si="28"/>
        <v>604</v>
      </c>
      <c r="M238" s="35">
        <f t="shared" ref="M238:M248" si="30">IF(ISERROR(L238/H238), "", L238/H238)</f>
        <v>1.1996504329864146E-2</v>
      </c>
    </row>
    <row r="239" spans="1:20" hidden="1" x14ac:dyDescent="0.2">
      <c r="A239" s="8" t="s">
        <v>7</v>
      </c>
      <c r="C239" s="26"/>
      <c r="D239" s="27" t="s">
        <v>29</v>
      </c>
      <c r="E239" s="28"/>
      <c r="F239" s="36"/>
      <c r="G239" s="30">
        <f>IF($E230&gt;0, $E230, $E229)</f>
        <v>20000</v>
      </c>
      <c r="H239" s="31">
        <v>0</v>
      </c>
      <c r="I239" s="37"/>
      <c r="J239" s="33">
        <f>IF($E230&gt;0, $E230, $E229)</f>
        <v>20000</v>
      </c>
      <c r="K239" s="31">
        <v>0</v>
      </c>
      <c r="L239" s="34"/>
      <c r="M239" s="35"/>
    </row>
    <row r="240" spans="1:20" hidden="1" x14ac:dyDescent="0.2">
      <c r="A240" s="8" t="s">
        <v>7</v>
      </c>
      <c r="C240" s="26"/>
      <c r="D240" s="27" t="s">
        <v>30</v>
      </c>
      <c r="E240" s="28"/>
      <c r="F240" s="36"/>
      <c r="G240" s="30">
        <f>IF($E230&gt;0, $E230, $E229)</f>
        <v>20000</v>
      </c>
      <c r="H240" s="31">
        <v>0</v>
      </c>
      <c r="I240" s="37"/>
      <c r="J240" s="30">
        <f>IF($E230&gt;0, $E230, $E229)</f>
        <v>20000</v>
      </c>
      <c r="K240" s="31">
        <v>0</v>
      </c>
      <c r="L240" s="34">
        <f>K240-H240</f>
        <v>0</v>
      </c>
      <c r="M240" s="35" t="str">
        <f>IF(ISERROR(L240/H240), "", L240/H240)</f>
        <v/>
      </c>
    </row>
    <row r="241" spans="1:13" x14ac:dyDescent="0.2">
      <c r="A241" s="8" t="s">
        <v>7</v>
      </c>
      <c r="C241" s="26"/>
      <c r="D241" s="38" t="s">
        <v>31</v>
      </c>
      <c r="E241" s="28"/>
      <c r="F241" s="29">
        <v>164.70999999999998</v>
      </c>
      <c r="G241" s="30">
        <v>1</v>
      </c>
      <c r="H241" s="31">
        <f t="shared" si="29"/>
        <v>164.70999999999998</v>
      </c>
      <c r="I241" s="32">
        <v>74.759999999999991</v>
      </c>
      <c r="J241" s="33">
        <f>G241</f>
        <v>1</v>
      </c>
      <c r="K241" s="31">
        <f t="shared" ref="K241:K248" si="31">J241*I241</f>
        <v>74.759999999999991</v>
      </c>
      <c r="L241" s="34">
        <f t="shared" si="28"/>
        <v>-89.949999999999989</v>
      </c>
      <c r="M241" s="35">
        <f t="shared" si="30"/>
        <v>-0.5461113472163196</v>
      </c>
    </row>
    <row r="242" spans="1:13" x14ac:dyDescent="0.2">
      <c r="A242" s="8" t="s">
        <v>7</v>
      </c>
      <c r="C242" s="26"/>
      <c r="D242" s="27" t="s">
        <v>32</v>
      </c>
      <c r="E242" s="28"/>
      <c r="F242" s="36">
        <v>2.4E-2</v>
      </c>
      <c r="G242" s="30">
        <f>IF($E230&gt;0, $E230, $E229)</f>
        <v>20000</v>
      </c>
      <c r="H242" s="31">
        <f t="shared" si="29"/>
        <v>480</v>
      </c>
      <c r="I242" s="37">
        <v>8.2699999999999996E-2</v>
      </c>
      <c r="J242" s="33">
        <f>IF($E230&gt;0, $E230, $E229)</f>
        <v>20000</v>
      </c>
      <c r="K242" s="31">
        <f t="shared" si="31"/>
        <v>1654</v>
      </c>
      <c r="L242" s="34">
        <f t="shared" si="28"/>
        <v>1174</v>
      </c>
      <c r="M242" s="35">
        <f t="shared" si="30"/>
        <v>2.4458333333333333</v>
      </c>
    </row>
    <row r="243" spans="1:13" x14ac:dyDescent="0.2">
      <c r="A243" s="8" t="s">
        <v>7</v>
      </c>
      <c r="B243" s="39" t="s">
        <v>33</v>
      </c>
      <c r="C243" s="26">
        <v>5</v>
      </c>
      <c r="D243" s="40" t="s">
        <v>34</v>
      </c>
      <c r="E243" s="41"/>
      <c r="F243" s="42"/>
      <c r="G243" s="43"/>
      <c r="H243" s="44">
        <f>SUM(H237:H242)</f>
        <v>55740.72</v>
      </c>
      <c r="I243" s="45"/>
      <c r="J243" s="46"/>
      <c r="K243" s="44">
        <f>SUM(K237:K242)</f>
        <v>57485.75</v>
      </c>
      <c r="L243" s="47">
        <f t="shared" si="28"/>
        <v>1745.0299999999988</v>
      </c>
      <c r="M243" s="48">
        <f>IF((H243)=0,"",(L243/H243))</f>
        <v>3.1306197695329351E-2</v>
      </c>
    </row>
    <row r="244" spans="1:13" x14ac:dyDescent="0.2">
      <c r="A244" s="8" t="s">
        <v>7</v>
      </c>
      <c r="C244" s="26"/>
      <c r="D244" s="49" t="s">
        <v>35</v>
      </c>
      <c r="E244" s="28"/>
      <c r="F244" s="36">
        <f>IF((E229*12&gt;=150000), 0, IF(E228="RPP",(F260*0.65+F261*0.17+F262*0.18),IF(E228="Non-RPP (Retailer)",F263,F264)))</f>
        <v>0</v>
      </c>
      <c r="G244" s="50">
        <f>IF(F244=0, 0, $E229*E231-E229)</f>
        <v>0</v>
      </c>
      <c r="H244" s="31">
        <f>G244*F244</f>
        <v>0</v>
      </c>
      <c r="I244" s="37">
        <f>IF((E229*12&gt;=150000), 0, IF(E228="RPP",(I260*0.65+I261*0.17+I262*0.18),IF(E228="Non-RPP (Retailer)",I263,I264)))</f>
        <v>0</v>
      </c>
      <c r="J244" s="50">
        <f>IF(I244=0, 0, E229*E232-E229)</f>
        <v>0</v>
      </c>
      <c r="K244" s="31">
        <f>J244*I244</f>
        <v>0</v>
      </c>
      <c r="L244" s="34">
        <f>K244-H244</f>
        <v>0</v>
      </c>
      <c r="M244" s="35" t="str">
        <f>IF(ISERROR(L244/H244), "", L244/H244)</f>
        <v/>
      </c>
    </row>
    <row r="245" spans="1:13" ht="25.5" x14ac:dyDescent="0.2">
      <c r="A245" s="8" t="s">
        <v>7</v>
      </c>
      <c r="C245" s="26"/>
      <c r="D245" s="49" t="s">
        <v>36</v>
      </c>
      <c r="E245" s="28"/>
      <c r="F245" s="36">
        <v>-0.55200000000000005</v>
      </c>
      <c r="G245" s="51">
        <f>IF($E230&gt;0, $E230, $E229)</f>
        <v>20000</v>
      </c>
      <c r="H245" s="31">
        <f t="shared" si="29"/>
        <v>-11040.000000000002</v>
      </c>
      <c r="I245" s="37">
        <v>-1.2595000000000001</v>
      </c>
      <c r="J245" s="51">
        <f>IF($E230&gt;0, $E230, $E229)</f>
        <v>20000</v>
      </c>
      <c r="K245" s="31">
        <f t="shared" si="31"/>
        <v>-25190</v>
      </c>
      <c r="L245" s="34">
        <f t="shared" si="28"/>
        <v>-14149.999999999998</v>
      </c>
      <c r="M245" s="35">
        <f t="shared" si="30"/>
        <v>1.2817028985507242</v>
      </c>
    </row>
    <row r="246" spans="1:13" x14ac:dyDescent="0.2">
      <c r="A246" s="8" t="s">
        <v>7</v>
      </c>
      <c r="C246" s="26"/>
      <c r="D246" s="49" t="s">
        <v>37</v>
      </c>
      <c r="E246" s="28"/>
      <c r="F246" s="36">
        <v>0</v>
      </c>
      <c r="G246" s="51">
        <f>IF($E230&gt;0, $E230, $E229)</f>
        <v>20000</v>
      </c>
      <c r="H246" s="31">
        <f>G246*F246</f>
        <v>0</v>
      </c>
      <c r="I246" s="37">
        <v>0</v>
      </c>
      <c r="J246" s="51">
        <f>IF($E230&gt;0, $E230, $E229)</f>
        <v>20000</v>
      </c>
      <c r="K246" s="31">
        <f>J246*I246</f>
        <v>0</v>
      </c>
      <c r="L246" s="34">
        <f t="shared" si="28"/>
        <v>0</v>
      </c>
      <c r="M246" s="35" t="str">
        <f t="shared" si="30"/>
        <v/>
      </c>
    </row>
    <row r="247" spans="1:13" x14ac:dyDescent="0.2">
      <c r="A247" s="8" t="s">
        <v>7</v>
      </c>
      <c r="C247" s="26"/>
      <c r="D247" s="49" t="s">
        <v>38</v>
      </c>
      <c r="E247" s="28"/>
      <c r="F247" s="36">
        <v>-8.9999999999999998E-4</v>
      </c>
      <c r="G247" s="51">
        <f>E229</f>
        <v>10220000</v>
      </c>
      <c r="H247" s="31">
        <f>G247*F247</f>
        <v>-9198</v>
      </c>
      <c r="I247" s="37">
        <v>-8.9999999999999998E-4</v>
      </c>
      <c r="J247" s="51">
        <f>E229</f>
        <v>10220000</v>
      </c>
      <c r="K247" s="31">
        <f t="shared" si="31"/>
        <v>-9198</v>
      </c>
      <c r="L247" s="34">
        <f t="shared" si="28"/>
        <v>0</v>
      </c>
      <c r="M247" s="35">
        <f t="shared" si="30"/>
        <v>0</v>
      </c>
    </row>
    <row r="248" spans="1:13" x14ac:dyDescent="0.2">
      <c r="A248" s="8" t="s">
        <v>7</v>
      </c>
      <c r="C248" s="26"/>
      <c r="D248" s="52" t="s">
        <v>39</v>
      </c>
      <c r="E248" s="28"/>
      <c r="F248" s="36">
        <v>0</v>
      </c>
      <c r="G248" s="51">
        <f>IF($E230&gt;0, $E230, $E229)</f>
        <v>20000</v>
      </c>
      <c r="H248" s="31">
        <f t="shared" si="29"/>
        <v>0</v>
      </c>
      <c r="I248" s="37"/>
      <c r="J248" s="51">
        <f>IF($E230&gt;0, $E230, $E229)</f>
        <v>20000</v>
      </c>
      <c r="K248" s="31">
        <f t="shared" si="31"/>
        <v>0</v>
      </c>
      <c r="L248" s="34">
        <f t="shared" si="28"/>
        <v>0</v>
      </c>
      <c r="M248" s="35" t="str">
        <f t="shared" si="30"/>
        <v/>
      </c>
    </row>
    <row r="249" spans="1:13" ht="25.5" x14ac:dyDescent="0.2">
      <c r="A249" s="8" t="s">
        <v>7</v>
      </c>
      <c r="C249" s="26"/>
      <c r="D249" s="53" t="s">
        <v>40</v>
      </c>
      <c r="E249" s="28"/>
      <c r="F249" s="54">
        <f>IF(OR(ISNUMBER(SEARCH("RESIDENTIAL", E227))=TRUE, ISNUMBER(SEARCH("GENERAL SERVICE LESS THAN 50", E227))=TRUE), SME, 0)</f>
        <v>0</v>
      </c>
      <c r="G249" s="30">
        <v>1</v>
      </c>
      <c r="H249" s="31">
        <f>G249*F249</f>
        <v>0</v>
      </c>
      <c r="I249" s="55">
        <f>IF(OR(ISNUMBER(SEARCH("RESIDENTIAL", E227))=TRUE, ISNUMBER(SEARCH("GENERAL SERVICE LESS THAN 50", E227))=TRUE), SME, 0)</f>
        <v>0</v>
      </c>
      <c r="J249" s="30">
        <v>1</v>
      </c>
      <c r="K249" s="31">
        <f>J249*I249</f>
        <v>0</v>
      </c>
      <c r="L249" s="34">
        <f t="shared" si="28"/>
        <v>0</v>
      </c>
      <c r="M249" s="35" t="str">
        <f>IF(ISERROR(L249/H249), "", L249/H249)</f>
        <v/>
      </c>
    </row>
    <row r="250" spans="1:13" x14ac:dyDescent="0.2">
      <c r="A250" s="8" t="s">
        <v>7</v>
      </c>
      <c r="C250" s="26"/>
      <c r="D250" s="52" t="s">
        <v>41</v>
      </c>
      <c r="E250" s="28"/>
      <c r="F250" s="29">
        <v>0</v>
      </c>
      <c r="G250" s="30">
        <v>1</v>
      </c>
      <c r="H250" s="31">
        <f t="shared" si="29"/>
        <v>0</v>
      </c>
      <c r="I250" s="32">
        <v>0</v>
      </c>
      <c r="J250" s="30">
        <v>1</v>
      </c>
      <c r="K250" s="31">
        <f>J250*I250</f>
        <v>0</v>
      </c>
      <c r="L250" s="34">
        <f>K250-H250</f>
        <v>0</v>
      </c>
      <c r="M250" s="35" t="str">
        <f>IF(ISERROR(L250/H250), "", L250/H250)</f>
        <v/>
      </c>
    </row>
    <row r="251" spans="1:13" x14ac:dyDescent="0.2">
      <c r="A251" s="8" t="s">
        <v>7</v>
      </c>
      <c r="C251" s="26"/>
      <c r="D251" s="52" t="s">
        <v>42</v>
      </c>
      <c r="E251" s="28"/>
      <c r="F251" s="36"/>
      <c r="G251" s="51">
        <f>IF($E230&gt;0, $E230, $E229)</f>
        <v>20000</v>
      </c>
      <c r="H251" s="31">
        <f>G251*F251</f>
        <v>0</v>
      </c>
      <c r="I251" s="37">
        <v>0</v>
      </c>
      <c r="J251" s="51">
        <f>IF($E230&gt;0, $E230, $E229)</f>
        <v>20000</v>
      </c>
      <c r="K251" s="31">
        <f>J251*I251</f>
        <v>0</v>
      </c>
      <c r="L251" s="34">
        <f t="shared" si="28"/>
        <v>0</v>
      </c>
      <c r="M251" s="35" t="str">
        <f>IF(ISERROR(L251/H251), "", L251/H251)</f>
        <v/>
      </c>
    </row>
    <row r="252" spans="1:13" ht="25.5" x14ac:dyDescent="0.2">
      <c r="A252" s="8" t="s">
        <v>7</v>
      </c>
      <c r="B252" s="14" t="s">
        <v>43</v>
      </c>
      <c r="C252" s="26">
        <v>5</v>
      </c>
      <c r="D252" s="56" t="s">
        <v>44</v>
      </c>
      <c r="E252" s="57"/>
      <c r="F252" s="58"/>
      <c r="G252" s="59"/>
      <c r="H252" s="60">
        <f>SUM(H243:H251)</f>
        <v>35502.720000000001</v>
      </c>
      <c r="I252" s="61"/>
      <c r="J252" s="62"/>
      <c r="K252" s="60">
        <f>SUM(K243:K251)</f>
        <v>23097.75</v>
      </c>
      <c r="L252" s="47">
        <f t="shared" si="28"/>
        <v>-12404.970000000001</v>
      </c>
      <c r="M252" s="48">
        <f>IF((H252)=0,"",(L252/H252))</f>
        <v>-0.34940900302850036</v>
      </c>
    </row>
    <row r="253" spans="1:13" x14ac:dyDescent="0.2">
      <c r="A253" s="8" t="s">
        <v>7</v>
      </c>
      <c r="C253" s="26"/>
      <c r="D253" s="63" t="s">
        <v>45</v>
      </c>
      <c r="E253" s="28"/>
      <c r="F253" s="36">
        <v>3.2532000000000001</v>
      </c>
      <c r="G253" s="50">
        <f>IF($E230&gt;0, $E230, $E229*$E231)</f>
        <v>20000</v>
      </c>
      <c r="H253" s="31">
        <f>G253*F253</f>
        <v>65064</v>
      </c>
      <c r="I253" s="37">
        <v>3.1716000000000002</v>
      </c>
      <c r="J253" s="50">
        <f>IF($E230&gt;0, $E230, $E229*$E232)</f>
        <v>20000</v>
      </c>
      <c r="K253" s="31">
        <f>J253*I253</f>
        <v>63432.000000000007</v>
      </c>
      <c r="L253" s="34">
        <f t="shared" si="28"/>
        <v>-1631.9999999999927</v>
      </c>
      <c r="M253" s="35">
        <f>IF(ISERROR(L253/H253), "", L253/H253)</f>
        <v>-2.5082995204721393E-2</v>
      </c>
    </row>
    <row r="254" spans="1:13" ht="25.5" x14ac:dyDescent="0.2">
      <c r="A254" s="8" t="s">
        <v>7</v>
      </c>
      <c r="C254" s="26"/>
      <c r="D254" s="64" t="s">
        <v>46</v>
      </c>
      <c r="E254" s="28"/>
      <c r="F254" s="36">
        <v>2.7181000000000002</v>
      </c>
      <c r="G254" s="50">
        <f>IF($E230&gt;0, $E230, $E229*$E231)</f>
        <v>20000</v>
      </c>
      <c r="H254" s="31">
        <f>G254*F254</f>
        <v>54362.000000000007</v>
      </c>
      <c r="I254" s="37">
        <v>2.6383000000000001</v>
      </c>
      <c r="J254" s="50">
        <f>IF($E230&gt;0, $E230, $E229*$E232)</f>
        <v>20000</v>
      </c>
      <c r="K254" s="31">
        <f>J254*I254</f>
        <v>52766</v>
      </c>
      <c r="L254" s="34">
        <f t="shared" si="28"/>
        <v>-1596.0000000000073</v>
      </c>
      <c r="M254" s="35">
        <f>IF(ISERROR(L254/H254), "", L254/H254)</f>
        <v>-2.9358743239763199E-2</v>
      </c>
    </row>
    <row r="255" spans="1:13" ht="25.5" x14ac:dyDescent="0.2">
      <c r="A255" s="8" t="s">
        <v>7</v>
      </c>
      <c r="B255" s="14" t="s">
        <v>47</v>
      </c>
      <c r="C255" s="26">
        <v>5</v>
      </c>
      <c r="D255" s="56" t="s">
        <v>48</v>
      </c>
      <c r="E255" s="41"/>
      <c r="F255" s="58"/>
      <c r="G255" s="59"/>
      <c r="H255" s="60">
        <f>SUM(H252:H254)</f>
        <v>154928.72</v>
      </c>
      <c r="I255" s="61"/>
      <c r="J255" s="46"/>
      <c r="K255" s="60">
        <f>SUM(K252:K254)</f>
        <v>139295.75</v>
      </c>
      <c r="L255" s="47">
        <f t="shared" si="28"/>
        <v>-15632.970000000001</v>
      </c>
      <c r="M255" s="48">
        <f>IF((H255)=0,"",(L255/H255))</f>
        <v>-0.100904273913836</v>
      </c>
    </row>
    <row r="256" spans="1:13" ht="25.5" x14ac:dyDescent="0.2">
      <c r="A256" s="8" t="s">
        <v>7</v>
      </c>
      <c r="C256" s="26"/>
      <c r="D256" s="65" t="s">
        <v>49</v>
      </c>
      <c r="E256" s="28"/>
      <c r="F256" s="36">
        <v>3.3999999999999998E-3</v>
      </c>
      <c r="G256" s="50">
        <f>E229*E231</f>
        <v>10568502</v>
      </c>
      <c r="H256" s="66">
        <f t="shared" ref="H256:H262" si="32">G256*F256</f>
        <v>35932.906799999997</v>
      </c>
      <c r="I256" s="37">
        <v>3.4000000000000002E-3</v>
      </c>
      <c r="J256" s="50">
        <f>E229*E232</f>
        <v>10568502</v>
      </c>
      <c r="K256" s="66">
        <f t="shared" ref="K256:K262" si="33">J256*I256</f>
        <v>35932.906800000004</v>
      </c>
      <c r="L256" s="34">
        <f t="shared" si="28"/>
        <v>0</v>
      </c>
      <c r="M256" s="35">
        <f t="shared" ref="M256:M264" si="34">IF(ISERROR(L256/H256), "", L256/H256)</f>
        <v>0</v>
      </c>
    </row>
    <row r="257" spans="1:13" ht="25.5" x14ac:dyDescent="0.2">
      <c r="A257" s="8" t="s">
        <v>7</v>
      </c>
      <c r="C257" s="26"/>
      <c r="D257" s="65" t="s">
        <v>50</v>
      </c>
      <c r="E257" s="28"/>
      <c r="F257" s="36">
        <f>'[7]17. Regulatory Charges'!$D$16</f>
        <v>5.0000000000000001E-4</v>
      </c>
      <c r="G257" s="50">
        <f>E229*E231</f>
        <v>10568502</v>
      </c>
      <c r="H257" s="66">
        <f t="shared" si="32"/>
        <v>5284.2510000000002</v>
      </c>
      <c r="I257" s="37">
        <v>5.0000000000000001E-4</v>
      </c>
      <c r="J257" s="50">
        <f>E229*E232</f>
        <v>10568502</v>
      </c>
      <c r="K257" s="66">
        <f t="shared" si="33"/>
        <v>5284.2510000000002</v>
      </c>
      <c r="L257" s="34">
        <f t="shared" si="28"/>
        <v>0</v>
      </c>
      <c r="M257" s="35">
        <f t="shared" si="34"/>
        <v>0</v>
      </c>
    </row>
    <row r="258" spans="1:13" x14ac:dyDescent="0.2">
      <c r="A258" s="8" t="s">
        <v>7</v>
      </c>
      <c r="C258" s="26"/>
      <c r="D258" s="67" t="s">
        <v>51</v>
      </c>
      <c r="E258" s="28"/>
      <c r="F258" s="54">
        <v>0.25</v>
      </c>
      <c r="G258" s="30">
        <v>1</v>
      </c>
      <c r="H258" s="66">
        <f t="shared" si="32"/>
        <v>0.25</v>
      </c>
      <c r="I258" s="55">
        <f>'[7]17. Regulatory Charges'!$D$17</f>
        <v>0.25</v>
      </c>
      <c r="J258" s="33">
        <v>1</v>
      </c>
      <c r="K258" s="66">
        <f t="shared" si="33"/>
        <v>0.25</v>
      </c>
      <c r="L258" s="34">
        <f t="shared" si="28"/>
        <v>0</v>
      </c>
      <c r="M258" s="35">
        <f t="shared" si="34"/>
        <v>0</v>
      </c>
    </row>
    <row r="259" spans="1:13" ht="25.5" hidden="1" x14ac:dyDescent="0.2">
      <c r="A259" s="8" t="s">
        <v>7</v>
      </c>
      <c r="C259" s="26"/>
      <c r="D259" s="65" t="s">
        <v>52</v>
      </c>
      <c r="E259" s="28"/>
      <c r="F259" s="36"/>
      <c r="G259" s="50"/>
      <c r="H259" s="66"/>
      <c r="I259" s="37"/>
      <c r="J259" s="50"/>
      <c r="K259" s="66"/>
      <c r="L259" s="34"/>
      <c r="M259" s="35"/>
    </row>
    <row r="260" spans="1:13" hidden="1" x14ac:dyDescent="0.2">
      <c r="A260" s="8" t="s">
        <v>7</v>
      </c>
      <c r="B260" s="14" t="s">
        <v>3</v>
      </c>
      <c r="C260" s="26"/>
      <c r="D260" s="68" t="s">
        <v>53</v>
      </c>
      <c r="E260" s="28"/>
      <c r="F260" s="69">
        <f>OffPeak</f>
        <v>6.5000000000000002E-2</v>
      </c>
      <c r="G260" s="70">
        <f>IF(AND(E229*12&gt;=150000),0.65*E229*E231,0.65*E229)</f>
        <v>6869526.2999999998</v>
      </c>
      <c r="H260" s="66">
        <f t="shared" si="32"/>
        <v>446519.2095</v>
      </c>
      <c r="I260" s="71">
        <f>OffPeak</f>
        <v>6.5000000000000002E-2</v>
      </c>
      <c r="J260" s="70">
        <f>IF(AND(E229*12&gt;=150000),0.65*E229*E232,0.65*E229)</f>
        <v>6869526.2999999998</v>
      </c>
      <c r="K260" s="66">
        <f t="shared" si="33"/>
        <v>446519.2095</v>
      </c>
      <c r="L260" s="34">
        <f>K260-H260</f>
        <v>0</v>
      </c>
      <c r="M260" s="35">
        <f t="shared" si="34"/>
        <v>0</v>
      </c>
    </row>
    <row r="261" spans="1:13" hidden="1" x14ac:dyDescent="0.2">
      <c r="A261" s="8" t="s">
        <v>7</v>
      </c>
      <c r="B261" s="14" t="s">
        <v>3</v>
      </c>
      <c r="C261" s="26"/>
      <c r="D261" s="68" t="s">
        <v>54</v>
      </c>
      <c r="E261" s="28"/>
      <c r="F261" s="69">
        <f>MidPeak</f>
        <v>9.4E-2</v>
      </c>
      <c r="G261" s="70">
        <f>IF(AND(E229*12&gt;=150000),0.17*E229*E231,0.17*E229)</f>
        <v>1796645.3400000003</v>
      </c>
      <c r="H261" s="66">
        <f t="shared" si="32"/>
        <v>168884.66196000003</v>
      </c>
      <c r="I261" s="71">
        <f>MidPeak</f>
        <v>9.4E-2</v>
      </c>
      <c r="J261" s="70">
        <f>IF(AND(E229*12&gt;=150000),0.17*E229*E232,0.17*E229)</f>
        <v>1796645.3400000003</v>
      </c>
      <c r="K261" s="66">
        <f t="shared" si="33"/>
        <v>168884.66196000003</v>
      </c>
      <c r="L261" s="34">
        <f>K261-H261</f>
        <v>0</v>
      </c>
      <c r="M261" s="35">
        <f t="shared" si="34"/>
        <v>0</v>
      </c>
    </row>
    <row r="262" spans="1:13" hidden="1" x14ac:dyDescent="0.2">
      <c r="A262" s="8" t="s">
        <v>7</v>
      </c>
      <c r="B262" s="14" t="s">
        <v>3</v>
      </c>
      <c r="C262" s="26"/>
      <c r="D262" s="14" t="s">
        <v>55</v>
      </c>
      <c r="E262" s="28"/>
      <c r="F262" s="69">
        <f>OnPeak</f>
        <v>0.13200000000000001</v>
      </c>
      <c r="G262" s="70">
        <f>IF(AND(E229*12&gt;=150000),0.18*E229*E231,0.18*E229)</f>
        <v>1902330.36</v>
      </c>
      <c r="H262" s="66">
        <f t="shared" si="32"/>
        <v>251107.60752000002</v>
      </c>
      <c r="I262" s="71">
        <f>OnPeak</f>
        <v>0.13200000000000001</v>
      </c>
      <c r="J262" s="70">
        <f>IF(AND(E229*12&gt;=150000),0.18*E229*E232,0.18*E229)</f>
        <v>1902330.36</v>
      </c>
      <c r="K262" s="66">
        <f t="shared" si="33"/>
        <v>251107.60752000002</v>
      </c>
      <c r="L262" s="34">
        <f>K262-H262</f>
        <v>0</v>
      </c>
      <c r="M262" s="35">
        <f t="shared" si="34"/>
        <v>0</v>
      </c>
    </row>
    <row r="263" spans="1:13" hidden="1" x14ac:dyDescent="0.2">
      <c r="A263" s="8" t="s">
        <v>7</v>
      </c>
      <c r="B263" s="8" t="s">
        <v>56</v>
      </c>
      <c r="C263" s="26"/>
      <c r="D263" s="68" t="s">
        <v>57</v>
      </c>
      <c r="E263" s="28"/>
      <c r="F263" s="72">
        <v>0.1101</v>
      </c>
      <c r="G263" s="70">
        <f>IF(AND(E229*12&gt;=150000),E229*E231,E229)</f>
        <v>10568502</v>
      </c>
      <c r="H263" s="66">
        <f>G263*F263</f>
        <v>1163592.0702</v>
      </c>
      <c r="I263" s="73">
        <f>F263</f>
        <v>0.1101</v>
      </c>
      <c r="J263" s="70">
        <f>IF(AND(E229*12&gt;=150000),E229*E232,E229)</f>
        <v>10568502</v>
      </c>
      <c r="K263" s="66">
        <f>J263*I263</f>
        <v>1163592.0702</v>
      </c>
      <c r="L263" s="34">
        <f>K263-H263</f>
        <v>0</v>
      </c>
      <c r="M263" s="35">
        <f t="shared" si="34"/>
        <v>0</v>
      </c>
    </row>
    <row r="264" spans="1:13" ht="13.5" thickBot="1" x14ac:dyDescent="0.25">
      <c r="A264" s="8" t="s">
        <v>7</v>
      </c>
      <c r="B264" s="8" t="s">
        <v>6</v>
      </c>
      <c r="C264" s="26"/>
      <c r="D264" s="68" t="s">
        <v>58</v>
      </c>
      <c r="E264" s="28"/>
      <c r="F264" s="72">
        <v>0.1101</v>
      </c>
      <c r="G264" s="70">
        <f>IF(AND(E229*12&gt;=150000),E229*E231,E229)</f>
        <v>10568502</v>
      </c>
      <c r="H264" s="66">
        <f>G264*F264</f>
        <v>1163592.0702</v>
      </c>
      <c r="I264" s="73">
        <f>F264</f>
        <v>0.1101</v>
      </c>
      <c r="J264" s="70">
        <f>IF(AND(E229*12&gt;=150000),E229*E232,E229)</f>
        <v>10568502</v>
      </c>
      <c r="K264" s="66">
        <f>J264*I264</f>
        <v>1163592.0702</v>
      </c>
      <c r="L264" s="34">
        <f>K264-H264</f>
        <v>0</v>
      </c>
      <c r="M264" s="35">
        <f t="shared" si="34"/>
        <v>0</v>
      </c>
    </row>
    <row r="265" spans="1:13" ht="13.5" thickBot="1" x14ac:dyDescent="0.25">
      <c r="A265" s="8" t="s">
        <v>7</v>
      </c>
      <c r="B265" s="14"/>
      <c r="C265" s="26"/>
      <c r="D265" s="74"/>
      <c r="E265" s="75"/>
      <c r="F265" s="76"/>
      <c r="G265" s="77"/>
      <c r="H265" s="78"/>
      <c r="I265" s="76"/>
      <c r="J265" s="79"/>
      <c r="K265" s="78"/>
      <c r="L265" s="80"/>
      <c r="M265" s="81"/>
    </row>
    <row r="266" spans="1:13" hidden="1" x14ac:dyDescent="0.2">
      <c r="A266" s="8" t="s">
        <v>7</v>
      </c>
      <c r="B266" s="14" t="s">
        <v>3</v>
      </c>
      <c r="C266" s="26"/>
      <c r="D266" s="82" t="s">
        <v>59</v>
      </c>
      <c r="E266" s="67"/>
      <c r="F266" s="83"/>
      <c r="G266" s="84"/>
      <c r="H266" s="85">
        <f>SUM(H256:H262,H255)</f>
        <v>1062657.60678</v>
      </c>
      <c r="I266" s="86"/>
      <c r="J266" s="86"/>
      <c r="K266" s="85">
        <f>SUM(K256:K262,K255)</f>
        <v>1047024.6367800001</v>
      </c>
      <c r="L266" s="87">
        <f>K266-H266</f>
        <v>-15632.969999999972</v>
      </c>
      <c r="M266" s="88">
        <f>IF((H266)=0,"",(L266/H266))</f>
        <v>-1.4711201331697083E-2</v>
      </c>
    </row>
    <row r="267" spans="1:13" hidden="1" x14ac:dyDescent="0.2">
      <c r="A267" s="8" t="s">
        <v>7</v>
      </c>
      <c r="B267" s="14" t="s">
        <v>3</v>
      </c>
      <c r="C267" s="26"/>
      <c r="D267" s="89" t="s">
        <v>60</v>
      </c>
      <c r="E267" s="67"/>
      <c r="F267" s="83">
        <v>0.13</v>
      </c>
      <c r="G267" s="90"/>
      <c r="H267" s="91">
        <f>H266*F267</f>
        <v>138145.4888814</v>
      </c>
      <c r="I267" s="92">
        <v>0.13</v>
      </c>
      <c r="J267" s="30"/>
      <c r="K267" s="91">
        <f>K266*I267</f>
        <v>136113.2027814</v>
      </c>
      <c r="L267" s="93">
        <f>K267-H267</f>
        <v>-2032.2860999999975</v>
      </c>
      <c r="M267" s="94">
        <f>IF((H267)=0,"",(L267/H267))</f>
        <v>-1.4711201331697092E-2</v>
      </c>
    </row>
    <row r="268" spans="1:13" hidden="1" x14ac:dyDescent="0.2">
      <c r="A268" s="8" t="s">
        <v>7</v>
      </c>
      <c r="B268" s="14" t="s">
        <v>3</v>
      </c>
      <c r="C268" s="26"/>
      <c r="D268" s="89" t="s">
        <v>61</v>
      </c>
      <c r="E268" s="67"/>
      <c r="F268" s="83">
        <v>0.08</v>
      </c>
      <c r="G268" s="90"/>
      <c r="H268" s="91">
        <v>0</v>
      </c>
      <c r="I268" s="83">
        <v>0.08</v>
      </c>
      <c r="J268" s="30"/>
      <c r="K268" s="91">
        <v>0</v>
      </c>
      <c r="L268" s="93">
        <f>K268-H268</f>
        <v>0</v>
      </c>
      <c r="M268" s="94"/>
    </row>
    <row r="269" spans="1:13" hidden="1" x14ac:dyDescent="0.2">
      <c r="A269" s="8" t="s">
        <v>7</v>
      </c>
      <c r="B269" s="14" t="s">
        <v>62</v>
      </c>
      <c r="C269" s="26"/>
      <c r="D269" s="123" t="s">
        <v>63</v>
      </c>
      <c r="E269" s="123"/>
      <c r="F269" s="95"/>
      <c r="G269" s="96"/>
      <c r="H269" s="97">
        <f>H266+H267+H268</f>
        <v>1200803.0956614001</v>
      </c>
      <c r="I269" s="98"/>
      <c r="J269" s="98"/>
      <c r="K269" s="99">
        <f>K266+K267+K268</f>
        <v>1183137.8395614</v>
      </c>
      <c r="L269" s="100">
        <f>K269-H269</f>
        <v>-17665.256100000115</v>
      </c>
      <c r="M269" s="101">
        <f>IF((H269)=0,"",(L269/H269))</f>
        <v>-1.4711201331697205E-2</v>
      </c>
    </row>
    <row r="270" spans="1:13" ht="13.5" hidden="1" thickBot="1" x14ac:dyDescent="0.25">
      <c r="A270" s="8" t="s">
        <v>7</v>
      </c>
      <c r="B270" s="8" t="s">
        <v>3</v>
      </c>
      <c r="C270" s="26"/>
      <c r="D270" s="74"/>
      <c r="E270" s="75"/>
      <c r="F270" s="76"/>
      <c r="G270" s="77"/>
      <c r="H270" s="78"/>
      <c r="I270" s="76"/>
      <c r="J270" s="79"/>
      <c r="K270" s="78"/>
      <c r="L270" s="80"/>
      <c r="M270" s="81"/>
    </row>
    <row r="271" spans="1:13" hidden="1" x14ac:dyDescent="0.2">
      <c r="A271" s="8" t="s">
        <v>7</v>
      </c>
      <c r="B271" s="8" t="s">
        <v>56</v>
      </c>
      <c r="C271" s="26"/>
      <c r="D271" s="82" t="s">
        <v>64</v>
      </c>
      <c r="E271" s="67"/>
      <c r="F271" s="83"/>
      <c r="G271" s="84"/>
      <c r="H271" s="85">
        <f>SUM(H263,H256:H259,H255)</f>
        <v>1359738.1979999999</v>
      </c>
      <c r="I271" s="86"/>
      <c r="J271" s="86"/>
      <c r="K271" s="85">
        <f>SUM(K263,K256:K259,K255)</f>
        <v>1344105.2279999999</v>
      </c>
      <c r="L271" s="87">
        <f>K271-H271</f>
        <v>-15632.969999999972</v>
      </c>
      <c r="M271" s="88">
        <f>IF((H271)=0,"",(L271/H271))</f>
        <v>-1.1497044080245787E-2</v>
      </c>
    </row>
    <row r="272" spans="1:13" hidden="1" x14ac:dyDescent="0.2">
      <c r="A272" s="8" t="s">
        <v>7</v>
      </c>
      <c r="B272" s="8" t="s">
        <v>56</v>
      </c>
      <c r="C272" s="26"/>
      <c r="D272" s="89" t="s">
        <v>60</v>
      </c>
      <c r="E272" s="67"/>
      <c r="F272" s="83">
        <v>0.13</v>
      </c>
      <c r="G272" s="84"/>
      <c r="H272" s="91">
        <f>H271*F272</f>
        <v>176765.96573999999</v>
      </c>
      <c r="I272" s="83">
        <v>0.13</v>
      </c>
      <c r="J272" s="92"/>
      <c r="K272" s="91">
        <f>K271*I272</f>
        <v>174733.67963999999</v>
      </c>
      <c r="L272" s="93">
        <f>K272-H272</f>
        <v>-2032.2860999999975</v>
      </c>
      <c r="M272" s="94">
        <f>IF((H272)=0,"",(L272/H272))</f>
        <v>-1.1497044080245794E-2</v>
      </c>
    </row>
    <row r="273" spans="1:20" hidden="1" x14ac:dyDescent="0.2">
      <c r="A273" s="8" t="s">
        <v>7</v>
      </c>
      <c r="B273" s="8" t="s">
        <v>56</v>
      </c>
      <c r="C273" s="26"/>
      <c r="D273" s="89" t="s">
        <v>61</v>
      </c>
      <c r="E273" s="67"/>
      <c r="F273" s="83">
        <v>0.08</v>
      </c>
      <c r="G273" s="84"/>
      <c r="H273" s="91">
        <v>0</v>
      </c>
      <c r="I273" s="83">
        <v>0.08</v>
      </c>
      <c r="J273" s="92"/>
      <c r="K273" s="91">
        <v>0</v>
      </c>
      <c r="L273" s="93"/>
      <c r="M273" s="94"/>
    </row>
    <row r="274" spans="1:20" hidden="1" x14ac:dyDescent="0.2">
      <c r="A274" s="8" t="s">
        <v>7</v>
      </c>
      <c r="B274" s="8" t="s">
        <v>65</v>
      </c>
      <c r="C274" s="26"/>
      <c r="D274" s="123" t="s">
        <v>64</v>
      </c>
      <c r="E274" s="123"/>
      <c r="F274" s="102"/>
      <c r="G274" s="103"/>
      <c r="H274" s="97">
        <f>SUM(H271,H272)</f>
        <v>1536504.1637399998</v>
      </c>
      <c r="I274" s="104"/>
      <c r="J274" s="104"/>
      <c r="K274" s="97">
        <f>SUM(K271,K272)</f>
        <v>1518838.9076399999</v>
      </c>
      <c r="L274" s="105">
        <f>K274-H274</f>
        <v>-17665.256099999882</v>
      </c>
      <c r="M274" s="106">
        <f>IF((H274)=0,"",(L274/H274))</f>
        <v>-1.1497044080245732E-2</v>
      </c>
    </row>
    <row r="275" spans="1:20" ht="13.5" hidden="1" thickBot="1" x14ac:dyDescent="0.25">
      <c r="A275" s="8" t="s">
        <v>7</v>
      </c>
      <c r="B275" s="8" t="s">
        <v>56</v>
      </c>
      <c r="C275" s="26"/>
      <c r="D275" s="74"/>
      <c r="E275" s="75"/>
      <c r="F275" s="107"/>
      <c r="G275" s="108"/>
      <c r="H275" s="109"/>
      <c r="I275" s="107"/>
      <c r="J275" s="77"/>
      <c r="K275" s="109"/>
      <c r="L275" s="110"/>
      <c r="M275" s="81"/>
    </row>
    <row r="276" spans="1:20" x14ac:dyDescent="0.2">
      <c r="A276" s="8" t="s">
        <v>7</v>
      </c>
      <c r="B276" s="8" t="s">
        <v>6</v>
      </c>
      <c r="C276" s="26"/>
      <c r="D276" s="82" t="s">
        <v>66</v>
      </c>
      <c r="E276" s="67"/>
      <c r="F276" s="83"/>
      <c r="G276" s="84"/>
      <c r="H276" s="85">
        <f>SUM(H264,H256:H259,H255)</f>
        <v>1359738.1979999999</v>
      </c>
      <c r="I276" s="86"/>
      <c r="J276" s="86"/>
      <c r="K276" s="85">
        <f>SUM(K264,K256:K259,K255)</f>
        <v>1344105.2279999999</v>
      </c>
      <c r="L276" s="87">
        <f>K276-H276</f>
        <v>-15632.969999999972</v>
      </c>
      <c r="M276" s="88">
        <f>IF((H276)=0,"",(L276/H276))</f>
        <v>-1.1497044080245787E-2</v>
      </c>
    </row>
    <row r="277" spans="1:20" x14ac:dyDescent="0.2">
      <c r="A277" s="8" t="s">
        <v>7</v>
      </c>
      <c r="B277" s="8" t="s">
        <v>6</v>
      </c>
      <c r="C277" s="26"/>
      <c r="D277" s="89" t="s">
        <v>60</v>
      </c>
      <c r="E277" s="67"/>
      <c r="F277" s="83">
        <v>0.13</v>
      </c>
      <c r="G277" s="84"/>
      <c r="H277" s="91">
        <f>H276*F277</f>
        <v>176765.96573999999</v>
      </c>
      <c r="I277" s="83">
        <v>0.13</v>
      </c>
      <c r="J277" s="92"/>
      <c r="K277" s="91">
        <f>K276*I277</f>
        <v>174733.67963999999</v>
      </c>
      <c r="L277" s="93">
        <f>K277-H277</f>
        <v>-2032.2860999999975</v>
      </c>
      <c r="M277" s="94">
        <f>IF((H277)=0,"",(L277/H277))</f>
        <v>-1.1497044080245794E-2</v>
      </c>
    </row>
    <row r="278" spans="1:20" hidden="1" x14ac:dyDescent="0.2">
      <c r="A278" s="8" t="s">
        <v>7</v>
      </c>
      <c r="B278" s="8" t="s">
        <v>6</v>
      </c>
      <c r="C278" s="26"/>
      <c r="D278" s="89" t="s">
        <v>61</v>
      </c>
      <c r="E278" s="67"/>
      <c r="F278" s="83">
        <v>0.08</v>
      </c>
      <c r="G278" s="84"/>
      <c r="H278" s="91">
        <v>0</v>
      </c>
      <c r="I278" s="83">
        <v>0.08</v>
      </c>
      <c r="J278" s="92"/>
      <c r="K278" s="91">
        <v>0</v>
      </c>
      <c r="L278" s="93"/>
      <c r="M278" s="94"/>
    </row>
    <row r="279" spans="1:20" ht="13.5" thickBot="1" x14ac:dyDescent="0.25">
      <c r="A279" s="8" t="s">
        <v>7</v>
      </c>
      <c r="B279" s="8" t="s">
        <v>67</v>
      </c>
      <c r="C279" s="26">
        <v>5</v>
      </c>
      <c r="D279" s="123" t="s">
        <v>66</v>
      </c>
      <c r="E279" s="123"/>
      <c r="F279" s="102"/>
      <c r="G279" s="103"/>
      <c r="H279" s="97">
        <f>SUM(H276,H277)</f>
        <v>1536504.1637399998</v>
      </c>
      <c r="I279" s="104"/>
      <c r="J279" s="104"/>
      <c r="K279" s="97">
        <f>SUM(K276,K277)</f>
        <v>1518838.9076399999</v>
      </c>
      <c r="L279" s="105">
        <f>K279-H279</f>
        <v>-17665.256099999882</v>
      </c>
      <c r="M279" s="106">
        <f>IF((H279)=0,"",(L279/H279))</f>
        <v>-1.1497044080245732E-2</v>
      </c>
    </row>
    <row r="280" spans="1:20" ht="13.5" thickBot="1" x14ac:dyDescent="0.25">
      <c r="A280" s="8" t="s">
        <v>7</v>
      </c>
      <c r="B280" s="8" t="s">
        <v>6</v>
      </c>
      <c r="C280" s="26"/>
      <c r="D280" s="74"/>
      <c r="E280" s="75"/>
      <c r="F280" s="111"/>
      <c r="G280" s="112"/>
      <c r="H280" s="113"/>
      <c r="I280" s="111"/>
      <c r="J280" s="114"/>
      <c r="K280" s="113"/>
      <c r="L280" s="115"/>
      <c r="M280" s="116"/>
    </row>
    <row r="283" spans="1:20" x14ac:dyDescent="0.2">
      <c r="C283" s="8"/>
      <c r="D283" s="10" t="s">
        <v>12</v>
      </c>
      <c r="E283" s="124" t="s">
        <v>9</v>
      </c>
      <c r="F283" s="124"/>
      <c r="G283" s="124"/>
      <c r="H283" s="124"/>
      <c r="I283" s="124"/>
      <c r="J283" s="124"/>
      <c r="K283" s="8" t="s">
        <v>8</v>
      </c>
      <c r="T283" s="8" t="s">
        <v>11</v>
      </c>
    </row>
    <row r="284" spans="1:20" x14ac:dyDescent="0.2">
      <c r="C284" s="8"/>
      <c r="D284" s="10" t="s">
        <v>13</v>
      </c>
      <c r="E284" s="125" t="s">
        <v>6</v>
      </c>
      <c r="F284" s="125"/>
      <c r="G284" s="125"/>
      <c r="H284" s="11"/>
      <c r="I284" s="11"/>
    </row>
    <row r="285" spans="1:20" ht="15.75" x14ac:dyDescent="0.2">
      <c r="C285" s="8"/>
      <c r="D285" s="10" t="s">
        <v>14</v>
      </c>
      <c r="E285" s="12">
        <v>21296</v>
      </c>
      <c r="F285" s="13" t="s">
        <v>2</v>
      </c>
      <c r="G285" s="14"/>
      <c r="J285" s="15"/>
      <c r="K285" s="15"/>
      <c r="L285" s="15"/>
      <c r="M285" s="15"/>
    </row>
    <row r="286" spans="1:20" ht="15.75" x14ac:dyDescent="0.25">
      <c r="C286" s="8"/>
      <c r="D286" s="10" t="s">
        <v>15</v>
      </c>
      <c r="E286" s="12">
        <v>0</v>
      </c>
      <c r="F286" s="16" t="s">
        <v>5</v>
      </c>
      <c r="G286" s="17"/>
      <c r="H286" s="18"/>
      <c r="I286" s="18"/>
      <c r="J286" s="18"/>
    </row>
    <row r="287" spans="1:20" x14ac:dyDescent="0.2">
      <c r="C287" s="8"/>
      <c r="D287" s="10" t="s">
        <v>16</v>
      </c>
      <c r="E287" s="19">
        <v>1.0341</v>
      </c>
    </row>
    <row r="288" spans="1:20" x14ac:dyDescent="0.2">
      <c r="C288" s="8"/>
      <c r="D288" s="10" t="s">
        <v>17</v>
      </c>
      <c r="E288" s="19">
        <v>1.0341</v>
      </c>
    </row>
    <row r="289" spans="1:13" x14ac:dyDescent="0.2">
      <c r="C289" s="8"/>
      <c r="D289" s="14"/>
    </row>
    <row r="290" spans="1:13" x14ac:dyDescent="0.2">
      <c r="C290" s="8"/>
      <c r="D290" s="14"/>
      <c r="E290" s="20"/>
      <c r="F290" s="126" t="s">
        <v>18</v>
      </c>
      <c r="G290" s="127"/>
      <c r="H290" s="128"/>
      <c r="I290" s="126" t="s">
        <v>19</v>
      </c>
      <c r="J290" s="127"/>
      <c r="K290" s="128"/>
      <c r="L290" s="126" t="s">
        <v>20</v>
      </c>
      <c r="M290" s="128"/>
    </row>
    <row r="291" spans="1:13" x14ac:dyDescent="0.2">
      <c r="C291" s="8"/>
      <c r="D291" s="14"/>
      <c r="E291" s="117"/>
      <c r="F291" s="21" t="s">
        <v>21</v>
      </c>
      <c r="G291" s="21" t="s">
        <v>22</v>
      </c>
      <c r="H291" s="22" t="s">
        <v>23</v>
      </c>
      <c r="I291" s="21" t="s">
        <v>21</v>
      </c>
      <c r="J291" s="23" t="s">
        <v>22</v>
      </c>
      <c r="K291" s="22" t="s">
        <v>23</v>
      </c>
      <c r="L291" s="119" t="s">
        <v>24</v>
      </c>
      <c r="M291" s="121" t="s">
        <v>25</v>
      </c>
    </row>
    <row r="292" spans="1:13" x14ac:dyDescent="0.2">
      <c r="C292" s="8"/>
      <c r="D292" s="14"/>
      <c r="E292" s="118"/>
      <c r="F292" s="24" t="s">
        <v>26</v>
      </c>
      <c r="G292" s="24"/>
      <c r="H292" s="25" t="s">
        <v>26</v>
      </c>
      <c r="I292" s="24" t="s">
        <v>26</v>
      </c>
      <c r="J292" s="25"/>
      <c r="K292" s="25" t="s">
        <v>26</v>
      </c>
      <c r="L292" s="120"/>
      <c r="M292" s="122"/>
    </row>
    <row r="293" spans="1:13" x14ac:dyDescent="0.2">
      <c r="A293" s="8" t="s">
        <v>9</v>
      </c>
      <c r="C293" s="26"/>
      <c r="D293" s="27" t="s">
        <v>27</v>
      </c>
      <c r="E293" s="28"/>
      <c r="F293" s="29">
        <v>1.1000000000000001</v>
      </c>
      <c r="G293" s="30">
        <v>186</v>
      </c>
      <c r="H293" s="31">
        <f>G293*F293</f>
        <v>204.60000000000002</v>
      </c>
      <c r="I293" s="32">
        <v>1.1100000000000001</v>
      </c>
      <c r="J293" s="33">
        <f>G293</f>
        <v>186</v>
      </c>
      <c r="K293" s="31">
        <f>J293*I293</f>
        <v>206.46</v>
      </c>
      <c r="L293" s="34">
        <f t="shared" ref="L293:L314" si="35">K293-H293</f>
        <v>1.8599999999999852</v>
      </c>
      <c r="M293" s="35">
        <f>IF(ISERROR(L293/H293), "", L293/H293)</f>
        <v>9.0909090909090176E-3</v>
      </c>
    </row>
    <row r="294" spans="1:13" x14ac:dyDescent="0.2">
      <c r="A294" s="8" t="s">
        <v>9</v>
      </c>
      <c r="C294" s="26"/>
      <c r="D294" s="27" t="s">
        <v>28</v>
      </c>
      <c r="E294" s="28"/>
      <c r="F294" s="36">
        <v>0.02</v>
      </c>
      <c r="G294" s="30">
        <f>IF($E286&gt;0, $E286, $E285)</f>
        <v>21296</v>
      </c>
      <c r="H294" s="31">
        <f t="shared" ref="H294:H306" si="36">G294*F294</f>
        <v>425.92</v>
      </c>
      <c r="I294" s="37">
        <v>2.0199999999999999E-2</v>
      </c>
      <c r="J294" s="33">
        <f>IF($E286&gt;0, $E286, $E285)</f>
        <v>21296</v>
      </c>
      <c r="K294" s="31">
        <f>J294*I294</f>
        <v>430.17919999999998</v>
      </c>
      <c r="L294" s="34">
        <f t="shared" si="35"/>
        <v>4.2591999999999643</v>
      </c>
      <c r="M294" s="35">
        <f t="shared" ref="M294:M304" si="37">IF(ISERROR(L294/H294), "", L294/H294)</f>
        <v>9.9999999999999152E-3</v>
      </c>
    </row>
    <row r="295" spans="1:13" hidden="1" x14ac:dyDescent="0.2">
      <c r="A295" s="8" t="s">
        <v>9</v>
      </c>
      <c r="C295" s="26"/>
      <c r="D295" s="27" t="s">
        <v>29</v>
      </c>
      <c r="E295" s="28"/>
      <c r="F295" s="36"/>
      <c r="G295" s="30">
        <v>186</v>
      </c>
      <c r="H295" s="31">
        <v>0</v>
      </c>
      <c r="I295" s="37"/>
      <c r="J295" s="33">
        <f>IF($E286&gt;0, $E286, $E285)</f>
        <v>21296</v>
      </c>
      <c r="K295" s="31">
        <v>0</v>
      </c>
      <c r="L295" s="34"/>
      <c r="M295" s="35"/>
    </row>
    <row r="296" spans="1:13" hidden="1" x14ac:dyDescent="0.2">
      <c r="A296" s="8" t="s">
        <v>9</v>
      </c>
      <c r="C296" s="26"/>
      <c r="D296" s="27" t="s">
        <v>30</v>
      </c>
      <c r="E296" s="28"/>
      <c r="F296" s="36"/>
      <c r="G296" s="30">
        <f>IF($E286&gt;0, $E286, $E285)</f>
        <v>21296</v>
      </c>
      <c r="H296" s="31">
        <v>0</v>
      </c>
      <c r="I296" s="37"/>
      <c r="J296" s="30">
        <f>IF($E286&gt;0, $E286, $E285)</f>
        <v>21296</v>
      </c>
      <c r="K296" s="31">
        <v>0</v>
      </c>
      <c r="L296" s="34">
        <f>K296-H296</f>
        <v>0</v>
      </c>
      <c r="M296" s="35" t="str">
        <f>IF(ISERROR(L296/H296), "", L296/H296)</f>
        <v/>
      </c>
    </row>
    <row r="297" spans="1:13" x14ac:dyDescent="0.2">
      <c r="A297" s="8" t="s">
        <v>9</v>
      </c>
      <c r="C297" s="26"/>
      <c r="D297" s="38" t="s">
        <v>31</v>
      </c>
      <c r="E297" s="28"/>
      <c r="F297" s="29">
        <v>0.05</v>
      </c>
      <c r="G297" s="30">
        <v>1</v>
      </c>
      <c r="H297" s="31">
        <f t="shared" si="36"/>
        <v>0.05</v>
      </c>
      <c r="I297" s="32">
        <v>0.02</v>
      </c>
      <c r="J297" s="33">
        <f>G297</f>
        <v>1</v>
      </c>
      <c r="K297" s="31">
        <f t="shared" ref="K297:K304" si="38">J297*I297</f>
        <v>0.02</v>
      </c>
      <c r="L297" s="34">
        <f t="shared" si="35"/>
        <v>-3.0000000000000002E-2</v>
      </c>
      <c r="M297" s="35">
        <f t="shared" si="37"/>
        <v>-0.6</v>
      </c>
    </row>
    <row r="298" spans="1:13" x14ac:dyDescent="0.2">
      <c r="A298" s="8" t="s">
        <v>9</v>
      </c>
      <c r="C298" s="26"/>
      <c r="D298" s="27" t="s">
        <v>32</v>
      </c>
      <c r="E298" s="28"/>
      <c r="F298" s="36">
        <v>2.0000000000000001E-4</v>
      </c>
      <c r="G298" s="30">
        <f>IF($E286&gt;0, $E286, $E285)</f>
        <v>21296</v>
      </c>
      <c r="H298" s="31">
        <f t="shared" si="36"/>
        <v>4.2591999999999999</v>
      </c>
      <c r="I298" s="37">
        <v>2.0000000000000001E-4</v>
      </c>
      <c r="J298" s="33">
        <f>IF($E286&gt;0, $E286, $E285)</f>
        <v>21296</v>
      </c>
      <c r="K298" s="31">
        <f t="shared" si="38"/>
        <v>4.2591999999999999</v>
      </c>
      <c r="L298" s="34">
        <f t="shared" si="35"/>
        <v>0</v>
      </c>
      <c r="M298" s="35">
        <f t="shared" si="37"/>
        <v>0</v>
      </c>
    </row>
    <row r="299" spans="1:13" x14ac:dyDescent="0.2">
      <c r="A299" s="8" t="s">
        <v>9</v>
      </c>
      <c r="B299" s="39" t="s">
        <v>33</v>
      </c>
      <c r="C299" s="26">
        <v>6</v>
      </c>
      <c r="D299" s="40" t="s">
        <v>34</v>
      </c>
      <c r="E299" s="41"/>
      <c r="F299" s="42"/>
      <c r="G299" s="43"/>
      <c r="H299" s="44">
        <f>SUM(H293:H298)</f>
        <v>634.8291999999999</v>
      </c>
      <c r="I299" s="45"/>
      <c r="J299" s="46"/>
      <c r="K299" s="44">
        <f>SUM(K293:K298)</f>
        <v>640.91839999999991</v>
      </c>
      <c r="L299" s="47">
        <f t="shared" si="35"/>
        <v>6.0892000000000053</v>
      </c>
      <c r="M299" s="48">
        <f>IF((H299)=0,"",(L299/H299))</f>
        <v>9.5918713253895799E-3</v>
      </c>
    </row>
    <row r="300" spans="1:13" x14ac:dyDescent="0.2">
      <c r="A300" s="8" t="s">
        <v>9</v>
      </c>
      <c r="C300" s="26"/>
      <c r="D300" s="49" t="s">
        <v>35</v>
      </c>
      <c r="E300" s="28"/>
      <c r="F300" s="36">
        <f>IF((E285*12&gt;=150000), 0, IF(E284="RPP",(F316*0.65+F317*0.17+F318*0.18),IF(E284="Non-RPP (Retailer)",F319,F320)))</f>
        <v>0</v>
      </c>
      <c r="G300" s="50">
        <f>IF(F300=0, 0, $E285*E287-E285)</f>
        <v>0</v>
      </c>
      <c r="H300" s="31">
        <f>G300*F300</f>
        <v>0</v>
      </c>
      <c r="I300" s="37">
        <f>IF((E285*12&gt;=150000), 0, IF(E284="RPP",(I316*0.65+I317*0.17+I318*0.18),IF(E284="Non-RPP (Retailer)",I319,I320)))</f>
        <v>0</v>
      </c>
      <c r="J300" s="50">
        <f>IF(I300=0, 0, E285*E288-E285)</f>
        <v>0</v>
      </c>
      <c r="K300" s="31">
        <f>J300*I300</f>
        <v>0</v>
      </c>
      <c r="L300" s="34">
        <f>K300-H300</f>
        <v>0</v>
      </c>
      <c r="M300" s="35" t="str">
        <f>IF(ISERROR(L300/H300), "", L300/H300)</f>
        <v/>
      </c>
    </row>
    <row r="301" spans="1:13" ht="25.5" x14ac:dyDescent="0.2">
      <c r="A301" s="8" t="s">
        <v>9</v>
      </c>
      <c r="C301" s="26"/>
      <c r="D301" s="49" t="s">
        <v>36</v>
      </c>
      <c r="E301" s="28"/>
      <c r="F301" s="36">
        <v>-1E-3</v>
      </c>
      <c r="G301" s="51">
        <f>IF($E286&gt;0, $E286, $E285)</f>
        <v>21296</v>
      </c>
      <c r="H301" s="31">
        <f t="shared" si="36"/>
        <v>-21.295999999999999</v>
      </c>
      <c r="I301" s="37">
        <v>-2.3E-3</v>
      </c>
      <c r="J301" s="51">
        <f>IF($E286&gt;0, $E286, $E285)</f>
        <v>21296</v>
      </c>
      <c r="K301" s="31">
        <f t="shared" si="38"/>
        <v>-48.980800000000002</v>
      </c>
      <c r="L301" s="34">
        <f t="shared" si="35"/>
        <v>-27.684800000000003</v>
      </c>
      <c r="M301" s="35">
        <f t="shared" si="37"/>
        <v>1.3000000000000003</v>
      </c>
    </row>
    <row r="302" spans="1:13" x14ac:dyDescent="0.2">
      <c r="A302" s="8" t="s">
        <v>9</v>
      </c>
      <c r="C302" s="26"/>
      <c r="D302" s="49" t="s">
        <v>37</v>
      </c>
      <c r="E302" s="28"/>
      <c r="F302" s="36">
        <v>0</v>
      </c>
      <c r="G302" s="51">
        <f>IF($E286&gt;0, $E286, $E285)</f>
        <v>21296</v>
      </c>
      <c r="H302" s="31">
        <f>G302*F302</f>
        <v>0</v>
      </c>
      <c r="I302" s="37">
        <v>0</v>
      </c>
      <c r="J302" s="51">
        <f>IF($E286&gt;0, $E286, $E285)</f>
        <v>21296</v>
      </c>
      <c r="K302" s="31">
        <f>J302*I302</f>
        <v>0</v>
      </c>
      <c r="L302" s="34">
        <f t="shared" si="35"/>
        <v>0</v>
      </c>
      <c r="M302" s="35" t="str">
        <f t="shared" si="37"/>
        <v/>
      </c>
    </row>
    <row r="303" spans="1:13" x14ac:dyDescent="0.2">
      <c r="A303" s="8" t="s">
        <v>9</v>
      </c>
      <c r="C303" s="26"/>
      <c r="D303" s="49" t="s">
        <v>38</v>
      </c>
      <c r="E303" s="28"/>
      <c r="F303" s="36">
        <v>-8.9999999999999998E-4</v>
      </c>
      <c r="G303" s="51">
        <f>E285</f>
        <v>21296</v>
      </c>
      <c r="H303" s="31">
        <f>G303*F303</f>
        <v>-19.166399999999999</v>
      </c>
      <c r="I303" s="37">
        <v>3.9999999999999996E-4</v>
      </c>
      <c r="J303" s="51">
        <f>E285</f>
        <v>21296</v>
      </c>
      <c r="K303" s="31">
        <f t="shared" si="38"/>
        <v>8.5183999999999997</v>
      </c>
      <c r="L303" s="34">
        <f t="shared" si="35"/>
        <v>27.684799999999999</v>
      </c>
      <c r="M303" s="35">
        <f t="shared" si="37"/>
        <v>-1.4444444444444444</v>
      </c>
    </row>
    <row r="304" spans="1:13" x14ac:dyDescent="0.2">
      <c r="A304" s="8" t="s">
        <v>9</v>
      </c>
      <c r="C304" s="26"/>
      <c r="D304" s="52" t="s">
        <v>39</v>
      </c>
      <c r="E304" s="28"/>
      <c r="F304" s="36">
        <v>0</v>
      </c>
      <c r="G304" s="51">
        <f>IF($E286&gt;0, $E286, $E285)</f>
        <v>21296</v>
      </c>
      <c r="H304" s="31">
        <f t="shared" si="36"/>
        <v>0</v>
      </c>
      <c r="I304" s="37"/>
      <c r="J304" s="51">
        <f>IF($E286&gt;0, $E286, $E285)</f>
        <v>21296</v>
      </c>
      <c r="K304" s="31">
        <f t="shared" si="38"/>
        <v>0</v>
      </c>
      <c r="L304" s="34">
        <f t="shared" si="35"/>
        <v>0</v>
      </c>
      <c r="M304" s="35" t="str">
        <f t="shared" si="37"/>
        <v/>
      </c>
    </row>
    <row r="305" spans="1:13" ht="25.5" x14ac:dyDescent="0.2">
      <c r="A305" s="8" t="s">
        <v>9</v>
      </c>
      <c r="C305" s="26"/>
      <c r="D305" s="53" t="s">
        <v>40</v>
      </c>
      <c r="E305" s="28"/>
      <c r="F305" s="54">
        <f>IF(OR(ISNUMBER(SEARCH("RESIDENTIAL", E283))=TRUE, ISNUMBER(SEARCH("GENERAL SERVICE LESS THAN 50", E283))=TRUE), SME, 0)</f>
        <v>0</v>
      </c>
      <c r="G305" s="30">
        <v>1</v>
      </c>
      <c r="H305" s="31">
        <f>G305*F305</f>
        <v>0</v>
      </c>
      <c r="I305" s="55">
        <f>IF(OR(ISNUMBER(SEARCH("RESIDENTIAL", E283))=TRUE, ISNUMBER(SEARCH("GENERAL SERVICE LESS THAN 50", E283))=TRUE), SME, 0)</f>
        <v>0</v>
      </c>
      <c r="J305" s="30">
        <v>1</v>
      </c>
      <c r="K305" s="31">
        <f>J305*I305</f>
        <v>0</v>
      </c>
      <c r="L305" s="34">
        <f t="shared" si="35"/>
        <v>0</v>
      </c>
      <c r="M305" s="35" t="str">
        <f>IF(ISERROR(L305/H305), "", L305/H305)</f>
        <v/>
      </c>
    </row>
    <row r="306" spans="1:13" x14ac:dyDescent="0.2">
      <c r="A306" s="8" t="s">
        <v>9</v>
      </c>
      <c r="C306" s="26"/>
      <c r="D306" s="52" t="s">
        <v>41</v>
      </c>
      <c r="E306" s="28"/>
      <c r="F306" s="29">
        <v>0</v>
      </c>
      <c r="G306" s="30">
        <v>1</v>
      </c>
      <c r="H306" s="31">
        <f t="shared" si="36"/>
        <v>0</v>
      </c>
      <c r="I306" s="32">
        <v>0</v>
      </c>
      <c r="J306" s="30">
        <v>1</v>
      </c>
      <c r="K306" s="31">
        <f>J306*I306</f>
        <v>0</v>
      </c>
      <c r="L306" s="34">
        <f>K306-H306</f>
        <v>0</v>
      </c>
      <c r="M306" s="35" t="str">
        <f>IF(ISERROR(L306/H306), "", L306/H306)</f>
        <v/>
      </c>
    </row>
    <row r="307" spans="1:13" x14ac:dyDescent="0.2">
      <c r="A307" s="8" t="s">
        <v>9</v>
      </c>
      <c r="C307" s="26"/>
      <c r="D307" s="52" t="s">
        <v>42</v>
      </c>
      <c r="E307" s="28"/>
      <c r="F307" s="36"/>
      <c r="G307" s="51">
        <f>IF($E286&gt;0, $E286, $E285)</f>
        <v>21296</v>
      </c>
      <c r="H307" s="31">
        <f>G307*F307</f>
        <v>0</v>
      </c>
      <c r="I307" s="37">
        <v>0</v>
      </c>
      <c r="J307" s="51">
        <f>IF($E286&gt;0, $E286, $E285)</f>
        <v>21296</v>
      </c>
      <c r="K307" s="31">
        <f>J307*I307</f>
        <v>0</v>
      </c>
      <c r="L307" s="34">
        <f t="shared" si="35"/>
        <v>0</v>
      </c>
      <c r="M307" s="35" t="str">
        <f>IF(ISERROR(L307/H307), "", L307/H307)</f>
        <v/>
      </c>
    </row>
    <row r="308" spans="1:13" ht="25.5" x14ac:dyDescent="0.2">
      <c r="A308" s="8" t="s">
        <v>9</v>
      </c>
      <c r="B308" s="14" t="s">
        <v>43</v>
      </c>
      <c r="C308" s="26">
        <v>6</v>
      </c>
      <c r="D308" s="56" t="s">
        <v>44</v>
      </c>
      <c r="E308" s="57"/>
      <c r="F308" s="58"/>
      <c r="G308" s="59"/>
      <c r="H308" s="60">
        <f>SUM(H299:H307)</f>
        <v>594.3667999999999</v>
      </c>
      <c r="I308" s="61"/>
      <c r="J308" s="62"/>
      <c r="K308" s="60">
        <f>SUM(K299:K307)</f>
        <v>600.4559999999999</v>
      </c>
      <c r="L308" s="47">
        <f t="shared" si="35"/>
        <v>6.0892000000000053</v>
      </c>
      <c r="M308" s="48">
        <f>IF((H308)=0,"",(L308/H308))</f>
        <v>1.0244852168728143E-2</v>
      </c>
    </row>
    <row r="309" spans="1:13" x14ac:dyDescent="0.2">
      <c r="A309" s="8" t="s">
        <v>9</v>
      </c>
      <c r="C309" s="26"/>
      <c r="D309" s="63" t="s">
        <v>45</v>
      </c>
      <c r="E309" s="28"/>
      <c r="F309" s="36">
        <v>6.6E-3</v>
      </c>
      <c r="G309" s="50">
        <f>IF($E286&gt;0, $E286, $E285*$E287)</f>
        <v>22022.193599999999</v>
      </c>
      <c r="H309" s="31">
        <f>G309*F309</f>
        <v>145.34647776</v>
      </c>
      <c r="I309" s="37">
        <v>6.4000000000000003E-3</v>
      </c>
      <c r="J309" s="50">
        <f>IF($E286&gt;0, $E286, $E285*$E288)</f>
        <v>22022.193599999999</v>
      </c>
      <c r="K309" s="31">
        <f>J309*I309</f>
        <v>140.94203904</v>
      </c>
      <c r="L309" s="34">
        <f t="shared" si="35"/>
        <v>-4.4044387200000017</v>
      </c>
      <c r="M309" s="35">
        <f>IF(ISERROR(L309/H309), "", L309/H309)</f>
        <v>-3.0303030303030314E-2</v>
      </c>
    </row>
    <row r="310" spans="1:13" ht="25.5" x14ac:dyDescent="0.2">
      <c r="A310" s="8" t="s">
        <v>9</v>
      </c>
      <c r="C310" s="26"/>
      <c r="D310" s="64" t="s">
        <v>46</v>
      </c>
      <c r="E310" s="28"/>
      <c r="F310" s="36">
        <v>5.4999999999999997E-3</v>
      </c>
      <c r="G310" s="50">
        <f>IF($E286&gt;0, $E286, $E285*$E287)</f>
        <v>22022.193599999999</v>
      </c>
      <c r="H310" s="31">
        <f>G310*F310</f>
        <v>121.12206479999999</v>
      </c>
      <c r="I310" s="37">
        <v>5.3E-3</v>
      </c>
      <c r="J310" s="50">
        <f>IF($E286&gt;0, $E286, $E285*$E288)</f>
        <v>22022.193599999999</v>
      </c>
      <c r="K310" s="31">
        <f>J310*I310</f>
        <v>116.71762607999999</v>
      </c>
      <c r="L310" s="34">
        <f t="shared" si="35"/>
        <v>-4.4044387200000017</v>
      </c>
      <c r="M310" s="35">
        <f>IF(ISERROR(L310/H310), "", L310/H310)</f>
        <v>-3.6363636363636383E-2</v>
      </c>
    </row>
    <row r="311" spans="1:13" ht="25.5" x14ac:dyDescent="0.2">
      <c r="A311" s="8" t="s">
        <v>9</v>
      </c>
      <c r="B311" s="14" t="s">
        <v>47</v>
      </c>
      <c r="C311" s="26">
        <v>6</v>
      </c>
      <c r="D311" s="56" t="s">
        <v>48</v>
      </c>
      <c r="E311" s="41"/>
      <c r="F311" s="58"/>
      <c r="G311" s="59"/>
      <c r="H311" s="60">
        <f>SUM(H308:H310)</f>
        <v>860.83534255999984</v>
      </c>
      <c r="I311" s="61"/>
      <c r="J311" s="46"/>
      <c r="K311" s="60">
        <f>SUM(K308:K310)</f>
        <v>858.1156651199999</v>
      </c>
      <c r="L311" s="47">
        <f t="shared" si="35"/>
        <v>-2.7196774399999413</v>
      </c>
      <c r="M311" s="48">
        <f>IF((H311)=0,"",(L311/H311))</f>
        <v>-3.1593468640727664E-3</v>
      </c>
    </row>
    <row r="312" spans="1:13" ht="25.5" x14ac:dyDescent="0.2">
      <c r="A312" s="8" t="s">
        <v>9</v>
      </c>
      <c r="C312" s="26"/>
      <c r="D312" s="65" t="s">
        <v>49</v>
      </c>
      <c r="E312" s="28"/>
      <c r="F312" s="36">
        <v>3.3999999999999998E-3</v>
      </c>
      <c r="G312" s="50">
        <f>E285*E287</f>
        <v>22022.193599999999</v>
      </c>
      <c r="H312" s="66">
        <f t="shared" ref="H312:H318" si="39">G312*F312</f>
        <v>74.875458239999986</v>
      </c>
      <c r="I312" s="37">
        <v>3.4000000000000002E-3</v>
      </c>
      <c r="J312" s="50">
        <f>E285*E288</f>
        <v>22022.193599999999</v>
      </c>
      <c r="K312" s="66">
        <f t="shared" ref="K312:K318" si="40">J312*I312</f>
        <v>74.87545824</v>
      </c>
      <c r="L312" s="34">
        <f t="shared" si="35"/>
        <v>0</v>
      </c>
      <c r="M312" s="35">
        <f t="shared" ref="M312:M320" si="41">IF(ISERROR(L312/H312), "", L312/H312)</f>
        <v>0</v>
      </c>
    </row>
    <row r="313" spans="1:13" ht="25.5" x14ac:dyDescent="0.2">
      <c r="A313" s="8" t="s">
        <v>9</v>
      </c>
      <c r="C313" s="26"/>
      <c r="D313" s="65" t="s">
        <v>50</v>
      </c>
      <c r="E313" s="28"/>
      <c r="F313" s="36">
        <f>'[7]17. Regulatory Charges'!$D$16</f>
        <v>5.0000000000000001E-4</v>
      </c>
      <c r="G313" s="50">
        <f>E285*E287</f>
        <v>22022.193599999999</v>
      </c>
      <c r="H313" s="66">
        <f t="shared" si="39"/>
        <v>11.011096799999999</v>
      </c>
      <c r="I313" s="37">
        <v>5.0000000000000001E-4</v>
      </c>
      <c r="J313" s="50">
        <f>E285*E288</f>
        <v>22022.193599999999</v>
      </c>
      <c r="K313" s="66">
        <f t="shared" si="40"/>
        <v>11.011096799999999</v>
      </c>
      <c r="L313" s="34">
        <f t="shared" si="35"/>
        <v>0</v>
      </c>
      <c r="M313" s="35">
        <f t="shared" si="41"/>
        <v>0</v>
      </c>
    </row>
    <row r="314" spans="1:13" x14ac:dyDescent="0.2">
      <c r="A314" s="8" t="s">
        <v>9</v>
      </c>
      <c r="C314" s="26"/>
      <c r="D314" s="67" t="s">
        <v>51</v>
      </c>
      <c r="E314" s="28"/>
      <c r="F314" s="54">
        <v>0.25</v>
      </c>
      <c r="G314" s="30">
        <v>1</v>
      </c>
      <c r="H314" s="66">
        <f t="shared" si="39"/>
        <v>0.25</v>
      </c>
      <c r="I314" s="55">
        <f>'[7]17. Regulatory Charges'!$D$17</f>
        <v>0.25</v>
      </c>
      <c r="J314" s="33">
        <v>1</v>
      </c>
      <c r="K314" s="66">
        <f t="shared" si="40"/>
        <v>0.25</v>
      </c>
      <c r="L314" s="34">
        <f t="shared" si="35"/>
        <v>0</v>
      </c>
      <c r="M314" s="35">
        <f t="shared" si="41"/>
        <v>0</v>
      </c>
    </row>
    <row r="315" spans="1:13" ht="25.5" hidden="1" x14ac:dyDescent="0.2">
      <c r="A315" s="8" t="s">
        <v>9</v>
      </c>
      <c r="C315" s="26"/>
      <c r="D315" s="65" t="s">
        <v>52</v>
      </c>
      <c r="E315" s="28"/>
      <c r="F315" s="36"/>
      <c r="G315" s="50"/>
      <c r="H315" s="66"/>
      <c r="I315" s="37"/>
      <c r="J315" s="50"/>
      <c r="K315" s="66"/>
      <c r="L315" s="34"/>
      <c r="M315" s="35"/>
    </row>
    <row r="316" spans="1:13" hidden="1" x14ac:dyDescent="0.2">
      <c r="A316" s="8" t="s">
        <v>9</v>
      </c>
      <c r="B316" s="14" t="s">
        <v>3</v>
      </c>
      <c r="C316" s="26"/>
      <c r="D316" s="68" t="s">
        <v>53</v>
      </c>
      <c r="E316" s="28"/>
      <c r="F316" s="69">
        <f>OffPeak</f>
        <v>6.5000000000000002E-2</v>
      </c>
      <c r="G316" s="70">
        <f>IF(AND(E285*12&gt;=150000),0.65*E285*E287,0.65*E285)</f>
        <v>14314.42584</v>
      </c>
      <c r="H316" s="66">
        <f t="shared" si="39"/>
        <v>930.43767960000002</v>
      </c>
      <c r="I316" s="71">
        <f>OffPeak</f>
        <v>6.5000000000000002E-2</v>
      </c>
      <c r="J316" s="70">
        <f>IF(AND(E285*12&gt;=150000),0.65*E285*E288,0.65*E285)</f>
        <v>14314.42584</v>
      </c>
      <c r="K316" s="66">
        <f t="shared" si="40"/>
        <v>930.43767960000002</v>
      </c>
      <c r="L316" s="34">
        <f>K316-H316</f>
        <v>0</v>
      </c>
      <c r="M316" s="35">
        <f t="shared" si="41"/>
        <v>0</v>
      </c>
    </row>
    <row r="317" spans="1:13" hidden="1" x14ac:dyDescent="0.2">
      <c r="A317" s="8" t="s">
        <v>9</v>
      </c>
      <c r="B317" s="14" t="s">
        <v>3</v>
      </c>
      <c r="C317" s="26"/>
      <c r="D317" s="68" t="s">
        <v>54</v>
      </c>
      <c r="E317" s="28"/>
      <c r="F317" s="69">
        <f>MidPeak</f>
        <v>9.4E-2</v>
      </c>
      <c r="G317" s="70">
        <f>IF(AND(E285*12&gt;=150000),0.17*E285*E287,0.17*E285)</f>
        <v>3743.7729120000004</v>
      </c>
      <c r="H317" s="66">
        <f t="shared" si="39"/>
        <v>351.91465372800002</v>
      </c>
      <c r="I317" s="71">
        <f>MidPeak</f>
        <v>9.4E-2</v>
      </c>
      <c r="J317" s="70">
        <f>IF(AND(E285*12&gt;=150000),0.17*E285*E288,0.17*E285)</f>
        <v>3743.7729120000004</v>
      </c>
      <c r="K317" s="66">
        <f t="shared" si="40"/>
        <v>351.91465372800002</v>
      </c>
      <c r="L317" s="34">
        <f>K317-H317</f>
        <v>0</v>
      </c>
      <c r="M317" s="35">
        <f t="shared" si="41"/>
        <v>0</v>
      </c>
    </row>
    <row r="318" spans="1:13" hidden="1" x14ac:dyDescent="0.2">
      <c r="A318" s="8" t="s">
        <v>9</v>
      </c>
      <c r="B318" s="14" t="s">
        <v>3</v>
      </c>
      <c r="C318" s="26"/>
      <c r="D318" s="14" t="s">
        <v>55</v>
      </c>
      <c r="E318" s="28"/>
      <c r="F318" s="69">
        <f>OnPeak</f>
        <v>0.13200000000000001</v>
      </c>
      <c r="G318" s="70">
        <f>IF(AND(E285*12&gt;=150000),0.18*E285*E287,0.18*E285)</f>
        <v>3963.9948479999998</v>
      </c>
      <c r="H318" s="66">
        <f t="shared" si="39"/>
        <v>523.24731993600005</v>
      </c>
      <c r="I318" s="71">
        <f>OnPeak</f>
        <v>0.13200000000000001</v>
      </c>
      <c r="J318" s="70">
        <f>IF(AND(E285*12&gt;=150000),0.18*E285*E288,0.18*E285)</f>
        <v>3963.9948479999998</v>
      </c>
      <c r="K318" s="66">
        <f t="shared" si="40"/>
        <v>523.24731993600005</v>
      </c>
      <c r="L318" s="34">
        <f>K318-H318</f>
        <v>0</v>
      </c>
      <c r="M318" s="35">
        <f t="shared" si="41"/>
        <v>0</v>
      </c>
    </row>
    <row r="319" spans="1:13" hidden="1" x14ac:dyDescent="0.2">
      <c r="A319" s="8" t="s">
        <v>9</v>
      </c>
      <c r="B319" s="8" t="s">
        <v>56</v>
      </c>
      <c r="C319" s="26"/>
      <c r="D319" s="68" t="s">
        <v>57</v>
      </c>
      <c r="E319" s="28"/>
      <c r="F319" s="72">
        <v>0.1101</v>
      </c>
      <c r="G319" s="70">
        <f>IF(AND(E285*12&gt;=150000),E285*E287,E285)</f>
        <v>22022.193599999999</v>
      </c>
      <c r="H319" s="66">
        <f>G319*F319</f>
        <v>2424.64351536</v>
      </c>
      <c r="I319" s="73">
        <f>F319</f>
        <v>0.1101</v>
      </c>
      <c r="J319" s="70">
        <f>IF(AND(E285*12&gt;=150000),E285*E288,E285)</f>
        <v>22022.193599999999</v>
      </c>
      <c r="K319" s="66">
        <f>J319*I319</f>
        <v>2424.64351536</v>
      </c>
      <c r="L319" s="34">
        <f>K319-H319</f>
        <v>0</v>
      </c>
      <c r="M319" s="35">
        <f t="shared" si="41"/>
        <v>0</v>
      </c>
    </row>
    <row r="320" spans="1:13" ht="13.5" thickBot="1" x14ac:dyDescent="0.25">
      <c r="A320" s="8" t="s">
        <v>9</v>
      </c>
      <c r="B320" s="8" t="s">
        <v>6</v>
      </c>
      <c r="C320" s="26"/>
      <c r="D320" s="68" t="s">
        <v>58</v>
      </c>
      <c r="E320" s="28"/>
      <c r="F320" s="72">
        <v>0.1101</v>
      </c>
      <c r="G320" s="70">
        <f>IF(AND(E285*12&gt;=150000),E285*E287,E285)</f>
        <v>22022.193599999999</v>
      </c>
      <c r="H320" s="66">
        <f>G320*F320</f>
        <v>2424.64351536</v>
      </c>
      <c r="I320" s="73">
        <f>F320</f>
        <v>0.1101</v>
      </c>
      <c r="J320" s="70">
        <f>IF(AND(E285*12&gt;=150000),E285*E288,E285)</f>
        <v>22022.193599999999</v>
      </c>
      <c r="K320" s="66">
        <f>J320*I320</f>
        <v>2424.64351536</v>
      </c>
      <c r="L320" s="34">
        <f>K320-H320</f>
        <v>0</v>
      </c>
      <c r="M320" s="35">
        <f t="shared" si="41"/>
        <v>0</v>
      </c>
    </row>
    <row r="321" spans="1:13" ht="13.5" thickBot="1" x14ac:dyDescent="0.25">
      <c r="A321" s="8" t="s">
        <v>9</v>
      </c>
      <c r="B321" s="14"/>
      <c r="C321" s="26"/>
      <c r="D321" s="74"/>
      <c r="E321" s="75"/>
      <c r="F321" s="76"/>
      <c r="G321" s="77"/>
      <c r="H321" s="78"/>
      <c r="I321" s="76"/>
      <c r="J321" s="79"/>
      <c r="K321" s="78"/>
      <c r="L321" s="80"/>
      <c r="M321" s="81"/>
    </row>
    <row r="322" spans="1:13" hidden="1" x14ac:dyDescent="0.2">
      <c r="A322" s="8" t="s">
        <v>9</v>
      </c>
      <c r="B322" s="14" t="s">
        <v>3</v>
      </c>
      <c r="C322" s="26"/>
      <c r="D322" s="82" t="s">
        <v>59</v>
      </c>
      <c r="E322" s="67"/>
      <c r="F322" s="83"/>
      <c r="G322" s="84"/>
      <c r="H322" s="85">
        <f>SUM(H312:H318,H311)</f>
        <v>2752.5715508640001</v>
      </c>
      <c r="I322" s="86"/>
      <c r="J322" s="86"/>
      <c r="K322" s="85">
        <f>SUM(K312:K318,K311)</f>
        <v>2749.8518734240001</v>
      </c>
      <c r="L322" s="87">
        <f>K322-H322</f>
        <v>-2.7196774399999413</v>
      </c>
      <c r="M322" s="88">
        <f>IF((H322)=0,"",(L322/H322))</f>
        <v>-9.8804967999697102E-4</v>
      </c>
    </row>
    <row r="323" spans="1:13" hidden="1" x14ac:dyDescent="0.2">
      <c r="A323" s="8" t="s">
        <v>9</v>
      </c>
      <c r="B323" s="14" t="s">
        <v>3</v>
      </c>
      <c r="C323" s="26"/>
      <c r="D323" s="89" t="s">
        <v>60</v>
      </c>
      <c r="E323" s="67"/>
      <c r="F323" s="83">
        <v>0.13</v>
      </c>
      <c r="G323" s="90"/>
      <c r="H323" s="91">
        <f>H322*F323</f>
        <v>357.83430161232002</v>
      </c>
      <c r="I323" s="92">
        <v>0.13</v>
      </c>
      <c r="J323" s="30"/>
      <c r="K323" s="91">
        <f>K322*I323</f>
        <v>357.48074354512005</v>
      </c>
      <c r="L323" s="93">
        <f>K323-H323</f>
        <v>-0.35355806719996963</v>
      </c>
      <c r="M323" s="94">
        <f>IF((H323)=0,"",(L323/H323))</f>
        <v>-9.8804967999690727E-4</v>
      </c>
    </row>
    <row r="324" spans="1:13" hidden="1" x14ac:dyDescent="0.2">
      <c r="A324" s="8" t="s">
        <v>9</v>
      </c>
      <c r="B324" s="14" t="s">
        <v>3</v>
      </c>
      <c r="C324" s="26"/>
      <c r="D324" s="89" t="s">
        <v>61</v>
      </c>
      <c r="E324" s="67"/>
      <c r="F324" s="83">
        <v>0.08</v>
      </c>
      <c r="G324" s="90"/>
      <c r="H324" s="91">
        <v>0</v>
      </c>
      <c r="I324" s="83">
        <v>0.08</v>
      </c>
      <c r="J324" s="30"/>
      <c r="K324" s="91">
        <v>0</v>
      </c>
      <c r="L324" s="93">
        <f>K324-H324</f>
        <v>0</v>
      </c>
      <c r="M324" s="94"/>
    </row>
    <row r="325" spans="1:13" hidden="1" x14ac:dyDescent="0.2">
      <c r="A325" s="8" t="s">
        <v>9</v>
      </c>
      <c r="B325" s="14" t="s">
        <v>62</v>
      </c>
      <c r="C325" s="26"/>
      <c r="D325" s="123" t="s">
        <v>63</v>
      </c>
      <c r="E325" s="123"/>
      <c r="F325" s="95"/>
      <c r="G325" s="96"/>
      <c r="H325" s="97">
        <f>H322+H323+H324</f>
        <v>3110.40585247632</v>
      </c>
      <c r="I325" s="98"/>
      <c r="J325" s="98"/>
      <c r="K325" s="99">
        <f>K322+K323+K324</f>
        <v>3107.33261696912</v>
      </c>
      <c r="L325" s="100">
        <f>K325-H325</f>
        <v>-3.0732355072000246</v>
      </c>
      <c r="M325" s="101">
        <f>IF((H325)=0,"",(L325/H325))</f>
        <v>-9.8804967999700029E-4</v>
      </c>
    </row>
    <row r="326" spans="1:13" ht="13.5" hidden="1" thickBot="1" x14ac:dyDescent="0.25">
      <c r="A326" s="8" t="s">
        <v>9</v>
      </c>
      <c r="B326" s="8" t="s">
        <v>3</v>
      </c>
      <c r="C326" s="26"/>
      <c r="D326" s="74"/>
      <c r="E326" s="75"/>
      <c r="F326" s="76"/>
      <c r="G326" s="77"/>
      <c r="H326" s="78"/>
      <c r="I326" s="76"/>
      <c r="J326" s="79"/>
      <c r="K326" s="78"/>
      <c r="L326" s="80"/>
      <c r="M326" s="81"/>
    </row>
    <row r="327" spans="1:13" hidden="1" x14ac:dyDescent="0.2">
      <c r="A327" s="8" t="s">
        <v>9</v>
      </c>
      <c r="B327" s="8" t="s">
        <v>56</v>
      </c>
      <c r="C327" s="26"/>
      <c r="D327" s="82" t="s">
        <v>64</v>
      </c>
      <c r="E327" s="67"/>
      <c r="F327" s="83"/>
      <c r="G327" s="84"/>
      <c r="H327" s="85">
        <f>SUM(H319,H312:H315,H311)</f>
        <v>3371.61541296</v>
      </c>
      <c r="I327" s="86"/>
      <c r="J327" s="86"/>
      <c r="K327" s="85">
        <f>SUM(K319,K312:K315,K311)</f>
        <v>3368.89573552</v>
      </c>
      <c r="L327" s="87">
        <f>K327-H327</f>
        <v>-2.7196774399999413</v>
      </c>
      <c r="M327" s="88">
        <f>IF((H327)=0,"",(L327/H327))</f>
        <v>-8.066392832189271E-4</v>
      </c>
    </row>
    <row r="328" spans="1:13" hidden="1" x14ac:dyDescent="0.2">
      <c r="A328" s="8" t="s">
        <v>9</v>
      </c>
      <c r="B328" s="8" t="s">
        <v>56</v>
      </c>
      <c r="C328" s="26"/>
      <c r="D328" s="89" t="s">
        <v>60</v>
      </c>
      <c r="E328" s="67"/>
      <c r="F328" s="83">
        <v>0.13</v>
      </c>
      <c r="G328" s="84"/>
      <c r="H328" s="91">
        <f>H327*F328</f>
        <v>438.31000368479999</v>
      </c>
      <c r="I328" s="83">
        <v>0.13</v>
      </c>
      <c r="J328" s="92"/>
      <c r="K328" s="91">
        <f>K327*I328</f>
        <v>437.95644561760002</v>
      </c>
      <c r="L328" s="93">
        <f>K328-H328</f>
        <v>-0.35355806719996963</v>
      </c>
      <c r="M328" s="94">
        <f>IF((H328)=0,"",(L328/H328))</f>
        <v>-8.0663928321887527E-4</v>
      </c>
    </row>
    <row r="329" spans="1:13" hidden="1" x14ac:dyDescent="0.2">
      <c r="A329" s="8" t="s">
        <v>9</v>
      </c>
      <c r="B329" s="8" t="s">
        <v>56</v>
      </c>
      <c r="C329" s="26"/>
      <c r="D329" s="89" t="s">
        <v>61</v>
      </c>
      <c r="E329" s="67"/>
      <c r="F329" s="83">
        <v>0.08</v>
      </c>
      <c r="G329" s="84"/>
      <c r="H329" s="91">
        <v>0</v>
      </c>
      <c r="I329" s="83">
        <v>0.08</v>
      </c>
      <c r="J329" s="92"/>
      <c r="K329" s="91">
        <v>0</v>
      </c>
      <c r="L329" s="93"/>
      <c r="M329" s="94"/>
    </row>
    <row r="330" spans="1:13" hidden="1" x14ac:dyDescent="0.2">
      <c r="A330" s="8" t="s">
        <v>9</v>
      </c>
      <c r="B330" s="8" t="s">
        <v>65</v>
      </c>
      <c r="C330" s="26"/>
      <c r="D330" s="123" t="s">
        <v>64</v>
      </c>
      <c r="E330" s="123"/>
      <c r="F330" s="102"/>
      <c r="G330" s="103"/>
      <c r="H330" s="97">
        <f>SUM(H327,H328)</f>
        <v>3809.9254166448</v>
      </c>
      <c r="I330" s="104"/>
      <c r="J330" s="104"/>
      <c r="K330" s="97">
        <f>SUM(K327,K328)</f>
        <v>3806.8521811375999</v>
      </c>
      <c r="L330" s="105">
        <f>K330-H330</f>
        <v>-3.0732355072000246</v>
      </c>
      <c r="M330" s="106">
        <f>IF((H330)=0,"",(L330/H330))</f>
        <v>-8.0663928321895095E-4</v>
      </c>
    </row>
    <row r="331" spans="1:13" ht="13.5" hidden="1" thickBot="1" x14ac:dyDescent="0.25">
      <c r="A331" s="8" t="s">
        <v>9</v>
      </c>
      <c r="B331" s="8" t="s">
        <v>56</v>
      </c>
      <c r="C331" s="26"/>
      <c r="D331" s="74"/>
      <c r="E331" s="75"/>
      <c r="F331" s="107"/>
      <c r="G331" s="108"/>
      <c r="H331" s="109"/>
      <c r="I331" s="107"/>
      <c r="J331" s="77"/>
      <c r="K331" s="109"/>
      <c r="L331" s="110"/>
      <c r="M331" s="81"/>
    </row>
    <row r="332" spans="1:13" x14ac:dyDescent="0.2">
      <c r="A332" s="8" t="s">
        <v>9</v>
      </c>
      <c r="B332" s="8" t="s">
        <v>6</v>
      </c>
      <c r="C332" s="26"/>
      <c r="D332" s="82" t="s">
        <v>66</v>
      </c>
      <c r="E332" s="67"/>
      <c r="F332" s="83"/>
      <c r="G332" s="84"/>
      <c r="H332" s="85">
        <f>SUM(H320,H312:H315,H311)</f>
        <v>3371.61541296</v>
      </c>
      <c r="I332" s="86"/>
      <c r="J332" s="86"/>
      <c r="K332" s="85">
        <f>SUM(K320,K312:K315,K311)</f>
        <v>3368.89573552</v>
      </c>
      <c r="L332" s="87">
        <f>K332-H332</f>
        <v>-2.7196774399999413</v>
      </c>
      <c r="M332" s="88">
        <f>IF((H332)=0,"",(L332/H332))</f>
        <v>-8.066392832189271E-4</v>
      </c>
    </row>
    <row r="333" spans="1:13" x14ac:dyDescent="0.2">
      <c r="A333" s="8" t="s">
        <v>9</v>
      </c>
      <c r="B333" s="8" t="s">
        <v>6</v>
      </c>
      <c r="C333" s="26"/>
      <c r="D333" s="89" t="s">
        <v>60</v>
      </c>
      <c r="E333" s="67"/>
      <c r="F333" s="83">
        <v>0.13</v>
      </c>
      <c r="G333" s="84"/>
      <c r="H333" s="91">
        <f>H332*F333</f>
        <v>438.31000368479999</v>
      </c>
      <c r="I333" s="83">
        <v>0.13</v>
      </c>
      <c r="J333" s="92"/>
      <c r="K333" s="91">
        <f>K332*I333</f>
        <v>437.95644561760002</v>
      </c>
      <c r="L333" s="93">
        <f>K333-H333</f>
        <v>-0.35355806719996963</v>
      </c>
      <c r="M333" s="94">
        <f>IF((H333)=0,"",(L333/H333))</f>
        <v>-8.0663928321887527E-4</v>
      </c>
    </row>
    <row r="334" spans="1:13" hidden="1" x14ac:dyDescent="0.2">
      <c r="A334" s="8" t="s">
        <v>9</v>
      </c>
      <c r="B334" s="8" t="s">
        <v>6</v>
      </c>
      <c r="C334" s="26"/>
      <c r="D334" s="89" t="s">
        <v>61</v>
      </c>
      <c r="E334" s="67"/>
      <c r="F334" s="83">
        <v>0.08</v>
      </c>
      <c r="G334" s="84"/>
      <c r="H334" s="91">
        <v>0</v>
      </c>
      <c r="I334" s="83">
        <v>0.08</v>
      </c>
      <c r="J334" s="92"/>
      <c r="K334" s="91">
        <v>0</v>
      </c>
      <c r="L334" s="93"/>
      <c r="M334" s="94"/>
    </row>
    <row r="335" spans="1:13" ht="13.5" thickBot="1" x14ac:dyDescent="0.25">
      <c r="A335" s="8" t="s">
        <v>9</v>
      </c>
      <c r="B335" s="8" t="s">
        <v>67</v>
      </c>
      <c r="C335" s="26">
        <v>6</v>
      </c>
      <c r="D335" s="123" t="s">
        <v>66</v>
      </c>
      <c r="E335" s="123"/>
      <c r="F335" s="102"/>
      <c r="G335" s="103"/>
      <c r="H335" s="97">
        <f>SUM(H332,H333)</f>
        <v>3809.9254166448</v>
      </c>
      <c r="I335" s="104"/>
      <c r="J335" s="104"/>
      <c r="K335" s="97">
        <f>SUM(K332,K333)</f>
        <v>3806.8521811375999</v>
      </c>
      <c r="L335" s="105">
        <f>K335-H335</f>
        <v>-3.0732355072000246</v>
      </c>
      <c r="M335" s="106">
        <f>IF((H335)=0,"",(L335/H335))</f>
        <v>-8.0663928321895095E-4</v>
      </c>
    </row>
    <row r="336" spans="1:13" ht="13.5" thickBot="1" x14ac:dyDescent="0.25">
      <c r="A336" s="8" t="s">
        <v>9</v>
      </c>
      <c r="B336" s="8" t="s">
        <v>6</v>
      </c>
      <c r="C336" s="26"/>
      <c r="D336" s="74"/>
      <c r="E336" s="75"/>
      <c r="F336" s="111"/>
      <c r="G336" s="112"/>
      <c r="H336" s="113"/>
      <c r="I336" s="111"/>
      <c r="J336" s="114"/>
      <c r="K336" s="113"/>
      <c r="L336" s="115"/>
      <c r="M336" s="116"/>
    </row>
    <row r="339" spans="1:20" x14ac:dyDescent="0.2">
      <c r="C339" s="8"/>
      <c r="D339" s="10" t="s">
        <v>12</v>
      </c>
      <c r="E339" s="124" t="s">
        <v>10</v>
      </c>
      <c r="F339" s="124"/>
      <c r="G339" s="124"/>
      <c r="H339" s="124"/>
      <c r="I339" s="124"/>
      <c r="J339" s="124"/>
      <c r="K339" s="8" t="s">
        <v>8</v>
      </c>
      <c r="T339" s="8" t="s">
        <v>11</v>
      </c>
    </row>
    <row r="340" spans="1:20" x14ac:dyDescent="0.2">
      <c r="C340" s="8"/>
      <c r="D340" s="10" t="s">
        <v>13</v>
      </c>
      <c r="E340" s="125" t="s">
        <v>6</v>
      </c>
      <c r="F340" s="125"/>
      <c r="G340" s="125"/>
      <c r="H340" s="11"/>
      <c r="I340" s="11"/>
    </row>
    <row r="341" spans="1:20" ht="15.75" x14ac:dyDescent="0.2">
      <c r="C341" s="8"/>
      <c r="D341" s="10" t="s">
        <v>14</v>
      </c>
      <c r="E341" s="12">
        <v>2787508</v>
      </c>
      <c r="F341" s="13" t="s">
        <v>2</v>
      </c>
      <c r="G341" s="14"/>
      <c r="J341" s="15"/>
      <c r="K341" s="15"/>
      <c r="L341" s="15"/>
      <c r="M341" s="15"/>
    </row>
    <row r="342" spans="1:20" ht="15.75" x14ac:dyDescent="0.25">
      <c r="C342" s="8"/>
      <c r="D342" s="10" t="s">
        <v>15</v>
      </c>
      <c r="E342" s="12">
        <v>7922</v>
      </c>
      <c r="F342" s="16" t="s">
        <v>5</v>
      </c>
      <c r="G342" s="17"/>
      <c r="H342" s="18"/>
      <c r="I342" s="18"/>
      <c r="J342" s="18"/>
    </row>
    <row r="343" spans="1:20" x14ac:dyDescent="0.2">
      <c r="C343" s="8"/>
      <c r="D343" s="10" t="s">
        <v>16</v>
      </c>
      <c r="E343" s="19">
        <v>1.0341</v>
      </c>
    </row>
    <row r="344" spans="1:20" x14ac:dyDescent="0.2">
      <c r="C344" s="8"/>
      <c r="D344" s="10" t="s">
        <v>17</v>
      </c>
      <c r="E344" s="19">
        <v>1.0341</v>
      </c>
    </row>
    <row r="345" spans="1:20" x14ac:dyDescent="0.2">
      <c r="C345" s="8"/>
      <c r="D345" s="14"/>
    </row>
    <row r="346" spans="1:20" x14ac:dyDescent="0.2">
      <c r="C346" s="8"/>
      <c r="D346" s="14"/>
      <c r="E346" s="20"/>
      <c r="F346" s="126" t="s">
        <v>18</v>
      </c>
      <c r="G346" s="127"/>
      <c r="H346" s="128"/>
      <c r="I346" s="126" t="s">
        <v>19</v>
      </c>
      <c r="J346" s="127"/>
      <c r="K346" s="128"/>
      <c r="L346" s="126" t="s">
        <v>20</v>
      </c>
      <c r="M346" s="128"/>
    </row>
    <row r="347" spans="1:20" x14ac:dyDescent="0.2">
      <c r="C347" s="8"/>
      <c r="D347" s="14"/>
      <c r="E347" s="117"/>
      <c r="F347" s="21" t="s">
        <v>21</v>
      </c>
      <c r="G347" s="21" t="s">
        <v>22</v>
      </c>
      <c r="H347" s="22" t="s">
        <v>23</v>
      </c>
      <c r="I347" s="21" t="s">
        <v>21</v>
      </c>
      <c r="J347" s="23" t="s">
        <v>22</v>
      </c>
      <c r="K347" s="22" t="s">
        <v>23</v>
      </c>
      <c r="L347" s="119" t="s">
        <v>24</v>
      </c>
      <c r="M347" s="121" t="s">
        <v>25</v>
      </c>
    </row>
    <row r="348" spans="1:20" x14ac:dyDescent="0.2">
      <c r="C348" s="8"/>
      <c r="D348" s="14"/>
      <c r="E348" s="118"/>
      <c r="F348" s="24" t="s">
        <v>26</v>
      </c>
      <c r="G348" s="24"/>
      <c r="H348" s="25" t="s">
        <v>26</v>
      </c>
      <c r="I348" s="24" t="s">
        <v>26</v>
      </c>
      <c r="J348" s="25"/>
      <c r="K348" s="25" t="s">
        <v>26</v>
      </c>
      <c r="L348" s="120"/>
      <c r="M348" s="122"/>
    </row>
    <row r="349" spans="1:20" x14ac:dyDescent="0.2">
      <c r="A349" s="8" t="s">
        <v>10</v>
      </c>
      <c r="C349" s="26"/>
      <c r="D349" s="27" t="s">
        <v>27</v>
      </c>
      <c r="E349" s="28"/>
      <c r="F349" s="29">
        <v>2.3199999999999998</v>
      </c>
      <c r="G349" s="30"/>
      <c r="H349" s="31">
        <f>G349*F349</f>
        <v>0</v>
      </c>
      <c r="I349" s="32">
        <v>2.35</v>
      </c>
      <c r="J349" s="33">
        <f>G349</f>
        <v>0</v>
      </c>
      <c r="K349" s="31">
        <f>J349*I349</f>
        <v>0</v>
      </c>
      <c r="L349" s="34">
        <f t="shared" ref="L349:L370" si="42">K349-H349</f>
        <v>0</v>
      </c>
      <c r="M349" s="35" t="str">
        <f>IF(ISERROR(L349/H349), "", L349/H349)</f>
        <v/>
      </c>
    </row>
    <row r="350" spans="1:20" x14ac:dyDescent="0.2">
      <c r="A350" s="8" t="s">
        <v>10</v>
      </c>
      <c r="C350" s="26"/>
      <c r="D350" s="27" t="s">
        <v>28</v>
      </c>
      <c r="E350" s="28"/>
      <c r="F350" s="36">
        <v>11.6426</v>
      </c>
      <c r="G350" s="30">
        <f>IF($E342&gt;0, $E342, $E341)</f>
        <v>7922</v>
      </c>
      <c r="H350" s="31">
        <f t="shared" ref="H350:H362" si="43">G350*F350</f>
        <v>92232.677200000006</v>
      </c>
      <c r="I350" s="37">
        <v>11.782299999999999</v>
      </c>
      <c r="J350" s="33">
        <f>IF($E342&gt;0, $E342, $E341)</f>
        <v>7922</v>
      </c>
      <c r="K350" s="31">
        <f>J350*I350</f>
        <v>93339.380599999989</v>
      </c>
      <c r="L350" s="34">
        <f t="shared" si="42"/>
        <v>1106.703399999984</v>
      </c>
      <c r="M350" s="35">
        <f t="shared" ref="M350:M360" si="44">IF(ISERROR(L350/H350), "", L350/H350)</f>
        <v>1.199903801556336E-2</v>
      </c>
    </row>
    <row r="351" spans="1:20" hidden="1" x14ac:dyDescent="0.2">
      <c r="A351" s="8" t="s">
        <v>10</v>
      </c>
      <c r="C351" s="26"/>
      <c r="D351" s="27" t="s">
        <v>29</v>
      </c>
      <c r="E351" s="28"/>
      <c r="F351" s="36"/>
      <c r="G351" s="30"/>
      <c r="H351" s="31">
        <v>0</v>
      </c>
      <c r="I351" s="37"/>
      <c r="J351" s="33">
        <f>IF($E342&gt;0, $E342, $E341)</f>
        <v>7922</v>
      </c>
      <c r="K351" s="31">
        <v>0</v>
      </c>
      <c r="L351" s="34"/>
      <c r="M351" s="35"/>
    </row>
    <row r="352" spans="1:20" hidden="1" x14ac:dyDescent="0.2">
      <c r="A352" s="8" t="s">
        <v>10</v>
      </c>
      <c r="C352" s="26"/>
      <c r="D352" s="27" t="s">
        <v>30</v>
      </c>
      <c r="E352" s="28"/>
      <c r="F352" s="36"/>
      <c r="G352" s="30">
        <f>IF($E342&gt;0, $E342, $E341)</f>
        <v>7922</v>
      </c>
      <c r="H352" s="31">
        <v>0</v>
      </c>
      <c r="I352" s="37"/>
      <c r="J352" s="30">
        <f>IF($E342&gt;0, $E342, $E341)</f>
        <v>7922</v>
      </c>
      <c r="K352" s="31">
        <v>0</v>
      </c>
      <c r="L352" s="34">
        <f>K352-H352</f>
        <v>0</v>
      </c>
      <c r="M352" s="35" t="str">
        <f>IF(ISERROR(L352/H352), "", L352/H352)</f>
        <v/>
      </c>
    </row>
    <row r="353" spans="1:13" x14ac:dyDescent="0.2">
      <c r="A353" s="8" t="s">
        <v>10</v>
      </c>
      <c r="C353" s="26"/>
      <c r="D353" s="38" t="s">
        <v>31</v>
      </c>
      <c r="E353" s="28"/>
      <c r="F353" s="29">
        <v>0.05</v>
      </c>
      <c r="G353" s="30">
        <v>1</v>
      </c>
      <c r="H353" s="31">
        <f t="shared" si="43"/>
        <v>0.05</v>
      </c>
      <c r="I353" s="32">
        <v>0.03</v>
      </c>
      <c r="J353" s="33">
        <f>G353</f>
        <v>1</v>
      </c>
      <c r="K353" s="31">
        <f t="shared" ref="K353:K360" si="45">J353*I353</f>
        <v>0.03</v>
      </c>
      <c r="L353" s="34">
        <f t="shared" si="42"/>
        <v>-2.0000000000000004E-2</v>
      </c>
      <c r="M353" s="35">
        <f t="shared" si="44"/>
        <v>-0.40000000000000008</v>
      </c>
    </row>
    <row r="354" spans="1:13" x14ac:dyDescent="0.2">
      <c r="A354" s="8" t="s">
        <v>10</v>
      </c>
      <c r="C354" s="26"/>
      <c r="D354" s="27" t="s">
        <v>32</v>
      </c>
      <c r="E354" s="28"/>
      <c r="F354" s="36">
        <v>0.11119999999999999</v>
      </c>
      <c r="G354" s="30">
        <f>IF($E342&gt;0, $E342, $E341)</f>
        <v>7922</v>
      </c>
      <c r="H354" s="31">
        <f t="shared" si="43"/>
        <v>880.92639999999994</v>
      </c>
      <c r="I354" s="37">
        <v>0.11119999999999999</v>
      </c>
      <c r="J354" s="33">
        <f>IF($E342&gt;0, $E342, $E341)</f>
        <v>7922</v>
      </c>
      <c r="K354" s="31">
        <f t="shared" si="45"/>
        <v>880.92639999999994</v>
      </c>
      <c r="L354" s="34">
        <f t="shared" si="42"/>
        <v>0</v>
      </c>
      <c r="M354" s="35">
        <f t="shared" si="44"/>
        <v>0</v>
      </c>
    </row>
    <row r="355" spans="1:13" x14ac:dyDescent="0.2">
      <c r="A355" s="8" t="s">
        <v>10</v>
      </c>
      <c r="B355" s="39" t="s">
        <v>33</v>
      </c>
      <c r="C355" s="26">
        <v>7</v>
      </c>
      <c r="D355" s="40" t="s">
        <v>34</v>
      </c>
      <c r="E355" s="41"/>
      <c r="F355" s="42"/>
      <c r="G355" s="43"/>
      <c r="H355" s="44">
        <f>SUM(H349:H354)</f>
        <v>93113.653600000005</v>
      </c>
      <c r="I355" s="45"/>
      <c r="J355" s="46"/>
      <c r="K355" s="44">
        <f>SUM(K349:K354)</f>
        <v>94220.336999999985</v>
      </c>
      <c r="L355" s="47">
        <f t="shared" si="42"/>
        <v>1106.6833999999799</v>
      </c>
      <c r="M355" s="48">
        <f>IF((H355)=0,"",(L355/H355))</f>
        <v>1.1885296701535293E-2</v>
      </c>
    </row>
    <row r="356" spans="1:13" x14ac:dyDescent="0.2">
      <c r="A356" s="8" t="s">
        <v>10</v>
      </c>
      <c r="C356" s="26"/>
      <c r="D356" s="49" t="s">
        <v>35</v>
      </c>
      <c r="E356" s="28"/>
      <c r="F356" s="36">
        <f>IF((E341*12&gt;=150000), 0, IF(E340="RPP",(F372*0.65+F373*0.17+F374*0.18),IF(E340="Non-RPP (Retailer)",F375,F376)))</f>
        <v>0</v>
      </c>
      <c r="G356" s="50">
        <f>IF(F356=0, 0, $E341*E343-E341)</f>
        <v>0</v>
      </c>
      <c r="H356" s="31">
        <f>G356*F356</f>
        <v>0</v>
      </c>
      <c r="I356" s="37">
        <f>IF((E341*12&gt;=150000), 0, IF(E340="RPP",(I372*0.65+I373*0.17+I374*0.18),IF(E340="Non-RPP (Retailer)",I375,I376)))</f>
        <v>0</v>
      </c>
      <c r="J356" s="50">
        <f>IF(I356=0, 0, E341*E344-E341)</f>
        <v>0</v>
      </c>
      <c r="K356" s="31">
        <f>J356*I356</f>
        <v>0</v>
      </c>
      <c r="L356" s="34">
        <f>K356-H356</f>
        <v>0</v>
      </c>
      <c r="M356" s="35" t="str">
        <f>IF(ISERROR(L356/H356), "", L356/H356)</f>
        <v/>
      </c>
    </row>
    <row r="357" spans="1:13" ht="25.5" x14ac:dyDescent="0.2">
      <c r="A357" s="8" t="s">
        <v>10</v>
      </c>
      <c r="C357" s="26"/>
      <c r="D357" s="49" t="s">
        <v>36</v>
      </c>
      <c r="E357" s="28"/>
      <c r="F357" s="36">
        <v>-0.32190000000000002</v>
      </c>
      <c r="G357" s="51">
        <f>IF($E342&gt;0, $E342, $E341)</f>
        <v>7922</v>
      </c>
      <c r="H357" s="31">
        <f t="shared" si="43"/>
        <v>-2550.0918000000001</v>
      </c>
      <c r="I357" s="37">
        <v>-0.77929999999999999</v>
      </c>
      <c r="J357" s="51">
        <f>IF($E342&gt;0, $E342, $E341)</f>
        <v>7922</v>
      </c>
      <c r="K357" s="31">
        <f t="shared" si="45"/>
        <v>-6173.6145999999999</v>
      </c>
      <c r="L357" s="34">
        <f t="shared" si="42"/>
        <v>-3623.5227999999997</v>
      </c>
      <c r="M357" s="35">
        <f t="shared" si="44"/>
        <v>1.4209381795588689</v>
      </c>
    </row>
    <row r="358" spans="1:13" x14ac:dyDescent="0.2">
      <c r="A358" s="8" t="s">
        <v>10</v>
      </c>
      <c r="C358" s="26"/>
      <c r="D358" s="49" t="s">
        <v>37</v>
      </c>
      <c r="E358" s="28"/>
      <c r="F358" s="36">
        <v>0</v>
      </c>
      <c r="G358" s="51">
        <f>IF($E342&gt;0, $E342, $E341)</f>
        <v>7922</v>
      </c>
      <c r="H358" s="31">
        <f>G358*F358</f>
        <v>0</v>
      </c>
      <c r="I358" s="37">
        <v>0</v>
      </c>
      <c r="J358" s="51">
        <f>IF($E342&gt;0, $E342, $E341)</f>
        <v>7922</v>
      </c>
      <c r="K358" s="31">
        <f>J358*I358</f>
        <v>0</v>
      </c>
      <c r="L358" s="34">
        <f t="shared" si="42"/>
        <v>0</v>
      </c>
      <c r="M358" s="35" t="str">
        <f t="shared" si="44"/>
        <v/>
      </c>
    </row>
    <row r="359" spans="1:13" x14ac:dyDescent="0.2">
      <c r="A359" s="8" t="s">
        <v>10</v>
      </c>
      <c r="C359" s="26"/>
      <c r="D359" s="49" t="s">
        <v>38</v>
      </c>
      <c r="E359" s="28"/>
      <c r="F359" s="36">
        <v>-8.9999999999999998E-4</v>
      </c>
      <c r="G359" s="51">
        <f>E341</f>
        <v>2787508</v>
      </c>
      <c r="H359" s="31">
        <f>G359*F359</f>
        <v>-2508.7572</v>
      </c>
      <c r="I359" s="37">
        <v>3.9999999999999996E-4</v>
      </c>
      <c r="J359" s="51">
        <f>E341</f>
        <v>2787508</v>
      </c>
      <c r="K359" s="31">
        <f t="shared" si="45"/>
        <v>1115.0031999999999</v>
      </c>
      <c r="L359" s="34">
        <f t="shared" si="42"/>
        <v>3623.7604000000001</v>
      </c>
      <c r="M359" s="35">
        <f t="shared" si="44"/>
        <v>-1.4444444444444444</v>
      </c>
    </row>
    <row r="360" spans="1:13" x14ac:dyDescent="0.2">
      <c r="A360" s="8" t="s">
        <v>10</v>
      </c>
      <c r="C360" s="26"/>
      <c r="D360" s="52" t="s">
        <v>39</v>
      </c>
      <c r="E360" s="28"/>
      <c r="F360" s="36">
        <v>0</v>
      </c>
      <c r="G360" s="51">
        <f>IF($E342&gt;0, $E342, $E341)</f>
        <v>7922</v>
      </c>
      <c r="H360" s="31">
        <f t="shared" si="43"/>
        <v>0</v>
      </c>
      <c r="I360" s="37"/>
      <c r="J360" s="51">
        <f>IF($E342&gt;0, $E342, $E341)</f>
        <v>7922</v>
      </c>
      <c r="K360" s="31">
        <f t="shared" si="45"/>
        <v>0</v>
      </c>
      <c r="L360" s="34">
        <f t="shared" si="42"/>
        <v>0</v>
      </c>
      <c r="M360" s="35" t="str">
        <f t="shared" si="44"/>
        <v/>
      </c>
    </row>
    <row r="361" spans="1:13" ht="25.5" x14ac:dyDescent="0.2">
      <c r="A361" s="8" t="s">
        <v>10</v>
      </c>
      <c r="C361" s="26"/>
      <c r="D361" s="53" t="s">
        <v>40</v>
      </c>
      <c r="E361" s="28"/>
      <c r="F361" s="54">
        <f>IF(OR(ISNUMBER(SEARCH("RESIDENTIAL", E339))=TRUE, ISNUMBER(SEARCH("GENERAL SERVICE LESS THAN 50", E339))=TRUE), SME, 0)</f>
        <v>0</v>
      </c>
      <c r="G361" s="30">
        <v>1</v>
      </c>
      <c r="H361" s="31">
        <f>G361*F361</f>
        <v>0</v>
      </c>
      <c r="I361" s="55">
        <f>IF(OR(ISNUMBER(SEARCH("RESIDENTIAL", E339))=TRUE, ISNUMBER(SEARCH("GENERAL SERVICE LESS THAN 50", E339))=TRUE), SME, 0)</f>
        <v>0</v>
      </c>
      <c r="J361" s="30">
        <v>1</v>
      </c>
      <c r="K361" s="31">
        <f>J361*I361</f>
        <v>0</v>
      </c>
      <c r="L361" s="34">
        <f t="shared" si="42"/>
        <v>0</v>
      </c>
      <c r="M361" s="35" t="str">
        <f>IF(ISERROR(L361/H361), "", L361/H361)</f>
        <v/>
      </c>
    </row>
    <row r="362" spans="1:13" x14ac:dyDescent="0.2">
      <c r="A362" s="8" t="s">
        <v>10</v>
      </c>
      <c r="C362" s="26"/>
      <c r="D362" s="52" t="s">
        <v>41</v>
      </c>
      <c r="E362" s="28"/>
      <c r="F362" s="29">
        <v>0</v>
      </c>
      <c r="G362" s="30">
        <v>1</v>
      </c>
      <c r="H362" s="31">
        <f t="shared" si="43"/>
        <v>0</v>
      </c>
      <c r="I362" s="32">
        <v>0</v>
      </c>
      <c r="J362" s="30">
        <v>1</v>
      </c>
      <c r="K362" s="31">
        <f>J362*I362</f>
        <v>0</v>
      </c>
      <c r="L362" s="34">
        <f>K362-H362</f>
        <v>0</v>
      </c>
      <c r="M362" s="35" t="str">
        <f>IF(ISERROR(L362/H362), "", L362/H362)</f>
        <v/>
      </c>
    </row>
    <row r="363" spans="1:13" x14ac:dyDescent="0.2">
      <c r="A363" s="8" t="s">
        <v>10</v>
      </c>
      <c r="C363" s="26"/>
      <c r="D363" s="52" t="s">
        <v>42</v>
      </c>
      <c r="E363" s="28"/>
      <c r="F363" s="36"/>
      <c r="G363" s="51">
        <f>IF($E342&gt;0, $E342, $E341)</f>
        <v>7922</v>
      </c>
      <c r="H363" s="31">
        <f>G363*F363</f>
        <v>0</v>
      </c>
      <c r="I363" s="37">
        <v>0</v>
      </c>
      <c r="J363" s="51">
        <f>IF($E342&gt;0, $E342, $E341)</f>
        <v>7922</v>
      </c>
      <c r="K363" s="31">
        <f>J363*I363</f>
        <v>0</v>
      </c>
      <c r="L363" s="34">
        <f t="shared" si="42"/>
        <v>0</v>
      </c>
      <c r="M363" s="35" t="str">
        <f>IF(ISERROR(L363/H363), "", L363/H363)</f>
        <v/>
      </c>
    </row>
    <row r="364" spans="1:13" ht="25.5" x14ac:dyDescent="0.2">
      <c r="A364" s="8" t="s">
        <v>10</v>
      </c>
      <c r="B364" s="14" t="s">
        <v>43</v>
      </c>
      <c r="C364" s="26">
        <v>7</v>
      </c>
      <c r="D364" s="56" t="s">
        <v>44</v>
      </c>
      <c r="E364" s="57"/>
      <c r="F364" s="58"/>
      <c r="G364" s="59"/>
      <c r="H364" s="60">
        <f>SUM(H355:H363)</f>
        <v>88054.804600000003</v>
      </c>
      <c r="I364" s="61"/>
      <c r="J364" s="62"/>
      <c r="K364" s="60">
        <f>SUM(K355:K363)</f>
        <v>89161.725599999991</v>
      </c>
      <c r="L364" s="47">
        <f t="shared" si="42"/>
        <v>1106.9209999999875</v>
      </c>
      <c r="M364" s="48">
        <f>IF((H364)=0,"",(L364/H364))</f>
        <v>1.25708188784055E-2</v>
      </c>
    </row>
    <row r="365" spans="1:13" x14ac:dyDescent="0.2">
      <c r="A365" s="8" t="s">
        <v>10</v>
      </c>
      <c r="C365" s="26"/>
      <c r="D365" s="63" t="s">
        <v>45</v>
      </c>
      <c r="E365" s="28"/>
      <c r="F365" s="36">
        <v>2.1341000000000001</v>
      </c>
      <c r="G365" s="50">
        <f>IF($E342&gt;0, $E342, $E341*$E343)</f>
        <v>7922</v>
      </c>
      <c r="H365" s="31">
        <f>G365*F365</f>
        <v>16906.340200000002</v>
      </c>
      <c r="I365" s="37">
        <v>2.0806</v>
      </c>
      <c r="J365" s="50">
        <f>IF($E342&gt;0, $E342, $E341*$E344)</f>
        <v>7922</v>
      </c>
      <c r="K365" s="31">
        <f>J365*I365</f>
        <v>16482.513200000001</v>
      </c>
      <c r="L365" s="34">
        <f t="shared" si="42"/>
        <v>-423.82700000000114</v>
      </c>
      <c r="M365" s="35">
        <f>IF(ISERROR(L365/H365), "", L365/H365)</f>
        <v>-2.5069115786514284E-2</v>
      </c>
    </row>
    <row r="366" spans="1:13" ht="25.5" x14ac:dyDescent="0.2">
      <c r="A366" s="8" t="s">
        <v>10</v>
      </c>
      <c r="C366" s="26"/>
      <c r="D366" s="64" t="s">
        <v>46</v>
      </c>
      <c r="E366" s="28"/>
      <c r="F366" s="36">
        <v>1.8214999999999999</v>
      </c>
      <c r="G366" s="50">
        <f>IF($E342&gt;0, $E342, $E341*$E343)</f>
        <v>7922</v>
      </c>
      <c r="H366" s="31">
        <f>G366*F366</f>
        <v>14429.922999999999</v>
      </c>
      <c r="I366" s="37">
        <v>1.768</v>
      </c>
      <c r="J366" s="50">
        <f>IF($E342&gt;0, $E342, $E341*$E344)</f>
        <v>7922</v>
      </c>
      <c r="K366" s="31">
        <f>J366*I366</f>
        <v>14006.096</v>
      </c>
      <c r="L366" s="34">
        <f t="shared" si="42"/>
        <v>-423.82699999999932</v>
      </c>
      <c r="M366" s="35">
        <f>IF(ISERROR(L366/H366), "", L366/H366)</f>
        <v>-2.9371397200109756E-2</v>
      </c>
    </row>
    <row r="367" spans="1:13" ht="25.5" x14ac:dyDescent="0.2">
      <c r="A367" s="8" t="s">
        <v>10</v>
      </c>
      <c r="B367" s="14" t="s">
        <v>47</v>
      </c>
      <c r="C367" s="26">
        <v>7</v>
      </c>
      <c r="D367" s="56" t="s">
        <v>48</v>
      </c>
      <c r="E367" s="41"/>
      <c r="F367" s="58"/>
      <c r="G367" s="59"/>
      <c r="H367" s="60">
        <f>SUM(H364:H366)</f>
        <v>119391.0678</v>
      </c>
      <c r="I367" s="61"/>
      <c r="J367" s="46"/>
      <c r="K367" s="60">
        <f>SUM(K364:K366)</f>
        <v>119650.3348</v>
      </c>
      <c r="L367" s="47">
        <f t="shared" si="42"/>
        <v>259.26699999999255</v>
      </c>
      <c r="M367" s="48">
        <f>IF((H367)=0,"",(L367/H367))</f>
        <v>2.171577864051841E-3</v>
      </c>
    </row>
    <row r="368" spans="1:13" ht="25.5" x14ac:dyDescent="0.2">
      <c r="A368" s="8" t="s">
        <v>10</v>
      </c>
      <c r="C368" s="26"/>
      <c r="D368" s="65" t="s">
        <v>49</v>
      </c>
      <c r="E368" s="28"/>
      <c r="F368" s="36">
        <v>3.3999999999999998E-3</v>
      </c>
      <c r="G368" s="50">
        <f>E341*E343</f>
        <v>2882562.0227999999</v>
      </c>
      <c r="H368" s="66">
        <f t="shared" ref="H368:H374" si="46">G368*F368</f>
        <v>9800.7108775199995</v>
      </c>
      <c r="I368" s="37">
        <v>3.4000000000000002E-3</v>
      </c>
      <c r="J368" s="50">
        <f>E341*E344</f>
        <v>2882562.0227999999</v>
      </c>
      <c r="K368" s="66">
        <f t="shared" ref="K368:K374" si="47">J368*I368</f>
        <v>9800.7108775200013</v>
      </c>
      <c r="L368" s="34">
        <f t="shared" si="42"/>
        <v>0</v>
      </c>
      <c r="M368" s="35">
        <f t="shared" ref="M368:M376" si="48">IF(ISERROR(L368/H368), "", L368/H368)</f>
        <v>0</v>
      </c>
    </row>
    <row r="369" spans="1:13" ht="25.5" x14ac:dyDescent="0.2">
      <c r="A369" s="8" t="s">
        <v>10</v>
      </c>
      <c r="C369" s="26"/>
      <c r="D369" s="65" t="s">
        <v>50</v>
      </c>
      <c r="E369" s="28"/>
      <c r="F369" s="36">
        <f>'[7]17. Regulatory Charges'!$D$16</f>
        <v>5.0000000000000001E-4</v>
      </c>
      <c r="G369" s="50">
        <f>E341*E343</f>
        <v>2882562.0227999999</v>
      </c>
      <c r="H369" s="66">
        <f t="shared" si="46"/>
        <v>1441.2810113999999</v>
      </c>
      <c r="I369" s="37">
        <v>5.0000000000000001E-4</v>
      </c>
      <c r="J369" s="50">
        <f>E341*E344</f>
        <v>2882562.0227999999</v>
      </c>
      <c r="K369" s="66">
        <f t="shared" si="47"/>
        <v>1441.2810113999999</v>
      </c>
      <c r="L369" s="34">
        <f t="shared" si="42"/>
        <v>0</v>
      </c>
      <c r="M369" s="35">
        <f t="shared" si="48"/>
        <v>0</v>
      </c>
    </row>
    <row r="370" spans="1:13" x14ac:dyDescent="0.2">
      <c r="A370" s="8" t="s">
        <v>10</v>
      </c>
      <c r="C370" s="26"/>
      <c r="D370" s="67" t="s">
        <v>51</v>
      </c>
      <c r="E370" s="28"/>
      <c r="F370" s="54">
        <v>0.25</v>
      </c>
      <c r="G370" s="30">
        <v>1</v>
      </c>
      <c r="H370" s="66">
        <f t="shared" si="46"/>
        <v>0.25</v>
      </c>
      <c r="I370" s="55">
        <f>'[7]17. Regulatory Charges'!$D$17</f>
        <v>0.25</v>
      </c>
      <c r="J370" s="33">
        <v>1</v>
      </c>
      <c r="K370" s="66">
        <f t="shared" si="47"/>
        <v>0.25</v>
      </c>
      <c r="L370" s="34">
        <f t="shared" si="42"/>
        <v>0</v>
      </c>
      <c r="M370" s="35">
        <f t="shared" si="48"/>
        <v>0</v>
      </c>
    </row>
    <row r="371" spans="1:13" ht="25.5" hidden="1" x14ac:dyDescent="0.2">
      <c r="A371" s="8" t="s">
        <v>10</v>
      </c>
      <c r="C371" s="26"/>
      <c r="D371" s="65" t="s">
        <v>52</v>
      </c>
      <c r="E371" s="28"/>
      <c r="F371" s="36"/>
      <c r="G371" s="50"/>
      <c r="H371" s="66"/>
      <c r="I371" s="37"/>
      <c r="J371" s="50"/>
      <c r="K371" s="66"/>
      <c r="L371" s="34"/>
      <c r="M371" s="35"/>
    </row>
    <row r="372" spans="1:13" hidden="1" x14ac:dyDescent="0.2">
      <c r="A372" s="8" t="s">
        <v>10</v>
      </c>
      <c r="B372" s="14" t="s">
        <v>3</v>
      </c>
      <c r="C372" s="26"/>
      <c r="D372" s="68" t="s">
        <v>53</v>
      </c>
      <c r="E372" s="28"/>
      <c r="F372" s="69">
        <f>OffPeak</f>
        <v>6.5000000000000002E-2</v>
      </c>
      <c r="G372" s="70">
        <f>IF(AND(E341*12&gt;=150000),0.65*E341*E343,0.65*E341)</f>
        <v>1873665.31482</v>
      </c>
      <c r="H372" s="66">
        <f t="shared" si="46"/>
        <v>121788.2454633</v>
      </c>
      <c r="I372" s="71">
        <f>OffPeak</f>
        <v>6.5000000000000002E-2</v>
      </c>
      <c r="J372" s="70">
        <f>IF(AND(E341*12&gt;=150000),0.65*E341*E344,0.65*E341)</f>
        <v>1873665.31482</v>
      </c>
      <c r="K372" s="66">
        <f t="shared" si="47"/>
        <v>121788.2454633</v>
      </c>
      <c r="L372" s="34">
        <f>K372-H372</f>
        <v>0</v>
      </c>
      <c r="M372" s="35">
        <f t="shared" si="48"/>
        <v>0</v>
      </c>
    </row>
    <row r="373" spans="1:13" hidden="1" x14ac:dyDescent="0.2">
      <c r="A373" s="8" t="s">
        <v>10</v>
      </c>
      <c r="B373" s="14" t="s">
        <v>3</v>
      </c>
      <c r="C373" s="26"/>
      <c r="D373" s="68" t="s">
        <v>54</v>
      </c>
      <c r="E373" s="28"/>
      <c r="F373" s="69">
        <f>MidPeak</f>
        <v>9.4E-2</v>
      </c>
      <c r="G373" s="70">
        <f>IF(AND(E341*12&gt;=150000),0.17*E341*E343,0.17*E341)</f>
        <v>490035.54387600004</v>
      </c>
      <c r="H373" s="66">
        <f t="shared" si="46"/>
        <v>46063.341124344006</v>
      </c>
      <c r="I373" s="71">
        <f>MidPeak</f>
        <v>9.4E-2</v>
      </c>
      <c r="J373" s="70">
        <f>IF(AND(E341*12&gt;=150000),0.17*E341*E344,0.17*E341)</f>
        <v>490035.54387600004</v>
      </c>
      <c r="K373" s="66">
        <f t="shared" si="47"/>
        <v>46063.341124344006</v>
      </c>
      <c r="L373" s="34">
        <f>K373-H373</f>
        <v>0</v>
      </c>
      <c r="M373" s="35">
        <f t="shared" si="48"/>
        <v>0</v>
      </c>
    </row>
    <row r="374" spans="1:13" hidden="1" x14ac:dyDescent="0.2">
      <c r="A374" s="8" t="s">
        <v>10</v>
      </c>
      <c r="B374" s="14" t="s">
        <v>3</v>
      </c>
      <c r="C374" s="26"/>
      <c r="D374" s="14" t="s">
        <v>55</v>
      </c>
      <c r="E374" s="28"/>
      <c r="F374" s="69">
        <f>OnPeak</f>
        <v>0.13200000000000001</v>
      </c>
      <c r="G374" s="70">
        <f>IF(AND(E341*12&gt;=150000),0.18*E341*E343,0.18*E341)</f>
        <v>518861.16410400002</v>
      </c>
      <c r="H374" s="66">
        <f t="shared" si="46"/>
        <v>68489.673661728011</v>
      </c>
      <c r="I374" s="71">
        <f>OnPeak</f>
        <v>0.13200000000000001</v>
      </c>
      <c r="J374" s="70">
        <f>IF(AND(E341*12&gt;=150000),0.18*E341*E344,0.18*E341)</f>
        <v>518861.16410400002</v>
      </c>
      <c r="K374" s="66">
        <f t="shared" si="47"/>
        <v>68489.673661728011</v>
      </c>
      <c r="L374" s="34">
        <f>K374-H374</f>
        <v>0</v>
      </c>
      <c r="M374" s="35">
        <f t="shared" si="48"/>
        <v>0</v>
      </c>
    </row>
    <row r="375" spans="1:13" hidden="1" x14ac:dyDescent="0.2">
      <c r="A375" s="8" t="s">
        <v>10</v>
      </c>
      <c r="B375" s="8" t="s">
        <v>56</v>
      </c>
      <c r="C375" s="26"/>
      <c r="D375" s="68" t="s">
        <v>57</v>
      </c>
      <c r="E375" s="28"/>
      <c r="F375" s="72">
        <v>0.1101</v>
      </c>
      <c r="G375" s="70">
        <f>IF(AND(E341*12&gt;=150000),E341*E343,E341)</f>
        <v>2882562.0227999999</v>
      </c>
      <c r="H375" s="66">
        <f>G375*F375</f>
        <v>317370.07871028001</v>
      </c>
      <c r="I375" s="73">
        <f>F375</f>
        <v>0.1101</v>
      </c>
      <c r="J375" s="70">
        <f>IF(AND(E341*12&gt;=150000),E341*E344,E341)</f>
        <v>2882562.0227999999</v>
      </c>
      <c r="K375" s="66">
        <f>J375*I375</f>
        <v>317370.07871028001</v>
      </c>
      <c r="L375" s="34">
        <f>K375-H375</f>
        <v>0</v>
      </c>
      <c r="M375" s="35">
        <f t="shared" si="48"/>
        <v>0</v>
      </c>
    </row>
    <row r="376" spans="1:13" ht="13.5" thickBot="1" x14ac:dyDescent="0.25">
      <c r="A376" s="8" t="s">
        <v>10</v>
      </c>
      <c r="B376" s="8" t="s">
        <v>6</v>
      </c>
      <c r="C376" s="26"/>
      <c r="D376" s="68" t="s">
        <v>58</v>
      </c>
      <c r="E376" s="28"/>
      <c r="F376" s="72">
        <v>0.1101</v>
      </c>
      <c r="G376" s="70">
        <f>IF(AND(E341*12&gt;=150000),E341*E343,E341)</f>
        <v>2882562.0227999999</v>
      </c>
      <c r="H376" s="66">
        <f>G376*F376</f>
        <v>317370.07871028001</v>
      </c>
      <c r="I376" s="73">
        <f>F376</f>
        <v>0.1101</v>
      </c>
      <c r="J376" s="70">
        <f>IF(AND(E341*12&gt;=150000),E341*E344,E341)</f>
        <v>2882562.0227999999</v>
      </c>
      <c r="K376" s="66">
        <f>J376*I376</f>
        <v>317370.07871028001</v>
      </c>
      <c r="L376" s="34">
        <f>K376-H376</f>
        <v>0</v>
      </c>
      <c r="M376" s="35">
        <f t="shared" si="48"/>
        <v>0</v>
      </c>
    </row>
    <row r="377" spans="1:13" ht="13.5" thickBot="1" x14ac:dyDescent="0.25">
      <c r="A377" s="8" t="s">
        <v>10</v>
      </c>
      <c r="B377" s="14"/>
      <c r="C377" s="26"/>
      <c r="D377" s="74"/>
      <c r="E377" s="75"/>
      <c r="F377" s="76"/>
      <c r="G377" s="77"/>
      <c r="H377" s="78"/>
      <c r="I377" s="76"/>
      <c r="J377" s="79"/>
      <c r="K377" s="78"/>
      <c r="L377" s="80"/>
      <c r="M377" s="81"/>
    </row>
    <row r="378" spans="1:13" hidden="1" x14ac:dyDescent="0.2">
      <c r="A378" s="8" t="s">
        <v>10</v>
      </c>
      <c r="B378" s="14" t="s">
        <v>3</v>
      </c>
      <c r="C378" s="26"/>
      <c r="D378" s="82" t="s">
        <v>59</v>
      </c>
      <c r="E378" s="67"/>
      <c r="F378" s="83"/>
      <c r="G378" s="84"/>
      <c r="H378" s="85">
        <f>SUM(H368:H374,H367)</f>
        <v>366974.56993829203</v>
      </c>
      <c r="I378" s="86"/>
      <c r="J378" s="86"/>
      <c r="K378" s="85">
        <f>SUM(K368:K374,K367)</f>
        <v>367233.83693829202</v>
      </c>
      <c r="L378" s="87">
        <f>K378-H378</f>
        <v>259.26699999999255</v>
      </c>
      <c r="M378" s="88">
        <f>IF((H378)=0,"",(L378/H378))</f>
        <v>7.0649854578094915E-4</v>
      </c>
    </row>
    <row r="379" spans="1:13" hidden="1" x14ac:dyDescent="0.2">
      <c r="A379" s="8" t="s">
        <v>10</v>
      </c>
      <c r="B379" s="14" t="s">
        <v>3</v>
      </c>
      <c r="C379" s="26"/>
      <c r="D379" s="89" t="s">
        <v>60</v>
      </c>
      <c r="E379" s="67"/>
      <c r="F379" s="83">
        <v>0.13</v>
      </c>
      <c r="G379" s="90"/>
      <c r="H379" s="91">
        <f>H378*F379</f>
        <v>47706.694091977966</v>
      </c>
      <c r="I379" s="92">
        <v>0.13</v>
      </c>
      <c r="J379" s="30"/>
      <c r="K379" s="91">
        <f>K378*I379</f>
        <v>47740.398801977964</v>
      </c>
      <c r="L379" s="93">
        <f>K379-H379</f>
        <v>33.704709999998158</v>
      </c>
      <c r="M379" s="94">
        <f>IF((H379)=0,"",(L379/H379))</f>
        <v>7.0649854578093082E-4</v>
      </c>
    </row>
    <row r="380" spans="1:13" hidden="1" x14ac:dyDescent="0.2">
      <c r="A380" s="8" t="s">
        <v>10</v>
      </c>
      <c r="B380" s="14" t="s">
        <v>3</v>
      </c>
      <c r="C380" s="26"/>
      <c r="D380" s="89" t="s">
        <v>61</v>
      </c>
      <c r="E380" s="67"/>
      <c r="F380" s="83">
        <v>0.08</v>
      </c>
      <c r="G380" s="90"/>
      <c r="H380" s="91">
        <v>0</v>
      </c>
      <c r="I380" s="83">
        <v>0.08</v>
      </c>
      <c r="J380" s="30"/>
      <c r="K380" s="91">
        <v>0</v>
      </c>
      <c r="L380" s="93">
        <f>K380-H380</f>
        <v>0</v>
      </c>
      <c r="M380" s="94"/>
    </row>
    <row r="381" spans="1:13" hidden="1" x14ac:dyDescent="0.2">
      <c r="A381" s="8" t="s">
        <v>10</v>
      </c>
      <c r="B381" s="14" t="s">
        <v>62</v>
      </c>
      <c r="C381" s="26"/>
      <c r="D381" s="123" t="s">
        <v>63</v>
      </c>
      <c r="E381" s="123"/>
      <c r="F381" s="95"/>
      <c r="G381" s="96"/>
      <c r="H381" s="97">
        <f>H378+H379+H380</f>
        <v>414681.26403026999</v>
      </c>
      <c r="I381" s="98"/>
      <c r="J381" s="98"/>
      <c r="K381" s="99">
        <f>K378+K379+K380</f>
        <v>414974.23574027</v>
      </c>
      <c r="L381" s="100">
        <f>K381-H381</f>
        <v>292.97171000001254</v>
      </c>
      <c r="M381" s="101">
        <f>IF((H381)=0,"",(L381/H381))</f>
        <v>7.0649854578099978E-4</v>
      </c>
    </row>
    <row r="382" spans="1:13" ht="13.5" hidden="1" thickBot="1" x14ac:dyDescent="0.25">
      <c r="A382" s="8" t="s">
        <v>10</v>
      </c>
      <c r="B382" s="8" t="s">
        <v>3</v>
      </c>
      <c r="C382" s="26"/>
      <c r="D382" s="74"/>
      <c r="E382" s="75"/>
      <c r="F382" s="76"/>
      <c r="G382" s="77"/>
      <c r="H382" s="78"/>
      <c r="I382" s="76"/>
      <c r="J382" s="79"/>
      <c r="K382" s="78"/>
      <c r="L382" s="80"/>
      <c r="M382" s="81"/>
    </row>
    <row r="383" spans="1:13" hidden="1" x14ac:dyDescent="0.2">
      <c r="A383" s="8" t="s">
        <v>10</v>
      </c>
      <c r="B383" s="8" t="s">
        <v>56</v>
      </c>
      <c r="C383" s="26"/>
      <c r="D383" s="82" t="s">
        <v>64</v>
      </c>
      <c r="E383" s="67"/>
      <c r="F383" s="83"/>
      <c r="G383" s="84"/>
      <c r="H383" s="85">
        <f>SUM(H375,H368:H371,H367)</f>
        <v>448003.38839919999</v>
      </c>
      <c r="I383" s="86"/>
      <c r="J383" s="86"/>
      <c r="K383" s="85">
        <f>SUM(K375,K368:K371,K367)</f>
        <v>448262.65539919998</v>
      </c>
      <c r="L383" s="87">
        <f>K383-H383</f>
        <v>259.26699999999255</v>
      </c>
      <c r="M383" s="88">
        <f>IF((H383)=0,"",(L383/H383))</f>
        <v>5.7871660508283676E-4</v>
      </c>
    </row>
    <row r="384" spans="1:13" hidden="1" x14ac:dyDescent="0.2">
      <c r="A384" s="8" t="s">
        <v>10</v>
      </c>
      <c r="B384" s="8" t="s">
        <v>56</v>
      </c>
      <c r="C384" s="26"/>
      <c r="D384" s="89" t="s">
        <v>60</v>
      </c>
      <c r="E384" s="67"/>
      <c r="F384" s="83">
        <v>0.13</v>
      </c>
      <c r="G384" s="84"/>
      <c r="H384" s="91">
        <f>H383*F384</f>
        <v>58240.440491895999</v>
      </c>
      <c r="I384" s="83">
        <v>0.13</v>
      </c>
      <c r="J384" s="92"/>
      <c r="K384" s="91">
        <f>K383*I384</f>
        <v>58274.145201895997</v>
      </c>
      <c r="L384" s="93">
        <f>K384-H384</f>
        <v>33.704709999998158</v>
      </c>
      <c r="M384" s="94">
        <f>IF((H384)=0,"",(L384/H384))</f>
        <v>5.787166050828218E-4</v>
      </c>
    </row>
    <row r="385" spans="1:20" hidden="1" x14ac:dyDescent="0.2">
      <c r="A385" s="8" t="s">
        <v>10</v>
      </c>
      <c r="B385" s="8" t="s">
        <v>56</v>
      </c>
      <c r="C385" s="26"/>
      <c r="D385" s="89" t="s">
        <v>61</v>
      </c>
      <c r="E385" s="67"/>
      <c r="F385" s="83">
        <v>0.08</v>
      </c>
      <c r="G385" s="84"/>
      <c r="H385" s="91">
        <v>0</v>
      </c>
      <c r="I385" s="83">
        <v>0.08</v>
      </c>
      <c r="J385" s="92"/>
      <c r="K385" s="91">
        <v>0</v>
      </c>
      <c r="L385" s="93"/>
      <c r="M385" s="94"/>
    </row>
    <row r="386" spans="1:20" hidden="1" x14ac:dyDescent="0.2">
      <c r="A386" s="8" t="s">
        <v>10</v>
      </c>
      <c r="B386" s="8" t="s">
        <v>65</v>
      </c>
      <c r="C386" s="26"/>
      <c r="D386" s="123" t="s">
        <v>64</v>
      </c>
      <c r="E386" s="123"/>
      <c r="F386" s="102"/>
      <c r="G386" s="103"/>
      <c r="H386" s="97">
        <f>SUM(H383,H384)</f>
        <v>506243.828891096</v>
      </c>
      <c r="I386" s="104"/>
      <c r="J386" s="104"/>
      <c r="K386" s="97">
        <f>SUM(K383,K384)</f>
        <v>506536.80060109601</v>
      </c>
      <c r="L386" s="105">
        <f>K386-H386</f>
        <v>292.97171000001254</v>
      </c>
      <c r="M386" s="106">
        <f>IF((H386)=0,"",(L386/H386))</f>
        <v>5.7871660508287818E-4</v>
      </c>
    </row>
    <row r="387" spans="1:20" ht="13.5" hidden="1" thickBot="1" x14ac:dyDescent="0.25">
      <c r="A387" s="8" t="s">
        <v>10</v>
      </c>
      <c r="B387" s="8" t="s">
        <v>56</v>
      </c>
      <c r="C387" s="26"/>
      <c r="D387" s="74"/>
      <c r="E387" s="75"/>
      <c r="F387" s="107"/>
      <c r="G387" s="108"/>
      <c r="H387" s="109"/>
      <c r="I387" s="107"/>
      <c r="J387" s="77"/>
      <c r="K387" s="109"/>
      <c r="L387" s="110"/>
      <c r="M387" s="81"/>
    </row>
    <row r="388" spans="1:20" x14ac:dyDescent="0.2">
      <c r="A388" s="8" t="s">
        <v>10</v>
      </c>
      <c r="B388" s="8" t="s">
        <v>6</v>
      </c>
      <c r="C388" s="26"/>
      <c r="D388" s="82" t="s">
        <v>66</v>
      </c>
      <c r="E388" s="67"/>
      <c r="F388" s="83"/>
      <c r="G388" s="84"/>
      <c r="H388" s="85">
        <f>SUM(H376,H368:H371,H367)</f>
        <v>448003.38839919999</v>
      </c>
      <c r="I388" s="86"/>
      <c r="J388" s="86"/>
      <c r="K388" s="85">
        <f>SUM(K376,K368:K371,K367)</f>
        <v>448262.65539919998</v>
      </c>
      <c r="L388" s="87">
        <f>K388-H388</f>
        <v>259.26699999999255</v>
      </c>
      <c r="M388" s="88">
        <f>IF((H388)=0,"",(L388/H388))</f>
        <v>5.7871660508283676E-4</v>
      </c>
    </row>
    <row r="389" spans="1:20" x14ac:dyDescent="0.2">
      <c r="A389" s="8" t="s">
        <v>10</v>
      </c>
      <c r="B389" s="8" t="s">
        <v>6</v>
      </c>
      <c r="C389" s="26"/>
      <c r="D389" s="89" t="s">
        <v>60</v>
      </c>
      <c r="E389" s="67"/>
      <c r="F389" s="83">
        <v>0.13</v>
      </c>
      <c r="G389" s="84"/>
      <c r="H389" s="91">
        <f>H388*F389</f>
        <v>58240.440491895999</v>
      </c>
      <c r="I389" s="83">
        <v>0.13</v>
      </c>
      <c r="J389" s="92"/>
      <c r="K389" s="91">
        <f>K388*I389</f>
        <v>58274.145201895997</v>
      </c>
      <c r="L389" s="93">
        <f>K389-H389</f>
        <v>33.704709999998158</v>
      </c>
      <c r="M389" s="94">
        <f>IF((H389)=0,"",(L389/H389))</f>
        <v>5.787166050828218E-4</v>
      </c>
    </row>
    <row r="390" spans="1:20" hidden="1" x14ac:dyDescent="0.2">
      <c r="A390" s="8" t="s">
        <v>10</v>
      </c>
      <c r="B390" s="8" t="s">
        <v>6</v>
      </c>
      <c r="C390" s="26"/>
      <c r="D390" s="89" t="s">
        <v>61</v>
      </c>
      <c r="E390" s="67"/>
      <c r="F390" s="83">
        <v>0.08</v>
      </c>
      <c r="G390" s="84"/>
      <c r="H390" s="91">
        <v>0</v>
      </c>
      <c r="I390" s="83">
        <v>0.08</v>
      </c>
      <c r="J390" s="92"/>
      <c r="K390" s="91">
        <v>0</v>
      </c>
      <c r="L390" s="93"/>
      <c r="M390" s="94"/>
    </row>
    <row r="391" spans="1:20" ht="13.5" thickBot="1" x14ac:dyDescent="0.25">
      <c r="A391" s="8" t="s">
        <v>10</v>
      </c>
      <c r="B391" s="8" t="s">
        <v>67</v>
      </c>
      <c r="C391" s="26">
        <v>7</v>
      </c>
      <c r="D391" s="123" t="s">
        <v>66</v>
      </c>
      <c r="E391" s="123"/>
      <c r="F391" s="102"/>
      <c r="G391" s="103"/>
      <c r="H391" s="97">
        <f>SUM(H388,H389)</f>
        <v>506243.828891096</v>
      </c>
      <c r="I391" s="104"/>
      <c r="J391" s="104"/>
      <c r="K391" s="97">
        <f>SUM(K388,K389)</f>
        <v>506536.80060109601</v>
      </c>
      <c r="L391" s="105">
        <f>K391-H391</f>
        <v>292.97171000001254</v>
      </c>
      <c r="M391" s="106">
        <f>IF((H391)=0,"",(L391/H391))</f>
        <v>5.7871660508287818E-4</v>
      </c>
    </row>
    <row r="392" spans="1:20" ht="13.5" thickBot="1" x14ac:dyDescent="0.25">
      <c r="A392" s="8" t="s">
        <v>10</v>
      </c>
      <c r="B392" s="8" t="s">
        <v>6</v>
      </c>
      <c r="C392" s="26"/>
      <c r="D392" s="74"/>
      <c r="E392" s="75"/>
      <c r="F392" s="111"/>
      <c r="G392" s="112"/>
      <c r="H392" s="113"/>
      <c r="I392" s="111"/>
      <c r="J392" s="114"/>
      <c r="K392" s="113"/>
      <c r="L392" s="115"/>
      <c r="M392" s="116"/>
    </row>
    <row r="395" spans="1:20" x14ac:dyDescent="0.2">
      <c r="C395" s="8"/>
      <c r="D395" s="10" t="s">
        <v>12</v>
      </c>
      <c r="E395" s="124" t="s">
        <v>70</v>
      </c>
      <c r="F395" s="124"/>
      <c r="G395" s="124"/>
      <c r="H395" s="124"/>
      <c r="I395" s="124"/>
      <c r="J395" s="124"/>
      <c r="K395" s="8" t="s">
        <v>8</v>
      </c>
      <c r="T395" s="8" t="s">
        <v>11</v>
      </c>
    </row>
    <row r="396" spans="1:20" x14ac:dyDescent="0.2">
      <c r="C396" s="8"/>
      <c r="D396" s="10" t="s">
        <v>13</v>
      </c>
      <c r="E396" s="125" t="s">
        <v>6</v>
      </c>
      <c r="F396" s="125"/>
      <c r="G396" s="125"/>
      <c r="H396" s="11"/>
      <c r="I396" s="11"/>
    </row>
    <row r="397" spans="1:20" ht="15.75" x14ac:dyDescent="0.2">
      <c r="C397" s="8"/>
      <c r="D397" s="10" t="s">
        <v>14</v>
      </c>
      <c r="E397" s="12">
        <v>0</v>
      </c>
      <c r="F397" s="13" t="s">
        <v>2</v>
      </c>
      <c r="G397" s="14"/>
      <c r="J397" s="15"/>
      <c r="K397" s="15"/>
      <c r="L397" s="15"/>
      <c r="M397" s="15"/>
    </row>
    <row r="398" spans="1:20" ht="15.75" x14ac:dyDescent="0.25">
      <c r="C398" s="8"/>
      <c r="D398" s="10" t="s">
        <v>15</v>
      </c>
      <c r="E398" s="12">
        <v>4548</v>
      </c>
      <c r="F398" s="16" t="s">
        <v>5</v>
      </c>
      <c r="G398" s="17"/>
      <c r="H398" s="18"/>
      <c r="I398" s="18"/>
      <c r="J398" s="18"/>
    </row>
    <row r="399" spans="1:20" x14ac:dyDescent="0.2">
      <c r="C399" s="8"/>
      <c r="D399" s="10" t="s">
        <v>16</v>
      </c>
      <c r="E399" s="19">
        <v>1.0341</v>
      </c>
    </row>
    <row r="400" spans="1:20" x14ac:dyDescent="0.2">
      <c r="C400" s="8"/>
      <c r="D400" s="10" t="s">
        <v>17</v>
      </c>
      <c r="E400" s="19">
        <v>1.0341</v>
      </c>
    </row>
    <row r="401" spans="1:13" x14ac:dyDescent="0.2">
      <c r="C401" s="8"/>
      <c r="D401" s="14"/>
    </row>
    <row r="402" spans="1:13" x14ac:dyDescent="0.2">
      <c r="C402" s="8"/>
      <c r="D402" s="14"/>
      <c r="E402" s="20"/>
      <c r="F402" s="126" t="s">
        <v>18</v>
      </c>
      <c r="G402" s="127"/>
      <c r="H402" s="128"/>
      <c r="I402" s="126" t="s">
        <v>19</v>
      </c>
      <c r="J402" s="127"/>
      <c r="K402" s="128"/>
      <c r="L402" s="126" t="s">
        <v>20</v>
      </c>
      <c r="M402" s="128"/>
    </row>
    <row r="403" spans="1:13" x14ac:dyDescent="0.2">
      <c r="C403" s="8"/>
      <c r="D403" s="14"/>
      <c r="E403" s="117"/>
      <c r="F403" s="21" t="s">
        <v>21</v>
      </c>
      <c r="G403" s="21" t="s">
        <v>22</v>
      </c>
      <c r="H403" s="22" t="s">
        <v>23</v>
      </c>
      <c r="I403" s="21" t="s">
        <v>21</v>
      </c>
      <c r="J403" s="23" t="s">
        <v>22</v>
      </c>
      <c r="K403" s="22" t="s">
        <v>23</v>
      </c>
      <c r="L403" s="119" t="s">
        <v>24</v>
      </c>
      <c r="M403" s="121" t="s">
        <v>25</v>
      </c>
    </row>
    <row r="404" spans="1:13" x14ac:dyDescent="0.2">
      <c r="C404" s="8"/>
      <c r="D404" s="14"/>
      <c r="E404" s="118"/>
      <c r="F404" s="24" t="s">
        <v>26</v>
      </c>
      <c r="G404" s="24"/>
      <c r="H404" s="25" t="s">
        <v>26</v>
      </c>
      <c r="I404" s="24" t="s">
        <v>26</v>
      </c>
      <c r="J404" s="25"/>
      <c r="K404" s="25" t="s">
        <v>26</v>
      </c>
      <c r="L404" s="120"/>
      <c r="M404" s="122"/>
    </row>
    <row r="405" spans="1:13" x14ac:dyDescent="0.2">
      <c r="A405" s="8" t="s">
        <v>70</v>
      </c>
      <c r="C405" s="26"/>
      <c r="D405" s="27" t="s">
        <v>27</v>
      </c>
      <c r="E405" s="28"/>
      <c r="F405" s="29">
        <v>0</v>
      </c>
      <c r="G405" s="30">
        <v>1</v>
      </c>
      <c r="H405" s="31">
        <f>G405*F405</f>
        <v>0</v>
      </c>
      <c r="I405" s="32">
        <v>0</v>
      </c>
      <c r="J405" s="33">
        <f>G405</f>
        <v>1</v>
      </c>
      <c r="K405" s="31">
        <f>J405*I405</f>
        <v>0</v>
      </c>
      <c r="L405" s="34">
        <f t="shared" ref="L405:L426" si="49">K405-H405</f>
        <v>0</v>
      </c>
      <c r="M405" s="35" t="str">
        <f>IF(ISERROR(L405/H405), "", L405/H405)</f>
        <v/>
      </c>
    </row>
    <row r="406" spans="1:13" x14ac:dyDescent="0.2">
      <c r="A406" s="8" t="s">
        <v>70</v>
      </c>
      <c r="C406" s="26"/>
      <c r="D406" s="27" t="s">
        <v>28</v>
      </c>
      <c r="E406" s="28"/>
      <c r="F406" s="36">
        <v>1.6931</v>
      </c>
      <c r="G406" s="30">
        <f>IF($E398&gt;0, $E398, $E397)</f>
        <v>4548</v>
      </c>
      <c r="H406" s="31">
        <f t="shared" ref="H406:H418" si="50">G406*F406</f>
        <v>7700.2188000000006</v>
      </c>
      <c r="I406" s="37">
        <v>1.7134</v>
      </c>
      <c r="J406" s="33">
        <f>IF($E398&gt;0, $E398, $E397)</f>
        <v>4548</v>
      </c>
      <c r="K406" s="31">
        <f>J406*I406</f>
        <v>7792.5432000000001</v>
      </c>
      <c r="L406" s="34">
        <f t="shared" si="49"/>
        <v>92.324399999999514</v>
      </c>
      <c r="M406" s="35">
        <f t="shared" ref="M406:M416" si="51">IF(ISERROR(L406/H406), "", L406/H406)</f>
        <v>1.1989841119839284E-2</v>
      </c>
    </row>
    <row r="407" spans="1:13" hidden="1" x14ac:dyDescent="0.2">
      <c r="A407" s="8" t="s">
        <v>70</v>
      </c>
      <c r="C407" s="26"/>
      <c r="D407" s="27" t="s">
        <v>29</v>
      </c>
      <c r="E407" s="28"/>
      <c r="F407" s="36"/>
      <c r="G407" s="30">
        <f>IF($E398&gt;0, $E398, $E397)</f>
        <v>4548</v>
      </c>
      <c r="H407" s="31">
        <v>0</v>
      </c>
      <c r="I407" s="37"/>
      <c r="J407" s="33">
        <f>IF($E398&gt;0, $E398, $E397)</f>
        <v>4548</v>
      </c>
      <c r="K407" s="31">
        <v>0</v>
      </c>
      <c r="L407" s="34"/>
      <c r="M407" s="35"/>
    </row>
    <row r="408" spans="1:13" hidden="1" x14ac:dyDescent="0.2">
      <c r="A408" s="8" t="s">
        <v>70</v>
      </c>
      <c r="C408" s="26"/>
      <c r="D408" s="27" t="s">
        <v>30</v>
      </c>
      <c r="E408" s="28"/>
      <c r="F408" s="36"/>
      <c r="G408" s="30">
        <f>IF($E398&gt;0, $E398, $E397)</f>
        <v>4548</v>
      </c>
      <c r="H408" s="31">
        <v>0</v>
      </c>
      <c r="I408" s="37"/>
      <c r="J408" s="30">
        <f>IF($E398&gt;0, $E398, $E397)</f>
        <v>4548</v>
      </c>
      <c r="K408" s="31">
        <v>0</v>
      </c>
      <c r="L408" s="34">
        <f>K408-H408</f>
        <v>0</v>
      </c>
      <c r="M408" s="35" t="str">
        <f>IF(ISERROR(L408/H408), "", L408/H408)</f>
        <v/>
      </c>
    </row>
    <row r="409" spans="1:13" x14ac:dyDescent="0.2">
      <c r="A409" s="8" t="s">
        <v>70</v>
      </c>
      <c r="C409" s="26"/>
      <c r="D409" s="38" t="s">
        <v>31</v>
      </c>
      <c r="E409" s="28"/>
      <c r="F409" s="29">
        <v>0</v>
      </c>
      <c r="G409" s="30">
        <v>1</v>
      </c>
      <c r="H409" s="31">
        <f t="shared" si="50"/>
        <v>0</v>
      </c>
      <c r="I409" s="32">
        <v>0</v>
      </c>
      <c r="J409" s="33">
        <f>G409</f>
        <v>1</v>
      </c>
      <c r="K409" s="31">
        <f t="shared" ref="K409:K416" si="52">J409*I409</f>
        <v>0</v>
      </c>
      <c r="L409" s="34">
        <f t="shared" si="49"/>
        <v>0</v>
      </c>
      <c r="M409" s="35" t="str">
        <f t="shared" si="51"/>
        <v/>
      </c>
    </row>
    <row r="410" spans="1:13" x14ac:dyDescent="0.2">
      <c r="A410" s="8" t="s">
        <v>70</v>
      </c>
      <c r="C410" s="26"/>
      <c r="D410" s="27" t="s">
        <v>32</v>
      </c>
      <c r="E410" s="28"/>
      <c r="F410" s="36">
        <v>0</v>
      </c>
      <c r="G410" s="30">
        <f>IF($E398&gt;0, $E398, $E397)</f>
        <v>4548</v>
      </c>
      <c r="H410" s="31">
        <f t="shared" si="50"/>
        <v>0</v>
      </c>
      <c r="I410" s="37">
        <v>0</v>
      </c>
      <c r="J410" s="33">
        <f>IF($E398&gt;0, $E398, $E397)</f>
        <v>4548</v>
      </c>
      <c r="K410" s="31">
        <f t="shared" si="52"/>
        <v>0</v>
      </c>
      <c r="L410" s="34">
        <f t="shared" si="49"/>
        <v>0</v>
      </c>
      <c r="M410" s="35" t="str">
        <f t="shared" si="51"/>
        <v/>
      </c>
    </row>
    <row r="411" spans="1:13" x14ac:dyDescent="0.2">
      <c r="A411" s="8" t="s">
        <v>70</v>
      </c>
      <c r="B411" s="39" t="s">
        <v>33</v>
      </c>
      <c r="C411" s="26">
        <v>8</v>
      </c>
      <c r="D411" s="40" t="s">
        <v>34</v>
      </c>
      <c r="E411" s="41"/>
      <c r="F411" s="42"/>
      <c r="G411" s="43"/>
      <c r="H411" s="44">
        <f>SUM(H405:H410)</f>
        <v>7700.2188000000006</v>
      </c>
      <c r="I411" s="45"/>
      <c r="J411" s="46"/>
      <c r="K411" s="44">
        <f>SUM(K405:K410)</f>
        <v>7792.5432000000001</v>
      </c>
      <c r="L411" s="47">
        <f t="shared" si="49"/>
        <v>92.324399999999514</v>
      </c>
      <c r="M411" s="48">
        <f>IF((H411)=0,"",(L411/H411))</f>
        <v>1.1989841119839284E-2</v>
      </c>
    </row>
    <row r="412" spans="1:13" x14ac:dyDescent="0.2">
      <c r="A412" s="8" t="s">
        <v>70</v>
      </c>
      <c r="C412" s="26"/>
      <c r="D412" s="49" t="s">
        <v>35</v>
      </c>
      <c r="E412" s="28"/>
      <c r="F412" s="36">
        <f>IF((E397*12&gt;=150000), 0, IF(E396="RPP",(F428*0.65+F429*0.17+F430*0.18),IF(E396="Non-RPP (Retailer)",F431,F432)))</f>
        <v>0.1101</v>
      </c>
      <c r="G412" s="50">
        <f>IF(F412=0, 0, $E397*E399-E397)</f>
        <v>0</v>
      </c>
      <c r="H412" s="31">
        <f>G412*F412</f>
        <v>0</v>
      </c>
      <c r="I412" s="37">
        <f>IF((E397*12&gt;=150000), 0, IF(E396="RPP",(I428*0.65+I429*0.17+I430*0.18),IF(E396="Non-RPP (Retailer)",I431,I432)))</f>
        <v>0.1101</v>
      </c>
      <c r="J412" s="50">
        <f>IF(I412=0, 0, E397*E400-E397)</f>
        <v>0</v>
      </c>
      <c r="K412" s="31">
        <f>J412*I412</f>
        <v>0</v>
      </c>
      <c r="L412" s="34">
        <f>K412-H412</f>
        <v>0</v>
      </c>
      <c r="M412" s="35" t="str">
        <f>IF(ISERROR(L412/H412), "", L412/H412)</f>
        <v/>
      </c>
    </row>
    <row r="413" spans="1:13" ht="25.5" x14ac:dyDescent="0.2">
      <c r="A413" s="8" t="s">
        <v>70</v>
      </c>
      <c r="C413" s="26"/>
      <c r="D413" s="49" t="s">
        <v>36</v>
      </c>
      <c r="E413" s="28"/>
      <c r="F413" s="36">
        <v>0</v>
      </c>
      <c r="G413" s="51">
        <f>IF($E398&gt;0, $E398, $E397)</f>
        <v>4548</v>
      </c>
      <c r="H413" s="31">
        <f t="shared" si="50"/>
        <v>0</v>
      </c>
      <c r="I413" s="37">
        <v>0</v>
      </c>
      <c r="J413" s="51">
        <f>IF($E398&gt;0, $E398, $E397)</f>
        <v>4548</v>
      </c>
      <c r="K413" s="31">
        <f t="shared" si="52"/>
        <v>0</v>
      </c>
      <c r="L413" s="34">
        <f t="shared" si="49"/>
        <v>0</v>
      </c>
      <c r="M413" s="35" t="str">
        <f t="shared" si="51"/>
        <v/>
      </c>
    </row>
    <row r="414" spans="1:13" x14ac:dyDescent="0.2">
      <c r="A414" s="8" t="s">
        <v>70</v>
      </c>
      <c r="C414" s="26"/>
      <c r="D414" s="49" t="s">
        <v>37</v>
      </c>
      <c r="E414" s="28"/>
      <c r="F414" s="36">
        <v>0</v>
      </c>
      <c r="G414" s="51">
        <f>IF($E398&gt;0, $E398, $E397)</f>
        <v>4548</v>
      </c>
      <c r="H414" s="31">
        <f>G414*F414</f>
        <v>0</v>
      </c>
      <c r="I414" s="37">
        <v>0</v>
      </c>
      <c r="J414" s="51">
        <f>IF($E398&gt;0, $E398, $E397)</f>
        <v>4548</v>
      </c>
      <c r="K414" s="31">
        <f>J414*I414</f>
        <v>0</v>
      </c>
      <c r="L414" s="34">
        <f t="shared" si="49"/>
        <v>0</v>
      </c>
      <c r="M414" s="35" t="str">
        <f t="shared" si="51"/>
        <v/>
      </c>
    </row>
    <row r="415" spans="1:13" x14ac:dyDescent="0.2">
      <c r="A415" s="8" t="s">
        <v>70</v>
      </c>
      <c r="C415" s="26"/>
      <c r="D415" s="49" t="s">
        <v>38</v>
      </c>
      <c r="E415" s="28"/>
      <c r="F415" s="36">
        <v>0</v>
      </c>
      <c r="G415" s="51">
        <f>E397</f>
        <v>0</v>
      </c>
      <c r="H415" s="31">
        <f>G415*F415</f>
        <v>0</v>
      </c>
      <c r="I415" s="37">
        <v>0</v>
      </c>
      <c r="J415" s="51">
        <f>E397</f>
        <v>0</v>
      </c>
      <c r="K415" s="31">
        <f t="shared" si="52"/>
        <v>0</v>
      </c>
      <c r="L415" s="34">
        <f t="shared" si="49"/>
        <v>0</v>
      </c>
      <c r="M415" s="35" t="str">
        <f t="shared" si="51"/>
        <v/>
      </c>
    </row>
    <row r="416" spans="1:13" x14ac:dyDescent="0.2">
      <c r="A416" s="8" t="s">
        <v>70</v>
      </c>
      <c r="C416" s="26"/>
      <c r="D416" s="52" t="s">
        <v>39</v>
      </c>
      <c r="E416" s="28"/>
      <c r="F416" s="36">
        <v>0</v>
      </c>
      <c r="G416" s="51">
        <f>IF($E398&gt;0, $E398, $E397)</f>
        <v>4548</v>
      </c>
      <c r="H416" s="31">
        <f t="shared" si="50"/>
        <v>0</v>
      </c>
      <c r="I416" s="37"/>
      <c r="J416" s="51">
        <f>IF($E398&gt;0, $E398, $E397)</f>
        <v>4548</v>
      </c>
      <c r="K416" s="31">
        <f t="shared" si="52"/>
        <v>0</v>
      </c>
      <c r="L416" s="34">
        <f t="shared" si="49"/>
        <v>0</v>
      </c>
      <c r="M416" s="35" t="str">
        <f t="shared" si="51"/>
        <v/>
      </c>
    </row>
    <row r="417" spans="1:13" ht="25.5" x14ac:dyDescent="0.2">
      <c r="A417" s="8" t="s">
        <v>70</v>
      </c>
      <c r="C417" s="26"/>
      <c r="D417" s="53" t="s">
        <v>40</v>
      </c>
      <c r="E417" s="28"/>
      <c r="F417" s="54">
        <f>IF(OR(ISNUMBER(SEARCH("RESIDENTIAL", E395))=TRUE, ISNUMBER(SEARCH("GENERAL SERVICE LESS THAN 50", E395))=TRUE), SME, 0)</f>
        <v>0</v>
      </c>
      <c r="G417" s="30">
        <v>1</v>
      </c>
      <c r="H417" s="31">
        <f>G417*F417</f>
        <v>0</v>
      </c>
      <c r="I417" s="55">
        <f>IF(OR(ISNUMBER(SEARCH("RESIDENTIAL", E395))=TRUE, ISNUMBER(SEARCH("GENERAL SERVICE LESS THAN 50", E395))=TRUE), SME, 0)</f>
        <v>0</v>
      </c>
      <c r="J417" s="30">
        <v>1</v>
      </c>
      <c r="K417" s="31">
        <f>J417*I417</f>
        <v>0</v>
      </c>
      <c r="L417" s="34">
        <f t="shared" si="49"/>
        <v>0</v>
      </c>
      <c r="M417" s="35" t="str">
        <f>IF(ISERROR(L417/H417), "", L417/H417)</f>
        <v/>
      </c>
    </row>
    <row r="418" spans="1:13" x14ac:dyDescent="0.2">
      <c r="A418" s="8" t="s">
        <v>70</v>
      </c>
      <c r="C418" s="26"/>
      <c r="D418" s="52" t="s">
        <v>41</v>
      </c>
      <c r="E418" s="28"/>
      <c r="F418" s="29">
        <v>0</v>
      </c>
      <c r="G418" s="30">
        <v>1</v>
      </c>
      <c r="H418" s="31">
        <f t="shared" si="50"/>
        <v>0</v>
      </c>
      <c r="I418" s="32">
        <v>0</v>
      </c>
      <c r="J418" s="30">
        <v>1</v>
      </c>
      <c r="K418" s="31">
        <f>J418*I418</f>
        <v>0</v>
      </c>
      <c r="L418" s="34">
        <f>K418-H418</f>
        <v>0</v>
      </c>
      <c r="M418" s="35" t="str">
        <f>IF(ISERROR(L418/H418), "", L418/H418)</f>
        <v/>
      </c>
    </row>
    <row r="419" spans="1:13" x14ac:dyDescent="0.2">
      <c r="A419" s="8" t="s">
        <v>70</v>
      </c>
      <c r="C419" s="26"/>
      <c r="D419" s="52" t="s">
        <v>42</v>
      </c>
      <c r="E419" s="28"/>
      <c r="F419" s="36"/>
      <c r="G419" s="51">
        <f>IF($E398&gt;0, $E398, $E397)</f>
        <v>4548</v>
      </c>
      <c r="H419" s="31">
        <f>G419*F419</f>
        <v>0</v>
      </c>
      <c r="I419" s="37">
        <v>0</v>
      </c>
      <c r="J419" s="51">
        <f>IF($E398&gt;0, $E398, $E397)</f>
        <v>4548</v>
      </c>
      <c r="K419" s="31">
        <f>J419*I419</f>
        <v>0</v>
      </c>
      <c r="L419" s="34">
        <f t="shared" si="49"/>
        <v>0</v>
      </c>
      <c r="M419" s="35" t="str">
        <f>IF(ISERROR(L419/H419), "", L419/H419)</f>
        <v/>
      </c>
    </row>
    <row r="420" spans="1:13" ht="25.5" x14ac:dyDescent="0.2">
      <c r="A420" s="8" t="s">
        <v>70</v>
      </c>
      <c r="B420" s="14" t="s">
        <v>43</v>
      </c>
      <c r="C420" s="26">
        <v>8</v>
      </c>
      <c r="D420" s="56" t="s">
        <v>44</v>
      </c>
      <c r="E420" s="57"/>
      <c r="F420" s="58"/>
      <c r="G420" s="59"/>
      <c r="H420" s="60">
        <f>SUM(H411:H419)</f>
        <v>7700.2188000000006</v>
      </c>
      <c r="I420" s="61"/>
      <c r="J420" s="62"/>
      <c r="K420" s="60">
        <f>SUM(K411:K419)</f>
        <v>7792.5432000000001</v>
      </c>
      <c r="L420" s="47">
        <f t="shared" si="49"/>
        <v>92.324399999999514</v>
      </c>
      <c r="M420" s="48">
        <f>IF((H420)=0,"",(L420/H420))</f>
        <v>1.1989841119839284E-2</v>
      </c>
    </row>
    <row r="421" spans="1:13" x14ac:dyDescent="0.2">
      <c r="A421" s="8" t="s">
        <v>70</v>
      </c>
      <c r="C421" s="26"/>
      <c r="D421" s="63" t="s">
        <v>45</v>
      </c>
      <c r="E421" s="28"/>
      <c r="F421" s="36">
        <v>0</v>
      </c>
      <c r="G421" s="50">
        <f>IF($E398&gt;0, $E398, $E397*$E399)</f>
        <v>4548</v>
      </c>
      <c r="H421" s="31">
        <f>G421*F421</f>
        <v>0</v>
      </c>
      <c r="I421" s="37">
        <v>0</v>
      </c>
      <c r="J421" s="50">
        <f>IF($E398&gt;0, $E398, $E397*$E400)</f>
        <v>4548</v>
      </c>
      <c r="K421" s="31">
        <f>J421*I421</f>
        <v>0</v>
      </c>
      <c r="L421" s="34">
        <f t="shared" si="49"/>
        <v>0</v>
      </c>
      <c r="M421" s="35" t="str">
        <f>IF(ISERROR(L421/H421), "", L421/H421)</f>
        <v/>
      </c>
    </row>
    <row r="422" spans="1:13" ht="25.5" x14ac:dyDescent="0.2">
      <c r="A422" s="8" t="s">
        <v>70</v>
      </c>
      <c r="C422" s="26"/>
      <c r="D422" s="64" t="s">
        <v>46</v>
      </c>
      <c r="E422" s="28"/>
      <c r="F422" s="36">
        <v>0</v>
      </c>
      <c r="G422" s="50">
        <f>IF($E398&gt;0, $E398, $E397*$E399)</f>
        <v>4548</v>
      </c>
      <c r="H422" s="31">
        <f>G422*F422</f>
        <v>0</v>
      </c>
      <c r="I422" s="37">
        <v>0</v>
      </c>
      <c r="J422" s="50">
        <f>IF($E398&gt;0, $E398, $E397*$E400)</f>
        <v>4548</v>
      </c>
      <c r="K422" s="31">
        <f>J422*I422</f>
        <v>0</v>
      </c>
      <c r="L422" s="34">
        <f t="shared" si="49"/>
        <v>0</v>
      </c>
      <c r="M422" s="35" t="str">
        <f>IF(ISERROR(L422/H422), "", L422/H422)</f>
        <v/>
      </c>
    </row>
    <row r="423" spans="1:13" ht="25.5" x14ac:dyDescent="0.2">
      <c r="A423" s="8" t="s">
        <v>70</v>
      </c>
      <c r="B423" s="14" t="s">
        <v>47</v>
      </c>
      <c r="C423" s="26">
        <v>8</v>
      </c>
      <c r="D423" s="56" t="s">
        <v>48</v>
      </c>
      <c r="E423" s="41"/>
      <c r="F423" s="58"/>
      <c r="G423" s="59"/>
      <c r="H423" s="60">
        <f>SUM(H420:H422)</f>
        <v>7700.2188000000006</v>
      </c>
      <c r="I423" s="61"/>
      <c r="J423" s="46"/>
      <c r="K423" s="60">
        <f>SUM(K420:K422)</f>
        <v>7792.5432000000001</v>
      </c>
      <c r="L423" s="47">
        <f t="shared" si="49"/>
        <v>92.324399999999514</v>
      </c>
      <c r="M423" s="48">
        <f>IF((H423)=0,"",(L423/H423))</f>
        <v>1.1989841119839284E-2</v>
      </c>
    </row>
    <row r="424" spans="1:13" ht="25.5" x14ac:dyDescent="0.2">
      <c r="A424" s="8" t="s">
        <v>70</v>
      </c>
      <c r="C424" s="26"/>
      <c r="D424" s="65" t="s">
        <v>49</v>
      </c>
      <c r="E424" s="28"/>
      <c r="F424" s="36">
        <v>0</v>
      </c>
      <c r="G424" s="50">
        <f>E397*E399</f>
        <v>0</v>
      </c>
      <c r="H424" s="66">
        <f t="shared" ref="H424:H430" si="53">G424*F424</f>
        <v>0</v>
      </c>
      <c r="I424" s="37">
        <v>0</v>
      </c>
      <c r="J424" s="50">
        <f>E397*E400</f>
        <v>0</v>
      </c>
      <c r="K424" s="66">
        <f t="shared" ref="K424:K430" si="54">J424*I424</f>
        <v>0</v>
      </c>
      <c r="L424" s="34">
        <f t="shared" si="49"/>
        <v>0</v>
      </c>
      <c r="M424" s="35" t="str">
        <f t="shared" ref="M424:M432" si="55">IF(ISERROR(L424/H424), "", L424/H424)</f>
        <v/>
      </c>
    </row>
    <row r="425" spans="1:13" ht="25.5" x14ac:dyDescent="0.2">
      <c r="A425" s="8" t="s">
        <v>70</v>
      </c>
      <c r="C425" s="26"/>
      <c r="D425" s="65" t="s">
        <v>50</v>
      </c>
      <c r="E425" s="28"/>
      <c r="F425" s="36">
        <f>'[7]17. Regulatory Charges'!$D$16</f>
        <v>5.0000000000000001E-4</v>
      </c>
      <c r="G425" s="50">
        <f>E397*E399</f>
        <v>0</v>
      </c>
      <c r="H425" s="66">
        <f t="shared" si="53"/>
        <v>0</v>
      </c>
      <c r="I425" s="37">
        <v>0</v>
      </c>
      <c r="J425" s="50">
        <f>E397*E400</f>
        <v>0</v>
      </c>
      <c r="K425" s="66">
        <f t="shared" si="54"/>
        <v>0</v>
      </c>
      <c r="L425" s="34">
        <f t="shared" si="49"/>
        <v>0</v>
      </c>
      <c r="M425" s="35" t="str">
        <f t="shared" si="55"/>
        <v/>
      </c>
    </row>
    <row r="426" spans="1:13" x14ac:dyDescent="0.2">
      <c r="A426" s="8" t="s">
        <v>70</v>
      </c>
      <c r="C426" s="26"/>
      <c r="D426" s="67" t="s">
        <v>51</v>
      </c>
      <c r="E426" s="28"/>
      <c r="F426" s="54">
        <v>0</v>
      </c>
      <c r="G426" s="30">
        <v>1</v>
      </c>
      <c r="H426" s="66">
        <f t="shared" si="53"/>
        <v>0</v>
      </c>
      <c r="I426" s="55">
        <f>'[7]17. Regulatory Charges'!$D$17</f>
        <v>0.25</v>
      </c>
      <c r="J426" s="33">
        <v>1</v>
      </c>
      <c r="K426" s="66">
        <f t="shared" si="54"/>
        <v>0.25</v>
      </c>
      <c r="L426" s="34">
        <f t="shared" si="49"/>
        <v>0.25</v>
      </c>
      <c r="M426" s="35" t="str">
        <f t="shared" si="55"/>
        <v/>
      </c>
    </row>
    <row r="427" spans="1:13" ht="25.5" hidden="1" x14ac:dyDescent="0.2">
      <c r="A427" s="8" t="s">
        <v>70</v>
      </c>
      <c r="C427" s="26"/>
      <c r="D427" s="65" t="s">
        <v>52</v>
      </c>
      <c r="E427" s="28"/>
      <c r="F427" s="36"/>
      <c r="G427" s="50"/>
      <c r="H427" s="66"/>
      <c r="I427" s="37"/>
      <c r="J427" s="50"/>
      <c r="K427" s="66"/>
      <c r="L427" s="34"/>
      <c r="M427" s="35"/>
    </row>
    <row r="428" spans="1:13" hidden="1" x14ac:dyDescent="0.2">
      <c r="A428" s="8" t="s">
        <v>70</v>
      </c>
      <c r="B428" s="14" t="s">
        <v>3</v>
      </c>
      <c r="C428" s="26"/>
      <c r="D428" s="68" t="s">
        <v>53</v>
      </c>
      <c r="E428" s="28"/>
      <c r="F428" s="69">
        <f>OffPeak</f>
        <v>6.5000000000000002E-2</v>
      </c>
      <c r="G428" s="70">
        <f>IF(AND(E397*12&gt;=150000),0.65*E397*E399,0.65*E397)</f>
        <v>0</v>
      </c>
      <c r="H428" s="66">
        <f t="shared" si="53"/>
        <v>0</v>
      </c>
      <c r="I428" s="71">
        <f>OffPeak</f>
        <v>6.5000000000000002E-2</v>
      </c>
      <c r="J428" s="70">
        <f>IF(AND(E397*12&gt;=150000),0.65*E397*E400,0.65*E397)</f>
        <v>0</v>
      </c>
      <c r="K428" s="66">
        <f t="shared" si="54"/>
        <v>0</v>
      </c>
      <c r="L428" s="34">
        <f>K428-H428</f>
        <v>0</v>
      </c>
      <c r="M428" s="35" t="str">
        <f t="shared" si="55"/>
        <v/>
      </c>
    </row>
    <row r="429" spans="1:13" hidden="1" x14ac:dyDescent="0.2">
      <c r="A429" s="8" t="s">
        <v>70</v>
      </c>
      <c r="B429" s="14" t="s">
        <v>3</v>
      </c>
      <c r="C429" s="26"/>
      <c r="D429" s="68" t="s">
        <v>54</v>
      </c>
      <c r="E429" s="28"/>
      <c r="F429" s="69">
        <f>MidPeak</f>
        <v>9.4E-2</v>
      </c>
      <c r="G429" s="70">
        <f>IF(AND(E397*12&gt;=150000),0.17*E397*E399,0.17*E397)</f>
        <v>0</v>
      </c>
      <c r="H429" s="66">
        <f t="shared" si="53"/>
        <v>0</v>
      </c>
      <c r="I429" s="71">
        <f>MidPeak</f>
        <v>9.4E-2</v>
      </c>
      <c r="J429" s="70">
        <f>IF(AND(E397*12&gt;=150000),0.17*E397*E400,0.17*E397)</f>
        <v>0</v>
      </c>
      <c r="K429" s="66">
        <f t="shared" si="54"/>
        <v>0</v>
      </c>
      <c r="L429" s="34">
        <f>K429-H429</f>
        <v>0</v>
      </c>
      <c r="M429" s="35" t="str">
        <f t="shared" si="55"/>
        <v/>
      </c>
    </row>
    <row r="430" spans="1:13" hidden="1" x14ac:dyDescent="0.2">
      <c r="A430" s="8" t="s">
        <v>70</v>
      </c>
      <c r="B430" s="14" t="s">
        <v>3</v>
      </c>
      <c r="C430" s="26"/>
      <c r="D430" s="14" t="s">
        <v>55</v>
      </c>
      <c r="E430" s="28"/>
      <c r="F430" s="69">
        <f>OnPeak</f>
        <v>0.13200000000000001</v>
      </c>
      <c r="G430" s="70">
        <f>IF(AND(E397*12&gt;=150000),0.18*E397*E399,0.18*E397)</f>
        <v>0</v>
      </c>
      <c r="H430" s="66">
        <f t="shared" si="53"/>
        <v>0</v>
      </c>
      <c r="I430" s="71">
        <f>OnPeak</f>
        <v>0.13200000000000001</v>
      </c>
      <c r="J430" s="70">
        <f>IF(AND(E397*12&gt;=150000),0.18*E397*E400,0.18*E397)</f>
        <v>0</v>
      </c>
      <c r="K430" s="66">
        <f t="shared" si="54"/>
        <v>0</v>
      </c>
      <c r="L430" s="34">
        <f>K430-H430</f>
        <v>0</v>
      </c>
      <c r="M430" s="35" t="str">
        <f t="shared" si="55"/>
        <v/>
      </c>
    </row>
    <row r="431" spans="1:13" hidden="1" x14ac:dyDescent="0.2">
      <c r="A431" s="8" t="s">
        <v>70</v>
      </c>
      <c r="B431" s="8" t="s">
        <v>56</v>
      </c>
      <c r="C431" s="26"/>
      <c r="D431" s="68" t="s">
        <v>57</v>
      </c>
      <c r="E431" s="28"/>
      <c r="F431" s="72">
        <v>0.1101</v>
      </c>
      <c r="G431" s="70">
        <f>IF(AND(E397*12&gt;=150000),E397*E399,E397)</f>
        <v>0</v>
      </c>
      <c r="H431" s="66">
        <f>G431*F431</f>
        <v>0</v>
      </c>
      <c r="I431" s="73">
        <f>F431</f>
        <v>0.1101</v>
      </c>
      <c r="J431" s="70">
        <f>IF(AND(E397*12&gt;=150000),E397*E400,E397)</f>
        <v>0</v>
      </c>
      <c r="K431" s="66">
        <f>J431*I431</f>
        <v>0</v>
      </c>
      <c r="L431" s="34">
        <f>K431-H431</f>
        <v>0</v>
      </c>
      <c r="M431" s="35" t="str">
        <f t="shared" si="55"/>
        <v/>
      </c>
    </row>
    <row r="432" spans="1:13" ht="13.5" thickBot="1" x14ac:dyDescent="0.25">
      <c r="A432" s="8" t="s">
        <v>70</v>
      </c>
      <c r="B432" s="8" t="s">
        <v>6</v>
      </c>
      <c r="C432" s="26"/>
      <c r="D432" s="68" t="s">
        <v>58</v>
      </c>
      <c r="E432" s="28"/>
      <c r="F432" s="72">
        <v>0.1101</v>
      </c>
      <c r="G432" s="70">
        <f>IF(AND(E397*12&gt;=150000),E397*E399,E397)</f>
        <v>0</v>
      </c>
      <c r="H432" s="66">
        <f>G432*F432</f>
        <v>0</v>
      </c>
      <c r="I432" s="73">
        <f>F432</f>
        <v>0.1101</v>
      </c>
      <c r="J432" s="70">
        <f>IF(AND(E397*12&gt;=150000),E397*E400,E397)</f>
        <v>0</v>
      </c>
      <c r="K432" s="66">
        <f>J432*I432</f>
        <v>0</v>
      </c>
      <c r="L432" s="34">
        <f>K432-H432</f>
        <v>0</v>
      </c>
      <c r="M432" s="35" t="str">
        <f t="shared" si="55"/>
        <v/>
      </c>
    </row>
    <row r="433" spans="1:13" ht="13.5" thickBot="1" x14ac:dyDescent="0.25">
      <c r="A433" s="8" t="s">
        <v>70</v>
      </c>
      <c r="B433" s="14"/>
      <c r="C433" s="26"/>
      <c r="D433" s="74"/>
      <c r="E433" s="75"/>
      <c r="F433" s="76"/>
      <c r="G433" s="77"/>
      <c r="H433" s="78"/>
      <c r="I433" s="76"/>
      <c r="J433" s="79"/>
      <c r="K433" s="78"/>
      <c r="L433" s="80"/>
      <c r="M433" s="81"/>
    </row>
    <row r="434" spans="1:13" hidden="1" x14ac:dyDescent="0.2">
      <c r="A434" s="8" t="s">
        <v>70</v>
      </c>
      <c r="B434" s="14" t="s">
        <v>3</v>
      </c>
      <c r="C434" s="26"/>
      <c r="D434" s="82" t="s">
        <v>59</v>
      </c>
      <c r="E434" s="67"/>
      <c r="F434" s="83"/>
      <c r="G434" s="84"/>
      <c r="H434" s="85">
        <f>SUM(H424:H430,H423)</f>
        <v>7700.2188000000006</v>
      </c>
      <c r="I434" s="86"/>
      <c r="J434" s="86"/>
      <c r="K434" s="85">
        <f>SUM(K424:K430,K423)</f>
        <v>7792.7932000000001</v>
      </c>
      <c r="L434" s="87">
        <f>K434-H434</f>
        <v>92.574399999999514</v>
      </c>
      <c r="M434" s="88">
        <f>IF((H434)=0,"",(L434/H434))</f>
        <v>1.2022307729749122E-2</v>
      </c>
    </row>
    <row r="435" spans="1:13" hidden="1" x14ac:dyDescent="0.2">
      <c r="A435" s="8" t="s">
        <v>70</v>
      </c>
      <c r="B435" s="14" t="s">
        <v>3</v>
      </c>
      <c r="C435" s="26"/>
      <c r="D435" s="89" t="s">
        <v>60</v>
      </c>
      <c r="E435" s="67"/>
      <c r="F435" s="83">
        <v>0.13</v>
      </c>
      <c r="G435" s="90"/>
      <c r="H435" s="91">
        <f>H434*F435</f>
        <v>1001.0284440000001</v>
      </c>
      <c r="I435" s="92">
        <v>0.13</v>
      </c>
      <c r="J435" s="30"/>
      <c r="K435" s="91">
        <f>K434*I435</f>
        <v>1013.063116</v>
      </c>
      <c r="L435" s="93">
        <f>K435-H435</f>
        <v>12.034671999999887</v>
      </c>
      <c r="M435" s="94">
        <f>IF((H435)=0,"",(L435/H435))</f>
        <v>1.2022307729749071E-2</v>
      </c>
    </row>
    <row r="436" spans="1:13" hidden="1" x14ac:dyDescent="0.2">
      <c r="A436" s="8" t="s">
        <v>70</v>
      </c>
      <c r="B436" s="14" t="s">
        <v>3</v>
      </c>
      <c r="C436" s="26"/>
      <c r="D436" s="89" t="s">
        <v>61</v>
      </c>
      <c r="E436" s="67"/>
      <c r="F436" s="83">
        <v>0.08</v>
      </c>
      <c r="G436" s="90"/>
      <c r="H436" s="91">
        <v>0</v>
      </c>
      <c r="I436" s="83">
        <v>0.08</v>
      </c>
      <c r="J436" s="30"/>
      <c r="K436" s="91">
        <v>0</v>
      </c>
      <c r="L436" s="93">
        <f>K436-H436</f>
        <v>0</v>
      </c>
      <c r="M436" s="94"/>
    </row>
    <row r="437" spans="1:13" hidden="1" x14ac:dyDescent="0.2">
      <c r="A437" s="8" t="s">
        <v>70</v>
      </c>
      <c r="B437" s="14" t="s">
        <v>62</v>
      </c>
      <c r="C437" s="26"/>
      <c r="D437" s="123" t="s">
        <v>63</v>
      </c>
      <c r="E437" s="123"/>
      <c r="F437" s="95"/>
      <c r="G437" s="96"/>
      <c r="H437" s="97">
        <f>H434+H435+H436</f>
        <v>8701.2472440000001</v>
      </c>
      <c r="I437" s="98"/>
      <c r="J437" s="98"/>
      <c r="K437" s="99">
        <f>K434+K435+K436</f>
        <v>8805.8563159999994</v>
      </c>
      <c r="L437" s="100">
        <f>K437-H437</f>
        <v>104.60907199999929</v>
      </c>
      <c r="M437" s="101">
        <f>IF((H437)=0,"",(L437/H437))</f>
        <v>1.2022307729749104E-2</v>
      </c>
    </row>
    <row r="438" spans="1:13" ht="13.5" hidden="1" thickBot="1" x14ac:dyDescent="0.25">
      <c r="A438" s="8" t="s">
        <v>70</v>
      </c>
      <c r="B438" s="8" t="s">
        <v>3</v>
      </c>
      <c r="C438" s="26"/>
      <c r="D438" s="74"/>
      <c r="E438" s="75"/>
      <c r="F438" s="76"/>
      <c r="G438" s="77"/>
      <c r="H438" s="78"/>
      <c r="I438" s="76"/>
      <c r="J438" s="79"/>
      <c r="K438" s="78"/>
      <c r="L438" s="80"/>
      <c r="M438" s="81"/>
    </row>
    <row r="439" spans="1:13" hidden="1" x14ac:dyDescent="0.2">
      <c r="A439" s="8" t="s">
        <v>70</v>
      </c>
      <c r="B439" s="8" t="s">
        <v>56</v>
      </c>
      <c r="C439" s="26"/>
      <c r="D439" s="82" t="s">
        <v>64</v>
      </c>
      <c r="E439" s="67"/>
      <c r="F439" s="83"/>
      <c r="G439" s="84"/>
      <c r="H439" s="85">
        <f>SUM(H431,H424:H427,H423)</f>
        <v>7700.2188000000006</v>
      </c>
      <c r="I439" s="86"/>
      <c r="J439" s="86"/>
      <c r="K439" s="85">
        <f>SUM(K431,K424:K427,K423)</f>
        <v>7792.7932000000001</v>
      </c>
      <c r="L439" s="87">
        <f>K439-H439</f>
        <v>92.574399999999514</v>
      </c>
      <c r="M439" s="88">
        <f>IF((H439)=0,"",(L439/H439))</f>
        <v>1.2022307729749122E-2</v>
      </c>
    </row>
    <row r="440" spans="1:13" hidden="1" x14ac:dyDescent="0.2">
      <c r="A440" s="8" t="s">
        <v>70</v>
      </c>
      <c r="B440" s="8" t="s">
        <v>56</v>
      </c>
      <c r="C440" s="26"/>
      <c r="D440" s="89" t="s">
        <v>60</v>
      </c>
      <c r="E440" s="67"/>
      <c r="F440" s="83">
        <v>0.13</v>
      </c>
      <c r="G440" s="84"/>
      <c r="H440" s="91">
        <f>H439*F440</f>
        <v>1001.0284440000001</v>
      </c>
      <c r="I440" s="83">
        <v>0.13</v>
      </c>
      <c r="J440" s="92"/>
      <c r="K440" s="91">
        <f>K439*I440</f>
        <v>1013.063116</v>
      </c>
      <c r="L440" s="93">
        <f>K440-H440</f>
        <v>12.034671999999887</v>
      </c>
      <c r="M440" s="94">
        <f>IF((H440)=0,"",(L440/H440))</f>
        <v>1.2022307729749071E-2</v>
      </c>
    </row>
    <row r="441" spans="1:13" hidden="1" x14ac:dyDescent="0.2">
      <c r="A441" s="8" t="s">
        <v>70</v>
      </c>
      <c r="B441" s="8" t="s">
        <v>56</v>
      </c>
      <c r="C441" s="26"/>
      <c r="D441" s="89" t="s">
        <v>61</v>
      </c>
      <c r="E441" s="67"/>
      <c r="F441" s="83">
        <v>0.08</v>
      </c>
      <c r="G441" s="84"/>
      <c r="H441" s="91">
        <v>0</v>
      </c>
      <c r="I441" s="83">
        <v>0.08</v>
      </c>
      <c r="J441" s="92"/>
      <c r="K441" s="91">
        <v>0</v>
      </c>
      <c r="L441" s="93"/>
      <c r="M441" s="94"/>
    </row>
    <row r="442" spans="1:13" hidden="1" x14ac:dyDescent="0.2">
      <c r="A442" s="8" t="s">
        <v>70</v>
      </c>
      <c r="B442" s="8" t="s">
        <v>65</v>
      </c>
      <c r="C442" s="26"/>
      <c r="D442" s="123" t="s">
        <v>64</v>
      </c>
      <c r="E442" s="123"/>
      <c r="F442" s="102"/>
      <c r="G442" s="103"/>
      <c r="H442" s="97">
        <f>SUM(H439,H440)</f>
        <v>8701.2472440000001</v>
      </c>
      <c r="I442" s="104"/>
      <c r="J442" s="104"/>
      <c r="K442" s="97">
        <f>SUM(K439,K440)</f>
        <v>8805.8563159999994</v>
      </c>
      <c r="L442" s="105">
        <f>K442-H442</f>
        <v>104.60907199999929</v>
      </c>
      <c r="M442" s="106">
        <f>IF((H442)=0,"",(L442/H442))</f>
        <v>1.2022307729749104E-2</v>
      </c>
    </row>
    <row r="443" spans="1:13" ht="13.5" hidden="1" thickBot="1" x14ac:dyDescent="0.25">
      <c r="A443" s="8" t="s">
        <v>70</v>
      </c>
      <c r="B443" s="8" t="s">
        <v>56</v>
      </c>
      <c r="C443" s="26"/>
      <c r="D443" s="74"/>
      <c r="E443" s="75"/>
      <c r="F443" s="107"/>
      <c r="G443" s="108"/>
      <c r="H443" s="109"/>
      <c r="I443" s="107"/>
      <c r="J443" s="77"/>
      <c r="K443" s="109"/>
      <c r="L443" s="110"/>
      <c r="M443" s="81"/>
    </row>
    <row r="444" spans="1:13" x14ac:dyDescent="0.2">
      <c r="A444" s="8" t="s">
        <v>70</v>
      </c>
      <c r="B444" s="8" t="s">
        <v>6</v>
      </c>
      <c r="C444" s="26"/>
      <c r="D444" s="82" t="s">
        <v>66</v>
      </c>
      <c r="E444" s="67"/>
      <c r="F444" s="83"/>
      <c r="G444" s="84"/>
      <c r="H444" s="85">
        <f>SUM(H432,H424:H427,H423)</f>
        <v>7700.2188000000006</v>
      </c>
      <c r="I444" s="86"/>
      <c r="J444" s="86"/>
      <c r="K444" s="85">
        <f>SUM(K432,K424:K427,K423)</f>
        <v>7792.7932000000001</v>
      </c>
      <c r="L444" s="87">
        <f>K444-H444</f>
        <v>92.574399999999514</v>
      </c>
      <c r="M444" s="88">
        <f>IF((H444)=0,"",(L444/H444))</f>
        <v>1.2022307729749122E-2</v>
      </c>
    </row>
    <row r="445" spans="1:13" x14ac:dyDescent="0.2">
      <c r="A445" s="8" t="s">
        <v>70</v>
      </c>
      <c r="B445" s="8" t="s">
        <v>6</v>
      </c>
      <c r="C445" s="26"/>
      <c r="D445" s="89" t="s">
        <v>60</v>
      </c>
      <c r="E445" s="67"/>
      <c r="F445" s="83">
        <v>0.13</v>
      </c>
      <c r="G445" s="84"/>
      <c r="H445" s="91">
        <f>H444*F445</f>
        <v>1001.0284440000001</v>
      </c>
      <c r="I445" s="83">
        <v>0.13</v>
      </c>
      <c r="J445" s="92"/>
      <c r="K445" s="91">
        <f>K444*I445</f>
        <v>1013.063116</v>
      </c>
      <c r="L445" s="93">
        <f>K445-H445</f>
        <v>12.034671999999887</v>
      </c>
      <c r="M445" s="94">
        <f>IF((H445)=0,"",(L445/H445))</f>
        <v>1.2022307729749071E-2</v>
      </c>
    </row>
    <row r="446" spans="1:13" hidden="1" x14ac:dyDescent="0.2">
      <c r="A446" s="8" t="s">
        <v>70</v>
      </c>
      <c r="B446" s="8" t="s">
        <v>6</v>
      </c>
      <c r="C446" s="26"/>
      <c r="D446" s="89" t="s">
        <v>61</v>
      </c>
      <c r="E446" s="67"/>
      <c r="F446" s="83">
        <v>0.08</v>
      </c>
      <c r="G446" s="84"/>
      <c r="H446" s="91">
        <v>0</v>
      </c>
      <c r="I446" s="83">
        <v>0.08</v>
      </c>
      <c r="J446" s="92"/>
      <c r="K446" s="91">
        <v>0</v>
      </c>
      <c r="L446" s="93"/>
      <c r="M446" s="94"/>
    </row>
    <row r="447" spans="1:13" ht="13.5" thickBot="1" x14ac:dyDescent="0.25">
      <c r="A447" s="8" t="s">
        <v>70</v>
      </c>
      <c r="B447" s="8" t="s">
        <v>67</v>
      </c>
      <c r="C447" s="26">
        <v>8</v>
      </c>
      <c r="D447" s="123" t="s">
        <v>66</v>
      </c>
      <c r="E447" s="123"/>
      <c r="F447" s="102"/>
      <c r="G447" s="103"/>
      <c r="H447" s="97">
        <f>SUM(H444,H445)</f>
        <v>8701.2472440000001</v>
      </c>
      <c r="I447" s="104"/>
      <c r="J447" s="104"/>
      <c r="K447" s="97">
        <f>SUM(K444,K445)</f>
        <v>8805.8563159999994</v>
      </c>
      <c r="L447" s="105">
        <f>K447-H447</f>
        <v>104.60907199999929</v>
      </c>
      <c r="M447" s="106">
        <f>IF((H447)=0,"",(L447/H447))</f>
        <v>1.2022307729749104E-2</v>
      </c>
    </row>
    <row r="448" spans="1:13" ht="13.5" thickBot="1" x14ac:dyDescent="0.25">
      <c r="A448" s="8" t="s">
        <v>70</v>
      </c>
      <c r="B448" s="8" t="s">
        <v>6</v>
      </c>
      <c r="C448" s="26"/>
      <c r="D448" s="74"/>
      <c r="E448" s="75"/>
      <c r="F448" s="111"/>
      <c r="G448" s="112"/>
      <c r="H448" s="113"/>
      <c r="I448" s="111"/>
      <c r="J448" s="114"/>
      <c r="K448" s="113"/>
      <c r="L448" s="115"/>
      <c r="M448" s="116"/>
    </row>
    <row r="451" spans="1:20" x14ac:dyDescent="0.2">
      <c r="C451" s="8"/>
      <c r="D451" s="10" t="s">
        <v>12</v>
      </c>
      <c r="E451" s="124" t="s">
        <v>71</v>
      </c>
      <c r="F451" s="124"/>
      <c r="G451" s="124"/>
      <c r="H451" s="124"/>
      <c r="I451" s="124"/>
      <c r="J451" s="124"/>
      <c r="K451" s="8" t="s">
        <v>8</v>
      </c>
      <c r="T451" s="8" t="s">
        <v>11</v>
      </c>
    </row>
    <row r="452" spans="1:20" x14ac:dyDescent="0.2">
      <c r="C452" s="8"/>
      <c r="D452" s="10" t="s">
        <v>13</v>
      </c>
      <c r="E452" s="125" t="s">
        <v>6</v>
      </c>
      <c r="F452" s="125"/>
      <c r="G452" s="125"/>
      <c r="H452" s="11"/>
      <c r="I452" s="11"/>
    </row>
    <row r="453" spans="1:20" ht="15.75" x14ac:dyDescent="0.2">
      <c r="C453" s="8"/>
      <c r="D453" s="10" t="s">
        <v>14</v>
      </c>
      <c r="E453" s="12">
        <v>1417701</v>
      </c>
      <c r="F453" s="13" t="s">
        <v>2</v>
      </c>
      <c r="G453" s="14"/>
      <c r="J453" s="15"/>
      <c r="K453" s="15"/>
      <c r="L453" s="15"/>
      <c r="M453" s="15"/>
    </row>
    <row r="454" spans="1:20" ht="15.75" x14ac:dyDescent="0.25">
      <c r="C454" s="8"/>
      <c r="D454" s="10" t="s">
        <v>15</v>
      </c>
      <c r="E454" s="12">
        <v>4000</v>
      </c>
      <c r="F454" s="16" t="s">
        <v>5</v>
      </c>
      <c r="G454" s="17"/>
      <c r="H454" s="18"/>
      <c r="I454" s="18"/>
      <c r="J454" s="18"/>
    </row>
    <row r="455" spans="1:20" x14ac:dyDescent="0.2">
      <c r="C455" s="8"/>
      <c r="D455" s="10" t="s">
        <v>16</v>
      </c>
      <c r="E455" s="19">
        <v>1.0341</v>
      </c>
    </row>
    <row r="456" spans="1:20" x14ac:dyDescent="0.2">
      <c r="C456" s="8"/>
      <c r="D456" s="10" t="s">
        <v>17</v>
      </c>
      <c r="E456" s="19">
        <v>1.0341</v>
      </c>
    </row>
    <row r="457" spans="1:20" x14ac:dyDescent="0.2">
      <c r="C457" s="8"/>
      <c r="D457" s="14"/>
    </row>
    <row r="458" spans="1:20" x14ac:dyDescent="0.2">
      <c r="C458" s="8"/>
      <c r="D458" s="14"/>
      <c r="E458" s="20"/>
      <c r="F458" s="126" t="s">
        <v>18</v>
      </c>
      <c r="G458" s="127"/>
      <c r="H458" s="128"/>
      <c r="I458" s="126" t="s">
        <v>19</v>
      </c>
      <c r="J458" s="127"/>
      <c r="K458" s="128"/>
      <c r="L458" s="126" t="s">
        <v>20</v>
      </c>
      <c r="M458" s="128"/>
    </row>
    <row r="459" spans="1:20" x14ac:dyDescent="0.2">
      <c r="C459" s="8"/>
      <c r="D459" s="14"/>
      <c r="E459" s="117"/>
      <c r="F459" s="21" t="s">
        <v>21</v>
      </c>
      <c r="G459" s="21" t="s">
        <v>22</v>
      </c>
      <c r="H459" s="22" t="s">
        <v>23</v>
      </c>
      <c r="I459" s="21" t="s">
        <v>21</v>
      </c>
      <c r="J459" s="23" t="s">
        <v>22</v>
      </c>
      <c r="K459" s="22" t="s">
        <v>23</v>
      </c>
      <c r="L459" s="119" t="s">
        <v>24</v>
      </c>
      <c r="M459" s="121" t="s">
        <v>25</v>
      </c>
    </row>
    <row r="460" spans="1:20" x14ac:dyDescent="0.2">
      <c r="C460" s="8"/>
      <c r="D460" s="14"/>
      <c r="E460" s="118"/>
      <c r="F460" s="24" t="s">
        <v>26</v>
      </c>
      <c r="G460" s="24"/>
      <c r="H460" s="25" t="s">
        <v>26</v>
      </c>
      <c r="I460" s="24" t="s">
        <v>26</v>
      </c>
      <c r="J460" s="25"/>
      <c r="K460" s="25" t="s">
        <v>26</v>
      </c>
      <c r="L460" s="120"/>
      <c r="M460" s="122"/>
    </row>
    <row r="461" spans="1:20" x14ac:dyDescent="0.2">
      <c r="A461" s="8" t="s">
        <v>71</v>
      </c>
      <c r="C461" s="26"/>
      <c r="D461" s="27" t="s">
        <v>27</v>
      </c>
      <c r="E461" s="28"/>
      <c r="F461" s="29">
        <v>4197.26</v>
      </c>
      <c r="G461" s="30">
        <v>1</v>
      </c>
      <c r="H461" s="31">
        <f>G461*F461</f>
        <v>4197.26</v>
      </c>
      <c r="I461" s="32">
        <v>4247.63</v>
      </c>
      <c r="J461" s="33">
        <f>G461</f>
        <v>1</v>
      </c>
      <c r="K461" s="31">
        <f>J461*I461</f>
        <v>4247.63</v>
      </c>
      <c r="L461" s="34">
        <f t="shared" ref="L461:L482" si="56">K461-H461</f>
        <v>50.369999999999891</v>
      </c>
      <c r="M461" s="35">
        <f>IF(ISERROR(L461/H461), "", L461/H461)</f>
        <v>1.2000686161924658E-2</v>
      </c>
    </row>
    <row r="462" spans="1:20" x14ac:dyDescent="0.2">
      <c r="A462" s="8" t="s">
        <v>71</v>
      </c>
      <c r="C462" s="26"/>
      <c r="D462" s="27" t="s">
        <v>28</v>
      </c>
      <c r="E462" s="28"/>
      <c r="F462" s="36">
        <v>0</v>
      </c>
      <c r="G462" s="30">
        <f>IF($E454&gt;0, $E454, $E453)</f>
        <v>4000</v>
      </c>
      <c r="H462" s="31">
        <f t="shared" ref="H462:H474" si="57">G462*F462</f>
        <v>0</v>
      </c>
      <c r="I462" s="37">
        <v>0</v>
      </c>
      <c r="J462" s="33">
        <f>IF($E454&gt;0, $E454, $E453)</f>
        <v>4000</v>
      </c>
      <c r="K462" s="31">
        <f>J462*I462</f>
        <v>0</v>
      </c>
      <c r="L462" s="34">
        <f t="shared" si="56"/>
        <v>0</v>
      </c>
      <c r="M462" s="35" t="str">
        <f t="shared" ref="M462:M472" si="58">IF(ISERROR(L462/H462), "", L462/H462)</f>
        <v/>
      </c>
    </row>
    <row r="463" spans="1:20" hidden="1" x14ac:dyDescent="0.2">
      <c r="A463" s="8" t="s">
        <v>71</v>
      </c>
      <c r="C463" s="26"/>
      <c r="D463" s="27" t="s">
        <v>29</v>
      </c>
      <c r="E463" s="28"/>
      <c r="F463" s="36"/>
      <c r="G463" s="30">
        <f>IF($E454&gt;0, $E454, $E453)</f>
        <v>4000</v>
      </c>
      <c r="H463" s="31">
        <v>0</v>
      </c>
      <c r="I463" s="37"/>
      <c r="J463" s="33">
        <f>IF($E454&gt;0, $E454, $E453)</f>
        <v>4000</v>
      </c>
      <c r="K463" s="31">
        <v>0</v>
      </c>
      <c r="L463" s="34"/>
      <c r="M463" s="35"/>
    </row>
    <row r="464" spans="1:20" hidden="1" x14ac:dyDescent="0.2">
      <c r="A464" s="8" t="s">
        <v>71</v>
      </c>
      <c r="C464" s="26"/>
      <c r="D464" s="27" t="s">
        <v>30</v>
      </c>
      <c r="E464" s="28"/>
      <c r="F464" s="36"/>
      <c r="G464" s="30">
        <f>IF($E454&gt;0, $E454, $E453)</f>
        <v>4000</v>
      </c>
      <c r="H464" s="31">
        <v>0</v>
      </c>
      <c r="I464" s="37"/>
      <c r="J464" s="30">
        <f>IF($E454&gt;0, $E454, $E453)</f>
        <v>4000</v>
      </c>
      <c r="K464" s="31">
        <v>0</v>
      </c>
      <c r="L464" s="34">
        <f>K464-H464</f>
        <v>0</v>
      </c>
      <c r="M464" s="35" t="str">
        <f>IF(ISERROR(L464/H464), "", L464/H464)</f>
        <v/>
      </c>
    </row>
    <row r="465" spans="1:13" x14ac:dyDescent="0.2">
      <c r="A465" s="8" t="s">
        <v>71</v>
      </c>
      <c r="C465" s="26"/>
      <c r="D465" s="38" t="s">
        <v>31</v>
      </c>
      <c r="E465" s="28"/>
      <c r="F465" s="29">
        <v>58.79</v>
      </c>
      <c r="G465" s="30">
        <v>1</v>
      </c>
      <c r="H465" s="31">
        <f t="shared" si="57"/>
        <v>58.79</v>
      </c>
      <c r="I465" s="32">
        <v>44.65</v>
      </c>
      <c r="J465" s="33">
        <f>G465</f>
        <v>1</v>
      </c>
      <c r="K465" s="31">
        <f t="shared" ref="K465:K472" si="59">J465*I465</f>
        <v>44.65</v>
      </c>
      <c r="L465" s="34">
        <f t="shared" si="56"/>
        <v>-14.14</v>
      </c>
      <c r="M465" s="35">
        <f t="shared" si="58"/>
        <v>-0.2405170947440041</v>
      </c>
    </row>
    <row r="466" spans="1:13" x14ac:dyDescent="0.2">
      <c r="A466" s="8" t="s">
        <v>71</v>
      </c>
      <c r="C466" s="26"/>
      <c r="D466" s="27" t="s">
        <v>32</v>
      </c>
      <c r="E466" s="28"/>
      <c r="F466" s="36">
        <v>0</v>
      </c>
      <c r="G466" s="30">
        <f>IF($E454&gt;0, $E454, $E453)</f>
        <v>4000</v>
      </c>
      <c r="H466" s="31">
        <f t="shared" si="57"/>
        <v>0</v>
      </c>
      <c r="I466" s="37">
        <v>0</v>
      </c>
      <c r="J466" s="33">
        <f>IF($E454&gt;0, $E454, $E453)</f>
        <v>4000</v>
      </c>
      <c r="K466" s="31">
        <f t="shared" si="59"/>
        <v>0</v>
      </c>
      <c r="L466" s="34">
        <f t="shared" si="56"/>
        <v>0</v>
      </c>
      <c r="M466" s="35" t="str">
        <f t="shared" si="58"/>
        <v/>
      </c>
    </row>
    <row r="467" spans="1:13" x14ac:dyDescent="0.2">
      <c r="A467" s="8" t="s">
        <v>71</v>
      </c>
      <c r="B467" s="39" t="s">
        <v>33</v>
      </c>
      <c r="C467" s="26">
        <v>9</v>
      </c>
      <c r="D467" s="40" t="s">
        <v>34</v>
      </c>
      <c r="E467" s="41"/>
      <c r="F467" s="42"/>
      <c r="G467" s="43"/>
      <c r="H467" s="44">
        <f>SUM(H461:H466)</f>
        <v>4256.05</v>
      </c>
      <c r="I467" s="45"/>
      <c r="J467" s="46"/>
      <c r="K467" s="44">
        <f>SUM(K461:K466)</f>
        <v>4292.28</v>
      </c>
      <c r="L467" s="47">
        <f t="shared" si="56"/>
        <v>36.229999999999563</v>
      </c>
      <c r="M467" s="48">
        <f>IF((H467)=0,"",(L467/H467))</f>
        <v>8.5125879630172496E-3</v>
      </c>
    </row>
    <row r="468" spans="1:13" x14ac:dyDescent="0.2">
      <c r="A468" s="8" t="s">
        <v>71</v>
      </c>
      <c r="C468" s="26"/>
      <c r="D468" s="49" t="s">
        <v>35</v>
      </c>
      <c r="E468" s="28"/>
      <c r="F468" s="36">
        <f>IF((E453*12&gt;=150000), 0, IF(E452="RPP",(F484*0.65+F485*0.17+F486*0.18),IF(E452="Non-RPP (Retailer)",F487,F488)))</f>
        <v>0</v>
      </c>
      <c r="G468" s="50">
        <f>IF(F468=0, 0, $E453*E455-E453)</f>
        <v>0</v>
      </c>
      <c r="H468" s="31">
        <f>G468*F468</f>
        <v>0</v>
      </c>
      <c r="I468" s="37">
        <f>IF((E453*12&gt;=150000), 0, IF(E452="RPP",(I484*0.65+I485*0.17+I486*0.18),IF(E452="Non-RPP (Retailer)",I487,I488)))</f>
        <v>0</v>
      </c>
      <c r="J468" s="50">
        <f>IF(I468=0, 0, E453*E456-E453)</f>
        <v>0</v>
      </c>
      <c r="K468" s="31">
        <f>J468*I468</f>
        <v>0</v>
      </c>
      <c r="L468" s="34">
        <f>K468-H468</f>
        <v>0</v>
      </c>
      <c r="M468" s="35" t="str">
        <f>IF(ISERROR(L468/H468), "", L468/H468)</f>
        <v/>
      </c>
    </row>
    <row r="469" spans="1:13" ht="25.5" x14ac:dyDescent="0.2">
      <c r="A469" s="8" t="s">
        <v>71</v>
      </c>
      <c r="C469" s="26"/>
      <c r="D469" s="49" t="s">
        <v>36</v>
      </c>
      <c r="E469" s="28"/>
      <c r="F469" s="36">
        <v>-8.9999999999999998E-4</v>
      </c>
      <c r="G469" s="51">
        <f>IF($E454&gt;0, $E454, $E453)</f>
        <v>4000</v>
      </c>
      <c r="H469" s="31">
        <f t="shared" si="57"/>
        <v>-3.6</v>
      </c>
      <c r="I469" s="37">
        <v>-2.2000000000000001E-3</v>
      </c>
      <c r="J469" s="51">
        <f>IF($E454&gt;0, $E454, $E453)</f>
        <v>4000</v>
      </c>
      <c r="K469" s="31">
        <f t="shared" si="59"/>
        <v>-8.8000000000000007</v>
      </c>
      <c r="L469" s="34">
        <f t="shared" si="56"/>
        <v>-5.2000000000000011</v>
      </c>
      <c r="M469" s="35">
        <f t="shared" si="58"/>
        <v>1.4444444444444446</v>
      </c>
    </row>
    <row r="470" spans="1:13" x14ac:dyDescent="0.2">
      <c r="A470" s="8" t="s">
        <v>71</v>
      </c>
      <c r="C470" s="26"/>
      <c r="D470" s="49" t="s">
        <v>37</v>
      </c>
      <c r="E470" s="28"/>
      <c r="F470" s="36">
        <v>0</v>
      </c>
      <c r="G470" s="51">
        <f>IF($E454&gt;0, $E454, $E453)</f>
        <v>4000</v>
      </c>
      <c r="H470" s="31">
        <f>G470*F470</f>
        <v>0</v>
      </c>
      <c r="I470" s="37">
        <v>0</v>
      </c>
      <c r="J470" s="51">
        <f>IF($E454&gt;0, $E454, $E453)</f>
        <v>4000</v>
      </c>
      <c r="K470" s="31">
        <f>J470*I470</f>
        <v>0</v>
      </c>
      <c r="L470" s="34">
        <f t="shared" si="56"/>
        <v>0</v>
      </c>
      <c r="M470" s="35" t="str">
        <f t="shared" si="58"/>
        <v/>
      </c>
    </row>
    <row r="471" spans="1:13" x14ac:dyDescent="0.2">
      <c r="A471" s="8" t="s">
        <v>71</v>
      </c>
      <c r="C471" s="26"/>
      <c r="D471" s="49" t="s">
        <v>38</v>
      </c>
      <c r="E471" s="28"/>
      <c r="F471" s="36">
        <v>-8.9999999999999998E-4</v>
      </c>
      <c r="G471" s="51">
        <f>E453</f>
        <v>1417701</v>
      </c>
      <c r="H471" s="31">
        <f>G471*F471</f>
        <v>-1275.9309000000001</v>
      </c>
      <c r="I471" s="37">
        <v>3.9999999999999996E-4</v>
      </c>
      <c r="J471" s="51">
        <f>E453</f>
        <v>1417701</v>
      </c>
      <c r="K471" s="31">
        <f t="shared" si="59"/>
        <v>567.08039999999994</v>
      </c>
      <c r="L471" s="34">
        <f t="shared" si="56"/>
        <v>1843.0113000000001</v>
      </c>
      <c r="M471" s="35">
        <f t="shared" si="58"/>
        <v>-1.4444444444444444</v>
      </c>
    </row>
    <row r="472" spans="1:13" x14ac:dyDescent="0.2">
      <c r="A472" s="8" t="s">
        <v>71</v>
      </c>
      <c r="C472" s="26"/>
      <c r="D472" s="52" t="s">
        <v>39</v>
      </c>
      <c r="E472" s="28"/>
      <c r="F472" s="36">
        <v>0</v>
      </c>
      <c r="G472" s="51">
        <f>IF($E454&gt;0, $E454, $E453)</f>
        <v>4000</v>
      </c>
      <c r="H472" s="31">
        <f t="shared" si="57"/>
        <v>0</v>
      </c>
      <c r="I472" s="37"/>
      <c r="J472" s="51">
        <f>IF($E454&gt;0, $E454, $E453)</f>
        <v>4000</v>
      </c>
      <c r="K472" s="31">
        <f t="shared" si="59"/>
        <v>0</v>
      </c>
      <c r="L472" s="34">
        <f t="shared" si="56"/>
        <v>0</v>
      </c>
      <c r="M472" s="35" t="str">
        <f t="shared" si="58"/>
        <v/>
      </c>
    </row>
    <row r="473" spans="1:13" ht="25.5" x14ac:dyDescent="0.2">
      <c r="A473" s="8" t="s">
        <v>71</v>
      </c>
      <c r="C473" s="26"/>
      <c r="D473" s="53" t="s">
        <v>40</v>
      </c>
      <c r="E473" s="28"/>
      <c r="F473" s="54">
        <f>IF(OR(ISNUMBER(SEARCH("RESIDENTIAL", E451))=TRUE, ISNUMBER(SEARCH("GENERAL SERVICE LESS THAN 50", E451))=TRUE), SME, 0)</f>
        <v>0</v>
      </c>
      <c r="G473" s="30">
        <v>1</v>
      </c>
      <c r="H473" s="31">
        <f>G473*F473</f>
        <v>0</v>
      </c>
      <c r="I473" s="55">
        <f>IF(OR(ISNUMBER(SEARCH("RESIDENTIAL", E451))=TRUE, ISNUMBER(SEARCH("GENERAL SERVICE LESS THAN 50", E451))=TRUE), SME, 0)</f>
        <v>0</v>
      </c>
      <c r="J473" s="30">
        <v>1</v>
      </c>
      <c r="K473" s="31">
        <f>J473*I473</f>
        <v>0</v>
      </c>
      <c r="L473" s="34">
        <f t="shared" si="56"/>
        <v>0</v>
      </c>
      <c r="M473" s="35" t="str">
        <f>IF(ISERROR(L473/H473), "", L473/H473)</f>
        <v/>
      </c>
    </row>
    <row r="474" spans="1:13" x14ac:dyDescent="0.2">
      <c r="A474" s="8" t="s">
        <v>71</v>
      </c>
      <c r="C474" s="26"/>
      <c r="D474" s="52" t="s">
        <v>41</v>
      </c>
      <c r="E474" s="28"/>
      <c r="F474" s="29">
        <v>0</v>
      </c>
      <c r="G474" s="30">
        <v>1</v>
      </c>
      <c r="H474" s="31">
        <f t="shared" si="57"/>
        <v>0</v>
      </c>
      <c r="I474" s="32">
        <v>0</v>
      </c>
      <c r="J474" s="30">
        <v>1</v>
      </c>
      <c r="K474" s="31">
        <f>J474*I474</f>
        <v>0</v>
      </c>
      <c r="L474" s="34">
        <f>K474-H474</f>
        <v>0</v>
      </c>
      <c r="M474" s="35" t="str">
        <f>IF(ISERROR(L474/H474), "", L474/H474)</f>
        <v/>
      </c>
    </row>
    <row r="475" spans="1:13" x14ac:dyDescent="0.2">
      <c r="A475" s="8" t="s">
        <v>71</v>
      </c>
      <c r="C475" s="26"/>
      <c r="D475" s="52" t="s">
        <v>42</v>
      </c>
      <c r="E475" s="28"/>
      <c r="F475" s="36"/>
      <c r="G475" s="51">
        <f>IF($E454&gt;0, $E454, $E453)</f>
        <v>4000</v>
      </c>
      <c r="H475" s="31">
        <f>G475*F475</f>
        <v>0</v>
      </c>
      <c r="I475" s="37">
        <v>0</v>
      </c>
      <c r="J475" s="51">
        <f>IF($E454&gt;0, $E454, $E453)</f>
        <v>4000</v>
      </c>
      <c r="K475" s="31">
        <f>J475*I475</f>
        <v>0</v>
      </c>
      <c r="L475" s="34">
        <f t="shared" si="56"/>
        <v>0</v>
      </c>
      <c r="M475" s="35" t="str">
        <f>IF(ISERROR(L475/H475), "", L475/H475)</f>
        <v/>
      </c>
    </row>
    <row r="476" spans="1:13" ht="25.5" x14ac:dyDescent="0.2">
      <c r="A476" s="8" t="s">
        <v>71</v>
      </c>
      <c r="B476" s="14" t="s">
        <v>43</v>
      </c>
      <c r="C476" s="26">
        <v>9</v>
      </c>
      <c r="D476" s="56" t="s">
        <v>44</v>
      </c>
      <c r="E476" s="57"/>
      <c r="F476" s="58"/>
      <c r="G476" s="59"/>
      <c r="H476" s="60">
        <f>SUM(H467:H475)</f>
        <v>2976.5190999999995</v>
      </c>
      <c r="I476" s="61"/>
      <c r="J476" s="62"/>
      <c r="K476" s="60">
        <f>SUM(K467:K475)</f>
        <v>4850.5603999999994</v>
      </c>
      <c r="L476" s="47">
        <f t="shared" si="56"/>
        <v>1874.0412999999999</v>
      </c>
      <c r="M476" s="48">
        <f>IF((H476)=0,"",(L476/H476))</f>
        <v>0.62960835695628503</v>
      </c>
    </row>
    <row r="477" spans="1:13" x14ac:dyDescent="0.2">
      <c r="A477" s="8" t="s">
        <v>71</v>
      </c>
      <c r="C477" s="26"/>
      <c r="D477" s="63" t="s">
        <v>45</v>
      </c>
      <c r="E477" s="28"/>
      <c r="F477" s="36">
        <v>2.8742999999999999</v>
      </c>
      <c r="G477" s="50">
        <f>IF($E454&gt;0, $E454, $E453*$E455)</f>
        <v>4000</v>
      </c>
      <c r="H477" s="31">
        <f>G477*F477</f>
        <v>11497.199999999999</v>
      </c>
      <c r="I477" s="37">
        <v>2.8022</v>
      </c>
      <c r="J477" s="50">
        <f>IF($E454&gt;0, $E454, $E453*$E456)</f>
        <v>4000</v>
      </c>
      <c r="K477" s="31">
        <f>J477*I477</f>
        <v>11208.8</v>
      </c>
      <c r="L477" s="34">
        <f t="shared" si="56"/>
        <v>-288.39999999999964</v>
      </c>
      <c r="M477" s="35">
        <f>IF(ISERROR(L477/H477), "", L477/H477)</f>
        <v>-2.508436836795043E-2</v>
      </c>
    </row>
    <row r="478" spans="1:13" ht="25.5" x14ac:dyDescent="0.2">
      <c r="A478" s="8" t="s">
        <v>71</v>
      </c>
      <c r="C478" s="26"/>
      <c r="D478" s="64" t="s">
        <v>46</v>
      </c>
      <c r="E478" s="28"/>
      <c r="F478" s="36">
        <v>2.3517000000000001</v>
      </c>
      <c r="G478" s="50">
        <f>IF($E454&gt;0, $E454, $E453*$E455)</f>
        <v>4000</v>
      </c>
      <c r="H478" s="31">
        <f>G478*F478</f>
        <v>9406.8000000000011</v>
      </c>
      <c r="I478" s="37">
        <v>2.2827000000000002</v>
      </c>
      <c r="J478" s="50">
        <f>IF($E454&gt;0, $E454, $E453*$E456)</f>
        <v>4000</v>
      </c>
      <c r="K478" s="31">
        <f>J478*I478</f>
        <v>9130.8000000000011</v>
      </c>
      <c r="L478" s="34">
        <f t="shared" si="56"/>
        <v>-276</v>
      </c>
      <c r="M478" s="35">
        <f>IF(ISERROR(L478/H478), "", L478/H478)</f>
        <v>-2.9340477101671127E-2</v>
      </c>
    </row>
    <row r="479" spans="1:13" ht="25.5" x14ac:dyDescent="0.2">
      <c r="A479" s="8" t="s">
        <v>71</v>
      </c>
      <c r="B479" s="14" t="s">
        <v>47</v>
      </c>
      <c r="C479" s="26">
        <v>9</v>
      </c>
      <c r="D479" s="56" t="s">
        <v>48</v>
      </c>
      <c r="E479" s="41"/>
      <c r="F479" s="58"/>
      <c r="G479" s="59"/>
      <c r="H479" s="60">
        <f>SUM(H476:H478)</f>
        <v>23880.519099999998</v>
      </c>
      <c r="I479" s="61"/>
      <c r="J479" s="46"/>
      <c r="K479" s="60">
        <f>SUM(K476:K478)</f>
        <v>25190.160400000001</v>
      </c>
      <c r="L479" s="47">
        <f t="shared" si="56"/>
        <v>1309.641300000003</v>
      </c>
      <c r="M479" s="48">
        <f>IF((H479)=0,"",(L479/H479))</f>
        <v>5.4841408367877695E-2</v>
      </c>
    </row>
    <row r="480" spans="1:13" ht="25.5" x14ac:dyDescent="0.2">
      <c r="A480" s="8" t="s">
        <v>71</v>
      </c>
      <c r="C480" s="26"/>
      <c r="D480" s="65" t="s">
        <v>49</v>
      </c>
      <c r="E480" s="28"/>
      <c r="F480" s="36">
        <v>3.3999999999999998E-3</v>
      </c>
      <c r="G480" s="50">
        <f>E453*E455</f>
        <v>1466044.6041000001</v>
      </c>
      <c r="H480" s="66">
        <f t="shared" ref="H480:H486" si="60">G480*F480</f>
        <v>4984.5516539400005</v>
      </c>
      <c r="I480" s="37">
        <v>3.4000000000000002E-3</v>
      </c>
      <c r="J480" s="50">
        <f>E453*E456</f>
        <v>1466044.6041000001</v>
      </c>
      <c r="K480" s="66">
        <f t="shared" ref="K480:K486" si="61">J480*I480</f>
        <v>4984.5516539400005</v>
      </c>
      <c r="L480" s="34">
        <f t="shared" si="56"/>
        <v>0</v>
      </c>
      <c r="M480" s="35">
        <f t="shared" ref="M480:M488" si="62">IF(ISERROR(L480/H480), "", L480/H480)</f>
        <v>0</v>
      </c>
    </row>
    <row r="481" spans="1:13" ht="25.5" x14ac:dyDescent="0.2">
      <c r="A481" s="8" t="s">
        <v>71</v>
      </c>
      <c r="C481" s="26"/>
      <c r="D481" s="65" t="s">
        <v>50</v>
      </c>
      <c r="E481" s="28"/>
      <c r="F481" s="36">
        <f>'[7]17. Regulatory Charges'!$D$16</f>
        <v>5.0000000000000001E-4</v>
      </c>
      <c r="G481" s="50">
        <f>E453*E455</f>
        <v>1466044.6041000001</v>
      </c>
      <c r="H481" s="66">
        <f t="shared" si="60"/>
        <v>733.02230205000012</v>
      </c>
      <c r="I481" s="37">
        <v>5.0000000000000001E-4</v>
      </c>
      <c r="J481" s="50">
        <f>E453*E456</f>
        <v>1466044.6041000001</v>
      </c>
      <c r="K481" s="66">
        <f t="shared" si="61"/>
        <v>733.02230205000012</v>
      </c>
      <c r="L481" s="34">
        <f t="shared" si="56"/>
        <v>0</v>
      </c>
      <c r="M481" s="35">
        <f t="shared" si="62"/>
        <v>0</v>
      </c>
    </row>
    <row r="482" spans="1:13" x14ac:dyDescent="0.2">
      <c r="A482" s="8" t="s">
        <v>71</v>
      </c>
      <c r="C482" s="26"/>
      <c r="D482" s="67" t="s">
        <v>51</v>
      </c>
      <c r="E482" s="28"/>
      <c r="F482" s="54">
        <v>0.25</v>
      </c>
      <c r="G482" s="30">
        <v>1</v>
      </c>
      <c r="H482" s="66">
        <f t="shared" si="60"/>
        <v>0.25</v>
      </c>
      <c r="I482" s="55">
        <f>'[7]17. Regulatory Charges'!$D$17</f>
        <v>0.25</v>
      </c>
      <c r="J482" s="33">
        <v>1</v>
      </c>
      <c r="K482" s="66">
        <f t="shared" si="61"/>
        <v>0.25</v>
      </c>
      <c r="L482" s="34">
        <f t="shared" si="56"/>
        <v>0</v>
      </c>
      <c r="M482" s="35">
        <f t="shared" si="62"/>
        <v>0</v>
      </c>
    </row>
    <row r="483" spans="1:13" ht="25.5" hidden="1" x14ac:dyDescent="0.2">
      <c r="A483" s="8" t="s">
        <v>71</v>
      </c>
      <c r="C483" s="26"/>
      <c r="D483" s="65" t="s">
        <v>52</v>
      </c>
      <c r="E483" s="28"/>
      <c r="F483" s="36"/>
      <c r="G483" s="50"/>
      <c r="H483" s="66"/>
      <c r="I483" s="37"/>
      <c r="J483" s="50"/>
      <c r="K483" s="66"/>
      <c r="L483" s="34"/>
      <c r="M483" s="35"/>
    </row>
    <row r="484" spans="1:13" hidden="1" x14ac:dyDescent="0.2">
      <c r="A484" s="8" t="s">
        <v>71</v>
      </c>
      <c r="B484" s="14" t="s">
        <v>3</v>
      </c>
      <c r="C484" s="26"/>
      <c r="D484" s="68" t="s">
        <v>53</v>
      </c>
      <c r="E484" s="28"/>
      <c r="F484" s="69">
        <f>OffPeak</f>
        <v>6.5000000000000002E-2</v>
      </c>
      <c r="G484" s="70">
        <f>IF(AND(E453*12&gt;=150000),0.65*E453*E455,0.65*E453)</f>
        <v>952928.99266500003</v>
      </c>
      <c r="H484" s="66">
        <f t="shared" si="60"/>
        <v>61940.384523225002</v>
      </c>
      <c r="I484" s="71">
        <f>OffPeak</f>
        <v>6.5000000000000002E-2</v>
      </c>
      <c r="J484" s="70">
        <f>IF(AND(E453*12&gt;=150000),0.65*E453*E456,0.65*E453)</f>
        <v>952928.99266500003</v>
      </c>
      <c r="K484" s="66">
        <f t="shared" si="61"/>
        <v>61940.384523225002</v>
      </c>
      <c r="L484" s="34">
        <f>K484-H484</f>
        <v>0</v>
      </c>
      <c r="M484" s="35">
        <f t="shared" si="62"/>
        <v>0</v>
      </c>
    </row>
    <row r="485" spans="1:13" hidden="1" x14ac:dyDescent="0.2">
      <c r="A485" s="8" t="s">
        <v>71</v>
      </c>
      <c r="B485" s="14" t="s">
        <v>3</v>
      </c>
      <c r="C485" s="26"/>
      <c r="D485" s="68" t="s">
        <v>54</v>
      </c>
      <c r="E485" s="28"/>
      <c r="F485" s="69">
        <f>MidPeak</f>
        <v>9.4E-2</v>
      </c>
      <c r="G485" s="70">
        <f>IF(AND(E453*12&gt;=150000),0.17*E453*E455,0.17*E453)</f>
        <v>249227.58269700001</v>
      </c>
      <c r="H485" s="66">
        <f t="shared" si="60"/>
        <v>23427.392773518</v>
      </c>
      <c r="I485" s="71">
        <f>MidPeak</f>
        <v>9.4E-2</v>
      </c>
      <c r="J485" s="70">
        <f>IF(AND(E453*12&gt;=150000),0.17*E453*E456,0.17*E453)</f>
        <v>249227.58269700001</v>
      </c>
      <c r="K485" s="66">
        <f t="shared" si="61"/>
        <v>23427.392773518</v>
      </c>
      <c r="L485" s="34">
        <f>K485-H485</f>
        <v>0</v>
      </c>
      <c r="M485" s="35">
        <f t="shared" si="62"/>
        <v>0</v>
      </c>
    </row>
    <row r="486" spans="1:13" hidden="1" x14ac:dyDescent="0.2">
      <c r="A486" s="8" t="s">
        <v>71</v>
      </c>
      <c r="B486" s="14" t="s">
        <v>3</v>
      </c>
      <c r="C486" s="26"/>
      <c r="D486" s="14" t="s">
        <v>55</v>
      </c>
      <c r="E486" s="28"/>
      <c r="F486" s="69">
        <f>OnPeak</f>
        <v>0.13200000000000001</v>
      </c>
      <c r="G486" s="70">
        <f>IF(AND(E453*12&gt;=150000),0.18*E453*E455,0.18*E453)</f>
        <v>263888.02873800002</v>
      </c>
      <c r="H486" s="66">
        <f t="shared" si="60"/>
        <v>34833.219793416007</v>
      </c>
      <c r="I486" s="71">
        <f>OnPeak</f>
        <v>0.13200000000000001</v>
      </c>
      <c r="J486" s="70">
        <f>IF(AND(E453*12&gt;=150000),0.18*E453*E456,0.18*E453)</f>
        <v>263888.02873800002</v>
      </c>
      <c r="K486" s="66">
        <f t="shared" si="61"/>
        <v>34833.219793416007</v>
      </c>
      <c r="L486" s="34">
        <f>K486-H486</f>
        <v>0</v>
      </c>
      <c r="M486" s="35">
        <f t="shared" si="62"/>
        <v>0</v>
      </c>
    </row>
    <row r="487" spans="1:13" hidden="1" x14ac:dyDescent="0.2">
      <c r="A487" s="8" t="s">
        <v>71</v>
      </c>
      <c r="B487" s="8" t="s">
        <v>56</v>
      </c>
      <c r="C487" s="26"/>
      <c r="D487" s="68" t="s">
        <v>57</v>
      </c>
      <c r="E487" s="28"/>
      <c r="F487" s="72">
        <v>0.1101</v>
      </c>
      <c r="G487" s="70">
        <f>IF(AND(E453*12&gt;=150000),E453*E455,E453)</f>
        <v>1466044.6041000001</v>
      </c>
      <c r="H487" s="66">
        <f>G487*F487</f>
        <v>161411.51091141001</v>
      </c>
      <c r="I487" s="73">
        <f>F487</f>
        <v>0.1101</v>
      </c>
      <c r="J487" s="70">
        <f>IF(AND(E453*12&gt;=150000),E453*E456,E453)</f>
        <v>1466044.6041000001</v>
      </c>
      <c r="K487" s="66">
        <f>J487*I487</f>
        <v>161411.51091141001</v>
      </c>
      <c r="L487" s="34">
        <f>K487-H487</f>
        <v>0</v>
      </c>
      <c r="M487" s="35">
        <f t="shared" si="62"/>
        <v>0</v>
      </c>
    </row>
    <row r="488" spans="1:13" ht="13.5" thickBot="1" x14ac:dyDescent="0.25">
      <c r="A488" s="8" t="s">
        <v>71</v>
      </c>
      <c r="B488" s="8" t="s">
        <v>6</v>
      </c>
      <c r="C488" s="26"/>
      <c r="D488" s="68" t="s">
        <v>58</v>
      </c>
      <c r="E488" s="28"/>
      <c r="F488" s="72">
        <v>0.1101</v>
      </c>
      <c r="G488" s="70">
        <f>IF(AND(E453*12&gt;=150000),E453*E455,E453)</f>
        <v>1466044.6041000001</v>
      </c>
      <c r="H488" s="66">
        <f>G488*F488</f>
        <v>161411.51091141001</v>
      </c>
      <c r="I488" s="73">
        <f>F488</f>
        <v>0.1101</v>
      </c>
      <c r="J488" s="70">
        <f>IF(AND(E453*12&gt;=150000),E453*E456,E453)</f>
        <v>1466044.6041000001</v>
      </c>
      <c r="K488" s="66">
        <f>J488*I488</f>
        <v>161411.51091141001</v>
      </c>
      <c r="L488" s="34">
        <f>K488-H488</f>
        <v>0</v>
      </c>
      <c r="M488" s="35">
        <f t="shared" si="62"/>
        <v>0</v>
      </c>
    </row>
    <row r="489" spans="1:13" ht="13.5" thickBot="1" x14ac:dyDescent="0.25">
      <c r="A489" s="8" t="s">
        <v>71</v>
      </c>
      <c r="B489" s="14"/>
      <c r="C489" s="26"/>
      <c r="D489" s="74"/>
      <c r="E489" s="75"/>
      <c r="F489" s="76"/>
      <c r="G489" s="77"/>
      <c r="H489" s="78"/>
      <c r="I489" s="76"/>
      <c r="J489" s="79"/>
      <c r="K489" s="78"/>
      <c r="L489" s="80"/>
      <c r="M489" s="81"/>
    </row>
    <row r="490" spans="1:13" hidden="1" x14ac:dyDescent="0.2">
      <c r="A490" s="8" t="s">
        <v>71</v>
      </c>
      <c r="B490" s="14" t="s">
        <v>3</v>
      </c>
      <c r="C490" s="26"/>
      <c r="D490" s="82" t="s">
        <v>59</v>
      </c>
      <c r="E490" s="67"/>
      <c r="F490" s="83"/>
      <c r="G490" s="84"/>
      <c r="H490" s="85">
        <f>SUM(H480:H486,H479)</f>
        <v>149799.34014614901</v>
      </c>
      <c r="I490" s="86"/>
      <c r="J490" s="86"/>
      <c r="K490" s="85">
        <f>SUM(K480:K486,K479)</f>
        <v>151108.981446149</v>
      </c>
      <c r="L490" s="87">
        <f>K490-H490</f>
        <v>1309.6412999999884</v>
      </c>
      <c r="M490" s="88">
        <f>IF((H490)=0,"",(L490/H490))</f>
        <v>8.7426373088310035E-3</v>
      </c>
    </row>
    <row r="491" spans="1:13" hidden="1" x14ac:dyDescent="0.2">
      <c r="A491" s="8" t="s">
        <v>71</v>
      </c>
      <c r="B491" s="14" t="s">
        <v>3</v>
      </c>
      <c r="C491" s="26"/>
      <c r="D491" s="89" t="s">
        <v>60</v>
      </c>
      <c r="E491" s="67"/>
      <c r="F491" s="83">
        <v>0.13</v>
      </c>
      <c r="G491" s="90"/>
      <c r="H491" s="91">
        <f>H490*F491</f>
        <v>19473.914218999373</v>
      </c>
      <c r="I491" s="92">
        <v>0.13</v>
      </c>
      <c r="J491" s="30"/>
      <c r="K491" s="91">
        <f>K490*I491</f>
        <v>19644.167587999371</v>
      </c>
      <c r="L491" s="93">
        <f>K491-H491</f>
        <v>170.2533689999982</v>
      </c>
      <c r="M491" s="94">
        <f>IF((H491)=0,"",(L491/H491))</f>
        <v>8.7426373088309896E-3</v>
      </c>
    </row>
    <row r="492" spans="1:13" hidden="1" x14ac:dyDescent="0.2">
      <c r="A492" s="8" t="s">
        <v>71</v>
      </c>
      <c r="B492" s="14" t="s">
        <v>3</v>
      </c>
      <c r="C492" s="26"/>
      <c r="D492" s="89" t="s">
        <v>61</v>
      </c>
      <c r="E492" s="67"/>
      <c r="F492" s="83">
        <v>0.08</v>
      </c>
      <c r="G492" s="90"/>
      <c r="H492" s="91">
        <v>0</v>
      </c>
      <c r="I492" s="83">
        <v>0.08</v>
      </c>
      <c r="J492" s="30"/>
      <c r="K492" s="91">
        <v>0</v>
      </c>
      <c r="L492" s="93">
        <f>K492-H492</f>
        <v>0</v>
      </c>
      <c r="M492" s="94"/>
    </row>
    <row r="493" spans="1:13" hidden="1" x14ac:dyDescent="0.2">
      <c r="A493" s="8" t="s">
        <v>71</v>
      </c>
      <c r="B493" s="14" t="s">
        <v>62</v>
      </c>
      <c r="C493" s="26"/>
      <c r="D493" s="123" t="s">
        <v>63</v>
      </c>
      <c r="E493" s="123"/>
      <c r="F493" s="95"/>
      <c r="G493" s="96"/>
      <c r="H493" s="97">
        <f>H490+H491+H492</f>
        <v>169273.25436514837</v>
      </c>
      <c r="I493" s="98"/>
      <c r="J493" s="98"/>
      <c r="K493" s="99">
        <f>K490+K491+K492</f>
        <v>170753.14903414837</v>
      </c>
      <c r="L493" s="100">
        <f>K493-H493</f>
        <v>1479.8946690000012</v>
      </c>
      <c r="M493" s="101">
        <f>IF((H493)=0,"",(L493/H493))</f>
        <v>8.7426373088310885E-3</v>
      </c>
    </row>
    <row r="494" spans="1:13" ht="13.5" hidden="1" thickBot="1" x14ac:dyDescent="0.25">
      <c r="A494" s="8" t="s">
        <v>71</v>
      </c>
      <c r="B494" s="8" t="s">
        <v>3</v>
      </c>
      <c r="C494" s="26"/>
      <c r="D494" s="74"/>
      <c r="E494" s="75"/>
      <c r="F494" s="76"/>
      <c r="G494" s="77"/>
      <c r="H494" s="78"/>
      <c r="I494" s="76"/>
      <c r="J494" s="79"/>
      <c r="K494" s="78"/>
      <c r="L494" s="80"/>
      <c r="M494" s="81"/>
    </row>
    <row r="495" spans="1:13" hidden="1" x14ac:dyDescent="0.2">
      <c r="A495" s="8" t="s">
        <v>71</v>
      </c>
      <c r="B495" s="8" t="s">
        <v>56</v>
      </c>
      <c r="C495" s="26"/>
      <c r="D495" s="82" t="s">
        <v>64</v>
      </c>
      <c r="E495" s="67"/>
      <c r="F495" s="83"/>
      <c r="G495" s="84"/>
      <c r="H495" s="85">
        <f>SUM(H487,H480:H483,H479)</f>
        <v>191009.85396740001</v>
      </c>
      <c r="I495" s="86"/>
      <c r="J495" s="86"/>
      <c r="K495" s="85">
        <f>SUM(K487,K480:K483,K479)</f>
        <v>192319.49526739999</v>
      </c>
      <c r="L495" s="87">
        <f>K495-H495</f>
        <v>1309.6412999999884</v>
      </c>
      <c r="M495" s="88">
        <f>IF((H495)=0,"",(L495/H495))</f>
        <v>6.8564070009891074E-3</v>
      </c>
    </row>
    <row r="496" spans="1:13" hidden="1" x14ac:dyDescent="0.2">
      <c r="A496" s="8" t="s">
        <v>71</v>
      </c>
      <c r="B496" s="8" t="s">
        <v>56</v>
      </c>
      <c r="C496" s="26"/>
      <c r="D496" s="89" t="s">
        <v>60</v>
      </c>
      <c r="E496" s="67"/>
      <c r="F496" s="83">
        <v>0.13</v>
      </c>
      <c r="G496" s="84"/>
      <c r="H496" s="91">
        <f>H495*F496</f>
        <v>24831.281015762001</v>
      </c>
      <c r="I496" s="83">
        <v>0.13</v>
      </c>
      <c r="J496" s="92"/>
      <c r="K496" s="91">
        <f>K495*I496</f>
        <v>25001.534384761999</v>
      </c>
      <c r="L496" s="93">
        <f>K496-H496</f>
        <v>170.2533689999982</v>
      </c>
      <c r="M496" s="94">
        <f>IF((H496)=0,"",(L496/H496))</f>
        <v>6.8564070009890952E-3</v>
      </c>
    </row>
    <row r="497" spans="1:20" hidden="1" x14ac:dyDescent="0.2">
      <c r="A497" s="8" t="s">
        <v>71</v>
      </c>
      <c r="B497" s="8" t="s">
        <v>56</v>
      </c>
      <c r="C497" s="26"/>
      <c r="D497" s="89" t="s">
        <v>61</v>
      </c>
      <c r="E497" s="67"/>
      <c r="F497" s="83">
        <v>0.08</v>
      </c>
      <c r="G497" s="84"/>
      <c r="H497" s="91">
        <v>0</v>
      </c>
      <c r="I497" s="83">
        <v>0.08</v>
      </c>
      <c r="J497" s="92"/>
      <c r="K497" s="91">
        <v>0</v>
      </c>
      <c r="L497" s="93"/>
      <c r="M497" s="94"/>
    </row>
    <row r="498" spans="1:20" hidden="1" x14ac:dyDescent="0.2">
      <c r="A498" s="8" t="s">
        <v>71</v>
      </c>
      <c r="B498" s="8" t="s">
        <v>65</v>
      </c>
      <c r="C498" s="26"/>
      <c r="D498" s="123" t="s">
        <v>64</v>
      </c>
      <c r="E498" s="123"/>
      <c r="F498" s="102"/>
      <c r="G498" s="103"/>
      <c r="H498" s="97">
        <f>SUM(H495,H496)</f>
        <v>215841.13498316202</v>
      </c>
      <c r="I498" s="104"/>
      <c r="J498" s="104"/>
      <c r="K498" s="97">
        <f>SUM(K495,K496)</f>
        <v>217321.02965216199</v>
      </c>
      <c r="L498" s="105">
        <f>K498-H498</f>
        <v>1479.8946689999721</v>
      </c>
      <c r="M498" s="106">
        <f>IF((H498)=0,"",(L498/H498))</f>
        <v>6.856407000989038E-3</v>
      </c>
    </row>
    <row r="499" spans="1:20" ht="13.5" hidden="1" thickBot="1" x14ac:dyDescent="0.25">
      <c r="A499" s="8" t="s">
        <v>71</v>
      </c>
      <c r="B499" s="8" t="s">
        <v>56</v>
      </c>
      <c r="C499" s="26"/>
      <c r="D499" s="74"/>
      <c r="E499" s="75"/>
      <c r="F499" s="107"/>
      <c r="G499" s="108"/>
      <c r="H499" s="109"/>
      <c r="I499" s="107"/>
      <c r="J499" s="77"/>
      <c r="K499" s="109"/>
      <c r="L499" s="110"/>
      <c r="M499" s="81"/>
    </row>
    <row r="500" spans="1:20" x14ac:dyDescent="0.2">
      <c r="A500" s="8" t="s">
        <v>71</v>
      </c>
      <c r="B500" s="8" t="s">
        <v>6</v>
      </c>
      <c r="C500" s="26"/>
      <c r="D500" s="82" t="s">
        <v>66</v>
      </c>
      <c r="E500" s="67"/>
      <c r="F500" s="83"/>
      <c r="G500" s="84"/>
      <c r="H500" s="85">
        <f>SUM(H488,H480:H483,H479)</f>
        <v>191009.85396740001</v>
      </c>
      <c r="I500" s="86"/>
      <c r="J500" s="86"/>
      <c r="K500" s="85">
        <f>SUM(K488,K480:K483,K479)</f>
        <v>192319.49526739999</v>
      </c>
      <c r="L500" s="87">
        <f>K500-H500</f>
        <v>1309.6412999999884</v>
      </c>
      <c r="M500" s="88">
        <f>IF((H500)=0,"",(L500/H500))</f>
        <v>6.8564070009891074E-3</v>
      </c>
    </row>
    <row r="501" spans="1:20" x14ac:dyDescent="0.2">
      <c r="A501" s="8" t="s">
        <v>71</v>
      </c>
      <c r="B501" s="8" t="s">
        <v>6</v>
      </c>
      <c r="C501" s="26"/>
      <c r="D501" s="89" t="s">
        <v>60</v>
      </c>
      <c r="E501" s="67"/>
      <c r="F501" s="83">
        <v>0.13</v>
      </c>
      <c r="G501" s="84"/>
      <c r="H501" s="91">
        <f>H500*F501</f>
        <v>24831.281015762001</v>
      </c>
      <c r="I501" s="83">
        <v>0.13</v>
      </c>
      <c r="J501" s="92"/>
      <c r="K501" s="91">
        <f>K500*I501</f>
        <v>25001.534384761999</v>
      </c>
      <c r="L501" s="93">
        <f>K501-H501</f>
        <v>170.2533689999982</v>
      </c>
      <c r="M501" s="94">
        <f>IF((H501)=0,"",(L501/H501))</f>
        <v>6.8564070009890952E-3</v>
      </c>
    </row>
    <row r="502" spans="1:20" hidden="1" x14ac:dyDescent="0.2">
      <c r="A502" s="8" t="s">
        <v>71</v>
      </c>
      <c r="B502" s="8" t="s">
        <v>6</v>
      </c>
      <c r="C502" s="26"/>
      <c r="D502" s="89" t="s">
        <v>61</v>
      </c>
      <c r="E502" s="67"/>
      <c r="F502" s="83">
        <v>0.08</v>
      </c>
      <c r="G502" s="84"/>
      <c r="H502" s="91">
        <v>0</v>
      </c>
      <c r="I502" s="83">
        <v>0.08</v>
      </c>
      <c r="J502" s="92"/>
      <c r="K502" s="91">
        <v>0</v>
      </c>
      <c r="L502" s="93"/>
      <c r="M502" s="94"/>
    </row>
    <row r="503" spans="1:20" ht="13.5" thickBot="1" x14ac:dyDescent="0.25">
      <c r="A503" s="8" t="s">
        <v>71</v>
      </c>
      <c r="B503" s="8" t="s">
        <v>67</v>
      </c>
      <c r="C503" s="26">
        <v>9</v>
      </c>
      <c r="D503" s="123" t="s">
        <v>66</v>
      </c>
      <c r="E503" s="123"/>
      <c r="F503" s="102"/>
      <c r="G503" s="103"/>
      <c r="H503" s="97">
        <f>SUM(H500,H501)</f>
        <v>215841.13498316202</v>
      </c>
      <c r="I503" s="104"/>
      <c r="J503" s="104"/>
      <c r="K503" s="97">
        <f>SUM(K500,K501)</f>
        <v>217321.02965216199</v>
      </c>
      <c r="L503" s="105">
        <f>K503-H503</f>
        <v>1479.8946689999721</v>
      </c>
      <c r="M503" s="106">
        <f>IF((H503)=0,"",(L503/H503))</f>
        <v>6.856407000989038E-3</v>
      </c>
    </row>
    <row r="504" spans="1:20" ht="13.5" thickBot="1" x14ac:dyDescent="0.25">
      <c r="A504" s="8" t="s">
        <v>71</v>
      </c>
      <c r="B504" s="8" t="s">
        <v>6</v>
      </c>
      <c r="C504" s="26"/>
      <c r="D504" s="74"/>
      <c r="E504" s="75"/>
      <c r="F504" s="111"/>
      <c r="G504" s="112"/>
      <c r="H504" s="113"/>
      <c r="I504" s="111"/>
      <c r="J504" s="114"/>
      <c r="K504" s="113"/>
      <c r="L504" s="115"/>
      <c r="M504" s="116"/>
    </row>
    <row r="507" spans="1:20" x14ac:dyDescent="0.2">
      <c r="C507" s="8"/>
      <c r="D507" s="10" t="s">
        <v>12</v>
      </c>
      <c r="E507" s="124" t="s">
        <v>72</v>
      </c>
      <c r="F507" s="124"/>
      <c r="G507" s="124"/>
      <c r="H507" s="124"/>
      <c r="I507" s="124"/>
      <c r="J507" s="124"/>
      <c r="K507" s="8" t="s">
        <v>8</v>
      </c>
      <c r="T507" s="8" t="s">
        <v>11</v>
      </c>
    </row>
    <row r="508" spans="1:20" x14ac:dyDescent="0.2">
      <c r="C508" s="8"/>
      <c r="D508" s="10" t="s">
        <v>13</v>
      </c>
      <c r="E508" s="125" t="s">
        <v>6</v>
      </c>
      <c r="F508" s="125"/>
      <c r="G508" s="125"/>
      <c r="H508" s="11"/>
      <c r="I508" s="11"/>
    </row>
    <row r="509" spans="1:20" ht="15.75" x14ac:dyDescent="0.2">
      <c r="C509" s="8"/>
      <c r="D509" s="10" t="s">
        <v>14</v>
      </c>
      <c r="E509" s="12">
        <v>156</v>
      </c>
      <c r="F509" s="13" t="s">
        <v>2</v>
      </c>
      <c r="G509" s="14"/>
      <c r="J509" s="15"/>
      <c r="K509" s="15"/>
      <c r="L509" s="15"/>
      <c r="M509" s="15"/>
    </row>
    <row r="510" spans="1:20" ht="15.75" x14ac:dyDescent="0.25">
      <c r="C510" s="8"/>
      <c r="D510" s="10" t="s">
        <v>15</v>
      </c>
      <c r="E510" s="12">
        <v>0</v>
      </c>
      <c r="F510" s="16" t="s">
        <v>5</v>
      </c>
      <c r="G510" s="17"/>
      <c r="H510" s="18"/>
      <c r="I510" s="18"/>
      <c r="J510" s="18"/>
    </row>
    <row r="511" spans="1:20" x14ac:dyDescent="0.2">
      <c r="C511" s="8"/>
      <c r="D511" s="10" t="s">
        <v>16</v>
      </c>
      <c r="E511" s="19">
        <v>1.0341</v>
      </c>
    </row>
    <row r="512" spans="1:20" x14ac:dyDescent="0.2">
      <c r="C512" s="8"/>
      <c r="D512" s="10" t="s">
        <v>17</v>
      </c>
      <c r="E512" s="19">
        <v>1.0341</v>
      </c>
    </row>
    <row r="513" spans="1:13" x14ac:dyDescent="0.2">
      <c r="C513" s="8"/>
      <c r="D513" s="14"/>
    </row>
    <row r="514" spans="1:13" x14ac:dyDescent="0.2">
      <c r="C514" s="8"/>
      <c r="D514" s="14"/>
      <c r="E514" s="20"/>
      <c r="F514" s="126" t="s">
        <v>18</v>
      </c>
      <c r="G514" s="127"/>
      <c r="H514" s="128"/>
      <c r="I514" s="126" t="s">
        <v>19</v>
      </c>
      <c r="J514" s="127"/>
      <c r="K514" s="128"/>
      <c r="L514" s="126" t="s">
        <v>20</v>
      </c>
      <c r="M514" s="128"/>
    </row>
    <row r="515" spans="1:13" x14ac:dyDescent="0.2">
      <c r="C515" s="8"/>
      <c r="D515" s="14"/>
      <c r="E515" s="117"/>
      <c r="F515" s="21" t="s">
        <v>21</v>
      </c>
      <c r="G515" s="21" t="s">
        <v>22</v>
      </c>
      <c r="H515" s="22" t="s">
        <v>23</v>
      </c>
      <c r="I515" s="21" t="s">
        <v>21</v>
      </c>
      <c r="J515" s="23" t="s">
        <v>22</v>
      </c>
      <c r="K515" s="22" t="s">
        <v>23</v>
      </c>
      <c r="L515" s="119" t="s">
        <v>24</v>
      </c>
      <c r="M515" s="121" t="s">
        <v>25</v>
      </c>
    </row>
    <row r="516" spans="1:13" x14ac:dyDescent="0.2">
      <c r="C516" s="8"/>
      <c r="D516" s="14"/>
      <c r="E516" s="118"/>
      <c r="F516" s="24" t="s">
        <v>26</v>
      </c>
      <c r="G516" s="24"/>
      <c r="H516" s="25" t="s">
        <v>26</v>
      </c>
      <c r="I516" s="24" t="s">
        <v>26</v>
      </c>
      <c r="J516" s="25"/>
      <c r="K516" s="25" t="s">
        <v>26</v>
      </c>
      <c r="L516" s="120"/>
      <c r="M516" s="122"/>
    </row>
    <row r="517" spans="1:13" x14ac:dyDescent="0.2">
      <c r="A517" s="8" t="s">
        <v>72</v>
      </c>
      <c r="C517" s="26"/>
      <c r="D517" s="27" t="s">
        <v>27</v>
      </c>
      <c r="E517" s="28"/>
      <c r="F517" s="29">
        <v>104.91</v>
      </c>
      <c r="G517" s="30">
        <v>1</v>
      </c>
      <c r="H517" s="31">
        <f>G517*F517</f>
        <v>104.91</v>
      </c>
      <c r="I517" s="32">
        <v>106.17</v>
      </c>
      <c r="J517" s="33">
        <f>G517</f>
        <v>1</v>
      </c>
      <c r="K517" s="31">
        <f>J517*I517</f>
        <v>106.17</v>
      </c>
      <c r="L517" s="34">
        <f t="shared" ref="L517:L538" si="63">K517-H517</f>
        <v>1.2600000000000051</v>
      </c>
      <c r="M517" s="35">
        <f>IF(ISERROR(L517/H517), "", L517/H517)</f>
        <v>1.2010294538175629E-2</v>
      </c>
    </row>
    <row r="518" spans="1:13" x14ac:dyDescent="0.2">
      <c r="A518" s="8" t="s">
        <v>72</v>
      </c>
      <c r="C518" s="26"/>
      <c r="D518" s="27" t="s">
        <v>28</v>
      </c>
      <c r="E518" s="28"/>
      <c r="F518" s="36">
        <v>0</v>
      </c>
      <c r="G518" s="30">
        <f>IF($E510&gt;0, $E510, $E509)</f>
        <v>156</v>
      </c>
      <c r="H518" s="31">
        <f t="shared" ref="H518:H530" si="64">G518*F518</f>
        <v>0</v>
      </c>
      <c r="I518" s="37">
        <v>0</v>
      </c>
      <c r="J518" s="33">
        <f>IF($E510&gt;0, $E510, $E509)</f>
        <v>156</v>
      </c>
      <c r="K518" s="31">
        <f>J518*I518</f>
        <v>0</v>
      </c>
      <c r="L518" s="34">
        <f t="shared" si="63"/>
        <v>0</v>
      </c>
      <c r="M518" s="35" t="str">
        <f t="shared" ref="M518:M528" si="65">IF(ISERROR(L518/H518), "", L518/H518)</f>
        <v/>
      </c>
    </row>
    <row r="519" spans="1:13" hidden="1" x14ac:dyDescent="0.2">
      <c r="A519" s="8" t="s">
        <v>72</v>
      </c>
      <c r="C519" s="26"/>
      <c r="D519" s="27" t="s">
        <v>29</v>
      </c>
      <c r="E519" s="28"/>
      <c r="F519" s="36"/>
      <c r="G519" s="30">
        <f>IF($E510&gt;0, $E510, $E509)</f>
        <v>156</v>
      </c>
      <c r="H519" s="31">
        <v>0</v>
      </c>
      <c r="I519" s="37"/>
      <c r="J519" s="33">
        <f>IF($E510&gt;0, $E510, $E509)</f>
        <v>156</v>
      </c>
      <c r="K519" s="31">
        <v>0</v>
      </c>
      <c r="L519" s="34"/>
      <c r="M519" s="35"/>
    </row>
    <row r="520" spans="1:13" hidden="1" x14ac:dyDescent="0.2">
      <c r="A520" s="8" t="s">
        <v>72</v>
      </c>
      <c r="C520" s="26"/>
      <c r="D520" s="27" t="s">
        <v>30</v>
      </c>
      <c r="E520" s="28"/>
      <c r="F520" s="36"/>
      <c r="G520" s="30">
        <f>IF($E510&gt;0, $E510, $E509)</f>
        <v>156</v>
      </c>
      <c r="H520" s="31">
        <v>0</v>
      </c>
      <c r="I520" s="37"/>
      <c r="J520" s="30">
        <f>IF($E510&gt;0, $E510, $E509)</f>
        <v>156</v>
      </c>
      <c r="K520" s="31">
        <v>0</v>
      </c>
      <c r="L520" s="34">
        <f>K520-H520</f>
        <v>0</v>
      </c>
      <c r="M520" s="35" t="str">
        <f>IF(ISERROR(L520/H520), "", L520/H520)</f>
        <v/>
      </c>
    </row>
    <row r="521" spans="1:13" x14ac:dyDescent="0.2">
      <c r="A521" s="8" t="s">
        <v>72</v>
      </c>
      <c r="C521" s="26"/>
      <c r="D521" s="38" t="s">
        <v>31</v>
      </c>
      <c r="E521" s="28"/>
      <c r="F521" s="29">
        <v>1.47</v>
      </c>
      <c r="G521" s="30">
        <v>1</v>
      </c>
      <c r="H521" s="31">
        <f t="shared" si="64"/>
        <v>1.47</v>
      </c>
      <c r="I521" s="32">
        <v>1.1100000000000001</v>
      </c>
      <c r="J521" s="33">
        <f>G521</f>
        <v>1</v>
      </c>
      <c r="K521" s="31">
        <f t="shared" ref="K521:K528" si="66">J521*I521</f>
        <v>1.1100000000000001</v>
      </c>
      <c r="L521" s="34">
        <f t="shared" si="63"/>
        <v>-0.35999999999999988</v>
      </c>
      <c r="M521" s="35">
        <f t="shared" si="65"/>
        <v>-0.24489795918367338</v>
      </c>
    </row>
    <row r="522" spans="1:13" x14ac:dyDescent="0.2">
      <c r="A522" s="8" t="s">
        <v>72</v>
      </c>
      <c r="C522" s="26"/>
      <c r="D522" s="27" t="s">
        <v>32</v>
      </c>
      <c r="E522" s="28"/>
      <c r="F522" s="36">
        <v>0</v>
      </c>
      <c r="G522" s="30">
        <f>IF($E510&gt;0, $E510, $E509)</f>
        <v>156</v>
      </c>
      <c r="H522" s="31">
        <f t="shared" si="64"/>
        <v>0</v>
      </c>
      <c r="I522" s="37">
        <v>0</v>
      </c>
      <c r="J522" s="33">
        <f>IF($E510&gt;0, $E510, $E509)</f>
        <v>156</v>
      </c>
      <c r="K522" s="31">
        <f t="shared" si="66"/>
        <v>0</v>
      </c>
      <c r="L522" s="34">
        <f t="shared" si="63"/>
        <v>0</v>
      </c>
      <c r="M522" s="35" t="str">
        <f t="shared" si="65"/>
        <v/>
      </c>
    </row>
    <row r="523" spans="1:13" x14ac:dyDescent="0.2">
      <c r="A523" s="8" t="s">
        <v>72</v>
      </c>
      <c r="B523" s="39" t="s">
        <v>33</v>
      </c>
      <c r="C523" s="26">
        <v>10</v>
      </c>
      <c r="D523" s="40" t="s">
        <v>34</v>
      </c>
      <c r="E523" s="41"/>
      <c r="F523" s="42"/>
      <c r="G523" s="43"/>
      <c r="H523" s="44">
        <f>SUM(H517:H522)</f>
        <v>106.38</v>
      </c>
      <c r="I523" s="45"/>
      <c r="J523" s="46"/>
      <c r="K523" s="44">
        <f>SUM(K517:K522)</f>
        <v>107.28</v>
      </c>
      <c r="L523" s="47">
        <f t="shared" si="63"/>
        <v>0.90000000000000568</v>
      </c>
      <c r="M523" s="48">
        <f>IF((H523)=0,"",(L523/H523))</f>
        <v>8.4602368866328794E-3</v>
      </c>
    </row>
    <row r="524" spans="1:13" x14ac:dyDescent="0.2">
      <c r="A524" s="8" t="s">
        <v>72</v>
      </c>
      <c r="C524" s="26"/>
      <c r="D524" s="49" t="s">
        <v>35</v>
      </c>
      <c r="E524" s="28"/>
      <c r="F524" s="36">
        <f>IF((E509*12&gt;=150000), 0, IF(E508="RPP",(F540*0.65+F541*0.17+F542*0.18),IF(E508="Non-RPP (Retailer)",F543,F544)))</f>
        <v>0.1101</v>
      </c>
      <c r="G524" s="50">
        <f>IF(F524=0, 0, $E509*E511-E509)</f>
        <v>5.3196000000000083</v>
      </c>
      <c r="H524" s="31">
        <f>G524*F524</f>
        <v>0.5856879600000009</v>
      </c>
      <c r="I524" s="37">
        <f>IF((E509*12&gt;=150000), 0, IF(E508="RPP",(I540*0.65+I541*0.17+I542*0.18),IF(E508="Non-RPP (Retailer)",I543,I544)))</f>
        <v>0.1101</v>
      </c>
      <c r="J524" s="50">
        <f>IF(I524=0, 0, E509*E512-E509)</f>
        <v>5.3196000000000083</v>
      </c>
      <c r="K524" s="31">
        <f>J524*I524</f>
        <v>0.5856879600000009</v>
      </c>
      <c r="L524" s="34">
        <f>K524-H524</f>
        <v>0</v>
      </c>
      <c r="M524" s="35">
        <f>IF(ISERROR(L524/H524), "", L524/H524)</f>
        <v>0</v>
      </c>
    </row>
    <row r="525" spans="1:13" ht="25.5" x14ac:dyDescent="0.2">
      <c r="A525" s="8" t="s">
        <v>72</v>
      </c>
      <c r="C525" s="26"/>
      <c r="D525" s="49" t="s">
        <v>36</v>
      </c>
      <c r="E525" s="28"/>
      <c r="F525" s="36">
        <v>-8.9999999999999998E-4</v>
      </c>
      <c r="G525" s="51">
        <f>IF($E510&gt;0, $E510, $E509)</f>
        <v>156</v>
      </c>
      <c r="H525" s="31">
        <f t="shared" si="64"/>
        <v>-0.1404</v>
      </c>
      <c r="I525" s="37">
        <v>-2.2000000000000001E-3</v>
      </c>
      <c r="J525" s="51">
        <f>IF($E510&gt;0, $E510, $E509)</f>
        <v>156</v>
      </c>
      <c r="K525" s="31">
        <f t="shared" si="66"/>
        <v>-0.34320000000000001</v>
      </c>
      <c r="L525" s="34">
        <f t="shared" si="63"/>
        <v>-0.20280000000000001</v>
      </c>
      <c r="M525" s="35">
        <f t="shared" si="65"/>
        <v>1.4444444444444446</v>
      </c>
    </row>
    <row r="526" spans="1:13" x14ac:dyDescent="0.2">
      <c r="A526" s="8" t="s">
        <v>72</v>
      </c>
      <c r="C526" s="26"/>
      <c r="D526" s="49" t="s">
        <v>37</v>
      </c>
      <c r="E526" s="28"/>
      <c r="F526" s="36">
        <v>0</v>
      </c>
      <c r="G526" s="51">
        <f>IF($E510&gt;0, $E510, $E509)</f>
        <v>156</v>
      </c>
      <c r="H526" s="31">
        <f>G526*F526</f>
        <v>0</v>
      </c>
      <c r="I526" s="37">
        <v>0</v>
      </c>
      <c r="J526" s="51">
        <f>IF($E510&gt;0, $E510, $E509)</f>
        <v>156</v>
      </c>
      <c r="K526" s="31">
        <f>J526*I526</f>
        <v>0</v>
      </c>
      <c r="L526" s="34">
        <f t="shared" si="63"/>
        <v>0</v>
      </c>
      <c r="M526" s="35" t="str">
        <f t="shared" si="65"/>
        <v/>
      </c>
    </row>
    <row r="527" spans="1:13" x14ac:dyDescent="0.2">
      <c r="A527" s="8" t="s">
        <v>72</v>
      </c>
      <c r="C527" s="26"/>
      <c r="D527" s="49" t="s">
        <v>38</v>
      </c>
      <c r="E527" s="28"/>
      <c r="F527" s="36">
        <v>-8.9999999999999998E-4</v>
      </c>
      <c r="G527" s="51">
        <f>E509</f>
        <v>156</v>
      </c>
      <c r="H527" s="31">
        <f>G527*F527</f>
        <v>-0.1404</v>
      </c>
      <c r="I527" s="37">
        <v>3.9999999999999996E-4</v>
      </c>
      <c r="J527" s="51">
        <f>E509</f>
        <v>156</v>
      </c>
      <c r="K527" s="31">
        <f t="shared" si="66"/>
        <v>6.2399999999999997E-2</v>
      </c>
      <c r="L527" s="34">
        <f t="shared" si="63"/>
        <v>0.20279999999999998</v>
      </c>
      <c r="M527" s="35">
        <f t="shared" si="65"/>
        <v>-1.4444444444444444</v>
      </c>
    </row>
    <row r="528" spans="1:13" x14ac:dyDescent="0.2">
      <c r="A528" s="8" t="s">
        <v>72</v>
      </c>
      <c r="C528" s="26"/>
      <c r="D528" s="52" t="s">
        <v>39</v>
      </c>
      <c r="E528" s="28"/>
      <c r="F528" s="36">
        <v>0</v>
      </c>
      <c r="G528" s="51">
        <f>IF($E510&gt;0, $E510, $E509)</f>
        <v>156</v>
      </c>
      <c r="H528" s="31">
        <f t="shared" si="64"/>
        <v>0</v>
      </c>
      <c r="I528" s="37"/>
      <c r="J528" s="51">
        <f>IF($E510&gt;0, $E510, $E509)</f>
        <v>156</v>
      </c>
      <c r="K528" s="31">
        <f t="shared" si="66"/>
        <v>0</v>
      </c>
      <c r="L528" s="34">
        <f t="shared" si="63"/>
        <v>0</v>
      </c>
      <c r="M528" s="35" t="str">
        <f t="shared" si="65"/>
        <v/>
      </c>
    </row>
    <row r="529" spans="1:13" ht="25.5" x14ac:dyDescent="0.2">
      <c r="A529" s="8" t="s">
        <v>72</v>
      </c>
      <c r="C529" s="26"/>
      <c r="D529" s="53" t="s">
        <v>40</v>
      </c>
      <c r="E529" s="28"/>
      <c r="F529" s="54">
        <f>IF(OR(ISNUMBER(SEARCH("RESIDENTIAL", E507))=TRUE, ISNUMBER(SEARCH("GENERAL SERVICE LESS THAN 50", E507))=TRUE), SME, 0)</f>
        <v>0</v>
      </c>
      <c r="G529" s="30">
        <v>1</v>
      </c>
      <c r="H529" s="31">
        <f>G529*F529</f>
        <v>0</v>
      </c>
      <c r="I529" s="55">
        <f>IF(OR(ISNUMBER(SEARCH("RESIDENTIAL", E507))=TRUE, ISNUMBER(SEARCH("GENERAL SERVICE LESS THAN 50", E507))=TRUE), SME, 0)</f>
        <v>0</v>
      </c>
      <c r="J529" s="30">
        <v>1</v>
      </c>
      <c r="K529" s="31">
        <f>J529*I529</f>
        <v>0</v>
      </c>
      <c r="L529" s="34">
        <f t="shared" si="63"/>
        <v>0</v>
      </c>
      <c r="M529" s="35" t="str">
        <f>IF(ISERROR(L529/H529), "", L529/H529)</f>
        <v/>
      </c>
    </row>
    <row r="530" spans="1:13" x14ac:dyDescent="0.2">
      <c r="A530" s="8" t="s">
        <v>72</v>
      </c>
      <c r="C530" s="26"/>
      <c r="D530" s="52" t="s">
        <v>41</v>
      </c>
      <c r="E530" s="28"/>
      <c r="F530" s="29">
        <v>0</v>
      </c>
      <c r="G530" s="30">
        <v>1</v>
      </c>
      <c r="H530" s="31">
        <f t="shared" si="64"/>
        <v>0</v>
      </c>
      <c r="I530" s="32">
        <v>0</v>
      </c>
      <c r="J530" s="30">
        <v>1</v>
      </c>
      <c r="K530" s="31">
        <f>J530*I530</f>
        <v>0</v>
      </c>
      <c r="L530" s="34">
        <f>K530-H530</f>
        <v>0</v>
      </c>
      <c r="M530" s="35" t="str">
        <f>IF(ISERROR(L530/H530), "", L530/H530)</f>
        <v/>
      </c>
    </row>
    <row r="531" spans="1:13" x14ac:dyDescent="0.2">
      <c r="A531" s="8" t="s">
        <v>72</v>
      </c>
      <c r="C531" s="26"/>
      <c r="D531" s="52" t="s">
        <v>42</v>
      </c>
      <c r="E531" s="28"/>
      <c r="F531" s="36"/>
      <c r="G531" s="51">
        <f>IF($E510&gt;0, $E510, $E509)</f>
        <v>156</v>
      </c>
      <c r="H531" s="31">
        <f>G531*F531</f>
        <v>0</v>
      </c>
      <c r="I531" s="37">
        <v>0</v>
      </c>
      <c r="J531" s="51">
        <f>IF($E510&gt;0, $E510, $E509)</f>
        <v>156</v>
      </c>
      <c r="K531" s="31">
        <f>J531*I531</f>
        <v>0</v>
      </c>
      <c r="L531" s="34">
        <f t="shared" si="63"/>
        <v>0</v>
      </c>
      <c r="M531" s="35" t="str">
        <f>IF(ISERROR(L531/H531), "", L531/H531)</f>
        <v/>
      </c>
    </row>
    <row r="532" spans="1:13" ht="25.5" x14ac:dyDescent="0.2">
      <c r="A532" s="8" t="s">
        <v>72</v>
      </c>
      <c r="B532" s="14" t="s">
        <v>43</v>
      </c>
      <c r="C532" s="26">
        <v>10</v>
      </c>
      <c r="D532" s="56" t="s">
        <v>44</v>
      </c>
      <c r="E532" s="57"/>
      <c r="F532" s="58"/>
      <c r="G532" s="59"/>
      <c r="H532" s="60">
        <f>SUM(H523:H531)</f>
        <v>106.68488796</v>
      </c>
      <c r="I532" s="61"/>
      <c r="J532" s="62"/>
      <c r="K532" s="60">
        <f>SUM(K523:K531)</f>
        <v>107.58488796</v>
      </c>
      <c r="L532" s="47">
        <f t="shared" si="63"/>
        <v>0.90000000000000568</v>
      </c>
      <c r="M532" s="48">
        <f>IF((H532)=0,"",(L532/H532))</f>
        <v>8.4360589133996942E-3</v>
      </c>
    </row>
    <row r="533" spans="1:13" x14ac:dyDescent="0.2">
      <c r="A533" s="8" t="s">
        <v>72</v>
      </c>
      <c r="C533" s="26"/>
      <c r="D533" s="63" t="s">
        <v>45</v>
      </c>
      <c r="E533" s="28"/>
      <c r="F533" s="36">
        <v>6.6E-3</v>
      </c>
      <c r="G533" s="50">
        <f>IF($E510&gt;0, $E510, $E509*$E511)</f>
        <v>161.31960000000001</v>
      </c>
      <c r="H533" s="31">
        <f>G533*F533</f>
        <v>1.0647093600000002</v>
      </c>
      <c r="I533" s="37">
        <v>6.4000000000000003E-3</v>
      </c>
      <c r="J533" s="50">
        <f>IF($E510&gt;0, $E510, $E509*$E512)</f>
        <v>161.31960000000001</v>
      </c>
      <c r="K533" s="31">
        <f>J533*I533</f>
        <v>1.03244544</v>
      </c>
      <c r="L533" s="34">
        <f t="shared" si="63"/>
        <v>-3.2263920000000113E-2</v>
      </c>
      <c r="M533" s="35">
        <f>IF(ISERROR(L533/H533), "", L533/H533)</f>
        <v>-3.0303030303030404E-2</v>
      </c>
    </row>
    <row r="534" spans="1:13" ht="25.5" x14ac:dyDescent="0.2">
      <c r="A534" s="8" t="s">
        <v>72</v>
      </c>
      <c r="C534" s="26"/>
      <c r="D534" s="64" t="s">
        <v>46</v>
      </c>
      <c r="E534" s="28"/>
      <c r="F534" s="36">
        <v>5.4999999999999997E-3</v>
      </c>
      <c r="G534" s="50">
        <f>IF($E510&gt;0, $E510, $E509*$E511)</f>
        <v>161.31960000000001</v>
      </c>
      <c r="H534" s="31">
        <f>G534*F534</f>
        <v>0.88725779999999999</v>
      </c>
      <c r="I534" s="37">
        <v>5.3E-3</v>
      </c>
      <c r="J534" s="50">
        <f>IF($E510&gt;0, $E510, $E509*$E512)</f>
        <v>161.31960000000001</v>
      </c>
      <c r="K534" s="31">
        <f>J534*I534</f>
        <v>0.85499388000000009</v>
      </c>
      <c r="L534" s="34">
        <f t="shared" si="63"/>
        <v>-3.226391999999989E-2</v>
      </c>
      <c r="M534" s="35">
        <f>IF(ISERROR(L534/H534), "", L534/H534)</f>
        <v>-3.6363636363636244E-2</v>
      </c>
    </row>
    <row r="535" spans="1:13" ht="25.5" x14ac:dyDescent="0.2">
      <c r="A535" s="8" t="s">
        <v>72</v>
      </c>
      <c r="B535" s="14" t="s">
        <v>47</v>
      </c>
      <c r="C535" s="26">
        <v>10</v>
      </c>
      <c r="D535" s="56" t="s">
        <v>48</v>
      </c>
      <c r="E535" s="41"/>
      <c r="F535" s="58"/>
      <c r="G535" s="59"/>
      <c r="H535" s="60">
        <f>SUM(H532:H534)</f>
        <v>108.63685511999999</v>
      </c>
      <c r="I535" s="61"/>
      <c r="J535" s="46"/>
      <c r="K535" s="60">
        <f>SUM(K532:K534)</f>
        <v>109.47232728</v>
      </c>
      <c r="L535" s="47">
        <f t="shared" si="63"/>
        <v>0.83547216000000901</v>
      </c>
      <c r="M535" s="48">
        <f>IF((H535)=0,"",(L535/H535))</f>
        <v>7.6905039185564475E-3</v>
      </c>
    </row>
    <row r="536" spans="1:13" ht="25.5" x14ac:dyDescent="0.2">
      <c r="A536" s="8" t="s">
        <v>72</v>
      </c>
      <c r="C536" s="26"/>
      <c r="D536" s="65" t="s">
        <v>49</v>
      </c>
      <c r="E536" s="28"/>
      <c r="F536" s="36">
        <v>3.3999999999999998E-3</v>
      </c>
      <c r="G536" s="50">
        <f>E509*E511</f>
        <v>161.31960000000001</v>
      </c>
      <c r="H536" s="66">
        <f t="shared" ref="H536:H542" si="67">G536*F536</f>
        <v>0.54848664000000003</v>
      </c>
      <c r="I536" s="37">
        <v>3.4000000000000002E-3</v>
      </c>
      <c r="J536" s="50">
        <f>E509*E512</f>
        <v>161.31960000000001</v>
      </c>
      <c r="K536" s="66">
        <f t="shared" ref="K536:K542" si="68">J536*I536</f>
        <v>0.54848664000000003</v>
      </c>
      <c r="L536" s="34">
        <f t="shared" si="63"/>
        <v>0</v>
      </c>
      <c r="M536" s="35">
        <f t="shared" ref="M536:M544" si="69">IF(ISERROR(L536/H536), "", L536/H536)</f>
        <v>0</v>
      </c>
    </row>
    <row r="537" spans="1:13" ht="25.5" x14ac:dyDescent="0.2">
      <c r="A537" s="8" t="s">
        <v>72</v>
      </c>
      <c r="C537" s="26"/>
      <c r="D537" s="65" t="s">
        <v>50</v>
      </c>
      <c r="E537" s="28"/>
      <c r="F537" s="36">
        <f>'[7]17. Regulatory Charges'!$D$16</f>
        <v>5.0000000000000001E-4</v>
      </c>
      <c r="G537" s="50">
        <f>E509*E511</f>
        <v>161.31960000000001</v>
      </c>
      <c r="H537" s="66">
        <f t="shared" si="67"/>
        <v>8.0659800000000004E-2</v>
      </c>
      <c r="I537" s="37">
        <v>5.0000000000000001E-4</v>
      </c>
      <c r="J537" s="50">
        <f>E509*E512</f>
        <v>161.31960000000001</v>
      </c>
      <c r="K537" s="66">
        <f t="shared" si="68"/>
        <v>8.0659800000000004E-2</v>
      </c>
      <c r="L537" s="34">
        <f t="shared" si="63"/>
        <v>0</v>
      </c>
      <c r="M537" s="35">
        <f t="shared" si="69"/>
        <v>0</v>
      </c>
    </row>
    <row r="538" spans="1:13" x14ac:dyDescent="0.2">
      <c r="A538" s="8" t="s">
        <v>72</v>
      </c>
      <c r="C538" s="26"/>
      <c r="D538" s="67" t="s">
        <v>51</v>
      </c>
      <c r="E538" s="28"/>
      <c r="F538" s="54">
        <v>0.25</v>
      </c>
      <c r="G538" s="30">
        <v>1</v>
      </c>
      <c r="H538" s="66">
        <f t="shared" si="67"/>
        <v>0.25</v>
      </c>
      <c r="I538" s="55">
        <f>'[7]17. Regulatory Charges'!$D$17</f>
        <v>0.25</v>
      </c>
      <c r="J538" s="33">
        <v>1</v>
      </c>
      <c r="K538" s="66">
        <f t="shared" si="68"/>
        <v>0.25</v>
      </c>
      <c r="L538" s="34">
        <f t="shared" si="63"/>
        <v>0</v>
      </c>
      <c r="M538" s="35">
        <f t="shared" si="69"/>
        <v>0</v>
      </c>
    </row>
    <row r="539" spans="1:13" ht="25.5" hidden="1" x14ac:dyDescent="0.2">
      <c r="A539" s="8" t="s">
        <v>72</v>
      </c>
      <c r="C539" s="26"/>
      <c r="D539" s="65" t="s">
        <v>52</v>
      </c>
      <c r="E539" s="28"/>
      <c r="F539" s="36"/>
      <c r="G539" s="50"/>
      <c r="H539" s="66"/>
      <c r="I539" s="37"/>
      <c r="J539" s="50"/>
      <c r="K539" s="66"/>
      <c r="L539" s="34"/>
      <c r="M539" s="35"/>
    </row>
    <row r="540" spans="1:13" hidden="1" x14ac:dyDescent="0.2">
      <c r="A540" s="8" t="s">
        <v>72</v>
      </c>
      <c r="B540" s="14" t="s">
        <v>3</v>
      </c>
      <c r="C540" s="26"/>
      <c r="D540" s="68" t="s">
        <v>53</v>
      </c>
      <c r="E540" s="28"/>
      <c r="F540" s="69">
        <f>OffPeak</f>
        <v>6.5000000000000002E-2</v>
      </c>
      <c r="G540" s="70">
        <f>IF(AND(E509*12&gt;=150000),0.65*E509*E511,0.65*E509)</f>
        <v>101.4</v>
      </c>
      <c r="H540" s="66">
        <f t="shared" si="67"/>
        <v>6.5910000000000002</v>
      </c>
      <c r="I540" s="71">
        <f>OffPeak</f>
        <v>6.5000000000000002E-2</v>
      </c>
      <c r="J540" s="70">
        <f>IF(AND(E509*12&gt;=150000),0.65*E509*E512,0.65*E509)</f>
        <v>101.4</v>
      </c>
      <c r="K540" s="66">
        <f t="shared" si="68"/>
        <v>6.5910000000000002</v>
      </c>
      <c r="L540" s="34">
        <f>K540-H540</f>
        <v>0</v>
      </c>
      <c r="M540" s="35">
        <f t="shared" si="69"/>
        <v>0</v>
      </c>
    </row>
    <row r="541" spans="1:13" hidden="1" x14ac:dyDescent="0.2">
      <c r="A541" s="8" t="s">
        <v>72</v>
      </c>
      <c r="B541" s="14" t="s">
        <v>3</v>
      </c>
      <c r="C541" s="26"/>
      <c r="D541" s="68" t="s">
        <v>54</v>
      </c>
      <c r="E541" s="28"/>
      <c r="F541" s="69">
        <f>MidPeak</f>
        <v>9.4E-2</v>
      </c>
      <c r="G541" s="70">
        <f>IF(AND(E509*12&gt;=150000),0.17*E509*E511,0.17*E509)</f>
        <v>26.520000000000003</v>
      </c>
      <c r="H541" s="66">
        <f t="shared" si="67"/>
        <v>2.4928800000000004</v>
      </c>
      <c r="I541" s="71">
        <f>MidPeak</f>
        <v>9.4E-2</v>
      </c>
      <c r="J541" s="70">
        <f>IF(AND(E509*12&gt;=150000),0.17*E509*E512,0.17*E509)</f>
        <v>26.520000000000003</v>
      </c>
      <c r="K541" s="66">
        <f t="shared" si="68"/>
        <v>2.4928800000000004</v>
      </c>
      <c r="L541" s="34">
        <f>K541-H541</f>
        <v>0</v>
      </c>
      <c r="M541" s="35">
        <f t="shared" si="69"/>
        <v>0</v>
      </c>
    </row>
    <row r="542" spans="1:13" hidden="1" x14ac:dyDescent="0.2">
      <c r="A542" s="8" t="s">
        <v>72</v>
      </c>
      <c r="B542" s="14" t="s">
        <v>3</v>
      </c>
      <c r="C542" s="26"/>
      <c r="D542" s="14" t="s">
        <v>55</v>
      </c>
      <c r="E542" s="28"/>
      <c r="F542" s="69">
        <f>OnPeak</f>
        <v>0.13200000000000001</v>
      </c>
      <c r="G542" s="70">
        <f>IF(AND(E509*12&gt;=150000),0.18*E509*E511,0.18*E509)</f>
        <v>28.08</v>
      </c>
      <c r="H542" s="66">
        <f t="shared" si="67"/>
        <v>3.7065600000000001</v>
      </c>
      <c r="I542" s="71">
        <f>OnPeak</f>
        <v>0.13200000000000001</v>
      </c>
      <c r="J542" s="70">
        <f>IF(AND(E509*12&gt;=150000),0.18*E509*E512,0.18*E509)</f>
        <v>28.08</v>
      </c>
      <c r="K542" s="66">
        <f t="shared" si="68"/>
        <v>3.7065600000000001</v>
      </c>
      <c r="L542" s="34">
        <f>K542-H542</f>
        <v>0</v>
      </c>
      <c r="M542" s="35">
        <f t="shared" si="69"/>
        <v>0</v>
      </c>
    </row>
    <row r="543" spans="1:13" hidden="1" x14ac:dyDescent="0.2">
      <c r="A543" s="8" t="s">
        <v>72</v>
      </c>
      <c r="B543" s="8" t="s">
        <v>56</v>
      </c>
      <c r="C543" s="26"/>
      <c r="D543" s="68" t="s">
        <v>57</v>
      </c>
      <c r="E543" s="28"/>
      <c r="F543" s="72">
        <v>0.1101</v>
      </c>
      <c r="G543" s="70">
        <f>IF(AND(E509*12&gt;=150000),E509*E511,E509)</f>
        <v>156</v>
      </c>
      <c r="H543" s="66">
        <f>G543*F543</f>
        <v>17.175599999999999</v>
      </c>
      <c r="I543" s="73">
        <f>F543</f>
        <v>0.1101</v>
      </c>
      <c r="J543" s="70">
        <f>IF(AND(E509*12&gt;=150000),E509*E512,E509)</f>
        <v>156</v>
      </c>
      <c r="K543" s="66">
        <f>J543*I543</f>
        <v>17.175599999999999</v>
      </c>
      <c r="L543" s="34">
        <f>K543-H543</f>
        <v>0</v>
      </c>
      <c r="M543" s="35">
        <f t="shared" si="69"/>
        <v>0</v>
      </c>
    </row>
    <row r="544" spans="1:13" ht="13.5" thickBot="1" x14ac:dyDescent="0.25">
      <c r="A544" s="8" t="s">
        <v>72</v>
      </c>
      <c r="B544" s="8" t="s">
        <v>6</v>
      </c>
      <c r="C544" s="26"/>
      <c r="D544" s="68" t="s">
        <v>58</v>
      </c>
      <c r="E544" s="28"/>
      <c r="F544" s="72">
        <v>0.1101</v>
      </c>
      <c r="G544" s="70">
        <f>IF(AND(E509*12&gt;=150000),E509*E511,E509)</f>
        <v>156</v>
      </c>
      <c r="H544" s="66">
        <f>G544*F544</f>
        <v>17.175599999999999</v>
      </c>
      <c r="I544" s="73">
        <f>F544</f>
        <v>0.1101</v>
      </c>
      <c r="J544" s="70">
        <f>IF(AND(E509*12&gt;=150000),E509*E512,E509)</f>
        <v>156</v>
      </c>
      <c r="K544" s="66">
        <f>J544*I544</f>
        <v>17.175599999999999</v>
      </c>
      <c r="L544" s="34">
        <f>K544-H544</f>
        <v>0</v>
      </c>
      <c r="M544" s="35">
        <f t="shared" si="69"/>
        <v>0</v>
      </c>
    </row>
    <row r="545" spans="1:13" ht="13.5" thickBot="1" x14ac:dyDescent="0.25">
      <c r="A545" s="8" t="s">
        <v>72</v>
      </c>
      <c r="B545" s="14"/>
      <c r="C545" s="26"/>
      <c r="D545" s="74"/>
      <c r="E545" s="75"/>
      <c r="F545" s="76"/>
      <c r="G545" s="77"/>
      <c r="H545" s="78"/>
      <c r="I545" s="76"/>
      <c r="J545" s="79"/>
      <c r="K545" s="78"/>
      <c r="L545" s="80"/>
      <c r="M545" s="81"/>
    </row>
    <row r="546" spans="1:13" hidden="1" x14ac:dyDescent="0.2">
      <c r="A546" s="8" t="s">
        <v>72</v>
      </c>
      <c r="B546" s="14" t="s">
        <v>3</v>
      </c>
      <c r="C546" s="26"/>
      <c r="D546" s="82" t="s">
        <v>59</v>
      </c>
      <c r="E546" s="67"/>
      <c r="F546" s="83"/>
      <c r="G546" s="84"/>
      <c r="H546" s="85">
        <f>SUM(H536:H542,H535)</f>
        <v>122.30644156</v>
      </c>
      <c r="I546" s="86"/>
      <c r="J546" s="86"/>
      <c r="K546" s="85">
        <f>SUM(K536:K542,K535)</f>
        <v>123.14191372000001</v>
      </c>
      <c r="L546" s="87">
        <f>K546-H546</f>
        <v>0.83547216000000901</v>
      </c>
      <c r="M546" s="88">
        <f>IF((H546)=0,"",(L546/H546))</f>
        <v>6.8309743080060964E-3</v>
      </c>
    </row>
    <row r="547" spans="1:13" hidden="1" x14ac:dyDescent="0.2">
      <c r="A547" s="8" t="s">
        <v>72</v>
      </c>
      <c r="B547" s="14" t="s">
        <v>3</v>
      </c>
      <c r="C547" s="26"/>
      <c r="D547" s="89" t="s">
        <v>60</v>
      </c>
      <c r="E547" s="67"/>
      <c r="F547" s="83">
        <v>0.13</v>
      </c>
      <c r="G547" s="90"/>
      <c r="H547" s="91">
        <f>H546*F547</f>
        <v>15.899837402799999</v>
      </c>
      <c r="I547" s="92">
        <v>0.13</v>
      </c>
      <c r="J547" s="30"/>
      <c r="K547" s="91">
        <f>K546*I547</f>
        <v>16.008448783600002</v>
      </c>
      <c r="L547" s="93">
        <f>K547-H547</f>
        <v>0.10861138080000288</v>
      </c>
      <c r="M547" s="94">
        <f>IF((H547)=0,"",(L547/H547))</f>
        <v>6.8309743080062031E-3</v>
      </c>
    </row>
    <row r="548" spans="1:13" hidden="1" x14ac:dyDescent="0.2">
      <c r="A548" s="8" t="s">
        <v>72</v>
      </c>
      <c r="B548" s="14" t="s">
        <v>3</v>
      </c>
      <c r="C548" s="26"/>
      <c r="D548" s="89" t="s">
        <v>61</v>
      </c>
      <c r="E548" s="67"/>
      <c r="F548" s="83">
        <v>0.08</v>
      </c>
      <c r="G548" s="90"/>
      <c r="H548" s="91">
        <v>0</v>
      </c>
      <c r="I548" s="83">
        <v>0.08</v>
      </c>
      <c r="J548" s="30"/>
      <c r="K548" s="91">
        <v>0</v>
      </c>
      <c r="L548" s="93">
        <f>K548-H548</f>
        <v>0</v>
      </c>
      <c r="M548" s="94"/>
    </row>
    <row r="549" spans="1:13" hidden="1" x14ac:dyDescent="0.2">
      <c r="A549" s="8" t="s">
        <v>72</v>
      </c>
      <c r="B549" s="14" t="s">
        <v>62</v>
      </c>
      <c r="C549" s="26"/>
      <c r="D549" s="123" t="s">
        <v>63</v>
      </c>
      <c r="E549" s="123"/>
      <c r="F549" s="95"/>
      <c r="G549" s="96"/>
      <c r="H549" s="97">
        <f>H546+H547+H548</f>
        <v>138.20627896279998</v>
      </c>
      <c r="I549" s="98"/>
      <c r="J549" s="98"/>
      <c r="K549" s="99">
        <f>K546+K547+K548</f>
        <v>139.15036250360001</v>
      </c>
      <c r="L549" s="100">
        <f>K549-H549</f>
        <v>0.94408354080002255</v>
      </c>
      <c r="M549" s="101">
        <f>IF((H549)=0,"",(L549/H549))</f>
        <v>6.8309743080061857E-3</v>
      </c>
    </row>
    <row r="550" spans="1:13" ht="13.5" hidden="1" thickBot="1" x14ac:dyDescent="0.25">
      <c r="A550" s="8" t="s">
        <v>72</v>
      </c>
      <c r="B550" s="8" t="s">
        <v>3</v>
      </c>
      <c r="C550" s="26"/>
      <c r="D550" s="74"/>
      <c r="E550" s="75"/>
      <c r="F550" s="76"/>
      <c r="G550" s="77"/>
      <c r="H550" s="78"/>
      <c r="I550" s="76"/>
      <c r="J550" s="79"/>
      <c r="K550" s="78"/>
      <c r="L550" s="80"/>
      <c r="M550" s="81"/>
    </row>
    <row r="551" spans="1:13" hidden="1" x14ac:dyDescent="0.2">
      <c r="A551" s="8" t="s">
        <v>72</v>
      </c>
      <c r="B551" s="8" t="s">
        <v>56</v>
      </c>
      <c r="C551" s="26"/>
      <c r="D551" s="82" t="s">
        <v>64</v>
      </c>
      <c r="E551" s="67"/>
      <c r="F551" s="83"/>
      <c r="G551" s="84"/>
      <c r="H551" s="85">
        <f>SUM(H543,H536:H539,H535)</f>
        <v>126.69160156</v>
      </c>
      <c r="I551" s="86"/>
      <c r="J551" s="86"/>
      <c r="K551" s="85">
        <f>SUM(K543,K536:K539,K535)</f>
        <v>127.52707372</v>
      </c>
      <c r="L551" s="87">
        <f>K551-H551</f>
        <v>0.83547216000000901</v>
      </c>
      <c r="M551" s="88">
        <f>IF((H551)=0,"",(L551/H551))</f>
        <v>6.5945346787990283E-3</v>
      </c>
    </row>
    <row r="552" spans="1:13" hidden="1" x14ac:dyDescent="0.2">
      <c r="A552" s="8" t="s">
        <v>72</v>
      </c>
      <c r="B552" s="8" t="s">
        <v>56</v>
      </c>
      <c r="C552" s="26"/>
      <c r="D552" s="89" t="s">
        <v>60</v>
      </c>
      <c r="E552" s="67"/>
      <c r="F552" s="83">
        <v>0.13</v>
      </c>
      <c r="G552" s="84"/>
      <c r="H552" s="91">
        <f>H551*F552</f>
        <v>16.469908202799999</v>
      </c>
      <c r="I552" s="83">
        <v>0.13</v>
      </c>
      <c r="J552" s="92"/>
      <c r="K552" s="91">
        <f>K551*I552</f>
        <v>16.578519583600002</v>
      </c>
      <c r="L552" s="93">
        <f>K552-H552</f>
        <v>0.10861138080000288</v>
      </c>
      <c r="M552" s="94">
        <f>IF((H552)=0,"",(L552/H552))</f>
        <v>6.5945346787991315E-3</v>
      </c>
    </row>
    <row r="553" spans="1:13" hidden="1" x14ac:dyDescent="0.2">
      <c r="A553" s="8" t="s">
        <v>72</v>
      </c>
      <c r="B553" s="8" t="s">
        <v>56</v>
      </c>
      <c r="C553" s="26"/>
      <c r="D553" s="89" t="s">
        <v>61</v>
      </c>
      <c r="E553" s="67"/>
      <c r="F553" s="83">
        <v>0.08</v>
      </c>
      <c r="G553" s="84"/>
      <c r="H553" s="91">
        <v>0</v>
      </c>
      <c r="I553" s="83">
        <v>0.08</v>
      </c>
      <c r="J553" s="92"/>
      <c r="K553" s="91">
        <v>0</v>
      </c>
      <c r="L553" s="93"/>
      <c r="M553" s="94"/>
    </row>
    <row r="554" spans="1:13" hidden="1" x14ac:dyDescent="0.2">
      <c r="A554" s="8" t="s">
        <v>72</v>
      </c>
      <c r="B554" s="8" t="s">
        <v>65</v>
      </c>
      <c r="C554" s="26"/>
      <c r="D554" s="123" t="s">
        <v>64</v>
      </c>
      <c r="E554" s="123"/>
      <c r="F554" s="102"/>
      <c r="G554" s="103"/>
      <c r="H554" s="97">
        <f>SUM(H551,H552)</f>
        <v>143.16150976279999</v>
      </c>
      <c r="I554" s="104"/>
      <c r="J554" s="104"/>
      <c r="K554" s="97">
        <f>SUM(K551,K552)</f>
        <v>144.10559330360002</v>
      </c>
      <c r="L554" s="105">
        <f>K554-H554</f>
        <v>0.94408354080002255</v>
      </c>
      <c r="M554" s="106">
        <f>IF((H554)=0,"",(L554/H554))</f>
        <v>6.5945346787991141E-3</v>
      </c>
    </row>
    <row r="555" spans="1:13" ht="13.5" hidden="1" thickBot="1" x14ac:dyDescent="0.25">
      <c r="A555" s="8" t="s">
        <v>72</v>
      </c>
      <c r="B555" s="8" t="s">
        <v>56</v>
      </c>
      <c r="C555" s="26"/>
      <c r="D555" s="74"/>
      <c r="E555" s="75"/>
      <c r="F555" s="107"/>
      <c r="G555" s="108"/>
      <c r="H555" s="109"/>
      <c r="I555" s="107"/>
      <c r="J555" s="77"/>
      <c r="K555" s="109"/>
      <c r="L555" s="110"/>
      <c r="M555" s="81"/>
    </row>
    <row r="556" spans="1:13" x14ac:dyDescent="0.2">
      <c r="A556" s="8" t="s">
        <v>72</v>
      </c>
      <c r="B556" s="8" t="s">
        <v>6</v>
      </c>
      <c r="C556" s="26"/>
      <c r="D556" s="82" t="s">
        <v>66</v>
      </c>
      <c r="E556" s="67"/>
      <c r="F556" s="83"/>
      <c r="G556" s="84"/>
      <c r="H556" s="85">
        <f>SUM(H544,H536:H539,H535)</f>
        <v>126.69160156</v>
      </c>
      <c r="I556" s="86"/>
      <c r="J556" s="86"/>
      <c r="K556" s="85">
        <f>SUM(K544,K536:K539,K535)</f>
        <v>127.52707372</v>
      </c>
      <c r="L556" s="87">
        <f>K556-H556</f>
        <v>0.83547216000000901</v>
      </c>
      <c r="M556" s="88">
        <f>IF((H556)=0,"",(L556/H556))</f>
        <v>6.5945346787990283E-3</v>
      </c>
    </row>
    <row r="557" spans="1:13" x14ac:dyDescent="0.2">
      <c r="A557" s="8" t="s">
        <v>72</v>
      </c>
      <c r="B557" s="8" t="s">
        <v>6</v>
      </c>
      <c r="C557" s="26"/>
      <c r="D557" s="89" t="s">
        <v>60</v>
      </c>
      <c r="E557" s="67"/>
      <c r="F557" s="83">
        <v>0.13</v>
      </c>
      <c r="G557" s="84"/>
      <c r="H557" s="91">
        <f>H556*F557</f>
        <v>16.469908202799999</v>
      </c>
      <c r="I557" s="83">
        <v>0.13</v>
      </c>
      <c r="J557" s="92"/>
      <c r="K557" s="91">
        <f>K556*I557</f>
        <v>16.578519583600002</v>
      </c>
      <c r="L557" s="93">
        <f>K557-H557</f>
        <v>0.10861138080000288</v>
      </c>
      <c r="M557" s="94">
        <f>IF((H557)=0,"",(L557/H557))</f>
        <v>6.5945346787991315E-3</v>
      </c>
    </row>
    <row r="558" spans="1:13" hidden="1" x14ac:dyDescent="0.2">
      <c r="A558" s="8" t="s">
        <v>72</v>
      </c>
      <c r="B558" s="8" t="s">
        <v>6</v>
      </c>
      <c r="C558" s="26"/>
      <c r="D558" s="89" t="s">
        <v>61</v>
      </c>
      <c r="E558" s="67"/>
      <c r="F558" s="83">
        <v>0.08</v>
      </c>
      <c r="G558" s="84"/>
      <c r="H558" s="91">
        <v>0</v>
      </c>
      <c r="I558" s="83">
        <v>0.08</v>
      </c>
      <c r="J558" s="92"/>
      <c r="K558" s="91">
        <v>0</v>
      </c>
      <c r="L558" s="93"/>
      <c r="M558" s="94"/>
    </row>
    <row r="559" spans="1:13" ht="13.5" thickBot="1" x14ac:dyDescent="0.25">
      <c r="A559" s="8" t="s">
        <v>72</v>
      </c>
      <c r="B559" s="8" t="s">
        <v>67</v>
      </c>
      <c r="C559" s="26">
        <v>10</v>
      </c>
      <c r="D559" s="123" t="s">
        <v>66</v>
      </c>
      <c r="E559" s="123"/>
      <c r="F559" s="102"/>
      <c r="G559" s="103"/>
      <c r="H559" s="97">
        <f>SUM(H556,H557)</f>
        <v>143.16150976279999</v>
      </c>
      <c r="I559" s="104"/>
      <c r="J559" s="104"/>
      <c r="K559" s="97">
        <f>SUM(K556,K557)</f>
        <v>144.10559330360002</v>
      </c>
      <c r="L559" s="105">
        <f>K559-H559</f>
        <v>0.94408354080002255</v>
      </c>
      <c r="M559" s="106">
        <f>IF((H559)=0,"",(L559/H559))</f>
        <v>6.5945346787991141E-3</v>
      </c>
    </row>
    <row r="560" spans="1:13" ht="13.5" thickBot="1" x14ac:dyDescent="0.25">
      <c r="A560" s="8" t="s">
        <v>72</v>
      </c>
      <c r="B560" s="8" t="s">
        <v>6</v>
      </c>
      <c r="C560" s="26"/>
      <c r="D560" s="74"/>
      <c r="E560" s="75"/>
      <c r="F560" s="111"/>
      <c r="G560" s="112"/>
      <c r="H560" s="113"/>
      <c r="I560" s="111"/>
      <c r="J560" s="114"/>
      <c r="K560" s="113"/>
      <c r="L560" s="115"/>
      <c r="M560" s="116"/>
    </row>
    <row r="563" spans="1:20" x14ac:dyDescent="0.2">
      <c r="C563" s="8"/>
      <c r="D563" s="10" t="s">
        <v>12</v>
      </c>
      <c r="E563" s="124" t="s">
        <v>73</v>
      </c>
      <c r="F563" s="124"/>
      <c r="G563" s="124"/>
      <c r="H563" s="124"/>
      <c r="I563" s="124"/>
      <c r="J563" s="124"/>
      <c r="K563" s="8" t="s">
        <v>8</v>
      </c>
      <c r="T563" s="8" t="s">
        <v>11</v>
      </c>
    </row>
    <row r="564" spans="1:20" x14ac:dyDescent="0.2">
      <c r="C564" s="8"/>
      <c r="D564" s="10" t="s">
        <v>13</v>
      </c>
      <c r="E564" s="125">
        <v>0</v>
      </c>
      <c r="F564" s="125"/>
      <c r="G564" s="125"/>
      <c r="H564" s="11"/>
      <c r="I564" s="11"/>
    </row>
    <row r="565" spans="1:20" ht="15.75" x14ac:dyDescent="0.2">
      <c r="C565" s="8"/>
      <c r="D565" s="10" t="s">
        <v>14</v>
      </c>
      <c r="E565" s="12">
        <v>0</v>
      </c>
      <c r="F565" s="13" t="s">
        <v>2</v>
      </c>
      <c r="G565" s="14"/>
      <c r="J565" s="15"/>
      <c r="K565" s="15"/>
      <c r="L565" s="15"/>
      <c r="M565" s="15"/>
    </row>
    <row r="566" spans="1:20" ht="15.75" x14ac:dyDescent="0.25">
      <c r="C566" s="8"/>
      <c r="D566" s="10" t="s">
        <v>15</v>
      </c>
      <c r="E566" s="12">
        <v>0</v>
      </c>
      <c r="F566" s="16" t="s">
        <v>5</v>
      </c>
      <c r="G566" s="17"/>
      <c r="H566" s="18"/>
      <c r="I566" s="18"/>
      <c r="J566" s="18"/>
    </row>
    <row r="567" spans="1:20" x14ac:dyDescent="0.2">
      <c r="C567" s="8"/>
      <c r="D567" s="10" t="s">
        <v>16</v>
      </c>
      <c r="E567" s="19">
        <v>1.0341</v>
      </c>
    </row>
    <row r="568" spans="1:20" x14ac:dyDescent="0.2">
      <c r="C568" s="8"/>
      <c r="D568" s="10" t="s">
        <v>17</v>
      </c>
      <c r="E568" s="19">
        <v>1.0341</v>
      </c>
    </row>
    <row r="569" spans="1:20" x14ac:dyDescent="0.2">
      <c r="C569" s="8"/>
      <c r="D569" s="14"/>
    </row>
    <row r="570" spans="1:20" x14ac:dyDescent="0.2">
      <c r="C570" s="8"/>
      <c r="D570" s="14"/>
      <c r="E570" s="20"/>
      <c r="F570" s="126" t="s">
        <v>18</v>
      </c>
      <c r="G570" s="127"/>
      <c r="H570" s="128"/>
      <c r="I570" s="126" t="s">
        <v>19</v>
      </c>
      <c r="J570" s="127"/>
      <c r="K570" s="128"/>
      <c r="L570" s="126" t="s">
        <v>20</v>
      </c>
      <c r="M570" s="128"/>
    </row>
    <row r="571" spans="1:20" x14ac:dyDescent="0.2">
      <c r="C571" s="8"/>
      <c r="D571" s="14"/>
      <c r="E571" s="117"/>
      <c r="F571" s="21" t="s">
        <v>21</v>
      </c>
      <c r="G571" s="21" t="s">
        <v>22</v>
      </c>
      <c r="H571" s="22" t="s">
        <v>23</v>
      </c>
      <c r="I571" s="21" t="s">
        <v>21</v>
      </c>
      <c r="J571" s="23" t="s">
        <v>22</v>
      </c>
      <c r="K571" s="22" t="s">
        <v>23</v>
      </c>
      <c r="L571" s="119" t="s">
        <v>24</v>
      </c>
      <c r="M571" s="121" t="s">
        <v>25</v>
      </c>
    </row>
    <row r="572" spans="1:20" x14ac:dyDescent="0.2">
      <c r="C572" s="8"/>
      <c r="D572" s="14"/>
      <c r="E572" s="118"/>
      <c r="F572" s="24" t="s">
        <v>26</v>
      </c>
      <c r="G572" s="24"/>
      <c r="H572" s="25" t="s">
        <v>26</v>
      </c>
      <c r="I572" s="24" t="s">
        <v>26</v>
      </c>
      <c r="J572" s="25"/>
      <c r="K572" s="25" t="s">
        <v>26</v>
      </c>
      <c r="L572" s="120"/>
      <c r="M572" s="122"/>
    </row>
    <row r="573" spans="1:20" x14ac:dyDescent="0.2">
      <c r="A573" s="8" t="s">
        <v>73</v>
      </c>
      <c r="C573" s="26"/>
      <c r="D573" s="27" t="s">
        <v>27</v>
      </c>
      <c r="E573" s="28"/>
      <c r="F573" s="29">
        <v>63.66</v>
      </c>
      <c r="G573" s="30">
        <v>1</v>
      </c>
      <c r="H573" s="31">
        <f>G573*F573</f>
        <v>63.66</v>
      </c>
      <c r="I573" s="32">
        <v>64.42</v>
      </c>
      <c r="J573" s="33">
        <f>G573</f>
        <v>1</v>
      </c>
      <c r="K573" s="31">
        <f>J573*I573</f>
        <v>64.42</v>
      </c>
      <c r="L573" s="34">
        <f t="shared" ref="L573:L594" si="70">K573-H573</f>
        <v>0.76000000000000512</v>
      </c>
      <c r="M573" s="35">
        <f>IF(ISERROR(L573/H573), "", L573/H573)</f>
        <v>1.193842287150495E-2</v>
      </c>
    </row>
    <row r="574" spans="1:20" x14ac:dyDescent="0.2">
      <c r="A574" s="8" t="s">
        <v>73</v>
      </c>
      <c r="C574" s="26"/>
      <c r="D574" s="27" t="s">
        <v>28</v>
      </c>
      <c r="E574" s="28"/>
      <c r="F574" s="36">
        <v>0</v>
      </c>
      <c r="G574" s="30">
        <f>IF($E566&gt;0, $E566, $E565)</f>
        <v>0</v>
      </c>
      <c r="H574" s="31">
        <f t="shared" ref="H574:H586" si="71">G574*F574</f>
        <v>0</v>
      </c>
      <c r="I574" s="37">
        <v>0</v>
      </c>
      <c r="J574" s="33">
        <f>IF($E566&gt;0, $E566, $E565)</f>
        <v>0</v>
      </c>
      <c r="K574" s="31">
        <f>J574*I574</f>
        <v>0</v>
      </c>
      <c r="L574" s="34">
        <f t="shared" si="70"/>
        <v>0</v>
      </c>
      <c r="M574" s="35" t="str">
        <f t="shared" ref="M574:M584" si="72">IF(ISERROR(L574/H574), "", L574/H574)</f>
        <v/>
      </c>
    </row>
    <row r="575" spans="1:20" hidden="1" x14ac:dyDescent="0.2">
      <c r="A575" s="8" t="s">
        <v>73</v>
      </c>
      <c r="C575" s="26"/>
      <c r="D575" s="27" t="s">
        <v>29</v>
      </c>
      <c r="E575" s="28"/>
      <c r="F575" s="36"/>
      <c r="G575" s="30">
        <f>IF($E566&gt;0, $E566, $E565)</f>
        <v>0</v>
      </c>
      <c r="H575" s="31">
        <v>0</v>
      </c>
      <c r="I575" s="37"/>
      <c r="J575" s="33">
        <f>IF($E566&gt;0, $E566, $E565)</f>
        <v>0</v>
      </c>
      <c r="K575" s="31">
        <v>0</v>
      </c>
      <c r="L575" s="34"/>
      <c r="M575" s="35"/>
    </row>
    <row r="576" spans="1:20" hidden="1" x14ac:dyDescent="0.2">
      <c r="A576" s="8" t="s">
        <v>73</v>
      </c>
      <c r="C576" s="26"/>
      <c r="D576" s="27" t="s">
        <v>30</v>
      </c>
      <c r="E576" s="28"/>
      <c r="F576" s="36"/>
      <c r="G576" s="30">
        <f>IF($E566&gt;0, $E566, $E565)</f>
        <v>0</v>
      </c>
      <c r="H576" s="31">
        <v>0</v>
      </c>
      <c r="I576" s="37"/>
      <c r="J576" s="30">
        <f>IF($E566&gt;0, $E566, $E565)</f>
        <v>0</v>
      </c>
      <c r="K576" s="31">
        <v>0</v>
      </c>
      <c r="L576" s="34">
        <f>K576-H576</f>
        <v>0</v>
      </c>
      <c r="M576" s="35" t="str">
        <f>IF(ISERROR(L576/H576), "", L576/H576)</f>
        <v/>
      </c>
    </row>
    <row r="577" spans="1:13" x14ac:dyDescent="0.2">
      <c r="A577" s="8" t="s">
        <v>73</v>
      </c>
      <c r="C577" s="26"/>
      <c r="D577" s="38" t="s">
        <v>31</v>
      </c>
      <c r="E577" s="28"/>
      <c r="F577" s="29">
        <v>0</v>
      </c>
      <c r="G577" s="30">
        <v>1</v>
      </c>
      <c r="H577" s="31">
        <f t="shared" si="71"/>
        <v>0</v>
      </c>
      <c r="I577" s="32">
        <v>0</v>
      </c>
      <c r="J577" s="33">
        <f>G577</f>
        <v>1</v>
      </c>
      <c r="K577" s="31">
        <f t="shared" ref="K577:K584" si="73">J577*I577</f>
        <v>0</v>
      </c>
      <c r="L577" s="34">
        <f t="shared" si="70"/>
        <v>0</v>
      </c>
      <c r="M577" s="35" t="str">
        <f t="shared" si="72"/>
        <v/>
      </c>
    </row>
    <row r="578" spans="1:13" x14ac:dyDescent="0.2">
      <c r="A578" s="8" t="s">
        <v>73</v>
      </c>
      <c r="C578" s="26"/>
      <c r="D578" s="27" t="s">
        <v>32</v>
      </c>
      <c r="E578" s="28"/>
      <c r="F578" s="36">
        <v>0</v>
      </c>
      <c r="G578" s="30">
        <f>IF($E566&gt;0, $E566, $E565)</f>
        <v>0</v>
      </c>
      <c r="H578" s="31">
        <f t="shared" si="71"/>
        <v>0</v>
      </c>
      <c r="I578" s="37">
        <v>0</v>
      </c>
      <c r="J578" s="33">
        <f>IF($E566&gt;0, $E566, $E565)</f>
        <v>0</v>
      </c>
      <c r="K578" s="31">
        <f t="shared" si="73"/>
        <v>0</v>
      </c>
      <c r="L578" s="34">
        <f t="shared" si="70"/>
        <v>0</v>
      </c>
      <c r="M578" s="35" t="str">
        <f t="shared" si="72"/>
        <v/>
      </c>
    </row>
    <row r="579" spans="1:13" x14ac:dyDescent="0.2">
      <c r="A579" s="8" t="s">
        <v>73</v>
      </c>
      <c r="B579" s="39" t="s">
        <v>33</v>
      </c>
      <c r="C579" s="26">
        <v>11</v>
      </c>
      <c r="D579" s="40" t="s">
        <v>34</v>
      </c>
      <c r="E579" s="41"/>
      <c r="F579" s="42"/>
      <c r="G579" s="43"/>
      <c r="H579" s="44">
        <f>SUM(H573:H578)</f>
        <v>63.66</v>
      </c>
      <c r="I579" s="45"/>
      <c r="J579" s="46"/>
      <c r="K579" s="44">
        <f>SUM(K573:K578)</f>
        <v>64.42</v>
      </c>
      <c r="L579" s="47">
        <f t="shared" si="70"/>
        <v>0.76000000000000512</v>
      </c>
      <c r="M579" s="48">
        <f>IF((H579)=0,"",(L579/H579))</f>
        <v>1.193842287150495E-2</v>
      </c>
    </row>
    <row r="580" spans="1:13" x14ac:dyDescent="0.2">
      <c r="A580" s="8" t="s">
        <v>73</v>
      </c>
      <c r="C580" s="26"/>
      <c r="D580" s="49" t="s">
        <v>35</v>
      </c>
      <c r="E580" s="28"/>
      <c r="F580" s="36">
        <f>IF((E565*12&gt;=150000), 0, IF(E564="RPP",(F596*0.65+F597*0.17+F598*0.18),IF(E564="Non-RPP (Retailer)",F599,F600)))</f>
        <v>0.1101</v>
      </c>
      <c r="G580" s="50">
        <f>IF(F580=0, 0, $E565*E567-E565)</f>
        <v>0</v>
      </c>
      <c r="H580" s="31">
        <f>G580*F580</f>
        <v>0</v>
      </c>
      <c r="I580" s="37">
        <f>IF((E565*12&gt;=150000), 0, IF(E564="RPP",(I596*0.65+I597*0.17+I598*0.18),IF(E564="Non-RPP (Retailer)",I599,I600)))</f>
        <v>0.1101</v>
      </c>
      <c r="J580" s="50">
        <f>IF(I580=0, 0, E565*E568-E565)</f>
        <v>0</v>
      </c>
      <c r="K580" s="31">
        <f>J580*I580</f>
        <v>0</v>
      </c>
      <c r="L580" s="34">
        <f>K580-H580</f>
        <v>0</v>
      </c>
      <c r="M580" s="35" t="str">
        <f>IF(ISERROR(L580/H580), "", L580/H580)</f>
        <v/>
      </c>
    </row>
    <row r="581" spans="1:13" ht="25.5" x14ac:dyDescent="0.2">
      <c r="A581" s="8" t="s">
        <v>73</v>
      </c>
      <c r="C581" s="26"/>
      <c r="D581" s="49" t="s">
        <v>36</v>
      </c>
      <c r="E581" s="28"/>
      <c r="F581" s="36">
        <v>0</v>
      </c>
      <c r="G581" s="51">
        <f>IF($E566&gt;0, $E566, $E565)</f>
        <v>0</v>
      </c>
      <c r="H581" s="31">
        <f t="shared" si="71"/>
        <v>0</v>
      </c>
      <c r="I581" s="37">
        <v>0</v>
      </c>
      <c r="J581" s="51">
        <f>IF($E566&gt;0, $E566, $E565)</f>
        <v>0</v>
      </c>
      <c r="K581" s="31">
        <f t="shared" si="73"/>
        <v>0</v>
      </c>
      <c r="L581" s="34">
        <f t="shared" si="70"/>
        <v>0</v>
      </c>
      <c r="M581" s="35" t="str">
        <f t="shared" si="72"/>
        <v/>
      </c>
    </row>
    <row r="582" spans="1:13" x14ac:dyDescent="0.2">
      <c r="A582" s="8" t="s">
        <v>73</v>
      </c>
      <c r="C582" s="26"/>
      <c r="D582" s="49" t="s">
        <v>37</v>
      </c>
      <c r="E582" s="28"/>
      <c r="F582" s="36">
        <v>0</v>
      </c>
      <c r="G582" s="51">
        <f>IF($E566&gt;0, $E566, $E565)</f>
        <v>0</v>
      </c>
      <c r="H582" s="31">
        <f>G582*F582</f>
        <v>0</v>
      </c>
      <c r="I582" s="37">
        <v>0</v>
      </c>
      <c r="J582" s="51">
        <f>IF($E566&gt;0, $E566, $E565)</f>
        <v>0</v>
      </c>
      <c r="K582" s="31">
        <f>J582*I582</f>
        <v>0</v>
      </c>
      <c r="L582" s="34">
        <f t="shared" si="70"/>
        <v>0</v>
      </c>
      <c r="M582" s="35" t="str">
        <f t="shared" si="72"/>
        <v/>
      </c>
    </row>
    <row r="583" spans="1:13" x14ac:dyDescent="0.2">
      <c r="A583" s="8" t="s">
        <v>73</v>
      </c>
      <c r="C583" s="26"/>
      <c r="D583" s="49" t="s">
        <v>38</v>
      </c>
      <c r="E583" s="28"/>
      <c r="F583" s="36">
        <v>0</v>
      </c>
      <c r="G583" s="51">
        <f>E565</f>
        <v>0</v>
      </c>
      <c r="H583" s="31">
        <f>G583*F583</f>
        <v>0</v>
      </c>
      <c r="I583" s="37">
        <v>0</v>
      </c>
      <c r="J583" s="51">
        <f>E565</f>
        <v>0</v>
      </c>
      <c r="K583" s="31">
        <f t="shared" si="73"/>
        <v>0</v>
      </c>
      <c r="L583" s="34">
        <f t="shared" si="70"/>
        <v>0</v>
      </c>
      <c r="M583" s="35" t="str">
        <f t="shared" si="72"/>
        <v/>
      </c>
    </row>
    <row r="584" spans="1:13" x14ac:dyDescent="0.2">
      <c r="A584" s="8" t="s">
        <v>73</v>
      </c>
      <c r="C584" s="26"/>
      <c r="D584" s="52" t="s">
        <v>39</v>
      </c>
      <c r="E584" s="28"/>
      <c r="F584" s="36">
        <v>0</v>
      </c>
      <c r="G584" s="51">
        <f>IF($E566&gt;0, $E566, $E565)</f>
        <v>0</v>
      </c>
      <c r="H584" s="31">
        <f t="shared" si="71"/>
        <v>0</v>
      </c>
      <c r="I584" s="37"/>
      <c r="J584" s="51">
        <f>IF($E566&gt;0, $E566, $E565)</f>
        <v>0</v>
      </c>
      <c r="K584" s="31">
        <f t="shared" si="73"/>
        <v>0</v>
      </c>
      <c r="L584" s="34">
        <f t="shared" si="70"/>
        <v>0</v>
      </c>
      <c r="M584" s="35" t="str">
        <f t="shared" si="72"/>
        <v/>
      </c>
    </row>
    <row r="585" spans="1:13" ht="25.5" x14ac:dyDescent="0.2">
      <c r="A585" s="8" t="s">
        <v>73</v>
      </c>
      <c r="C585" s="26"/>
      <c r="D585" s="53" t="s">
        <v>40</v>
      </c>
      <c r="E585" s="28"/>
      <c r="F585" s="54">
        <f>IF(OR(ISNUMBER(SEARCH("RESIDENTIAL", E563))=TRUE, ISNUMBER(SEARCH("GENERAL SERVICE LESS THAN 50", E563))=TRUE), SME, 0)</f>
        <v>0</v>
      </c>
      <c r="G585" s="30">
        <v>1</v>
      </c>
      <c r="H585" s="31">
        <f>G585*F585</f>
        <v>0</v>
      </c>
      <c r="I585" s="55">
        <f>IF(OR(ISNUMBER(SEARCH("RESIDENTIAL", E563))=TRUE, ISNUMBER(SEARCH("GENERAL SERVICE LESS THAN 50", E563))=TRUE), SME, 0)</f>
        <v>0</v>
      </c>
      <c r="J585" s="30">
        <v>1</v>
      </c>
      <c r="K585" s="31">
        <f>J585*I585</f>
        <v>0</v>
      </c>
      <c r="L585" s="34">
        <f t="shared" si="70"/>
        <v>0</v>
      </c>
      <c r="M585" s="35" t="str">
        <f>IF(ISERROR(L585/H585), "", L585/H585)</f>
        <v/>
      </c>
    </row>
    <row r="586" spans="1:13" x14ac:dyDescent="0.2">
      <c r="A586" s="8" t="s">
        <v>73</v>
      </c>
      <c r="C586" s="26"/>
      <c r="D586" s="52" t="s">
        <v>41</v>
      </c>
      <c r="E586" s="28"/>
      <c r="F586" s="29">
        <v>0</v>
      </c>
      <c r="G586" s="30">
        <v>1</v>
      </c>
      <c r="H586" s="31">
        <f t="shared" si="71"/>
        <v>0</v>
      </c>
      <c r="I586" s="32">
        <v>0</v>
      </c>
      <c r="J586" s="30">
        <v>1</v>
      </c>
      <c r="K586" s="31">
        <f>J586*I586</f>
        <v>0</v>
      </c>
      <c r="L586" s="34">
        <f>K586-H586</f>
        <v>0</v>
      </c>
      <c r="M586" s="35" t="str">
        <f>IF(ISERROR(L586/H586), "", L586/H586)</f>
        <v/>
      </c>
    </row>
    <row r="587" spans="1:13" x14ac:dyDescent="0.2">
      <c r="A587" s="8" t="s">
        <v>73</v>
      </c>
      <c r="C587" s="26"/>
      <c r="D587" s="52" t="s">
        <v>42</v>
      </c>
      <c r="E587" s="28"/>
      <c r="F587" s="36"/>
      <c r="G587" s="51">
        <f>IF($E566&gt;0, $E566, $E565)</f>
        <v>0</v>
      </c>
      <c r="H587" s="31">
        <f>G587*F587</f>
        <v>0</v>
      </c>
      <c r="I587" s="37">
        <v>0</v>
      </c>
      <c r="J587" s="51">
        <f>IF($E566&gt;0, $E566, $E565)</f>
        <v>0</v>
      </c>
      <c r="K587" s="31">
        <f>J587*I587</f>
        <v>0</v>
      </c>
      <c r="L587" s="34">
        <f t="shared" si="70"/>
        <v>0</v>
      </c>
      <c r="M587" s="35" t="str">
        <f>IF(ISERROR(L587/H587), "", L587/H587)</f>
        <v/>
      </c>
    </row>
    <row r="588" spans="1:13" ht="25.5" x14ac:dyDescent="0.2">
      <c r="A588" s="8" t="s">
        <v>73</v>
      </c>
      <c r="B588" s="14" t="s">
        <v>43</v>
      </c>
      <c r="C588" s="26">
        <v>11</v>
      </c>
      <c r="D588" s="56" t="s">
        <v>44</v>
      </c>
      <c r="E588" s="57"/>
      <c r="F588" s="58"/>
      <c r="G588" s="59"/>
      <c r="H588" s="60">
        <f>SUM(H579:H587)</f>
        <v>63.66</v>
      </c>
      <c r="I588" s="61"/>
      <c r="J588" s="62"/>
      <c r="K588" s="60">
        <f>SUM(K579:K587)</f>
        <v>64.42</v>
      </c>
      <c r="L588" s="47">
        <f t="shared" si="70"/>
        <v>0.76000000000000512</v>
      </c>
      <c r="M588" s="48">
        <f>IF((H588)=0,"",(L588/H588))</f>
        <v>1.193842287150495E-2</v>
      </c>
    </row>
    <row r="589" spans="1:13" x14ac:dyDescent="0.2">
      <c r="A589" s="8" t="s">
        <v>73</v>
      </c>
      <c r="C589" s="26"/>
      <c r="D589" s="63" t="s">
        <v>45</v>
      </c>
      <c r="E589" s="28"/>
      <c r="F589" s="36">
        <v>0</v>
      </c>
      <c r="G589" s="50">
        <f>IF($E566&gt;0, $E566, $E565*$E567)</f>
        <v>0</v>
      </c>
      <c r="H589" s="31">
        <f>G589*F589</f>
        <v>0</v>
      </c>
      <c r="I589" s="37">
        <v>0</v>
      </c>
      <c r="J589" s="50">
        <f>IF($E566&gt;0, $E566, $E565*$E568)</f>
        <v>0</v>
      </c>
      <c r="K589" s="31">
        <f>J589*I589</f>
        <v>0</v>
      </c>
      <c r="L589" s="34">
        <f t="shared" si="70"/>
        <v>0</v>
      </c>
      <c r="M589" s="35" t="str">
        <f>IF(ISERROR(L589/H589), "", L589/H589)</f>
        <v/>
      </c>
    </row>
    <row r="590" spans="1:13" ht="25.5" x14ac:dyDescent="0.2">
      <c r="A590" s="8" t="s">
        <v>73</v>
      </c>
      <c r="C590" s="26"/>
      <c r="D590" s="64" t="s">
        <v>46</v>
      </c>
      <c r="E590" s="28"/>
      <c r="F590" s="36">
        <v>0</v>
      </c>
      <c r="G590" s="50">
        <f>IF($E566&gt;0, $E566, $E565*$E567)</f>
        <v>0</v>
      </c>
      <c r="H590" s="31">
        <f>G590*F590</f>
        <v>0</v>
      </c>
      <c r="I590" s="37">
        <v>0</v>
      </c>
      <c r="J590" s="50">
        <f>IF($E566&gt;0, $E566, $E565*$E568)</f>
        <v>0</v>
      </c>
      <c r="K590" s="31">
        <f>J590*I590</f>
        <v>0</v>
      </c>
      <c r="L590" s="34">
        <f t="shared" si="70"/>
        <v>0</v>
      </c>
      <c r="M590" s="35" t="str">
        <f>IF(ISERROR(L590/H590), "", L590/H590)</f>
        <v/>
      </c>
    </row>
    <row r="591" spans="1:13" ht="25.5" x14ac:dyDescent="0.2">
      <c r="A591" s="8" t="s">
        <v>73</v>
      </c>
      <c r="B591" s="14" t="s">
        <v>47</v>
      </c>
      <c r="C591" s="26">
        <v>11</v>
      </c>
      <c r="D591" s="56" t="s">
        <v>48</v>
      </c>
      <c r="E591" s="41"/>
      <c r="F591" s="58"/>
      <c r="G591" s="59"/>
      <c r="H591" s="60">
        <f>SUM(H588:H590)</f>
        <v>63.66</v>
      </c>
      <c r="I591" s="61"/>
      <c r="J591" s="46"/>
      <c r="K591" s="60">
        <f>SUM(K588:K590)</f>
        <v>64.42</v>
      </c>
      <c r="L591" s="47">
        <f t="shared" si="70"/>
        <v>0.76000000000000512</v>
      </c>
      <c r="M591" s="48">
        <f>IF((H591)=0,"",(L591/H591))</f>
        <v>1.193842287150495E-2</v>
      </c>
    </row>
    <row r="592" spans="1:13" ht="25.5" x14ac:dyDescent="0.2">
      <c r="A592" s="8" t="s">
        <v>73</v>
      </c>
      <c r="C592" s="26"/>
      <c r="D592" s="65" t="s">
        <v>49</v>
      </c>
      <c r="E592" s="28"/>
      <c r="F592" s="36">
        <v>0</v>
      </c>
      <c r="G592" s="50">
        <f>E565*E567</f>
        <v>0</v>
      </c>
      <c r="H592" s="66">
        <f t="shared" ref="H592:H598" si="74">G592*F592</f>
        <v>0</v>
      </c>
      <c r="I592" s="37">
        <v>0</v>
      </c>
      <c r="J592" s="50">
        <f>E565*E568</f>
        <v>0</v>
      </c>
      <c r="K592" s="66">
        <f t="shared" ref="K592:K598" si="75">J592*I592</f>
        <v>0</v>
      </c>
      <c r="L592" s="34">
        <f t="shared" si="70"/>
        <v>0</v>
      </c>
      <c r="M592" s="35" t="str">
        <f t="shared" ref="M592:M600" si="76">IF(ISERROR(L592/H592), "", L592/H592)</f>
        <v/>
      </c>
    </row>
    <row r="593" spans="1:13" ht="25.5" x14ac:dyDescent="0.2">
      <c r="A593" s="8" t="s">
        <v>73</v>
      </c>
      <c r="C593" s="26"/>
      <c r="D593" s="65" t="s">
        <v>50</v>
      </c>
      <c r="E593" s="28"/>
      <c r="F593" s="36">
        <f>'[7]17. Regulatory Charges'!$D$16</f>
        <v>5.0000000000000001E-4</v>
      </c>
      <c r="G593" s="50">
        <f>E565*E567</f>
        <v>0</v>
      </c>
      <c r="H593" s="66">
        <f t="shared" si="74"/>
        <v>0</v>
      </c>
      <c r="I593" s="37">
        <v>0</v>
      </c>
      <c r="J593" s="50">
        <f>E565*E568</f>
        <v>0</v>
      </c>
      <c r="K593" s="66">
        <f t="shared" si="75"/>
        <v>0</v>
      </c>
      <c r="L593" s="34">
        <f t="shared" si="70"/>
        <v>0</v>
      </c>
      <c r="M593" s="35" t="str">
        <f t="shared" si="76"/>
        <v/>
      </c>
    </row>
    <row r="594" spans="1:13" x14ac:dyDescent="0.2">
      <c r="A594" s="8" t="s">
        <v>73</v>
      </c>
      <c r="C594" s="26"/>
      <c r="D594" s="67" t="s">
        <v>51</v>
      </c>
      <c r="E594" s="28"/>
      <c r="F594" s="54">
        <v>0</v>
      </c>
      <c r="G594" s="30">
        <v>1</v>
      </c>
      <c r="H594" s="66">
        <f t="shared" si="74"/>
        <v>0</v>
      </c>
      <c r="I594" s="55">
        <f>'[7]17. Regulatory Charges'!$D$17</f>
        <v>0.25</v>
      </c>
      <c r="J594" s="33">
        <v>1</v>
      </c>
      <c r="K594" s="66">
        <f t="shared" si="75"/>
        <v>0.25</v>
      </c>
      <c r="L594" s="34">
        <f t="shared" si="70"/>
        <v>0.25</v>
      </c>
      <c r="M594" s="35" t="str">
        <f t="shared" si="76"/>
        <v/>
      </c>
    </row>
    <row r="595" spans="1:13" ht="25.5" hidden="1" x14ac:dyDescent="0.2">
      <c r="A595" s="8" t="s">
        <v>73</v>
      </c>
      <c r="C595" s="26"/>
      <c r="D595" s="65" t="s">
        <v>52</v>
      </c>
      <c r="E595" s="28"/>
      <c r="F595" s="36"/>
      <c r="G595" s="50"/>
      <c r="H595" s="66"/>
      <c r="I595" s="37"/>
      <c r="J595" s="50"/>
      <c r="K595" s="66"/>
      <c r="L595" s="34"/>
      <c r="M595" s="35"/>
    </row>
    <row r="596" spans="1:13" x14ac:dyDescent="0.2">
      <c r="A596" s="8" t="s">
        <v>73</v>
      </c>
      <c r="B596" s="14" t="s">
        <v>3</v>
      </c>
      <c r="C596" s="26"/>
      <c r="D596" s="68" t="s">
        <v>53</v>
      </c>
      <c r="E596" s="28"/>
      <c r="F596" s="69">
        <f>OffPeak</f>
        <v>6.5000000000000002E-2</v>
      </c>
      <c r="G596" s="70">
        <f>IF(AND(E565*12&gt;=150000),0.65*E565*E567,0.65*E565)</f>
        <v>0</v>
      </c>
      <c r="H596" s="66">
        <f t="shared" si="74"/>
        <v>0</v>
      </c>
      <c r="I596" s="71">
        <f>OffPeak</f>
        <v>6.5000000000000002E-2</v>
      </c>
      <c r="J596" s="70">
        <f>IF(AND(E565*12&gt;=150000),0.65*E565*E568,0.65*E565)</f>
        <v>0</v>
      </c>
      <c r="K596" s="66">
        <f t="shared" si="75"/>
        <v>0</v>
      </c>
      <c r="L596" s="34">
        <f>K596-H596</f>
        <v>0</v>
      </c>
      <c r="M596" s="35" t="str">
        <f t="shared" si="76"/>
        <v/>
      </c>
    </row>
    <row r="597" spans="1:13" x14ac:dyDescent="0.2">
      <c r="A597" s="8" t="s">
        <v>73</v>
      </c>
      <c r="B597" s="14" t="s">
        <v>3</v>
      </c>
      <c r="C597" s="26"/>
      <c r="D597" s="68" t="s">
        <v>54</v>
      </c>
      <c r="E597" s="28"/>
      <c r="F597" s="69">
        <f>MidPeak</f>
        <v>9.4E-2</v>
      </c>
      <c r="G597" s="70">
        <f>IF(AND(E565*12&gt;=150000),0.17*E565*E567,0.17*E565)</f>
        <v>0</v>
      </c>
      <c r="H597" s="66">
        <f t="shared" si="74"/>
        <v>0</v>
      </c>
      <c r="I597" s="71">
        <f>MidPeak</f>
        <v>9.4E-2</v>
      </c>
      <c r="J597" s="70">
        <f>IF(AND(E565*12&gt;=150000),0.17*E565*E568,0.17*E565)</f>
        <v>0</v>
      </c>
      <c r="K597" s="66">
        <f t="shared" si="75"/>
        <v>0</v>
      </c>
      <c r="L597" s="34">
        <f>K597-H597</f>
        <v>0</v>
      </c>
      <c r="M597" s="35" t="str">
        <f t="shared" si="76"/>
        <v/>
      </c>
    </row>
    <row r="598" spans="1:13" x14ac:dyDescent="0.2">
      <c r="A598" s="8" t="s">
        <v>73</v>
      </c>
      <c r="B598" s="14" t="s">
        <v>3</v>
      </c>
      <c r="C598" s="26"/>
      <c r="D598" s="14" t="s">
        <v>55</v>
      </c>
      <c r="E598" s="28"/>
      <c r="F598" s="69">
        <f>OnPeak</f>
        <v>0.13200000000000001</v>
      </c>
      <c r="G598" s="70">
        <f>IF(AND(E565*12&gt;=150000),0.18*E565*E567,0.18*E565)</f>
        <v>0</v>
      </c>
      <c r="H598" s="66">
        <f t="shared" si="74"/>
        <v>0</v>
      </c>
      <c r="I598" s="71">
        <f>OnPeak</f>
        <v>0.13200000000000001</v>
      </c>
      <c r="J598" s="70">
        <f>IF(AND(E565*12&gt;=150000),0.18*E565*E568,0.18*E565)</f>
        <v>0</v>
      </c>
      <c r="K598" s="66">
        <f t="shared" si="75"/>
        <v>0</v>
      </c>
      <c r="L598" s="34">
        <f>K598-H598</f>
        <v>0</v>
      </c>
      <c r="M598" s="35" t="str">
        <f t="shared" si="76"/>
        <v/>
      </c>
    </row>
    <row r="599" spans="1:13" x14ac:dyDescent="0.2">
      <c r="A599" s="8" t="s">
        <v>73</v>
      </c>
      <c r="B599" s="8" t="s">
        <v>56</v>
      </c>
      <c r="C599" s="26"/>
      <c r="D599" s="68" t="s">
        <v>57</v>
      </c>
      <c r="E599" s="28"/>
      <c r="F599" s="72">
        <v>0.1101</v>
      </c>
      <c r="G599" s="70">
        <f>IF(AND(E565*12&gt;=150000),E565*E567,E565)</f>
        <v>0</v>
      </c>
      <c r="H599" s="66">
        <f>G599*F599</f>
        <v>0</v>
      </c>
      <c r="I599" s="73">
        <f>F599</f>
        <v>0.1101</v>
      </c>
      <c r="J599" s="70">
        <f>IF(AND(E565*12&gt;=150000),E565*E568,E565)</f>
        <v>0</v>
      </c>
      <c r="K599" s="66">
        <f>J599*I599</f>
        <v>0</v>
      </c>
      <c r="L599" s="34">
        <f>K599-H599</f>
        <v>0</v>
      </c>
      <c r="M599" s="35" t="str">
        <f t="shared" si="76"/>
        <v/>
      </c>
    </row>
    <row r="600" spans="1:13" ht="13.5" thickBot="1" x14ac:dyDescent="0.25">
      <c r="A600" s="8" t="s">
        <v>73</v>
      </c>
      <c r="B600" s="8" t="s">
        <v>6</v>
      </c>
      <c r="C600" s="26"/>
      <c r="D600" s="68" t="s">
        <v>58</v>
      </c>
      <c r="E600" s="28"/>
      <c r="F600" s="72">
        <v>0.1101</v>
      </c>
      <c r="G600" s="70">
        <f>IF(AND(E565*12&gt;=150000),E565*E567,E565)</f>
        <v>0</v>
      </c>
      <c r="H600" s="66">
        <f>G600*F600</f>
        <v>0</v>
      </c>
      <c r="I600" s="73">
        <f>F600</f>
        <v>0.1101</v>
      </c>
      <c r="J600" s="70">
        <f>IF(AND(E565*12&gt;=150000),E565*E568,E565)</f>
        <v>0</v>
      </c>
      <c r="K600" s="66">
        <f>J600*I600</f>
        <v>0</v>
      </c>
      <c r="L600" s="34">
        <f>K600-H600</f>
        <v>0</v>
      </c>
      <c r="M600" s="35" t="str">
        <f t="shared" si="76"/>
        <v/>
      </c>
    </row>
    <row r="601" spans="1:13" ht="13.5" thickBot="1" x14ac:dyDescent="0.25">
      <c r="A601" s="8" t="s">
        <v>73</v>
      </c>
      <c r="B601" s="14"/>
      <c r="C601" s="26"/>
      <c r="D601" s="74"/>
      <c r="E601" s="75"/>
      <c r="F601" s="76"/>
      <c r="G601" s="77"/>
      <c r="H601" s="78"/>
      <c r="I601" s="76"/>
      <c r="J601" s="79"/>
      <c r="K601" s="78"/>
      <c r="L601" s="80"/>
      <c r="M601" s="81"/>
    </row>
    <row r="602" spans="1:13" x14ac:dyDescent="0.2">
      <c r="A602" s="8" t="s">
        <v>73</v>
      </c>
      <c r="B602" s="14" t="s">
        <v>3</v>
      </c>
      <c r="C602" s="26"/>
      <c r="D602" s="82" t="s">
        <v>59</v>
      </c>
      <c r="E602" s="67"/>
      <c r="F602" s="83"/>
      <c r="G602" s="84"/>
      <c r="H602" s="85">
        <f>SUM(H592:H598,H591)</f>
        <v>63.66</v>
      </c>
      <c r="I602" s="86"/>
      <c r="J602" s="86"/>
      <c r="K602" s="85">
        <f>SUM(K592:K598,K591)</f>
        <v>64.67</v>
      </c>
      <c r="L602" s="87">
        <f>K602-H602</f>
        <v>1.0100000000000051</v>
      </c>
      <c r="M602" s="88">
        <f>IF((H602)=0,"",(L602/H602))</f>
        <v>1.5865535658184184E-2</v>
      </c>
    </row>
    <row r="603" spans="1:13" x14ac:dyDescent="0.2">
      <c r="A603" s="8" t="s">
        <v>73</v>
      </c>
      <c r="B603" s="14" t="s">
        <v>3</v>
      </c>
      <c r="C603" s="26"/>
      <c r="D603" s="89" t="s">
        <v>60</v>
      </c>
      <c r="E603" s="67"/>
      <c r="F603" s="83">
        <v>0.13</v>
      </c>
      <c r="G603" s="90"/>
      <c r="H603" s="91">
        <f>H602*F603</f>
        <v>8.2758000000000003</v>
      </c>
      <c r="I603" s="92">
        <v>0.13</v>
      </c>
      <c r="J603" s="30"/>
      <c r="K603" s="91">
        <f>K602*I603</f>
        <v>8.4070999999999998</v>
      </c>
      <c r="L603" s="93">
        <f>K603-H603</f>
        <v>0.13129999999999953</v>
      </c>
      <c r="M603" s="94">
        <f>IF((H603)=0,"",(L603/H603))</f>
        <v>1.5865535658184046E-2</v>
      </c>
    </row>
    <row r="604" spans="1:13" hidden="1" x14ac:dyDescent="0.2">
      <c r="A604" s="8" t="s">
        <v>73</v>
      </c>
      <c r="B604" s="14" t="s">
        <v>3</v>
      </c>
      <c r="C604" s="26"/>
      <c r="D604" s="89" t="s">
        <v>61</v>
      </c>
      <c r="E604" s="67"/>
      <c r="F604" s="83">
        <v>0.08</v>
      </c>
      <c r="G604" s="90"/>
      <c r="H604" s="91">
        <v>0</v>
      </c>
      <c r="I604" s="83">
        <v>0.08</v>
      </c>
      <c r="J604" s="30"/>
      <c r="K604" s="91">
        <v>0</v>
      </c>
      <c r="L604" s="93">
        <f>K604-H604</f>
        <v>0</v>
      </c>
      <c r="M604" s="94"/>
    </row>
    <row r="605" spans="1:13" ht="13.5" thickBot="1" x14ac:dyDescent="0.25">
      <c r="A605" s="8" t="s">
        <v>73</v>
      </c>
      <c r="B605" s="14" t="s">
        <v>62</v>
      </c>
      <c r="C605" s="26"/>
      <c r="D605" s="123" t="s">
        <v>63</v>
      </c>
      <c r="E605" s="123"/>
      <c r="F605" s="95"/>
      <c r="G605" s="96"/>
      <c r="H605" s="97">
        <f>H602+H603+H604</f>
        <v>71.9358</v>
      </c>
      <c r="I605" s="98"/>
      <c r="J605" s="98"/>
      <c r="K605" s="99">
        <f>K602+K603+K604</f>
        <v>73.077100000000002</v>
      </c>
      <c r="L605" s="100">
        <f>K605-H605</f>
        <v>1.1413000000000011</v>
      </c>
      <c r="M605" s="101">
        <f>IF((H605)=0,"",(L605/H605))</f>
        <v>1.5865535658184118E-2</v>
      </c>
    </row>
    <row r="606" spans="1:13" ht="13.5" thickBot="1" x14ac:dyDescent="0.25">
      <c r="A606" s="8" t="s">
        <v>73</v>
      </c>
      <c r="B606" s="8" t="s">
        <v>3</v>
      </c>
      <c r="C606" s="26"/>
      <c r="D606" s="74"/>
      <c r="E606" s="75"/>
      <c r="F606" s="76"/>
      <c r="G606" s="77"/>
      <c r="H606" s="78"/>
      <c r="I606" s="76"/>
      <c r="J606" s="79"/>
      <c r="K606" s="78"/>
      <c r="L606" s="80"/>
      <c r="M606" s="81"/>
    </row>
    <row r="607" spans="1:13" x14ac:dyDescent="0.2">
      <c r="A607" s="8" t="s">
        <v>73</v>
      </c>
      <c r="B607" s="8" t="s">
        <v>56</v>
      </c>
      <c r="C607" s="26"/>
      <c r="D607" s="82" t="s">
        <v>64</v>
      </c>
      <c r="E607" s="67"/>
      <c r="F607" s="83"/>
      <c r="G607" s="84"/>
      <c r="H607" s="85">
        <f>SUM(H599,H592:H595,H591)</f>
        <v>63.66</v>
      </c>
      <c r="I607" s="86"/>
      <c r="J607" s="86"/>
      <c r="K607" s="85">
        <f>SUM(K599,K592:K595,K591)</f>
        <v>64.67</v>
      </c>
      <c r="L607" s="87">
        <f>K607-H607</f>
        <v>1.0100000000000051</v>
      </c>
      <c r="M607" s="88">
        <f>IF((H607)=0,"",(L607/H607))</f>
        <v>1.5865535658184184E-2</v>
      </c>
    </row>
    <row r="608" spans="1:13" x14ac:dyDescent="0.2">
      <c r="A608" s="8" t="s">
        <v>73</v>
      </c>
      <c r="B608" s="8" t="s">
        <v>56</v>
      </c>
      <c r="C608" s="26"/>
      <c r="D608" s="89" t="s">
        <v>60</v>
      </c>
      <c r="E608" s="67"/>
      <c r="F608" s="83">
        <v>0.13</v>
      </c>
      <c r="G608" s="84"/>
      <c r="H608" s="91">
        <f>H607*F608</f>
        <v>8.2758000000000003</v>
      </c>
      <c r="I608" s="83">
        <v>0.13</v>
      </c>
      <c r="J608" s="92"/>
      <c r="K608" s="91">
        <f>K607*I608</f>
        <v>8.4070999999999998</v>
      </c>
      <c r="L608" s="93">
        <f>K608-H608</f>
        <v>0.13129999999999953</v>
      </c>
      <c r="M608" s="94">
        <f>IF((H608)=0,"",(L608/H608))</f>
        <v>1.5865535658184046E-2</v>
      </c>
    </row>
    <row r="609" spans="1:13" hidden="1" x14ac:dyDescent="0.2">
      <c r="A609" s="8" t="s">
        <v>73</v>
      </c>
      <c r="B609" s="8" t="s">
        <v>56</v>
      </c>
      <c r="C609" s="26"/>
      <c r="D609" s="89" t="s">
        <v>61</v>
      </c>
      <c r="E609" s="67"/>
      <c r="F609" s="83">
        <v>0.08</v>
      </c>
      <c r="G609" s="84"/>
      <c r="H609" s="91">
        <v>0</v>
      </c>
      <c r="I609" s="83">
        <v>0.08</v>
      </c>
      <c r="J609" s="92"/>
      <c r="K609" s="91">
        <v>0</v>
      </c>
      <c r="L609" s="93"/>
      <c r="M609" s="94"/>
    </row>
    <row r="610" spans="1:13" ht="13.5" thickBot="1" x14ac:dyDescent="0.25">
      <c r="A610" s="8" t="s">
        <v>73</v>
      </c>
      <c r="B610" s="8" t="s">
        <v>65</v>
      </c>
      <c r="C610" s="26"/>
      <c r="D610" s="123" t="s">
        <v>64</v>
      </c>
      <c r="E610" s="123"/>
      <c r="F610" s="102"/>
      <c r="G610" s="103"/>
      <c r="H610" s="97">
        <f>SUM(H607,H608)</f>
        <v>71.9358</v>
      </c>
      <c r="I610" s="104"/>
      <c r="J610" s="104"/>
      <c r="K610" s="97">
        <f>SUM(K607,K608)</f>
        <v>73.077100000000002</v>
      </c>
      <c r="L610" s="105">
        <f>K610-H610</f>
        <v>1.1413000000000011</v>
      </c>
      <c r="M610" s="106">
        <f>IF((H610)=0,"",(L610/H610))</f>
        <v>1.5865535658184118E-2</v>
      </c>
    </row>
    <row r="611" spans="1:13" ht="13.5" thickBot="1" x14ac:dyDescent="0.25">
      <c r="A611" s="8" t="s">
        <v>73</v>
      </c>
      <c r="B611" s="8" t="s">
        <v>56</v>
      </c>
      <c r="C611" s="26"/>
      <c r="D611" s="74"/>
      <c r="E611" s="75"/>
      <c r="F611" s="107"/>
      <c r="G611" s="108"/>
      <c r="H611" s="109"/>
      <c r="I611" s="107"/>
      <c r="J611" s="77"/>
      <c r="K611" s="109"/>
      <c r="L611" s="110"/>
      <c r="M611" s="81"/>
    </row>
    <row r="612" spans="1:13" x14ac:dyDescent="0.2">
      <c r="A612" s="8" t="s">
        <v>73</v>
      </c>
      <c r="B612" s="8" t="s">
        <v>6</v>
      </c>
      <c r="C612" s="26"/>
      <c r="D612" s="82" t="s">
        <v>66</v>
      </c>
      <c r="E612" s="67"/>
      <c r="F612" s="83"/>
      <c r="G612" s="84"/>
      <c r="H612" s="85">
        <f>SUM(H600,H592:H595,H591)</f>
        <v>63.66</v>
      </c>
      <c r="I612" s="86"/>
      <c r="J612" s="86"/>
      <c r="K612" s="85">
        <f>SUM(K600,K592:K595,K591)</f>
        <v>64.67</v>
      </c>
      <c r="L612" s="87">
        <f>K612-H612</f>
        <v>1.0100000000000051</v>
      </c>
      <c r="M612" s="88">
        <f>IF((H612)=0,"",(L612/H612))</f>
        <v>1.5865535658184184E-2</v>
      </c>
    </row>
    <row r="613" spans="1:13" x14ac:dyDescent="0.2">
      <c r="A613" s="8" t="s">
        <v>73</v>
      </c>
      <c r="B613" s="8" t="s">
        <v>6</v>
      </c>
      <c r="C613" s="26"/>
      <c r="D613" s="89" t="s">
        <v>60</v>
      </c>
      <c r="E613" s="67"/>
      <c r="F613" s="83">
        <v>0.13</v>
      </c>
      <c r="G613" s="84"/>
      <c r="H613" s="91">
        <f>H612*F613</f>
        <v>8.2758000000000003</v>
      </c>
      <c r="I613" s="83">
        <v>0.13</v>
      </c>
      <c r="J613" s="92"/>
      <c r="K613" s="91">
        <f>K612*I613</f>
        <v>8.4070999999999998</v>
      </c>
      <c r="L613" s="93">
        <f>K613-H613</f>
        <v>0.13129999999999953</v>
      </c>
      <c r="M613" s="94">
        <f>IF((H613)=0,"",(L613/H613))</f>
        <v>1.5865535658184046E-2</v>
      </c>
    </row>
    <row r="614" spans="1:13" hidden="1" x14ac:dyDescent="0.2">
      <c r="A614" s="8" t="s">
        <v>73</v>
      </c>
      <c r="B614" s="8" t="s">
        <v>6</v>
      </c>
      <c r="C614" s="26"/>
      <c r="D614" s="89" t="s">
        <v>61</v>
      </c>
      <c r="E614" s="67"/>
      <c r="F614" s="83">
        <v>0.08</v>
      </c>
      <c r="G614" s="84"/>
      <c r="H614" s="91">
        <v>0</v>
      </c>
      <c r="I614" s="83">
        <v>0.08</v>
      </c>
      <c r="J614" s="92"/>
      <c r="K614" s="91">
        <v>0</v>
      </c>
      <c r="L614" s="93"/>
      <c r="M614" s="94"/>
    </row>
    <row r="615" spans="1:13" ht="13.5" thickBot="1" x14ac:dyDescent="0.25">
      <c r="A615" s="8" t="s">
        <v>73</v>
      </c>
      <c r="B615" s="8" t="s">
        <v>67</v>
      </c>
      <c r="C615" s="26"/>
      <c r="D615" s="123" t="s">
        <v>66</v>
      </c>
      <c r="E615" s="123"/>
      <c r="F615" s="102"/>
      <c r="G615" s="103"/>
      <c r="H615" s="97">
        <f>SUM(H612,H613)</f>
        <v>71.9358</v>
      </c>
      <c r="I615" s="104"/>
      <c r="J615" s="104"/>
      <c r="K615" s="97">
        <f>SUM(K612,K613)</f>
        <v>73.077100000000002</v>
      </c>
      <c r="L615" s="105">
        <f>K615-H615</f>
        <v>1.1413000000000011</v>
      </c>
      <c r="M615" s="106">
        <f>IF((H615)=0,"",(L615/H615))</f>
        <v>1.5865535658184118E-2</v>
      </c>
    </row>
    <row r="616" spans="1:13" ht="13.5" thickBot="1" x14ac:dyDescent="0.25">
      <c r="A616" s="8" t="s">
        <v>73</v>
      </c>
      <c r="B616" s="8" t="s">
        <v>6</v>
      </c>
      <c r="C616" s="26"/>
      <c r="D616" s="74"/>
      <c r="E616" s="75"/>
      <c r="F616" s="111"/>
      <c r="G616" s="112"/>
      <c r="H616" s="113"/>
      <c r="I616" s="111"/>
      <c r="J616" s="114"/>
      <c r="K616" s="113"/>
      <c r="L616" s="115"/>
      <c r="M616" s="116"/>
    </row>
  </sheetData>
  <mergeCells count="121">
    <mergeCell ref="E3:J3"/>
    <mergeCell ref="E4:G4"/>
    <mergeCell ref="F10:H10"/>
    <mergeCell ref="I10:K10"/>
    <mergeCell ref="D55:E55"/>
    <mergeCell ref="E59:J59"/>
    <mergeCell ref="E60:G60"/>
    <mergeCell ref="F66:H66"/>
    <mergeCell ref="I66:K66"/>
    <mergeCell ref="L66:M66"/>
    <mergeCell ref="L10:M10"/>
    <mergeCell ref="E11:E12"/>
    <mergeCell ref="L11:L12"/>
    <mergeCell ref="M11:M12"/>
    <mergeCell ref="D45:E45"/>
    <mergeCell ref="D50:E50"/>
    <mergeCell ref="L122:M122"/>
    <mergeCell ref="E123:E124"/>
    <mergeCell ref="L123:L124"/>
    <mergeCell ref="M123:M124"/>
    <mergeCell ref="E67:E68"/>
    <mergeCell ref="L67:L68"/>
    <mergeCell ref="M67:M68"/>
    <mergeCell ref="D101:E101"/>
    <mergeCell ref="D106:E106"/>
    <mergeCell ref="D111:E111"/>
    <mergeCell ref="D157:E157"/>
    <mergeCell ref="D162:E162"/>
    <mergeCell ref="D167:E167"/>
    <mergeCell ref="E171:J171"/>
    <mergeCell ref="E172:G172"/>
    <mergeCell ref="F178:H178"/>
    <mergeCell ref="I178:K178"/>
    <mergeCell ref="E115:J115"/>
    <mergeCell ref="E116:G116"/>
    <mergeCell ref="F122:H122"/>
    <mergeCell ref="I122:K122"/>
    <mergeCell ref="D223:E223"/>
    <mergeCell ref="E227:J227"/>
    <mergeCell ref="E228:G228"/>
    <mergeCell ref="F234:H234"/>
    <mergeCell ref="I234:K234"/>
    <mergeCell ref="L234:M234"/>
    <mergeCell ref="L178:M178"/>
    <mergeCell ref="E179:E180"/>
    <mergeCell ref="L179:L180"/>
    <mergeCell ref="M179:M180"/>
    <mergeCell ref="D213:E213"/>
    <mergeCell ref="D218:E218"/>
    <mergeCell ref="L290:M290"/>
    <mergeCell ref="E291:E292"/>
    <mergeCell ref="L291:L292"/>
    <mergeCell ref="M291:M292"/>
    <mergeCell ref="E235:E236"/>
    <mergeCell ref="L235:L236"/>
    <mergeCell ref="M235:M236"/>
    <mergeCell ref="D269:E269"/>
    <mergeCell ref="D274:E274"/>
    <mergeCell ref="D279:E279"/>
    <mergeCell ref="D325:E325"/>
    <mergeCell ref="D330:E330"/>
    <mergeCell ref="D335:E335"/>
    <mergeCell ref="E339:J339"/>
    <mergeCell ref="E340:G340"/>
    <mergeCell ref="F346:H346"/>
    <mergeCell ref="I346:K346"/>
    <mergeCell ref="E283:J283"/>
    <mergeCell ref="E284:G284"/>
    <mergeCell ref="F290:H290"/>
    <mergeCell ref="I290:K290"/>
    <mergeCell ref="D391:E391"/>
    <mergeCell ref="E395:J395"/>
    <mergeCell ref="E396:G396"/>
    <mergeCell ref="F402:H402"/>
    <mergeCell ref="I402:K402"/>
    <mergeCell ref="L402:M402"/>
    <mergeCell ref="L346:M346"/>
    <mergeCell ref="E347:E348"/>
    <mergeCell ref="L347:L348"/>
    <mergeCell ref="M347:M348"/>
    <mergeCell ref="D381:E381"/>
    <mergeCell ref="D386:E386"/>
    <mergeCell ref="E451:J451"/>
    <mergeCell ref="E452:G452"/>
    <mergeCell ref="F458:H458"/>
    <mergeCell ref="I458:K458"/>
    <mergeCell ref="L458:M458"/>
    <mergeCell ref="E459:E460"/>
    <mergeCell ref="L459:L460"/>
    <mergeCell ref="M459:M460"/>
    <mergeCell ref="E403:E404"/>
    <mergeCell ref="L403:L404"/>
    <mergeCell ref="M403:M404"/>
    <mergeCell ref="D437:E437"/>
    <mergeCell ref="D442:E442"/>
    <mergeCell ref="D447:E447"/>
    <mergeCell ref="L514:M514"/>
    <mergeCell ref="E515:E516"/>
    <mergeCell ref="L515:L516"/>
    <mergeCell ref="M515:M516"/>
    <mergeCell ref="D549:E549"/>
    <mergeCell ref="D554:E554"/>
    <mergeCell ref="D493:E493"/>
    <mergeCell ref="D498:E498"/>
    <mergeCell ref="D503:E503"/>
    <mergeCell ref="E507:J507"/>
    <mergeCell ref="E508:G508"/>
    <mergeCell ref="F514:H514"/>
    <mergeCell ref="I514:K514"/>
    <mergeCell ref="E571:E572"/>
    <mergeCell ref="L571:L572"/>
    <mergeCell ref="M571:M572"/>
    <mergeCell ref="D605:E605"/>
    <mergeCell ref="D610:E610"/>
    <mergeCell ref="D615:E615"/>
    <mergeCell ref="D559:E559"/>
    <mergeCell ref="E563:J563"/>
    <mergeCell ref="E564:G564"/>
    <mergeCell ref="F570:H570"/>
    <mergeCell ref="I570:K570"/>
    <mergeCell ref="L570:M570"/>
  </mergeCells>
  <pageMargins left="0.70866141732283472" right="0.70866141732283472" top="0.74803149606299213" bottom="0.74803149606299213" header="0.31496062992125984" footer="0.31496062992125984"/>
  <pageSetup scale="65" orientation="landscape" r:id="rId1"/>
  <rowBreaks count="10" manualBreakCount="10">
    <brk id="57" max="16383" man="1"/>
    <brk id="113" max="16383" man="1"/>
    <brk id="169" max="16383" man="1"/>
    <brk id="226" max="16383" man="1"/>
    <brk id="282" max="16383" man="1"/>
    <brk id="337" max="16383" man="1"/>
    <brk id="393" max="16383" man="1"/>
    <brk id="449" max="16383" man="1"/>
    <brk id="505" max="16383" man="1"/>
    <brk id="561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Bill Impact</vt:lpstr>
      <vt:lpstr>'Bill Impact'!Print_Area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William Cheng</cp:lastModifiedBy>
  <cp:lastPrinted>2019-01-06T13:58:10Z</cp:lastPrinted>
  <dcterms:created xsi:type="dcterms:W3CDTF">2018-12-20T20:29:51Z</dcterms:created>
  <dcterms:modified xsi:type="dcterms:W3CDTF">2019-01-06T22:38:49Z</dcterms:modified>
</cp:coreProperties>
</file>