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" windowWidth="10275" windowHeight="7365"/>
  </bookViews>
  <sheets>
    <sheet name="bill impact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lectra_SA">'[1]2016 List'!$C$2:$C$5</definedName>
    <definedName name="BI_LDCLIST">#REF!</definedName>
    <definedName name="BridgeYear">'[2]LDC Info'!$E$26</definedName>
    <definedName name="contactf">#REF!</definedName>
    <definedName name="COS_RES_CUSTOMERS">'[1]16. Rev2Cost_GDPIPI'!$F$12</definedName>
    <definedName name="COS_RES_KWH">'[1]16. Rev2Cost_GDPIPI'!$F$13</definedName>
    <definedName name="Cust3a">'[1]6. Class A Consumption Data'!$C$25</definedName>
    <definedName name="CustomerAdministration">[1]lists!#REF!</definedName>
    <definedName name="EBNUMBER">'[2]LDC Info'!$E$16</definedName>
    <definedName name="forecast_wholesale_lineplus">'[1]14. RTSR - Forecast Wholesale'!$P$113</definedName>
    <definedName name="forecast_wholesale_network">'[1]14. RTSR - Forecast Wholesale'!$F$109</definedName>
    <definedName name="G1LD">'[1]6. Class A Consumption Data'!$C$14</definedName>
    <definedName name="G1LDCBR">#REF!</definedName>
    <definedName name="Group1Desposing">'[1]4. Billing Det. for Def-Var'!#REF!</definedName>
    <definedName name="histdate">[3]Financials!$E$76</definedName>
    <definedName name="Incr2000">#REF!</definedName>
    <definedName name="LDCList">OFFSET('[1]2016 List'!$A$1,0,0,COUNTA('[1]2016 List'!$A:$A),1)</definedName>
    <definedName name="LIMIT">#REF!</definedName>
    <definedName name="listdata">'[1]4. Billing Det. for Def-Var'!#REF!</definedName>
    <definedName name="LLF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">'[1]17. Regulatory Charges'!$D$24</definedName>
    <definedName name="OffPeak">'[1]17. Regulatory Charges'!$D$23</definedName>
    <definedName name="OnPeak">'[1]17. Regulatory Charges'!$D$25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'bill impact'!$D$2:$M$391</definedName>
    <definedName name="print_end">#REF!</definedName>
    <definedName name="RATE_CLASSES">[4]lists!$A$1:$A$104</definedName>
    <definedName name="ratebase">'[1]8. STS - Tax Change'!$N$19</definedName>
    <definedName name="ratedescription">[5]hidden1!$D$1:$D$122</definedName>
    <definedName name="RebaseYear">'[2]LDC Info'!$E$28</definedName>
    <definedName name="SALBENF">#REF!</definedName>
    <definedName name="salreg">#REF!</definedName>
    <definedName name="SALREGF">#REF!</definedName>
    <definedName name="SME">'[1]17. Regulatory Charges'!$D$33</definedName>
    <definedName name="StartEnd">[1]Database!#REF!</definedName>
    <definedName name="TEMPA">#REF!</definedName>
    <definedName name="TestYear">'[2]LDC Info'!$E$24</definedName>
    <definedName name="Total_Current_Wholesale_Lineplus">'[1]13. RTSR - Current Wholesale'!$P$113</definedName>
    <definedName name="total_current_wholesale_network">'[1]13.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[1]lists!#REF!</definedName>
    <definedName name="Units2">[1]lists!#REF!</definedName>
    <definedName name="Utility">[3]Financials!$A$1</definedName>
    <definedName name="utitliy1">[6]Financials!$A$1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'[1]16. Rev2Cost_GDPIPI'!$F$14</definedName>
  </definedNames>
  <calcPr calcId="145621"/>
</workbook>
</file>

<file path=xl/calcChain.xml><?xml version="1.0" encoding="utf-8"?>
<calcChain xmlns="http://schemas.openxmlformats.org/spreadsheetml/2006/main">
  <c r="L379" i="5" l="1"/>
  <c r="K375" i="5"/>
  <c r="J375" i="5"/>
  <c r="I375" i="5"/>
  <c r="G375" i="5"/>
  <c r="H375" i="5" s="1"/>
  <c r="J374" i="5"/>
  <c r="K374" i="5" s="1"/>
  <c r="I374" i="5"/>
  <c r="H374" i="5"/>
  <c r="G374" i="5"/>
  <c r="J373" i="5"/>
  <c r="I373" i="5"/>
  <c r="K373" i="5" s="1"/>
  <c r="G373" i="5"/>
  <c r="H373" i="5" s="1"/>
  <c r="F373" i="5"/>
  <c r="J372" i="5"/>
  <c r="I372" i="5"/>
  <c r="K372" i="5" s="1"/>
  <c r="G372" i="5"/>
  <c r="H372" i="5" s="1"/>
  <c r="F372" i="5"/>
  <c r="J371" i="5"/>
  <c r="I371" i="5"/>
  <c r="K371" i="5" s="1"/>
  <c r="G371" i="5"/>
  <c r="H371" i="5" s="1"/>
  <c r="F371" i="5"/>
  <c r="K369" i="5"/>
  <c r="L369" i="5" s="1"/>
  <c r="M369" i="5" s="1"/>
  <c r="I369" i="5"/>
  <c r="H369" i="5"/>
  <c r="J368" i="5"/>
  <c r="K368" i="5" s="1"/>
  <c r="G368" i="5"/>
  <c r="H368" i="5" s="1"/>
  <c r="F368" i="5"/>
  <c r="K367" i="5"/>
  <c r="L367" i="5" s="1"/>
  <c r="M367" i="5" s="1"/>
  <c r="J367" i="5"/>
  <c r="H367" i="5"/>
  <c r="G367" i="5"/>
  <c r="K365" i="5"/>
  <c r="L365" i="5" s="1"/>
  <c r="M365" i="5" s="1"/>
  <c r="J365" i="5"/>
  <c r="H365" i="5"/>
  <c r="G365" i="5"/>
  <c r="K364" i="5"/>
  <c r="L364" i="5" s="1"/>
  <c r="M364" i="5" s="1"/>
  <c r="J364" i="5"/>
  <c r="H364" i="5"/>
  <c r="G364" i="5"/>
  <c r="K362" i="5"/>
  <c r="L362" i="5" s="1"/>
  <c r="M362" i="5" s="1"/>
  <c r="J362" i="5"/>
  <c r="H362" i="5"/>
  <c r="G362" i="5"/>
  <c r="K361" i="5"/>
  <c r="L361" i="5" s="1"/>
  <c r="M361" i="5" s="1"/>
  <c r="H361" i="5"/>
  <c r="K360" i="5"/>
  <c r="L360" i="5" s="1"/>
  <c r="M360" i="5" s="1"/>
  <c r="I360" i="5"/>
  <c r="H360" i="5"/>
  <c r="F360" i="5"/>
  <c r="K359" i="5"/>
  <c r="L359" i="5" s="1"/>
  <c r="M359" i="5" s="1"/>
  <c r="J359" i="5"/>
  <c r="H359" i="5"/>
  <c r="G359" i="5"/>
  <c r="K358" i="5"/>
  <c r="L358" i="5" s="1"/>
  <c r="M358" i="5" s="1"/>
  <c r="J358" i="5"/>
  <c r="H358" i="5"/>
  <c r="G358" i="5"/>
  <c r="K357" i="5"/>
  <c r="L357" i="5" s="1"/>
  <c r="M357" i="5" s="1"/>
  <c r="J357" i="5"/>
  <c r="H357" i="5"/>
  <c r="G357" i="5"/>
  <c r="K356" i="5"/>
  <c r="L356" i="5" s="1"/>
  <c r="M356" i="5" s="1"/>
  <c r="J356" i="5"/>
  <c r="H356" i="5"/>
  <c r="G356" i="5"/>
  <c r="I355" i="5"/>
  <c r="J355" i="5" s="1"/>
  <c r="K355" i="5" s="1"/>
  <c r="F355" i="5"/>
  <c r="G355" i="5" s="1"/>
  <c r="H355" i="5" s="1"/>
  <c r="K353" i="5"/>
  <c r="L353" i="5" s="1"/>
  <c r="M353" i="5" s="1"/>
  <c r="J353" i="5"/>
  <c r="H353" i="5"/>
  <c r="G353" i="5"/>
  <c r="K352" i="5"/>
  <c r="L352" i="5" s="1"/>
  <c r="M352" i="5" s="1"/>
  <c r="J352" i="5"/>
  <c r="H352" i="5"/>
  <c r="L351" i="5"/>
  <c r="M351" i="5" s="1"/>
  <c r="J351" i="5"/>
  <c r="G351" i="5"/>
  <c r="J350" i="5"/>
  <c r="K349" i="5"/>
  <c r="L349" i="5" s="1"/>
  <c r="M349" i="5" s="1"/>
  <c r="J349" i="5"/>
  <c r="H349" i="5"/>
  <c r="G349" i="5"/>
  <c r="K348" i="5"/>
  <c r="L348" i="5" s="1"/>
  <c r="M348" i="5" s="1"/>
  <c r="J348" i="5"/>
  <c r="H348" i="5"/>
  <c r="H354" i="5" s="1"/>
  <c r="L323" i="5"/>
  <c r="K319" i="5"/>
  <c r="J319" i="5"/>
  <c r="I319" i="5"/>
  <c r="G319" i="5"/>
  <c r="H319" i="5" s="1"/>
  <c r="J318" i="5"/>
  <c r="K318" i="5" s="1"/>
  <c r="I318" i="5"/>
  <c r="G318" i="5"/>
  <c r="H318" i="5" s="1"/>
  <c r="J317" i="5"/>
  <c r="I317" i="5"/>
  <c r="G317" i="5"/>
  <c r="H317" i="5" s="1"/>
  <c r="F317" i="5"/>
  <c r="J316" i="5"/>
  <c r="K316" i="5" s="1"/>
  <c r="I316" i="5"/>
  <c r="H316" i="5"/>
  <c r="G316" i="5"/>
  <c r="F316" i="5"/>
  <c r="J315" i="5"/>
  <c r="I315" i="5"/>
  <c r="I299" i="5" s="1"/>
  <c r="J299" i="5" s="1"/>
  <c r="K299" i="5" s="1"/>
  <c r="G315" i="5"/>
  <c r="H315" i="5" s="1"/>
  <c r="F315" i="5"/>
  <c r="I313" i="5"/>
  <c r="K313" i="5" s="1"/>
  <c r="L313" i="5" s="1"/>
  <c r="M313" i="5" s="1"/>
  <c r="H313" i="5"/>
  <c r="J312" i="5"/>
  <c r="K312" i="5" s="1"/>
  <c r="L312" i="5" s="1"/>
  <c r="M312" i="5" s="1"/>
  <c r="H312" i="5"/>
  <c r="G312" i="5"/>
  <c r="F312" i="5"/>
  <c r="J311" i="5"/>
  <c r="K311" i="5" s="1"/>
  <c r="H311" i="5"/>
  <c r="G311" i="5"/>
  <c r="K309" i="5"/>
  <c r="L309" i="5" s="1"/>
  <c r="M309" i="5" s="1"/>
  <c r="J309" i="5"/>
  <c r="G309" i="5"/>
  <c r="H309" i="5" s="1"/>
  <c r="J308" i="5"/>
  <c r="K308" i="5" s="1"/>
  <c r="L308" i="5" s="1"/>
  <c r="M308" i="5" s="1"/>
  <c r="H308" i="5"/>
  <c r="G308" i="5"/>
  <c r="K306" i="5"/>
  <c r="J306" i="5"/>
  <c r="G306" i="5"/>
  <c r="H306" i="5" s="1"/>
  <c r="M305" i="5"/>
  <c r="L305" i="5"/>
  <c r="K305" i="5"/>
  <c r="H305" i="5"/>
  <c r="I304" i="5"/>
  <c r="K304" i="5" s="1"/>
  <c r="F304" i="5"/>
  <c r="H304" i="5" s="1"/>
  <c r="K303" i="5"/>
  <c r="L303" i="5" s="1"/>
  <c r="M303" i="5" s="1"/>
  <c r="J303" i="5"/>
  <c r="G303" i="5"/>
  <c r="H303" i="5" s="1"/>
  <c r="J302" i="5"/>
  <c r="K302" i="5" s="1"/>
  <c r="L302" i="5" s="1"/>
  <c r="M302" i="5" s="1"/>
  <c r="H302" i="5"/>
  <c r="G302" i="5"/>
  <c r="K301" i="5"/>
  <c r="J301" i="5"/>
  <c r="G301" i="5"/>
  <c r="H301" i="5" s="1"/>
  <c r="J300" i="5"/>
  <c r="K300" i="5" s="1"/>
  <c r="L300" i="5" s="1"/>
  <c r="M300" i="5" s="1"/>
  <c r="H300" i="5"/>
  <c r="G300" i="5"/>
  <c r="F299" i="5"/>
  <c r="G299" i="5" s="1"/>
  <c r="H299" i="5" s="1"/>
  <c r="K297" i="5"/>
  <c r="J297" i="5"/>
  <c r="G297" i="5"/>
  <c r="H297" i="5" s="1"/>
  <c r="J296" i="5"/>
  <c r="K296" i="5" s="1"/>
  <c r="L296" i="5" s="1"/>
  <c r="M296" i="5" s="1"/>
  <c r="H296" i="5"/>
  <c r="M295" i="5"/>
  <c r="L295" i="5"/>
  <c r="J295" i="5"/>
  <c r="G295" i="5"/>
  <c r="J294" i="5"/>
  <c r="K293" i="5"/>
  <c r="L293" i="5" s="1"/>
  <c r="M293" i="5" s="1"/>
  <c r="J293" i="5"/>
  <c r="G293" i="5"/>
  <c r="H293" i="5" s="1"/>
  <c r="J292" i="5"/>
  <c r="K292" i="5" s="1"/>
  <c r="H292" i="5"/>
  <c r="H298" i="5" s="1"/>
  <c r="L267" i="5"/>
  <c r="K263" i="5"/>
  <c r="L263" i="5" s="1"/>
  <c r="M263" i="5" s="1"/>
  <c r="J263" i="5"/>
  <c r="I263" i="5"/>
  <c r="G263" i="5"/>
  <c r="H263" i="5" s="1"/>
  <c r="J262" i="5"/>
  <c r="K262" i="5" s="1"/>
  <c r="L262" i="5" s="1"/>
  <c r="M262" i="5" s="1"/>
  <c r="I262" i="5"/>
  <c r="H262" i="5"/>
  <c r="G262" i="5"/>
  <c r="J261" i="5"/>
  <c r="I261" i="5"/>
  <c r="K261" i="5" s="1"/>
  <c r="G261" i="5"/>
  <c r="F261" i="5"/>
  <c r="J260" i="5"/>
  <c r="I260" i="5"/>
  <c r="K260" i="5" s="1"/>
  <c r="G260" i="5"/>
  <c r="F260" i="5"/>
  <c r="J259" i="5"/>
  <c r="I259" i="5"/>
  <c r="K259" i="5" s="1"/>
  <c r="G259" i="5"/>
  <c r="F259" i="5"/>
  <c r="F243" i="5" s="1"/>
  <c r="G243" i="5" s="1"/>
  <c r="H243" i="5" s="1"/>
  <c r="K257" i="5"/>
  <c r="L257" i="5" s="1"/>
  <c r="M257" i="5" s="1"/>
  <c r="I257" i="5"/>
  <c r="H257" i="5"/>
  <c r="J256" i="5"/>
  <c r="K256" i="5" s="1"/>
  <c r="G256" i="5"/>
  <c r="H256" i="5" s="1"/>
  <c r="F256" i="5"/>
  <c r="K255" i="5"/>
  <c r="L255" i="5" s="1"/>
  <c r="M255" i="5" s="1"/>
  <c r="J255" i="5"/>
  <c r="H255" i="5"/>
  <c r="G255" i="5"/>
  <c r="K253" i="5"/>
  <c r="L253" i="5" s="1"/>
  <c r="M253" i="5" s="1"/>
  <c r="J253" i="5"/>
  <c r="H253" i="5"/>
  <c r="G253" i="5"/>
  <c r="K252" i="5"/>
  <c r="L252" i="5" s="1"/>
  <c r="M252" i="5" s="1"/>
  <c r="J252" i="5"/>
  <c r="H252" i="5"/>
  <c r="G252" i="5"/>
  <c r="K250" i="5"/>
  <c r="L250" i="5" s="1"/>
  <c r="M250" i="5" s="1"/>
  <c r="J250" i="5"/>
  <c r="H250" i="5"/>
  <c r="G250" i="5"/>
  <c r="K249" i="5"/>
  <c r="L249" i="5" s="1"/>
  <c r="M249" i="5" s="1"/>
  <c r="H249" i="5"/>
  <c r="I248" i="5"/>
  <c r="K248" i="5" s="1"/>
  <c r="L248" i="5" s="1"/>
  <c r="M248" i="5" s="1"/>
  <c r="F248" i="5"/>
  <c r="H248" i="5" s="1"/>
  <c r="K247" i="5"/>
  <c r="L247" i="5" s="1"/>
  <c r="M247" i="5" s="1"/>
  <c r="J247" i="5"/>
  <c r="H247" i="5"/>
  <c r="G247" i="5"/>
  <c r="K246" i="5"/>
  <c r="L246" i="5" s="1"/>
  <c r="M246" i="5" s="1"/>
  <c r="J246" i="5"/>
  <c r="H246" i="5"/>
  <c r="G246" i="5"/>
  <c r="K245" i="5"/>
  <c r="L245" i="5" s="1"/>
  <c r="M245" i="5" s="1"/>
  <c r="J245" i="5"/>
  <c r="H245" i="5"/>
  <c r="G245" i="5"/>
  <c r="K244" i="5"/>
  <c r="L244" i="5" s="1"/>
  <c r="M244" i="5" s="1"/>
  <c r="J244" i="5"/>
  <c r="H244" i="5"/>
  <c r="G244" i="5"/>
  <c r="K241" i="5"/>
  <c r="L241" i="5" s="1"/>
  <c r="M241" i="5" s="1"/>
  <c r="J241" i="5"/>
  <c r="H241" i="5"/>
  <c r="G241" i="5"/>
  <c r="K240" i="5"/>
  <c r="L240" i="5" s="1"/>
  <c r="M240" i="5" s="1"/>
  <c r="J240" i="5"/>
  <c r="H240" i="5"/>
  <c r="L239" i="5"/>
  <c r="M239" i="5" s="1"/>
  <c r="J239" i="5"/>
  <c r="G239" i="5"/>
  <c r="J238" i="5"/>
  <c r="K237" i="5"/>
  <c r="L237" i="5" s="1"/>
  <c r="M237" i="5" s="1"/>
  <c r="J237" i="5"/>
  <c r="H237" i="5"/>
  <c r="G237" i="5"/>
  <c r="K236" i="5"/>
  <c r="L236" i="5" s="1"/>
  <c r="M236" i="5" s="1"/>
  <c r="J236" i="5"/>
  <c r="H236" i="5"/>
  <c r="H242" i="5" s="1"/>
  <c r="L211" i="5"/>
  <c r="J207" i="5"/>
  <c r="K207" i="5" s="1"/>
  <c r="I207" i="5"/>
  <c r="G207" i="5"/>
  <c r="H207" i="5" s="1"/>
  <c r="J206" i="5"/>
  <c r="K206" i="5" s="1"/>
  <c r="I206" i="5"/>
  <c r="H206" i="5"/>
  <c r="G206" i="5"/>
  <c r="K205" i="5"/>
  <c r="J205" i="5"/>
  <c r="I205" i="5"/>
  <c r="G205" i="5"/>
  <c r="H205" i="5" s="1"/>
  <c r="L205" i="5" s="1"/>
  <c r="M205" i="5" s="1"/>
  <c r="F205" i="5"/>
  <c r="J204" i="5"/>
  <c r="I204" i="5"/>
  <c r="K204" i="5" s="1"/>
  <c r="G204" i="5"/>
  <c r="H204" i="5" s="1"/>
  <c r="F204" i="5"/>
  <c r="K203" i="5"/>
  <c r="J203" i="5"/>
  <c r="I203" i="5"/>
  <c r="G203" i="5"/>
  <c r="F203" i="5"/>
  <c r="K201" i="5"/>
  <c r="L201" i="5" s="1"/>
  <c r="M201" i="5" s="1"/>
  <c r="I201" i="5"/>
  <c r="H201" i="5"/>
  <c r="K200" i="5"/>
  <c r="J200" i="5"/>
  <c r="G200" i="5"/>
  <c r="H200" i="5" s="1"/>
  <c r="L200" i="5" s="1"/>
  <c r="M200" i="5" s="1"/>
  <c r="F200" i="5"/>
  <c r="K199" i="5"/>
  <c r="L199" i="5" s="1"/>
  <c r="M199" i="5" s="1"/>
  <c r="J199" i="5"/>
  <c r="G199" i="5"/>
  <c r="H199" i="5" s="1"/>
  <c r="J197" i="5"/>
  <c r="K197" i="5" s="1"/>
  <c r="L197" i="5" s="1"/>
  <c r="M197" i="5" s="1"/>
  <c r="H197" i="5"/>
  <c r="G197" i="5"/>
  <c r="K196" i="5"/>
  <c r="J196" i="5"/>
  <c r="G196" i="5"/>
  <c r="H196" i="5" s="1"/>
  <c r="J194" i="5"/>
  <c r="K194" i="5" s="1"/>
  <c r="L194" i="5" s="1"/>
  <c r="M194" i="5" s="1"/>
  <c r="H194" i="5"/>
  <c r="G194" i="5"/>
  <c r="K193" i="5"/>
  <c r="L193" i="5" s="1"/>
  <c r="M193" i="5" s="1"/>
  <c r="H193" i="5"/>
  <c r="I192" i="5"/>
  <c r="K192" i="5" s="1"/>
  <c r="F192" i="5"/>
  <c r="H192" i="5" s="1"/>
  <c r="J191" i="5"/>
  <c r="K191" i="5" s="1"/>
  <c r="G191" i="5"/>
  <c r="H191" i="5" s="1"/>
  <c r="J190" i="5"/>
  <c r="K190" i="5" s="1"/>
  <c r="G190" i="5"/>
  <c r="H190" i="5" s="1"/>
  <c r="J189" i="5"/>
  <c r="K189" i="5" s="1"/>
  <c r="G189" i="5"/>
  <c r="H189" i="5" s="1"/>
  <c r="J188" i="5"/>
  <c r="K188" i="5" s="1"/>
  <c r="G188" i="5"/>
  <c r="H188" i="5" s="1"/>
  <c r="J187" i="5"/>
  <c r="K187" i="5" s="1"/>
  <c r="I187" i="5"/>
  <c r="F187" i="5"/>
  <c r="G187" i="5" s="1"/>
  <c r="H187" i="5" s="1"/>
  <c r="J185" i="5"/>
  <c r="K185" i="5" s="1"/>
  <c r="G185" i="5"/>
  <c r="H185" i="5" s="1"/>
  <c r="J184" i="5"/>
  <c r="K184" i="5" s="1"/>
  <c r="L184" i="5" s="1"/>
  <c r="M184" i="5" s="1"/>
  <c r="H184" i="5"/>
  <c r="M183" i="5"/>
  <c r="L183" i="5"/>
  <c r="J183" i="5"/>
  <c r="G183" i="5"/>
  <c r="J182" i="5"/>
  <c r="G182" i="5"/>
  <c r="K181" i="5"/>
  <c r="L181" i="5" s="1"/>
  <c r="M181" i="5" s="1"/>
  <c r="J181" i="5"/>
  <c r="H181" i="5"/>
  <c r="G181" i="5"/>
  <c r="K180" i="5"/>
  <c r="L180" i="5" s="1"/>
  <c r="M180" i="5" s="1"/>
  <c r="J180" i="5"/>
  <c r="H180" i="5"/>
  <c r="L155" i="5"/>
  <c r="J151" i="5"/>
  <c r="I151" i="5"/>
  <c r="K151" i="5" s="1"/>
  <c r="G151" i="5"/>
  <c r="H151" i="5" s="1"/>
  <c r="J150" i="5"/>
  <c r="K150" i="5" s="1"/>
  <c r="I150" i="5"/>
  <c r="H150" i="5"/>
  <c r="G150" i="5"/>
  <c r="J149" i="5"/>
  <c r="I149" i="5"/>
  <c r="K149" i="5" s="1"/>
  <c r="G149" i="5"/>
  <c r="F149" i="5"/>
  <c r="J148" i="5"/>
  <c r="I148" i="5"/>
  <c r="K148" i="5" s="1"/>
  <c r="L148" i="5" s="1"/>
  <c r="M148" i="5" s="1"/>
  <c r="G148" i="5"/>
  <c r="H148" i="5" s="1"/>
  <c r="F148" i="5"/>
  <c r="K147" i="5"/>
  <c r="J147" i="5"/>
  <c r="I147" i="5"/>
  <c r="G147" i="5"/>
  <c r="F147" i="5"/>
  <c r="K145" i="5"/>
  <c r="L145" i="5" s="1"/>
  <c r="M145" i="5" s="1"/>
  <c r="I145" i="5"/>
  <c r="H145" i="5"/>
  <c r="J144" i="5"/>
  <c r="K144" i="5" s="1"/>
  <c r="G144" i="5"/>
  <c r="H144" i="5" s="1"/>
  <c r="F144" i="5"/>
  <c r="K143" i="5"/>
  <c r="L143" i="5" s="1"/>
  <c r="M143" i="5" s="1"/>
  <c r="J143" i="5"/>
  <c r="H143" i="5"/>
  <c r="G143" i="5"/>
  <c r="K141" i="5"/>
  <c r="L141" i="5" s="1"/>
  <c r="M141" i="5" s="1"/>
  <c r="J141" i="5"/>
  <c r="H141" i="5"/>
  <c r="G141" i="5"/>
  <c r="K140" i="5"/>
  <c r="L140" i="5" s="1"/>
  <c r="M140" i="5" s="1"/>
  <c r="J140" i="5"/>
  <c r="H140" i="5"/>
  <c r="G140" i="5"/>
  <c r="K138" i="5"/>
  <c r="L138" i="5" s="1"/>
  <c r="M138" i="5" s="1"/>
  <c r="J138" i="5"/>
  <c r="H138" i="5"/>
  <c r="G138" i="5"/>
  <c r="K137" i="5"/>
  <c r="L137" i="5" s="1"/>
  <c r="M137" i="5" s="1"/>
  <c r="H137" i="5"/>
  <c r="I136" i="5"/>
  <c r="K136" i="5" s="1"/>
  <c r="L136" i="5" s="1"/>
  <c r="M136" i="5" s="1"/>
  <c r="F136" i="5"/>
  <c r="H136" i="5" s="1"/>
  <c r="K135" i="5"/>
  <c r="L135" i="5" s="1"/>
  <c r="M135" i="5" s="1"/>
  <c r="J135" i="5"/>
  <c r="H135" i="5"/>
  <c r="G135" i="5"/>
  <c r="K134" i="5"/>
  <c r="L134" i="5" s="1"/>
  <c r="M134" i="5" s="1"/>
  <c r="J134" i="5"/>
  <c r="H134" i="5"/>
  <c r="G134" i="5"/>
  <c r="K133" i="5"/>
  <c r="L133" i="5" s="1"/>
  <c r="M133" i="5" s="1"/>
  <c r="J133" i="5"/>
  <c r="H133" i="5"/>
  <c r="G133" i="5"/>
  <c r="K132" i="5"/>
  <c r="L132" i="5" s="1"/>
  <c r="M132" i="5" s="1"/>
  <c r="J132" i="5"/>
  <c r="H132" i="5"/>
  <c r="G132" i="5"/>
  <c r="I131" i="5"/>
  <c r="J131" i="5" s="1"/>
  <c r="K131" i="5" s="1"/>
  <c r="G131" i="5"/>
  <c r="H131" i="5" s="1"/>
  <c r="F131" i="5"/>
  <c r="K129" i="5"/>
  <c r="L129" i="5" s="1"/>
  <c r="M129" i="5" s="1"/>
  <c r="J129" i="5"/>
  <c r="H129" i="5"/>
  <c r="G129" i="5"/>
  <c r="K128" i="5"/>
  <c r="L128" i="5" s="1"/>
  <c r="M128" i="5" s="1"/>
  <c r="J128" i="5"/>
  <c r="H128" i="5"/>
  <c r="L127" i="5"/>
  <c r="M127" i="5" s="1"/>
  <c r="J127" i="5"/>
  <c r="G127" i="5"/>
  <c r="J126" i="5"/>
  <c r="G126" i="5"/>
  <c r="J125" i="5"/>
  <c r="K125" i="5" s="1"/>
  <c r="G125" i="5"/>
  <c r="H125" i="5" s="1"/>
  <c r="J124" i="5"/>
  <c r="K124" i="5" s="1"/>
  <c r="H124" i="5"/>
  <c r="H130" i="5" s="1"/>
  <c r="J95" i="5"/>
  <c r="I95" i="5"/>
  <c r="K95" i="5" s="1"/>
  <c r="L95" i="5" s="1"/>
  <c r="M95" i="5" s="1"/>
  <c r="G95" i="5"/>
  <c r="H95" i="5" s="1"/>
  <c r="J94" i="5"/>
  <c r="K94" i="5" s="1"/>
  <c r="L94" i="5" s="1"/>
  <c r="M94" i="5" s="1"/>
  <c r="I94" i="5"/>
  <c r="H94" i="5"/>
  <c r="G94" i="5"/>
  <c r="J93" i="5"/>
  <c r="I93" i="5"/>
  <c r="K93" i="5" s="1"/>
  <c r="L93" i="5" s="1"/>
  <c r="M93" i="5" s="1"/>
  <c r="G93" i="5"/>
  <c r="H93" i="5" s="1"/>
  <c r="F93" i="5"/>
  <c r="K92" i="5"/>
  <c r="J92" i="5"/>
  <c r="I92" i="5"/>
  <c r="G92" i="5"/>
  <c r="F92" i="5"/>
  <c r="F75" i="5" s="1"/>
  <c r="G75" i="5" s="1"/>
  <c r="H75" i="5" s="1"/>
  <c r="K91" i="5"/>
  <c r="J91" i="5"/>
  <c r="I91" i="5"/>
  <c r="G91" i="5"/>
  <c r="H91" i="5" s="1"/>
  <c r="F91" i="5"/>
  <c r="K89" i="5"/>
  <c r="L89" i="5" s="1"/>
  <c r="M89" i="5" s="1"/>
  <c r="I89" i="5"/>
  <c r="H89" i="5"/>
  <c r="J88" i="5"/>
  <c r="K88" i="5" s="1"/>
  <c r="L88" i="5" s="1"/>
  <c r="M88" i="5" s="1"/>
  <c r="G88" i="5"/>
  <c r="H88" i="5" s="1"/>
  <c r="F88" i="5"/>
  <c r="K87" i="5"/>
  <c r="J87" i="5"/>
  <c r="H87" i="5"/>
  <c r="G87" i="5"/>
  <c r="K85" i="5"/>
  <c r="L85" i="5" s="1"/>
  <c r="M85" i="5" s="1"/>
  <c r="J85" i="5"/>
  <c r="H85" i="5"/>
  <c r="G85" i="5"/>
  <c r="K84" i="5"/>
  <c r="L84" i="5" s="1"/>
  <c r="M84" i="5" s="1"/>
  <c r="J84" i="5"/>
  <c r="H84" i="5"/>
  <c r="G84" i="5"/>
  <c r="K82" i="5"/>
  <c r="L82" i="5" s="1"/>
  <c r="M82" i="5" s="1"/>
  <c r="J82" i="5"/>
  <c r="H82" i="5"/>
  <c r="G82" i="5"/>
  <c r="K81" i="5"/>
  <c r="L81" i="5" s="1"/>
  <c r="M81" i="5" s="1"/>
  <c r="H81" i="5"/>
  <c r="K80" i="5"/>
  <c r="I80" i="5"/>
  <c r="H80" i="5"/>
  <c r="F80" i="5"/>
  <c r="K79" i="5"/>
  <c r="L79" i="5" s="1"/>
  <c r="M79" i="5" s="1"/>
  <c r="J79" i="5"/>
  <c r="H79" i="5"/>
  <c r="G79" i="5"/>
  <c r="K78" i="5"/>
  <c r="L78" i="5" s="1"/>
  <c r="M78" i="5" s="1"/>
  <c r="J78" i="5"/>
  <c r="H78" i="5"/>
  <c r="G78" i="5"/>
  <c r="K77" i="5"/>
  <c r="L77" i="5" s="1"/>
  <c r="M77" i="5" s="1"/>
  <c r="J77" i="5"/>
  <c r="H77" i="5"/>
  <c r="G77" i="5"/>
  <c r="K76" i="5"/>
  <c r="L76" i="5" s="1"/>
  <c r="M76" i="5" s="1"/>
  <c r="J76" i="5"/>
  <c r="H76" i="5"/>
  <c r="G76" i="5"/>
  <c r="I75" i="5"/>
  <c r="J75" i="5" s="1"/>
  <c r="K75" i="5" s="1"/>
  <c r="J73" i="5"/>
  <c r="K73" i="5" s="1"/>
  <c r="L73" i="5" s="1"/>
  <c r="M73" i="5" s="1"/>
  <c r="H73" i="5"/>
  <c r="G73" i="5"/>
  <c r="K72" i="5"/>
  <c r="L72" i="5" s="1"/>
  <c r="M72" i="5" s="1"/>
  <c r="J72" i="5"/>
  <c r="H72" i="5"/>
  <c r="L71" i="5"/>
  <c r="M71" i="5" s="1"/>
  <c r="J71" i="5"/>
  <c r="G71" i="5"/>
  <c r="J70" i="5"/>
  <c r="G70" i="5"/>
  <c r="J69" i="5"/>
  <c r="K69" i="5" s="1"/>
  <c r="G69" i="5"/>
  <c r="H69" i="5" s="1"/>
  <c r="J68" i="5"/>
  <c r="K68" i="5" s="1"/>
  <c r="H68" i="5"/>
  <c r="K39" i="5"/>
  <c r="L39" i="5" s="1"/>
  <c r="M39" i="5" s="1"/>
  <c r="J39" i="5"/>
  <c r="I39" i="5"/>
  <c r="G39" i="5"/>
  <c r="H39" i="5" s="1"/>
  <c r="J38" i="5"/>
  <c r="K38" i="5" s="1"/>
  <c r="L38" i="5" s="1"/>
  <c r="M38" i="5" s="1"/>
  <c r="I38" i="5"/>
  <c r="H38" i="5"/>
  <c r="G38" i="5"/>
  <c r="J37" i="5"/>
  <c r="I37" i="5"/>
  <c r="K37" i="5" s="1"/>
  <c r="G37" i="5"/>
  <c r="F37" i="5"/>
  <c r="J36" i="5"/>
  <c r="I36" i="5"/>
  <c r="K36" i="5" s="1"/>
  <c r="G36" i="5"/>
  <c r="F36" i="5"/>
  <c r="J35" i="5"/>
  <c r="I35" i="5"/>
  <c r="K35" i="5" s="1"/>
  <c r="G35" i="5"/>
  <c r="F35" i="5"/>
  <c r="F19" i="5" s="1"/>
  <c r="G19" i="5" s="1"/>
  <c r="H19" i="5" s="1"/>
  <c r="K33" i="5"/>
  <c r="L33" i="5" s="1"/>
  <c r="M33" i="5" s="1"/>
  <c r="I33" i="5"/>
  <c r="H33" i="5"/>
  <c r="J32" i="5"/>
  <c r="K32" i="5" s="1"/>
  <c r="G32" i="5"/>
  <c r="H32" i="5" s="1"/>
  <c r="F32" i="5"/>
  <c r="K31" i="5"/>
  <c r="L31" i="5" s="1"/>
  <c r="M31" i="5" s="1"/>
  <c r="J31" i="5"/>
  <c r="H31" i="5"/>
  <c r="G31" i="5"/>
  <c r="K29" i="5"/>
  <c r="L29" i="5" s="1"/>
  <c r="M29" i="5" s="1"/>
  <c r="J29" i="5"/>
  <c r="H29" i="5"/>
  <c r="G29" i="5"/>
  <c r="K28" i="5"/>
  <c r="L28" i="5" s="1"/>
  <c r="M28" i="5" s="1"/>
  <c r="J28" i="5"/>
  <c r="H28" i="5"/>
  <c r="G28" i="5"/>
  <c r="K26" i="5"/>
  <c r="L26" i="5" s="1"/>
  <c r="M26" i="5" s="1"/>
  <c r="J26" i="5"/>
  <c r="H26" i="5"/>
  <c r="G26" i="5"/>
  <c r="K25" i="5"/>
  <c r="L25" i="5" s="1"/>
  <c r="M25" i="5" s="1"/>
  <c r="H25" i="5"/>
  <c r="I24" i="5"/>
  <c r="K24" i="5" s="1"/>
  <c r="H24" i="5"/>
  <c r="F24" i="5"/>
  <c r="K23" i="5"/>
  <c r="J23" i="5"/>
  <c r="G23" i="5"/>
  <c r="H23" i="5" s="1"/>
  <c r="J22" i="5"/>
  <c r="K22" i="5" s="1"/>
  <c r="L22" i="5" s="1"/>
  <c r="M22" i="5" s="1"/>
  <c r="H22" i="5"/>
  <c r="G22" i="5"/>
  <c r="K21" i="5"/>
  <c r="L21" i="5" s="1"/>
  <c r="M21" i="5" s="1"/>
  <c r="J21" i="5"/>
  <c r="G21" i="5"/>
  <c r="H21" i="5" s="1"/>
  <c r="J20" i="5"/>
  <c r="K20" i="5" s="1"/>
  <c r="L20" i="5" s="1"/>
  <c r="M20" i="5" s="1"/>
  <c r="H20" i="5"/>
  <c r="G20" i="5"/>
  <c r="K17" i="5"/>
  <c r="L17" i="5" s="1"/>
  <c r="M17" i="5" s="1"/>
  <c r="J17" i="5"/>
  <c r="G17" i="5"/>
  <c r="H17" i="5" s="1"/>
  <c r="J16" i="5"/>
  <c r="K16" i="5" s="1"/>
  <c r="L16" i="5" s="1"/>
  <c r="M16" i="5" s="1"/>
  <c r="H16" i="5"/>
  <c r="L15" i="5"/>
  <c r="M15" i="5" s="1"/>
  <c r="J15" i="5"/>
  <c r="G15" i="5"/>
  <c r="J14" i="5"/>
  <c r="G14" i="5"/>
  <c r="J13" i="5"/>
  <c r="K13" i="5" s="1"/>
  <c r="G13" i="5"/>
  <c r="H13" i="5" s="1"/>
  <c r="J12" i="5"/>
  <c r="K12" i="5" s="1"/>
  <c r="H12" i="5"/>
  <c r="L204" i="5" l="1"/>
  <c r="M204" i="5" s="1"/>
  <c r="L37" i="5"/>
  <c r="M37" i="5" s="1"/>
  <c r="L304" i="5"/>
  <c r="M304" i="5" s="1"/>
  <c r="L316" i="5"/>
  <c r="M316" i="5" s="1"/>
  <c r="L24" i="5"/>
  <c r="M24" i="5" s="1"/>
  <c r="H92" i="5"/>
  <c r="L92" i="5" s="1"/>
  <c r="M92" i="5" s="1"/>
  <c r="H147" i="5"/>
  <c r="H259" i="5"/>
  <c r="L259" i="5" s="1"/>
  <c r="M259" i="5" s="1"/>
  <c r="H260" i="5"/>
  <c r="L260" i="5" s="1"/>
  <c r="M260" i="5" s="1"/>
  <c r="H261" i="5"/>
  <c r="K317" i="5"/>
  <c r="L317" i="5" s="1"/>
  <c r="M317" i="5" s="1"/>
  <c r="L80" i="5"/>
  <c r="M80" i="5" s="1"/>
  <c r="L187" i="5"/>
  <c r="M187" i="5" s="1"/>
  <c r="L355" i="5"/>
  <c r="M355" i="5" s="1"/>
  <c r="H35" i="5"/>
  <c r="L35" i="5" s="1"/>
  <c r="M35" i="5" s="1"/>
  <c r="H36" i="5"/>
  <c r="L36" i="5" s="1"/>
  <c r="M36" i="5" s="1"/>
  <c r="H37" i="5"/>
  <c r="L91" i="5"/>
  <c r="M91" i="5" s="1"/>
  <c r="H149" i="5"/>
  <c r="L149" i="5" s="1"/>
  <c r="M149" i="5" s="1"/>
  <c r="H203" i="5"/>
  <c r="L203" i="5" s="1"/>
  <c r="M203" i="5" s="1"/>
  <c r="I243" i="5"/>
  <c r="J243" i="5" s="1"/>
  <c r="K243" i="5" s="1"/>
  <c r="L243" i="5" s="1"/>
  <c r="M243" i="5" s="1"/>
  <c r="K315" i="5"/>
  <c r="L315" i="5" s="1"/>
  <c r="M315" i="5" s="1"/>
  <c r="L374" i="5"/>
  <c r="M374" i="5" s="1"/>
  <c r="L371" i="5"/>
  <c r="M371" i="5" s="1"/>
  <c r="L372" i="5"/>
  <c r="M372" i="5" s="1"/>
  <c r="L373" i="5"/>
  <c r="M373" i="5" s="1"/>
  <c r="H363" i="5"/>
  <c r="L368" i="5"/>
  <c r="M368" i="5" s="1"/>
  <c r="K354" i="5"/>
  <c r="L375" i="5"/>
  <c r="M375" i="5" s="1"/>
  <c r="L292" i="5"/>
  <c r="M292" i="5" s="1"/>
  <c r="K298" i="5"/>
  <c r="L299" i="5"/>
  <c r="M299" i="5" s="1"/>
  <c r="L297" i="5"/>
  <c r="M297" i="5" s="1"/>
  <c r="L301" i="5"/>
  <c r="M301" i="5" s="1"/>
  <c r="L306" i="5"/>
  <c r="M306" i="5" s="1"/>
  <c r="L311" i="5"/>
  <c r="M311" i="5" s="1"/>
  <c r="L318" i="5"/>
  <c r="M318" i="5" s="1"/>
  <c r="L319" i="5"/>
  <c r="M319" i="5" s="1"/>
  <c r="H307" i="5"/>
  <c r="L261" i="5"/>
  <c r="M261" i="5" s="1"/>
  <c r="H251" i="5"/>
  <c r="L256" i="5"/>
  <c r="M256" i="5" s="1"/>
  <c r="K242" i="5"/>
  <c r="L207" i="5"/>
  <c r="M207" i="5" s="1"/>
  <c r="L189" i="5"/>
  <c r="M189" i="5" s="1"/>
  <c r="L191" i="5"/>
  <c r="M191" i="5" s="1"/>
  <c r="H186" i="5"/>
  <c r="L185" i="5"/>
  <c r="M185" i="5" s="1"/>
  <c r="L206" i="5"/>
  <c r="M206" i="5" s="1"/>
  <c r="L188" i="5"/>
  <c r="M188" i="5" s="1"/>
  <c r="L190" i="5"/>
  <c r="M190" i="5" s="1"/>
  <c r="L192" i="5"/>
  <c r="M192" i="5" s="1"/>
  <c r="L196" i="5"/>
  <c r="M196" i="5" s="1"/>
  <c r="K186" i="5"/>
  <c r="H139" i="5"/>
  <c r="K130" i="5"/>
  <c r="L124" i="5"/>
  <c r="M124" i="5" s="1"/>
  <c r="L150" i="5"/>
  <c r="M150" i="5" s="1"/>
  <c r="L131" i="5"/>
  <c r="M131" i="5" s="1"/>
  <c r="L125" i="5"/>
  <c r="M125" i="5" s="1"/>
  <c r="L144" i="5"/>
  <c r="M144" i="5" s="1"/>
  <c r="L147" i="5"/>
  <c r="M147" i="5" s="1"/>
  <c r="L151" i="5"/>
  <c r="M151" i="5" s="1"/>
  <c r="L69" i="5"/>
  <c r="M69" i="5" s="1"/>
  <c r="H74" i="5"/>
  <c r="L75" i="5"/>
  <c r="M75" i="5" s="1"/>
  <c r="K74" i="5"/>
  <c r="L68" i="5"/>
  <c r="M68" i="5" s="1"/>
  <c r="L87" i="5"/>
  <c r="M87" i="5" s="1"/>
  <c r="K18" i="5"/>
  <c r="L12" i="5"/>
  <c r="M12" i="5" s="1"/>
  <c r="L13" i="5"/>
  <c r="M13" i="5" s="1"/>
  <c r="L23" i="5"/>
  <c r="M23" i="5" s="1"/>
  <c r="L32" i="5"/>
  <c r="M32" i="5" s="1"/>
  <c r="H18" i="5"/>
  <c r="I19" i="5"/>
  <c r="J19" i="5" s="1"/>
  <c r="K19" i="5" s="1"/>
  <c r="L19" i="5" s="1"/>
  <c r="M19" i="5" s="1"/>
  <c r="L354" i="5" l="1"/>
  <c r="M354" i="5" s="1"/>
  <c r="K363" i="5"/>
  <c r="H366" i="5"/>
  <c r="H310" i="5"/>
  <c r="L298" i="5"/>
  <c r="M298" i="5" s="1"/>
  <c r="K307" i="5"/>
  <c r="H254" i="5"/>
  <c r="L242" i="5"/>
  <c r="M242" i="5" s="1"/>
  <c r="K251" i="5"/>
  <c r="L186" i="5"/>
  <c r="M186" i="5" s="1"/>
  <c r="K195" i="5"/>
  <c r="H195" i="5"/>
  <c r="H142" i="5"/>
  <c r="L130" i="5"/>
  <c r="M130" i="5" s="1"/>
  <c r="K139" i="5"/>
  <c r="L74" i="5"/>
  <c r="K83" i="5"/>
  <c r="H83" i="5"/>
  <c r="M74" i="5"/>
  <c r="H27" i="5"/>
  <c r="L18" i="5"/>
  <c r="M18" i="5" s="1"/>
  <c r="K27" i="5"/>
  <c r="L363" i="5" l="1"/>
  <c r="M363" i="5" s="1"/>
  <c r="K366" i="5"/>
  <c r="H387" i="5"/>
  <c r="H377" i="5"/>
  <c r="H382" i="5"/>
  <c r="L307" i="5"/>
  <c r="M307" i="5" s="1"/>
  <c r="K310" i="5"/>
  <c r="H321" i="5"/>
  <c r="L251" i="5"/>
  <c r="M251" i="5" s="1"/>
  <c r="K254" i="5"/>
  <c r="H265" i="5"/>
  <c r="L195" i="5"/>
  <c r="M195" i="5" s="1"/>
  <c r="K198" i="5"/>
  <c r="H198" i="5"/>
  <c r="H153" i="5"/>
  <c r="H163" i="5"/>
  <c r="H158" i="5"/>
  <c r="L139" i="5"/>
  <c r="M139" i="5" s="1"/>
  <c r="K142" i="5"/>
  <c r="M83" i="5"/>
  <c r="H86" i="5"/>
  <c r="L83" i="5"/>
  <c r="K86" i="5"/>
  <c r="H30" i="5"/>
  <c r="L27" i="5"/>
  <c r="M27" i="5" s="1"/>
  <c r="K30" i="5"/>
  <c r="H385" i="5" l="1"/>
  <c r="H383" i="5"/>
  <c r="L366" i="5"/>
  <c r="M366" i="5" s="1"/>
  <c r="K382" i="5"/>
  <c r="K387" i="5"/>
  <c r="K377" i="5"/>
  <c r="H378" i="5"/>
  <c r="H380" i="5"/>
  <c r="H388" i="5"/>
  <c r="H322" i="5"/>
  <c r="H324" i="5" s="1"/>
  <c r="L310" i="5"/>
  <c r="M310" i="5" s="1"/>
  <c r="K321" i="5"/>
  <c r="L254" i="5"/>
  <c r="M254" i="5" s="1"/>
  <c r="K265" i="5"/>
  <c r="H266" i="5"/>
  <c r="L198" i="5"/>
  <c r="K219" i="5"/>
  <c r="K214" i="5"/>
  <c r="K209" i="5"/>
  <c r="M198" i="5"/>
  <c r="H209" i="5"/>
  <c r="H219" i="5"/>
  <c r="H214" i="5"/>
  <c r="L142" i="5"/>
  <c r="M142" i="5" s="1"/>
  <c r="K153" i="5"/>
  <c r="K158" i="5"/>
  <c r="K163" i="5"/>
  <c r="H154" i="5"/>
  <c r="H159" i="5"/>
  <c r="H164" i="5"/>
  <c r="M86" i="5"/>
  <c r="H97" i="5"/>
  <c r="L86" i="5"/>
  <c r="K97" i="5"/>
  <c r="L30" i="5"/>
  <c r="M30" i="5" s="1"/>
  <c r="K41" i="5"/>
  <c r="H41" i="5"/>
  <c r="L387" i="5" l="1"/>
  <c r="M387" i="5" s="1"/>
  <c r="K388" i="5"/>
  <c r="L388" i="5" s="1"/>
  <c r="L382" i="5"/>
  <c r="M382" i="5" s="1"/>
  <c r="K385" i="5"/>
  <c r="L385" i="5" s="1"/>
  <c r="M385" i="5" s="1"/>
  <c r="K383" i="5"/>
  <c r="L383" i="5" s="1"/>
  <c r="M388" i="5"/>
  <c r="M378" i="5"/>
  <c r="K380" i="5"/>
  <c r="L380" i="5" s="1"/>
  <c r="M380" i="5" s="1"/>
  <c r="L377" i="5"/>
  <c r="M377" i="5" s="1"/>
  <c r="K378" i="5"/>
  <c r="L378" i="5" s="1"/>
  <c r="M383" i="5"/>
  <c r="M324" i="5"/>
  <c r="K322" i="5"/>
  <c r="L322" i="5" s="1"/>
  <c r="K324" i="5"/>
  <c r="L324" i="5" s="1"/>
  <c r="L321" i="5"/>
  <c r="M321" i="5" s="1"/>
  <c r="M322" i="5"/>
  <c r="L265" i="5"/>
  <c r="M265" i="5" s="1"/>
  <c r="K266" i="5"/>
  <c r="L266" i="5" s="1"/>
  <c r="M266" i="5" s="1"/>
  <c r="H268" i="5"/>
  <c r="L219" i="5"/>
  <c r="K220" i="5"/>
  <c r="K222" i="5" s="1"/>
  <c r="H215" i="5"/>
  <c r="H217" i="5" s="1"/>
  <c r="L209" i="5"/>
  <c r="M209" i="5" s="1"/>
  <c r="K210" i="5"/>
  <c r="H210" i="5"/>
  <c r="H212" i="5" s="1"/>
  <c r="M219" i="5"/>
  <c r="H220" i="5"/>
  <c r="H222" i="5" s="1"/>
  <c r="L214" i="5"/>
  <c r="M214" i="5" s="1"/>
  <c r="K215" i="5"/>
  <c r="L215" i="5" s="1"/>
  <c r="L153" i="5"/>
  <c r="M153" i="5" s="1"/>
  <c r="K154" i="5"/>
  <c r="L154" i="5" s="1"/>
  <c r="M154" i="5" s="1"/>
  <c r="H161" i="5"/>
  <c r="H166" i="5"/>
  <c r="L163" i="5"/>
  <c r="M163" i="5" s="1"/>
  <c r="K164" i="5"/>
  <c r="L164" i="5" s="1"/>
  <c r="M164" i="5" s="1"/>
  <c r="H156" i="5"/>
  <c r="L158" i="5"/>
  <c r="M158" i="5" s="1"/>
  <c r="K159" i="5"/>
  <c r="L159" i="5" s="1"/>
  <c r="M159" i="5" s="1"/>
  <c r="L97" i="5"/>
  <c r="K99" i="5"/>
  <c r="K100" i="5" s="1"/>
  <c r="K98" i="5"/>
  <c r="M97" i="5"/>
  <c r="H99" i="5"/>
  <c r="H98" i="5"/>
  <c r="H43" i="5"/>
  <c r="H42" i="5"/>
  <c r="L41" i="5"/>
  <c r="M41" i="5" s="1"/>
  <c r="K43" i="5"/>
  <c r="K42" i="5"/>
  <c r="K156" i="5" l="1"/>
  <c r="L156" i="5" s="1"/>
  <c r="L43" i="5"/>
  <c r="K161" i="5"/>
  <c r="L161" i="5" s="1"/>
  <c r="M161" i="5" s="1"/>
  <c r="K166" i="5"/>
  <c r="L166" i="5" s="1"/>
  <c r="M166" i="5" s="1"/>
  <c r="K268" i="5"/>
  <c r="L268" i="5" s="1"/>
  <c r="M268" i="5" s="1"/>
  <c r="L222" i="5"/>
  <c r="M222" i="5" s="1"/>
  <c r="M210" i="5"/>
  <c r="M215" i="5"/>
  <c r="K217" i="5"/>
  <c r="L217" i="5" s="1"/>
  <c r="M217" i="5" s="1"/>
  <c r="L210" i="5"/>
  <c r="K212" i="5"/>
  <c r="L212" i="5" s="1"/>
  <c r="M212" i="5" s="1"/>
  <c r="L220" i="5"/>
  <c r="M220" i="5" s="1"/>
  <c r="M156" i="5"/>
  <c r="M98" i="5"/>
  <c r="L98" i="5"/>
  <c r="L99" i="5"/>
  <c r="H100" i="5"/>
  <c r="L42" i="5"/>
  <c r="M42" i="5" s="1"/>
  <c r="K44" i="5"/>
  <c r="H44" i="5"/>
  <c r="L100" i="5" l="1"/>
  <c r="M100" i="5" s="1"/>
  <c r="L44" i="5"/>
  <c r="M44" i="5" s="1"/>
</calcChain>
</file>

<file path=xl/sharedStrings.xml><?xml version="1.0" encoding="utf-8"?>
<sst xmlns="http://schemas.openxmlformats.org/spreadsheetml/2006/main" count="938" uniqueCount="70">
  <si>
    <t>RESIDENTIAL SERVICE CLASSIFICATION</t>
  </si>
  <si>
    <t>kWh</t>
  </si>
  <si>
    <t>RPP</t>
  </si>
  <si>
    <t>GENERAL SERVICE LESS THAN 50 KW SERVICE CLASSIFICATION</t>
  </si>
  <si>
    <t>GENERAL SERVICE 50 to 4,999 kW SERVICE CLASSIFICATION</t>
  </si>
  <si>
    <t>kW</t>
  </si>
  <si>
    <t>Non-RPP (Other)</t>
  </si>
  <si>
    <t>LARGE USE SERVICE CLASSIFICATION</t>
  </si>
  <si>
    <t/>
  </si>
  <si>
    <t>UNMETERED SCATTERED LOAD SERVICE CLASSIFICATION</t>
  </si>
  <si>
    <t>SENTINEL LIGHTING SERVICE CLASSIFICATION</t>
  </si>
  <si>
    <t>STREET LIGHTING SERVICE CLASSIFICATION</t>
  </si>
  <si>
    <t>X</t>
  </si>
  <si>
    <t>Customer Class:</t>
  </si>
  <si>
    <t>RPP / Non-RPP:</t>
  </si>
  <si>
    <t>Consumption</t>
  </si>
  <si>
    <t>Demand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</si>
  <si>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</si>
  <si>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</si>
  <si>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</si>
  <si>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</si>
  <si>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</si>
  <si>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</si>
  <si>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</si>
  <si>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</si>
  <si>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</si>
  <si>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</si>
  <si>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</si>
  <si>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</si>
  <si>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</si>
  <si>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</si>
  <si>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</si>
  <si>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</si>
  <si>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</si>
  <si>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ST_A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</si>
  <si>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</si>
  <si>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</si>
  <si>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</si>
  <si>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</si>
  <si>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</si>
  <si>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</si>
  <si>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</si>
  <si>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</si>
  <si>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</si>
  <si>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ST_B</t>
  </si>
  <si>
    <t>Sub-Total B - Distribution (includes Sub-Total A)</t>
  </si>
  <si>
    <t>RTSR - Network</t>
  </si>
  <si>
    <t>RTSR - Connection and/or Line and Transformation Connection</t>
  </si>
  <si>
    <t>ST_C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</si>
  <si>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</si>
  <si>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</si>
  <si>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</si>
  <si>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</si>
  <si>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</si>
  <si>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</si>
  <si>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</si>
  <si>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</si>
  <si>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(Retailer)</t>
  </si>
  <si>
    <t>Non-RPP Retailer Avg. Price</t>
  </si>
  <si>
    <t>Average IESO Wholesale Market Price</t>
  </si>
  <si>
    <t>Total Bill on TOU (before Taxes)</t>
  </si>
  <si>
    <t>HST</t>
  </si>
  <si>
    <t>8% Rebate</t>
  </si>
  <si>
    <t>RPP_TOTAL</t>
  </si>
  <si>
    <t>Total Bill on TOU</t>
  </si>
  <si>
    <t>Total Bill on Non-RPP Avg. Price</t>
  </si>
  <si>
    <t>Non-RPP (Retailer)_TOTAL</t>
  </si>
  <si>
    <t>Total Bill on Average IESO Wholesale Market Price</t>
  </si>
  <si>
    <t>Non-RPP (Other)_TOTAL</t>
  </si>
  <si>
    <t>Total Deferral/Variance Account Rate Riders Including GA(kW) Rate Riders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</si>
</sst>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"/>
    <numFmt numFmtId="167" formatCode="_-* #,##0_-;\-* #,##0_-;_-* &quot;-&quot;??_-;_-@_-"/>
    <numFmt numFmtId="168" formatCode="_-&quot;$&quot;* #,##0.0000_-;\-&quot;$&quot;* #,##0.0000_-;_-&quot;$&quot;* &quot;-&quot;??_-;_-@_-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/>
    <xf numFmtId="17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1" fontId="1" fillId="0" borderId="0"/>
    <xf numFmtId="172" fontId="1" fillId="0" borderId="0"/>
    <xf numFmtId="171" fontId="1" fillId="0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0" fontId="27" fillId="38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5" borderId="0" applyNumberFormat="0" applyBorder="0" applyAlignment="0" applyProtection="0"/>
    <xf numFmtId="0" fontId="17" fillId="9" borderId="0" applyNumberFormat="0" applyBorder="0" applyAlignment="0" applyProtection="0"/>
    <xf numFmtId="0" fontId="21" fillId="12" borderId="23" applyNumberFormat="0" applyAlignment="0" applyProtection="0"/>
    <xf numFmtId="0" fontId="23" fillId="13" borderId="2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6" fillId="8" borderId="0" applyNumberFormat="0" applyBorder="0" applyAlignment="0" applyProtection="0"/>
    <xf numFmtId="38" fontId="3" fillId="39" borderId="0" applyNumberFormat="0" applyBorder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0" fontId="3" fillId="40" borderId="1" applyNumberFormat="0" applyBorder="0" applyAlignment="0" applyProtection="0"/>
    <xf numFmtId="0" fontId="19" fillId="11" borderId="23" applyNumberFormat="0" applyAlignment="0" applyProtection="0"/>
    <xf numFmtId="0" fontId="22" fillId="0" borderId="25" applyNumberFormat="0" applyFill="0" applyAlignment="0" applyProtection="0"/>
    <xf numFmtId="173" fontId="1" fillId="0" borderId="0"/>
    <xf numFmtId="174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8" fillId="10" borderId="0" applyNumberFormat="0" applyBorder="0" applyAlignment="0" applyProtection="0"/>
    <xf numFmtId="175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14" borderId="27" applyNumberFormat="0" applyFont="0" applyAlignment="0" applyProtection="0"/>
    <xf numFmtId="0" fontId="11" fillId="14" borderId="27" applyNumberFormat="0" applyFont="0" applyAlignment="0" applyProtection="0"/>
    <xf numFmtId="0" fontId="11" fillId="14" borderId="27" applyNumberFormat="0" applyFont="0" applyAlignment="0" applyProtection="0"/>
    <xf numFmtId="0" fontId="20" fillId="12" borderId="24" applyNumberFormat="0" applyAlignment="0" applyProtection="0"/>
    <xf numFmtId="10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28" applyNumberFormat="0" applyFill="0" applyAlignment="0" applyProtection="0"/>
    <xf numFmtId="0" fontId="24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1" applyProtection="1">
      <protection locked="0"/>
    </xf>
    <xf numFmtId="0" fontId="4" fillId="0" borderId="0" xfId="1" applyFont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7" fillId="3" borderId="0" xfId="1" applyFont="1" applyFill="1" applyBorder="1" applyAlignment="1" applyProtection="1">
      <alignment vertical="top"/>
      <protection locked="0"/>
    </xf>
    <xf numFmtId="167" fontId="2" fillId="3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3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6" fontId="2" fillId="3" borderId="1" xfId="4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12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11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0" fontId="1" fillId="0" borderId="0" xfId="1" applyBorder="1" applyAlignment="1" applyProtection="1">
      <alignment vertical="top"/>
    </xf>
    <xf numFmtId="0" fontId="1" fillId="3" borderId="0" xfId="1" applyFill="1" applyAlignment="1" applyProtection="1">
      <alignment vertical="top"/>
      <protection locked="0"/>
    </xf>
    <xf numFmtId="44" fontId="2" fillId="3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13" xfId="1" applyFont="1" applyFill="1" applyBorder="1" applyAlignment="1" applyProtection="1">
      <alignment vertical="center"/>
      <protection locked="0"/>
    </xf>
    <xf numFmtId="44" fontId="8" fillId="0" borderId="7" xfId="3" applyFont="1" applyBorder="1" applyAlignment="1" applyProtection="1">
      <alignment vertical="center"/>
      <protection locked="0"/>
    </xf>
    <xf numFmtId="44" fontId="9" fillId="3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4" fontId="1" fillId="0" borderId="13" xfId="1" applyNumberFormat="1" applyFont="1" applyBorder="1" applyAlignment="1" applyProtection="1">
      <alignment vertical="center"/>
      <protection locked="0"/>
    </xf>
    <xf numFmtId="10" fontId="8" fillId="0" borderId="7" xfId="4" applyNumberFormat="1" applyFont="1" applyBorder="1" applyAlignment="1" applyProtection="1">
      <alignment vertical="center"/>
      <protection locked="0"/>
    </xf>
    <xf numFmtId="168" fontId="2" fillId="3" borderId="13" xfId="3" applyNumberFormat="1" applyFont="1" applyFill="1" applyBorder="1" applyAlignment="1" applyProtection="1">
      <alignment horizontal="left" vertical="center"/>
      <protection locked="0"/>
    </xf>
    <xf numFmtId="168" fontId="9" fillId="3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0" xfId="1" applyFill="1" applyBorder="1" applyAlignment="1" applyProtection="1">
      <alignment vertical="top"/>
    </xf>
    <xf numFmtId="0" fontId="1" fillId="0" borderId="0" xfId="1" applyFont="1" applyFill="1" applyProtection="1">
      <protection locked="0"/>
    </xf>
    <xf numFmtId="0" fontId="2" fillId="5" borderId="2" xfId="1" applyFont="1" applyFill="1" applyBorder="1" applyAlignment="1" applyProtection="1">
      <alignment vertical="top"/>
      <protection locked="0"/>
    </xf>
    <xf numFmtId="0" fontId="1" fillId="5" borderId="3" xfId="1" applyFill="1" applyBorder="1" applyAlignment="1" applyProtection="1">
      <alignment vertical="top"/>
      <protection locked="0"/>
    </xf>
    <xf numFmtId="168" fontId="2" fillId="5" borderId="1" xfId="3" applyNumberFormat="1" applyFont="1" applyFill="1" applyBorder="1" applyAlignment="1" applyProtection="1">
      <alignment horizontal="left" vertical="center"/>
      <protection locked="0"/>
    </xf>
    <xf numFmtId="0" fontId="2" fillId="5" borderId="1" xfId="1" applyFont="1" applyFill="1" applyBorder="1" applyAlignment="1" applyProtection="1">
      <alignment vertical="center"/>
      <protection locked="0"/>
    </xf>
    <xf numFmtId="44" fontId="10" fillId="5" borderId="4" xfId="3" applyFont="1" applyFill="1" applyBorder="1" applyAlignment="1" applyProtection="1">
      <alignment vertical="center"/>
      <protection locked="0"/>
    </xf>
    <xf numFmtId="168" fontId="9" fillId="5" borderId="1" xfId="3" applyNumberFormat="1" applyFont="1" applyFill="1" applyBorder="1" applyAlignment="1" applyProtection="1">
      <alignment horizontal="left" vertical="center"/>
      <protection locked="0"/>
    </xf>
    <xf numFmtId="0" fontId="2" fillId="5" borderId="4" xfId="1" applyFont="1" applyFill="1" applyBorder="1" applyAlignment="1" applyProtection="1">
      <alignment vertical="center"/>
      <protection locked="0"/>
    </xf>
    <xf numFmtId="44" fontId="2" fillId="5" borderId="1" xfId="1" applyNumberFormat="1" applyFont="1" applyFill="1" applyBorder="1" applyAlignment="1" applyProtection="1">
      <alignment vertical="center"/>
      <protection locked="0"/>
    </xf>
    <xf numFmtId="10" fontId="2" fillId="5" borderId="4" xfId="4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167" fontId="1" fillId="2" borderId="13" xfId="2" applyNumberFormat="1" applyFont="1" applyFill="1" applyBorder="1" applyAlignment="1" applyProtection="1">
      <alignment vertical="center"/>
      <protection locked="0"/>
    </xf>
    <xf numFmtId="167" fontId="1" fillId="0" borderId="13" xfId="2" applyNumberFormat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164" fontId="2" fillId="3" borderId="13" xfId="3" applyNumberFormat="1" applyFont="1" applyFill="1" applyBorder="1" applyAlignment="1" applyProtection="1">
      <alignment horizontal="left" vertical="center"/>
      <protection locked="0"/>
    </xf>
    <xf numFmtId="164" fontId="9" fillId="3" borderId="13" xfId="3" applyNumberFormat="1" applyFont="1" applyFill="1" applyBorder="1" applyAlignment="1" applyProtection="1">
      <alignment horizontal="left" vertical="center"/>
      <protection locked="0"/>
    </xf>
    <xf numFmtId="0" fontId="2" fillId="5" borderId="2" xfId="1" applyFont="1" applyFill="1" applyBorder="1" applyAlignment="1" applyProtection="1">
      <alignment vertical="top" wrapText="1"/>
      <protection locked="0"/>
    </xf>
    <xf numFmtId="0" fontId="1" fillId="5" borderId="3" xfId="1" applyFill="1" applyBorder="1" applyProtection="1">
      <protection locked="0"/>
    </xf>
    <xf numFmtId="0" fontId="2" fillId="5" borderId="1" xfId="1" applyFont="1" applyFill="1" applyBorder="1" applyAlignment="1" applyProtection="1">
      <alignment horizontal="left" vertical="center"/>
      <protection locked="0"/>
    </xf>
    <xf numFmtId="0" fontId="1" fillId="5" borderId="1" xfId="1" applyFont="1" applyFill="1" applyBorder="1" applyAlignment="1" applyProtection="1">
      <alignment vertical="center"/>
      <protection locked="0"/>
    </xf>
    <xf numFmtId="44" fontId="2" fillId="5" borderId="4" xfId="1" applyNumberFormat="1" applyFont="1" applyFill="1" applyBorder="1" applyAlignment="1" applyProtection="1">
      <alignment vertical="center"/>
      <protection locked="0"/>
    </xf>
    <xf numFmtId="0" fontId="9" fillId="5" borderId="1" xfId="1" applyFont="1" applyFill="1" applyBorder="1" applyAlignment="1" applyProtection="1">
      <alignment horizontal="left" vertical="center"/>
      <protection locked="0"/>
    </xf>
    <xf numFmtId="0" fontId="1" fillId="5" borderId="4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0" fontId="1" fillId="0" borderId="9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3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8" fontId="2" fillId="0" borderId="13" xfId="3" applyNumberFormat="1" applyFont="1" applyFill="1" applyBorder="1" applyAlignment="1" applyProtection="1">
      <alignment horizontal="left" vertical="center"/>
      <protection locked="0"/>
    </xf>
    <xf numFmtId="167" fontId="1" fillId="3" borderId="13" xfId="2" applyNumberFormat="1" applyFont="1" applyFill="1" applyBorder="1" applyAlignment="1" applyProtection="1">
      <alignment vertical="center"/>
      <protection locked="0"/>
    </xf>
    <xf numFmtId="168" fontId="9" fillId="0" borderId="13" xfId="3" applyNumberFormat="1" applyFont="1" applyFill="1" applyBorder="1" applyAlignment="1" applyProtection="1">
      <alignment horizontal="left" vertical="center"/>
      <protection locked="0"/>
    </xf>
    <xf numFmtId="168" fontId="2" fillId="4" borderId="13" xfId="3" applyNumberFormat="1" applyFont="1" applyFill="1" applyBorder="1" applyAlignment="1" applyProtection="1">
      <alignment horizontal="left" vertical="center"/>
      <protection locked="0"/>
    </xf>
    <xf numFmtId="168" fontId="9" fillId="4" borderId="13" xfId="3" applyNumberFormat="1" applyFont="1" applyFill="1" applyBorder="1" applyAlignment="1" applyProtection="1">
      <alignment horizontal="left" vertical="center"/>
      <protection locked="0"/>
    </xf>
    <xf numFmtId="0" fontId="1" fillId="6" borderId="14" xfId="1" applyFont="1" applyFill="1" applyBorder="1" applyProtection="1">
      <protection locked="0"/>
    </xf>
    <xf numFmtId="0" fontId="1" fillId="6" borderId="15" xfId="1" applyFill="1" applyBorder="1" applyAlignment="1" applyProtection="1">
      <alignment vertical="top"/>
      <protection locked="0"/>
    </xf>
    <xf numFmtId="168" fontId="1" fillId="6" borderId="16" xfId="3" applyNumberFormat="1" applyFont="1" applyFill="1" applyBorder="1" applyAlignment="1" applyProtection="1">
      <alignment vertical="top"/>
      <protection locked="0"/>
    </xf>
    <xf numFmtId="0" fontId="1" fillId="6" borderId="17" xfId="1" applyFont="1" applyFill="1" applyBorder="1" applyAlignment="1" applyProtection="1">
      <alignment vertical="center"/>
      <protection locked="0"/>
    </xf>
    <xf numFmtId="44" fontId="1" fillId="6" borderId="15" xfId="3" applyFont="1" applyFill="1" applyBorder="1" applyAlignment="1" applyProtection="1">
      <alignment vertical="center"/>
      <protection locked="0"/>
    </xf>
    <xf numFmtId="0" fontId="1" fillId="6" borderId="16" xfId="1" applyFont="1" applyFill="1" applyBorder="1" applyAlignment="1" applyProtection="1">
      <alignment vertical="center"/>
      <protection locked="0"/>
    </xf>
    <xf numFmtId="44" fontId="1" fillId="6" borderId="16" xfId="1" applyNumberFormat="1" applyFont="1" applyFill="1" applyBorder="1" applyAlignment="1" applyProtection="1">
      <alignment vertical="center"/>
      <protection locked="0"/>
    </xf>
    <xf numFmtId="10" fontId="1" fillId="6" borderId="18" xfId="4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13" xfId="1" applyNumberFormat="1" applyFont="1" applyFill="1" applyBorder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44" fontId="2" fillId="0" borderId="6" xfId="1" applyNumberFormat="1" applyFont="1" applyFill="1" applyBorder="1" applyAlignment="1" applyProtection="1">
      <alignment vertical="center"/>
      <protection locked="0"/>
    </xf>
    <xf numFmtId="9" fontId="2" fillId="0" borderId="13" xfId="1" applyNumberFormat="1" applyFont="1" applyFill="1" applyBorder="1" applyAlignment="1" applyProtection="1">
      <alignment vertical="center"/>
      <protection locked="0"/>
    </xf>
    <xf numFmtId="44" fontId="2" fillId="0" borderId="13" xfId="1" applyNumberFormat="1" applyFont="1" applyFill="1" applyBorder="1" applyAlignment="1" applyProtection="1">
      <alignment vertical="center"/>
      <protection locked="0"/>
    </xf>
    <xf numFmtId="10" fontId="2" fillId="0" borderId="7" xfId="4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6" xfId="1" applyNumberFormat="1" applyFont="1" applyFill="1" applyBorder="1" applyAlignment="1" applyProtection="1">
      <alignment vertical="center"/>
      <protection locked="0"/>
    </xf>
    <xf numFmtId="9" fontId="1" fillId="0" borderId="13" xfId="1" applyNumberFormat="1" applyFont="1" applyFill="1" applyBorder="1" applyAlignment="1" applyProtection="1">
      <alignment vertical="center"/>
      <protection locked="0"/>
    </xf>
    <xf numFmtId="44" fontId="1" fillId="0" borderId="13" xfId="1" applyNumberFormat="1" applyFont="1" applyFill="1" applyBorder="1" applyAlignment="1" applyProtection="1">
      <alignment vertical="center"/>
      <protection locked="0"/>
    </xf>
    <xf numFmtId="10" fontId="1" fillId="0" borderId="7" xfId="4" applyNumberFormat="1" applyFont="1" applyFill="1" applyBorder="1" applyAlignment="1" applyProtection="1">
      <alignment vertical="center"/>
      <protection locked="0"/>
    </xf>
    <xf numFmtId="0" fontId="1" fillId="7" borderId="11" xfId="1" applyFont="1" applyFill="1" applyBorder="1" applyAlignment="1" applyProtection="1">
      <alignment vertical="top"/>
      <protection locked="0"/>
    </xf>
    <xf numFmtId="0" fontId="1" fillId="7" borderId="9" xfId="1" applyFont="1" applyFill="1" applyBorder="1" applyAlignment="1" applyProtection="1">
      <alignment vertical="center"/>
      <protection locked="0"/>
    </xf>
    <xf numFmtId="44" fontId="2" fillId="7" borderId="6" xfId="1" applyNumberFormat="1" applyFont="1" applyFill="1" applyBorder="1" applyAlignment="1" applyProtection="1">
      <alignment vertical="center"/>
      <protection locked="0"/>
    </xf>
    <xf numFmtId="0" fontId="2" fillId="7" borderId="11" xfId="1" applyFont="1" applyFill="1" applyBorder="1" applyAlignment="1" applyProtection="1">
      <alignment vertical="center"/>
      <protection locked="0"/>
    </xf>
    <xf numFmtId="44" fontId="2" fillId="7" borderId="8" xfId="1" applyNumberFormat="1" applyFont="1" applyFill="1" applyBorder="1" applyAlignment="1" applyProtection="1">
      <alignment vertical="center"/>
      <protection locked="0"/>
    </xf>
    <xf numFmtId="44" fontId="2" fillId="7" borderId="11" xfId="1" applyNumberFormat="1" applyFont="1" applyFill="1" applyBorder="1" applyAlignment="1" applyProtection="1">
      <alignment vertical="center"/>
      <protection locked="0"/>
    </xf>
    <xf numFmtId="10" fontId="2" fillId="7" borderId="10" xfId="4" applyNumberFormat="1" applyFont="1" applyFill="1" applyBorder="1" applyAlignment="1" applyProtection="1">
      <alignment vertical="center"/>
      <protection locked="0"/>
    </xf>
    <xf numFmtId="0" fontId="1" fillId="7" borderId="13" xfId="1" applyFont="1" applyFill="1" applyBorder="1" applyAlignment="1" applyProtection="1">
      <alignment vertical="top"/>
      <protection locked="0"/>
    </xf>
    <xf numFmtId="0" fontId="1" fillId="7" borderId="0" xfId="1" applyFont="1" applyFill="1" applyBorder="1" applyAlignment="1" applyProtection="1">
      <alignment vertical="center"/>
      <protection locked="0"/>
    </xf>
    <xf numFmtId="0" fontId="2" fillId="7" borderId="13" xfId="1" applyFont="1" applyFill="1" applyBorder="1" applyAlignment="1" applyProtection="1">
      <alignment vertical="center"/>
      <protection locked="0"/>
    </xf>
    <xf numFmtId="44" fontId="2" fillId="7" borderId="13" xfId="1" applyNumberFormat="1" applyFont="1" applyFill="1" applyBorder="1" applyAlignment="1" applyProtection="1">
      <alignment vertical="center"/>
      <protection locked="0"/>
    </xf>
    <xf numFmtId="10" fontId="2" fillId="7" borderId="7" xfId="4" applyNumberFormat="1" applyFont="1" applyFill="1" applyBorder="1" applyAlignment="1" applyProtection="1">
      <alignment vertical="center"/>
      <protection locked="0"/>
    </xf>
    <xf numFmtId="168" fontId="1" fillId="6" borderId="17" xfId="3" applyNumberFormat="1" applyFont="1" applyFill="1" applyBorder="1" applyAlignment="1" applyProtection="1">
      <alignment vertical="top"/>
      <protection locked="0"/>
    </xf>
    <xf numFmtId="0" fontId="1" fillId="6" borderId="15" xfId="1" applyFont="1" applyFill="1" applyBorder="1" applyAlignment="1" applyProtection="1">
      <alignment vertical="center"/>
      <protection locked="0"/>
    </xf>
    <xf numFmtId="44" fontId="1" fillId="6" borderId="19" xfId="3" applyFont="1" applyFill="1" applyBorder="1" applyAlignment="1" applyProtection="1">
      <alignment vertical="center"/>
      <protection locked="0"/>
    </xf>
    <xf numFmtId="44" fontId="1" fillId="6" borderId="17" xfId="1" applyNumberFormat="1" applyFont="1" applyFill="1" applyBorder="1" applyAlignment="1" applyProtection="1">
      <alignment vertical="center"/>
      <protection locked="0"/>
    </xf>
    <xf numFmtId="168" fontId="1" fillId="6" borderId="17" xfId="3" applyNumberFormat="1" applyFill="1" applyBorder="1" applyAlignment="1" applyProtection="1">
      <alignment vertical="top"/>
      <protection locked="0"/>
    </xf>
    <xf numFmtId="0" fontId="1" fillId="6" borderId="15" xfId="1" applyFill="1" applyBorder="1" applyAlignment="1" applyProtection="1">
      <alignment vertical="center"/>
      <protection locked="0"/>
    </xf>
    <xf numFmtId="44" fontId="1" fillId="6" borderId="19" xfId="3" applyFill="1" applyBorder="1" applyAlignment="1" applyProtection="1">
      <alignment vertical="center"/>
      <protection locked="0"/>
    </xf>
    <xf numFmtId="0" fontId="1" fillId="6" borderId="17" xfId="1" applyFill="1" applyBorder="1" applyAlignment="1" applyProtection="1">
      <alignment vertical="center"/>
      <protection locked="0"/>
    </xf>
    <xf numFmtId="44" fontId="1" fillId="6" borderId="17" xfId="1" applyNumberFormat="1" applyFill="1" applyBorder="1" applyAlignment="1" applyProtection="1">
      <alignment vertical="center"/>
      <protection locked="0"/>
    </xf>
    <xf numFmtId="10" fontId="1" fillId="6" borderId="18" xfId="4" applyNumberFormat="1" applyFill="1" applyBorder="1" applyAlignment="1" applyProtection="1">
      <alignment vertical="center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  <xf numFmtId="0" fontId="6" fillId="3" borderId="1" xfId="1" applyFont="1" applyFill="1" applyBorder="1" applyAlignment="1" applyProtection="1">
      <alignment horizontal="left" vertical="top"/>
      <protection locked="0"/>
    </xf>
    <xf numFmtId="0" fontId="2" fillId="3" borderId="11" xfId="1" applyFont="1" applyFill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3" borderId="0" xfId="1" applyFont="1" applyFill="1" applyAlignment="1" applyProtection="1">
      <alignment horizontal="center" wrapText="1"/>
      <protection locked="0"/>
    </xf>
    <xf numFmtId="0" fontId="1" fillId="3" borderId="0" xfId="1" applyFill="1" applyAlignment="1" applyProtection="1">
      <alignment horizontal="center" wrapText="1"/>
      <protection locked="0"/>
    </xf>
    <xf numFmtId="0" fontId="2" fillId="0" borderId="13" xfId="1" applyFont="1" applyFill="1" applyBorder="1" applyAlignment="1" applyProtection="1">
      <alignment horizontal="center" wrapText="1"/>
      <protection locked="0"/>
    </xf>
    <xf numFmtId="0" fontId="1" fillId="0" borderId="11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0" borderId="3" xfId="1" applyFont="1" applyBorder="1" applyAlignment="1" applyProtection="1">
      <alignment horizontal="center"/>
      <protection locked="0"/>
    </xf>
  </cellXfs>
  <cellStyles count="218">
    <cellStyle name="$" xfId="5"/>
    <cellStyle name="$.00" xfId="6"/>
    <cellStyle name="$_9. Rev2Cost_GDPIPI" xfId="7"/>
    <cellStyle name="$_9. Rev2Cost_GDPIPI 2" xfId="8"/>
    <cellStyle name="$_9. Rev2Cost_GDPIPI_6.2 CBR B" xfId="9"/>
    <cellStyle name="$_9. Rev2Cost_GDPIPI_9. Shared Tax - Rate Rider" xfId="10"/>
    <cellStyle name="$_lists" xfId="11"/>
    <cellStyle name="$_lists 2" xfId="12"/>
    <cellStyle name="$_lists_4. Current Monthly Fixed Charge" xfId="13"/>
    <cellStyle name="$_lists_6.2 CBR B" xfId="14"/>
    <cellStyle name="$_lists_9. Shared Tax - Rate Rider" xfId="15"/>
    <cellStyle name="$_Sheet4" xfId="16"/>
    <cellStyle name="$_Sheet4 2" xfId="17"/>
    <cellStyle name="$_Sheet4_6.2 CBR B" xfId="18"/>
    <cellStyle name="$_Sheet4_9. Shared Tax - Rate Rider" xfId="19"/>
    <cellStyle name="$M" xfId="20"/>
    <cellStyle name="$M.00" xfId="21"/>
    <cellStyle name="$M_9. Rev2Cost_GDPIPI" xfId="22"/>
    <cellStyle name="20% - Accent1 2" xfId="23"/>
    <cellStyle name="20% - Accent1 2 2" xfId="24"/>
    <cellStyle name="20% - Accent1 2_6.2 CBR B" xfId="25"/>
    <cellStyle name="20% - Accent1 3" xfId="26"/>
    <cellStyle name="20% - Accent2 2" xfId="27"/>
    <cellStyle name="20% - Accent2 2 2" xfId="28"/>
    <cellStyle name="20% - Accent2 2_6.2 CBR B" xfId="29"/>
    <cellStyle name="20% - Accent2 3" xfId="30"/>
    <cellStyle name="20% - Accent3 2" xfId="31"/>
    <cellStyle name="20% - Accent3 2 2" xfId="32"/>
    <cellStyle name="20% - Accent3 2_6.2 CBR B" xfId="33"/>
    <cellStyle name="20% - Accent3 3" xfId="34"/>
    <cellStyle name="20% - Accent4 2" xfId="35"/>
    <cellStyle name="20% - Accent4 2 2" xfId="36"/>
    <cellStyle name="20% - Accent4 2_6.2 CBR B" xfId="37"/>
    <cellStyle name="20% - Accent4 3" xfId="38"/>
    <cellStyle name="20% - Accent5 2" xfId="39"/>
    <cellStyle name="20% - Accent5 2 2" xfId="40"/>
    <cellStyle name="20% - Accent5 2_6.2 CBR B" xfId="41"/>
    <cellStyle name="20% - Accent5 3" xfId="42"/>
    <cellStyle name="20% - Accent6 2" xfId="43"/>
    <cellStyle name="20% - Accent6 2 2" xfId="44"/>
    <cellStyle name="20% - Accent6 2_6.2 CBR B" xfId="45"/>
    <cellStyle name="20% - Accent6 3" xfId="46"/>
    <cellStyle name="40% - Accent1 2" xfId="47"/>
    <cellStyle name="40% - Accent1 2 2" xfId="48"/>
    <cellStyle name="40% - Accent1 2_6.2 CBR B" xfId="49"/>
    <cellStyle name="40% - Accent1 3" xfId="50"/>
    <cellStyle name="40% - Accent2 2" xfId="51"/>
    <cellStyle name="40% - Accent2 2 2" xfId="52"/>
    <cellStyle name="40% - Accent2 2_6.2 CBR B" xfId="53"/>
    <cellStyle name="40% - Accent2 3" xfId="54"/>
    <cellStyle name="40% - Accent3 2" xfId="55"/>
    <cellStyle name="40% - Accent3 2 2" xfId="56"/>
    <cellStyle name="40% - Accent3 2_6.2 CBR B" xfId="57"/>
    <cellStyle name="40% - Accent3 3" xfId="58"/>
    <cellStyle name="40% - Accent4 2" xfId="59"/>
    <cellStyle name="40% - Accent4 2 2" xfId="60"/>
    <cellStyle name="40% - Accent4 2_6.2 CBR B" xfId="61"/>
    <cellStyle name="40% - Accent4 3" xfId="62"/>
    <cellStyle name="40% - Accent5 2" xfId="63"/>
    <cellStyle name="40% - Accent5 2 2" xfId="64"/>
    <cellStyle name="40% - Accent5 2_6.2 CBR B" xfId="65"/>
    <cellStyle name="40% - Accent5 3" xfId="66"/>
    <cellStyle name="40% - Accent6 2" xfId="67"/>
    <cellStyle name="40% - Accent6 2 2" xfId="68"/>
    <cellStyle name="40% - Accent6 2_6.2 CBR B" xfId="69"/>
    <cellStyle name="40% - Accent6 3" xfId="70"/>
    <cellStyle name="60% - Accent1 2" xfId="71"/>
    <cellStyle name="60% - Accent2 2" xfId="72"/>
    <cellStyle name="60% - Accent3 2" xfId="73"/>
    <cellStyle name="60% - Accent4 2" xfId="74"/>
    <cellStyle name="60% - Accent5 2" xfId="75"/>
    <cellStyle name="60% - Accent6 2" xfId="76"/>
    <cellStyle name="Accent1 2" xfId="77"/>
    <cellStyle name="Accent2 2" xfId="78"/>
    <cellStyle name="Accent3 2" xfId="79"/>
    <cellStyle name="Accent4 2" xfId="80"/>
    <cellStyle name="Accent5 2" xfId="81"/>
    <cellStyle name="Accent6 2" xfId="82"/>
    <cellStyle name="Bad 2" xfId="83"/>
    <cellStyle name="Calculation 2" xfId="84"/>
    <cellStyle name="Check Cell 2" xfId="85"/>
    <cellStyle name="Comma 2" xfId="86"/>
    <cellStyle name="Comma 2 2" xfId="87"/>
    <cellStyle name="Comma 2 2 2" xfId="88"/>
    <cellStyle name="Comma 2 2 3" xfId="89"/>
    <cellStyle name="Comma 2 2 4" xfId="90"/>
    <cellStyle name="Comma 2 2_Database" xfId="91"/>
    <cellStyle name="Comma 3" xfId="92"/>
    <cellStyle name="Comma 3 2" xfId="93"/>
    <cellStyle name="Comma 3 2 2" xfId="94"/>
    <cellStyle name="Comma 3 3" xfId="95"/>
    <cellStyle name="Comma 4" xfId="2"/>
    <cellStyle name="Comma 5" xfId="96"/>
    <cellStyle name="Comma0" xfId="97"/>
    <cellStyle name="Currency 2" xfId="3"/>
    <cellStyle name="Currency 3" xfId="98"/>
    <cellStyle name="Currency 4" xfId="99"/>
    <cellStyle name="Currency 4 2" xfId="100"/>
    <cellStyle name="Currency 4 3" xfId="101"/>
    <cellStyle name="Currency 4 4" xfId="102"/>
    <cellStyle name="Currency 5" xfId="103"/>
    <cellStyle name="Currency 6" xfId="104"/>
    <cellStyle name="Currency0" xfId="105"/>
    <cellStyle name="Date" xfId="106"/>
    <cellStyle name="Explanatory Text 2" xfId="107"/>
    <cellStyle name="Fixed" xfId="108"/>
    <cellStyle name="Good 2" xfId="109"/>
    <cellStyle name="Grey" xfId="110"/>
    <cellStyle name="Heading 1 2" xfId="111"/>
    <cellStyle name="Heading 2 2" xfId="112"/>
    <cellStyle name="Heading 3 2" xfId="113"/>
    <cellStyle name="Heading 4 2" xfId="114"/>
    <cellStyle name="Hyperlink 2" xfId="115"/>
    <cellStyle name="Input [yellow]" xfId="116"/>
    <cellStyle name="Input 2" xfId="117"/>
    <cellStyle name="Linked Cell 2" xfId="118"/>
    <cellStyle name="M" xfId="119"/>
    <cellStyle name="M.00" xfId="120"/>
    <cellStyle name="M_9. Rev2Cost_GDPIPI" xfId="121"/>
    <cellStyle name="M_9. Rev2Cost_GDPIPI 2" xfId="122"/>
    <cellStyle name="M_9. Rev2Cost_GDPIPI_6.2 CBR B" xfId="123"/>
    <cellStyle name="M_9. Rev2Cost_GDPIPI_9. Shared Tax - Rate Rider" xfId="124"/>
    <cellStyle name="M_lists" xfId="125"/>
    <cellStyle name="M_lists 2" xfId="126"/>
    <cellStyle name="M_lists_4. Current Monthly Fixed Charge" xfId="127"/>
    <cellStyle name="M_lists_6.2 CBR B" xfId="128"/>
    <cellStyle name="M_lists_9. Shared Tax - Rate Rider" xfId="129"/>
    <cellStyle name="M_Sheet4" xfId="130"/>
    <cellStyle name="M_Sheet4 2" xfId="131"/>
    <cellStyle name="M_Sheet4_6.2 CBR B" xfId="132"/>
    <cellStyle name="M_Sheet4_9. Shared Tax - Rate Rider" xfId="133"/>
    <cellStyle name="Neutral 2" xfId="134"/>
    <cellStyle name="Normal" xfId="0" builtinId="0"/>
    <cellStyle name="Normal - Style1" xfId="135"/>
    <cellStyle name="Normal 10 12" xfId="136"/>
    <cellStyle name="Normal 167" xfId="137"/>
    <cellStyle name="Normal 167 2" xfId="138"/>
    <cellStyle name="Normal 167_6.2 CBR B" xfId="139"/>
    <cellStyle name="Normal 168" xfId="140"/>
    <cellStyle name="Normal 168 2" xfId="141"/>
    <cellStyle name="Normal 168_6.2 CBR B" xfId="142"/>
    <cellStyle name="Normal 169" xfId="143"/>
    <cellStyle name="Normal 169 2" xfId="144"/>
    <cellStyle name="Normal 169_6.2 CBR B" xfId="145"/>
    <cellStyle name="Normal 170" xfId="146"/>
    <cellStyle name="Normal 170 2" xfId="147"/>
    <cellStyle name="Normal 170_6.2 CBR B" xfId="148"/>
    <cellStyle name="Normal 171" xfId="149"/>
    <cellStyle name="Normal 171 2" xfId="150"/>
    <cellStyle name="Normal 171_6.2 CBR B" xfId="151"/>
    <cellStyle name="Normal 19" xfId="152"/>
    <cellStyle name="Normal 2" xfId="1"/>
    <cellStyle name="Normal 25" xfId="153"/>
    <cellStyle name="Normal 3" xfId="154"/>
    <cellStyle name="Normal 3 2" xfId="155"/>
    <cellStyle name="Normal 3_6.2 CBR B" xfId="156"/>
    <cellStyle name="Normal 30" xfId="157"/>
    <cellStyle name="Normal 31" xfId="158"/>
    <cellStyle name="Normal 4" xfId="159"/>
    <cellStyle name="Normal 4 2" xfId="160"/>
    <cellStyle name="Normal 4_6.2 CBR B" xfId="161"/>
    <cellStyle name="Normal 41" xfId="162"/>
    <cellStyle name="Normal 42" xfId="163"/>
    <cellStyle name="Normal 5" xfId="164"/>
    <cellStyle name="Normal 5 2" xfId="165"/>
    <cellStyle name="Normal 5 2 2" xfId="166"/>
    <cellStyle name="Normal 5 2_6.2 CBR B" xfId="167"/>
    <cellStyle name="Normal 5 3" xfId="168"/>
    <cellStyle name="Normal 5_6.2 CBR B" xfId="169"/>
    <cellStyle name="Normal 50" xfId="170"/>
    <cellStyle name="Normal 51" xfId="171"/>
    <cellStyle name="Normal 52" xfId="172"/>
    <cellStyle name="Normal 6" xfId="173"/>
    <cellStyle name="Normal 6 2" xfId="174"/>
    <cellStyle name="Normal 6 3" xfId="175"/>
    <cellStyle name="Normal 6_6.2 CBR B" xfId="176"/>
    <cellStyle name="Normal 60" xfId="177"/>
    <cellStyle name="Normal 61" xfId="178"/>
    <cellStyle name="Note 2" xfId="179"/>
    <cellStyle name="Note 2 2" xfId="180"/>
    <cellStyle name="Note 3" xfId="181"/>
    <cellStyle name="Output 2" xfId="182"/>
    <cellStyle name="Percent [2]" xfId="183"/>
    <cellStyle name="Percent 10" xfId="184"/>
    <cellStyle name="Percent 11" xfId="185"/>
    <cellStyle name="Percent 12" xfId="186"/>
    <cellStyle name="Percent 13" xfId="187"/>
    <cellStyle name="Percent 14" xfId="188"/>
    <cellStyle name="Percent 15" xfId="189"/>
    <cellStyle name="Percent 16" xfId="190"/>
    <cellStyle name="Percent 17" xfId="191"/>
    <cellStyle name="Percent 18" xfId="192"/>
    <cellStyle name="Percent 19" xfId="193"/>
    <cellStyle name="Percent 2" xfId="4"/>
    <cellStyle name="Percent 20" xfId="194"/>
    <cellStyle name="Percent 21" xfId="195"/>
    <cellStyle name="Percent 22" xfId="196"/>
    <cellStyle name="Percent 23" xfId="197"/>
    <cellStyle name="Percent 24" xfId="198"/>
    <cellStyle name="Percent 25" xfId="199"/>
    <cellStyle name="Percent 26" xfId="200"/>
    <cellStyle name="Percent 27" xfId="201"/>
    <cellStyle name="Percent 28" xfId="202"/>
    <cellStyle name="Percent 29" xfId="203"/>
    <cellStyle name="Percent 3" xfId="204"/>
    <cellStyle name="Percent 3 2" xfId="205"/>
    <cellStyle name="Percent 3 2 2" xfId="206"/>
    <cellStyle name="Percent 3 3" xfId="207"/>
    <cellStyle name="Percent 4" xfId="208"/>
    <cellStyle name="Percent 4 2" xfId="209"/>
    <cellStyle name="Percent 5" xfId="210"/>
    <cellStyle name="Percent 6" xfId="211"/>
    <cellStyle name="Percent 7" xfId="212"/>
    <cellStyle name="Percent 8" xfId="213"/>
    <cellStyle name="Percent 9" xfId="214"/>
    <cellStyle name="Title 2" xfId="215"/>
    <cellStyle name="Total 2" xfId="216"/>
    <cellStyle name="Warning Text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-Staff-9_Attach%203_%20RGM%20PRZ_2018102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%2015_%20DRO_RGM_PRZ_NY%2034%20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  <cell r="C2" t="str">
            <v>Brampton Rate Zone</v>
          </cell>
        </row>
        <row r="3">
          <cell r="A3" t="str">
            <v>Atikokan Hydro Inc.</v>
          </cell>
          <cell r="C3" t="str">
            <v>Enersource Rate Zone</v>
          </cell>
        </row>
        <row r="4">
          <cell r="A4" t="str">
            <v>Bluewater Power Distribution Corporation</v>
          </cell>
          <cell r="C4" t="str">
            <v>Horizon Rate Zone</v>
          </cell>
        </row>
        <row r="5">
          <cell r="A5" t="str">
            <v>Brantford Power Inc.</v>
          </cell>
          <cell r="C5" t="str">
            <v>PowerStream Rate Zone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Collus PowerStream Corp.</v>
          </cell>
        </row>
        <row r="11">
          <cell r="A11" t="str">
            <v>Cooperative Hydro Embrun Inc.</v>
          </cell>
        </row>
        <row r="12">
          <cell r="A12" t="str">
            <v>E.L.K.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Erie Thames Powerlines Corporation</v>
          </cell>
        </row>
        <row r="17">
          <cell r="A17" t="str">
            <v>Espanola Regional Hydro Distribution Corporation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Greater Sudbury Hydro Inc.</v>
          </cell>
        </row>
        <row r="22">
          <cell r="A22" t="str">
            <v>Grimsby Power Incorporated</v>
          </cell>
        </row>
        <row r="23">
          <cell r="A23" t="str">
            <v>Guelph Hydro Electric Systems Inc.</v>
          </cell>
        </row>
        <row r="24">
          <cell r="A24" t="str">
            <v>Halton Hills Hydro Inc.</v>
          </cell>
        </row>
        <row r="25">
          <cell r="A25" t="str">
            <v>Hearst Power Distribution Company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</row>
        <row r="29">
          <cell r="A29" t="str">
            <v>Hydro One Remote Communities Inc.</v>
          </cell>
        </row>
        <row r="30">
          <cell r="A30" t="str">
            <v>Hydro Ottawa Limited</v>
          </cell>
        </row>
        <row r="31">
          <cell r="A31" t="str">
            <v>InnPower Corporation</v>
          </cell>
        </row>
        <row r="32">
          <cell r="A32" t="str">
            <v>Kenora Hydro Electric Corporation Ltd.</v>
          </cell>
        </row>
        <row r="33">
          <cell r="A33" t="str">
            <v>Kingston Hydro Corporation</v>
          </cell>
        </row>
        <row r="34">
          <cell r="A34" t="str">
            <v>Kitchener-Wilmot Hydro Inc.</v>
          </cell>
        </row>
        <row r="35">
          <cell r="A35" t="str">
            <v>Lakefront Utilities Inc.</v>
          </cell>
        </row>
        <row r="36">
          <cell r="A36" t="str">
            <v>Lakeland Power Distribution Ltd.</v>
          </cell>
        </row>
        <row r="37">
          <cell r="A37" t="str">
            <v>London Hydro Inc.</v>
          </cell>
        </row>
        <row r="38">
          <cell r="A38" t="str">
            <v>Midland Power Utility Corporation</v>
          </cell>
        </row>
        <row r="39">
          <cell r="A39" t="str">
            <v>Milton Hydro Distribution Inc.</v>
          </cell>
        </row>
        <row r="40">
          <cell r="A40" t="str">
            <v>Newmarket - Tay Power Distribution Ltd.</v>
          </cell>
        </row>
        <row r="41">
          <cell r="A41" t="str">
            <v>Niagara Peninsula Energy Inc.</v>
          </cell>
        </row>
        <row r="42">
          <cell r="A42" t="str">
            <v>Niagara-on-the-Lake Hydro Inc.</v>
          </cell>
        </row>
        <row r="43">
          <cell r="A43" t="str">
            <v>North Bay Hydro Distribution Limited</v>
          </cell>
        </row>
        <row r="44">
          <cell r="A44" t="str">
            <v>Northern Ontario Wires Inc.</v>
          </cell>
        </row>
        <row r="45">
          <cell r="A45" t="str">
            <v>Oakville Hydro Electricity Distribution Inc.</v>
          </cell>
        </row>
        <row r="46">
          <cell r="A46" t="str">
            <v>Orangeville Hydro Limited</v>
          </cell>
        </row>
        <row r="47">
          <cell r="A47" t="str">
            <v>Orillia Power Distribution Corporation</v>
          </cell>
        </row>
        <row r="48">
          <cell r="A48" t="str">
            <v>Oshawa PUC Networks Inc.</v>
          </cell>
        </row>
        <row r="49">
          <cell r="A49" t="str">
            <v>Ottawa River Power Corporation</v>
          </cell>
        </row>
        <row r="50">
          <cell r="A50" t="str">
            <v>Peterborough Distribution Incorporated</v>
          </cell>
        </row>
        <row r="51">
          <cell r="A51" t="str">
            <v>PUC Distribution Inc.</v>
          </cell>
        </row>
        <row r="52">
          <cell r="A52" t="str">
            <v>Renfrew Hydro Inc.</v>
          </cell>
        </row>
        <row r="53">
          <cell r="A53" t="str">
            <v>Rideau St. Lawrence Distribution Inc.</v>
          </cell>
        </row>
        <row r="54">
          <cell r="A54" t="str">
            <v>Sioux Lookout Hydro Inc.</v>
          </cell>
        </row>
        <row r="55">
          <cell r="A55" t="str">
            <v>St. Thomas Energy Inc.</v>
          </cell>
        </row>
        <row r="56">
          <cell r="A56" t="str">
            <v>Thunder Bay Hydro Electricity Distribution Inc.</v>
          </cell>
        </row>
        <row r="57">
          <cell r="A57" t="str">
            <v>Tillsonburg Hydro Inc.</v>
          </cell>
        </row>
        <row r="58">
          <cell r="A58" t="str">
            <v>Toronto Hydro-Electric System Limited</v>
          </cell>
        </row>
        <row r="59">
          <cell r="A59" t="str">
            <v>Veridian Connections Inc.</v>
          </cell>
        </row>
        <row r="60">
          <cell r="A60" t="str">
            <v>Wasaga Distribution Inc.</v>
          </cell>
        </row>
        <row r="61">
          <cell r="A61" t="str">
            <v>Waterloo North Hydro Inc.</v>
          </cell>
        </row>
        <row r="62">
          <cell r="A62" t="str">
            <v>Welland Hydro-Electric System Corp.</v>
          </cell>
        </row>
        <row r="63">
          <cell r="A63" t="str">
            <v>Wellington North Power Inc.</v>
          </cell>
        </row>
        <row r="64">
          <cell r="A64" t="str">
            <v>West Coast Huron Energy Inc.</v>
          </cell>
        </row>
        <row r="65">
          <cell r="A65" t="str">
            <v>Westario Power Inc.</v>
          </cell>
        </row>
        <row r="66">
          <cell r="A66" t="str">
            <v>Whitby Hydro Electric Corporation</v>
          </cell>
        </row>
      </sheetData>
      <sheetData sheetId="6"/>
      <sheetData sheetId="7"/>
      <sheetData sheetId="8">
        <row r="14">
          <cell r="C14">
            <v>2016</v>
          </cell>
        </row>
        <row r="25">
          <cell r="C25">
            <v>101</v>
          </cell>
        </row>
      </sheetData>
      <sheetData sheetId="9"/>
      <sheetData sheetId="10"/>
      <sheetData sheetId="11"/>
      <sheetData sheetId="12"/>
      <sheetData sheetId="13"/>
      <sheetData sheetId="14">
        <row r="19">
          <cell r="N19">
            <v>0</v>
          </cell>
        </row>
      </sheetData>
      <sheetData sheetId="15"/>
      <sheetData sheetId="16"/>
      <sheetData sheetId="17"/>
      <sheetData sheetId="18"/>
      <sheetData sheetId="19">
        <row r="109">
          <cell r="F109">
            <v>58620815.729999997</v>
          </cell>
        </row>
        <row r="113">
          <cell r="P113">
            <v>30934596.326091953</v>
          </cell>
        </row>
      </sheetData>
      <sheetData sheetId="20">
        <row r="109">
          <cell r="F109">
            <v>58620815.729999997</v>
          </cell>
        </row>
        <row r="113">
          <cell r="P113">
            <v>30934596.326091953</v>
          </cell>
        </row>
      </sheetData>
      <sheetData sheetId="21"/>
      <sheetData sheetId="22">
        <row r="12">
          <cell r="F12">
            <v>331461</v>
          </cell>
        </row>
        <row r="13">
          <cell r="F13">
            <v>2689802037</v>
          </cell>
        </row>
        <row r="14">
          <cell r="F14">
            <v>2</v>
          </cell>
        </row>
      </sheetData>
      <sheetData sheetId="23">
        <row r="23">
          <cell r="D23">
            <v>6.5000000000000002E-2</v>
          </cell>
        </row>
        <row r="24">
          <cell r="D24">
            <v>9.4E-2</v>
          </cell>
        </row>
        <row r="25">
          <cell r="D25">
            <v>0.13200000000000001</v>
          </cell>
        </row>
        <row r="33">
          <cell r="D33">
            <v>0.56999999999999995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6">
          <cell r="D16">
            <v>5.0000000000000001E-4</v>
          </cell>
        </row>
        <row r="17">
          <cell r="D17">
            <v>0.25</v>
          </cell>
        </row>
      </sheetData>
      <sheetData sheetId="24" refreshError="1"/>
      <sheetData sheetId="25" refreshError="1"/>
      <sheetData sheetId="26">
        <row r="55">
          <cell r="H55">
            <v>0.23499999999999943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391"/>
  <sheetViews>
    <sheetView showGridLines="0" tabSelected="1" view="pageBreakPreview" topLeftCell="C1" zoomScale="70" zoomScaleNormal="60" zoomScaleSheetLayoutView="70" workbookViewId="0">
      <selection activeCell="N116" sqref="N116"/>
    </sheetView>
  </sheetViews>
  <sheetFormatPr defaultColWidth="9.140625" defaultRowHeight="12.75" x14ac:dyDescent="0.2"/>
  <cols>
    <col min="1" max="1" width="9" style="1" hidden="1" customWidth="1"/>
    <col min="2" max="2" width="4.7109375" style="1" hidden="1" customWidth="1"/>
    <col min="3" max="3" width="3.42578125" style="2" customWidth="1"/>
    <col min="4" max="4" width="34.7109375" style="1" customWidth="1"/>
    <col min="5" max="5" width="13.140625" style="1" customWidth="1"/>
    <col min="6" max="6" width="26.85546875" style="1" customWidth="1"/>
    <col min="7" max="7" width="10.28515625" style="1" bestFit="1" customWidth="1"/>
    <col min="8" max="8" width="18.140625" style="1" customWidth="1"/>
    <col min="9" max="9" width="12.85546875" style="1" customWidth="1"/>
    <col min="10" max="10" width="14.28515625" style="1" bestFit="1" customWidth="1"/>
    <col min="11" max="11" width="18.85546875" style="1" bestFit="1" customWidth="1"/>
    <col min="12" max="12" width="13.5703125" style="1" bestFit="1" customWidth="1"/>
    <col min="13" max="13" width="15.85546875" style="1" customWidth="1"/>
    <col min="14" max="14" width="22.140625" style="1" customWidth="1"/>
    <col min="15" max="15" width="14.42578125" style="1" customWidth="1"/>
    <col min="16" max="16" width="3.85546875" style="1" customWidth="1"/>
    <col min="17" max="17" width="11.28515625" style="1" customWidth="1"/>
    <col min="18" max="19" width="9.140625" style="1" customWidth="1"/>
    <col min="20" max="46" width="9.140625" style="1" hidden="1" customWidth="1"/>
    <col min="47" max="82" width="9.140625" style="1" customWidth="1"/>
    <col min="83" max="16384" width="9.140625" style="1"/>
  </cols>
  <sheetData>
    <row r="2" spans="1:20" ht="13.15" x14ac:dyDescent="0.25">
      <c r="C2" s="1"/>
      <c r="D2" s="3" t="s">
        <v>13</v>
      </c>
      <c r="E2" s="111" t="s">
        <v>0</v>
      </c>
      <c r="F2" s="111"/>
      <c r="G2" s="111"/>
      <c r="H2" s="111"/>
      <c r="I2" s="111"/>
      <c r="J2" s="111"/>
      <c r="K2" s="1" t="s">
        <v>8</v>
      </c>
      <c r="T2" s="1" t="s">
        <v>12</v>
      </c>
    </row>
    <row r="3" spans="1:20" x14ac:dyDescent="0.2">
      <c r="C3" s="1"/>
      <c r="D3" s="3" t="s">
        <v>14</v>
      </c>
      <c r="E3" s="112" t="s">
        <v>2</v>
      </c>
      <c r="F3" s="112"/>
      <c r="G3" s="112"/>
      <c r="H3" s="4"/>
      <c r="I3" s="4"/>
    </row>
    <row r="4" spans="1:20" ht="15.75" x14ac:dyDescent="0.2">
      <c r="C4" s="1"/>
      <c r="D4" s="3" t="s">
        <v>15</v>
      </c>
      <c r="E4" s="5">
        <v>750</v>
      </c>
      <c r="F4" s="6" t="s">
        <v>1</v>
      </c>
      <c r="G4" s="7"/>
      <c r="J4" s="8"/>
      <c r="K4" s="8"/>
      <c r="L4" s="8"/>
      <c r="M4" s="8"/>
    </row>
    <row r="5" spans="1:20" ht="15.75" x14ac:dyDescent="0.25">
      <c r="C5" s="1"/>
      <c r="D5" s="3" t="s">
        <v>16</v>
      </c>
      <c r="E5" s="5">
        <v>0</v>
      </c>
      <c r="F5" s="9" t="s">
        <v>5</v>
      </c>
      <c r="G5" s="10"/>
      <c r="H5" s="11"/>
      <c r="I5" s="11"/>
      <c r="J5" s="11"/>
    </row>
    <row r="6" spans="1:20" x14ac:dyDescent="0.2">
      <c r="C6" s="1"/>
      <c r="D6" s="3" t="s">
        <v>17</v>
      </c>
      <c r="E6" s="12">
        <v>1.0368999999999999</v>
      </c>
    </row>
    <row r="7" spans="1:20" x14ac:dyDescent="0.2">
      <c r="C7" s="1"/>
      <c r="D7" s="3" t="s">
        <v>18</v>
      </c>
      <c r="E7" s="12">
        <v>1.0368999999999999</v>
      </c>
    </row>
    <row r="8" spans="1:20" x14ac:dyDescent="0.2">
      <c r="C8" s="1"/>
      <c r="D8" s="7"/>
    </row>
    <row r="9" spans="1:20" x14ac:dyDescent="0.2">
      <c r="C9" s="1"/>
      <c r="D9" s="7"/>
      <c r="E9" s="13"/>
      <c r="F9" s="113" t="s">
        <v>19</v>
      </c>
      <c r="G9" s="121"/>
      <c r="H9" s="114"/>
      <c r="I9" s="113" t="s">
        <v>20</v>
      </c>
      <c r="J9" s="121"/>
      <c r="K9" s="114"/>
      <c r="L9" s="113" t="s">
        <v>21</v>
      </c>
      <c r="M9" s="114"/>
    </row>
    <row r="10" spans="1:20" x14ac:dyDescent="0.2">
      <c r="C10" s="1"/>
      <c r="D10" s="7"/>
      <c r="E10" s="115"/>
      <c r="F10" s="14" t="s">
        <v>22</v>
      </c>
      <c r="G10" s="14" t="s">
        <v>23</v>
      </c>
      <c r="H10" s="15" t="s">
        <v>24</v>
      </c>
      <c r="I10" s="14" t="s">
        <v>22</v>
      </c>
      <c r="J10" s="16" t="s">
        <v>23</v>
      </c>
      <c r="K10" s="15" t="s">
        <v>24</v>
      </c>
      <c r="L10" s="117" t="s">
        <v>25</v>
      </c>
      <c r="M10" s="119" t="s">
        <v>26</v>
      </c>
    </row>
    <row r="11" spans="1:20" x14ac:dyDescent="0.2">
      <c r="C11" s="1"/>
      <c r="D11" s="7"/>
      <c r="E11" s="116"/>
      <c r="F11" s="17" t="s">
        <v>27</v>
      </c>
      <c r="G11" s="17"/>
      <c r="H11" s="18" t="s">
        <v>27</v>
      </c>
      <c r="I11" s="17" t="s">
        <v>27</v>
      </c>
      <c r="J11" s="18"/>
      <c r="K11" s="18" t="s">
        <v>27</v>
      </c>
      <c r="L11" s="118"/>
      <c r="M11" s="120"/>
    </row>
    <row r="12" spans="1:20" x14ac:dyDescent="0.2">
      <c r="A12" s="1" t="s">
        <v>0</v>
      </c>
      <c r="C12" s="19"/>
      <c r="D12" s="20" t="s">
        <v>28</v>
      </c>
      <c r="E12" s="21"/>
      <c r="F12" s="22">
        <v>21.63</v>
      </c>
      <c r="G12" s="23">
        <v>1</v>
      </c>
      <c r="H12" s="24">
        <f>G12*F12</f>
        <v>21.63</v>
      </c>
      <c r="I12" s="25">
        <v>24.91</v>
      </c>
      <c r="J12" s="26">
        <f>G12</f>
        <v>1</v>
      </c>
      <c r="K12" s="24">
        <f>J12*I12</f>
        <v>24.91</v>
      </c>
      <c r="L12" s="27">
        <f t="shared" ref="L12:L33" si="0">K12-H12</f>
        <v>3.2800000000000011</v>
      </c>
      <c r="M12" s="28">
        <f>IF(ISERROR(L12/H12), "", L12/H12)</f>
        <v>0.15164123901987986</v>
      </c>
    </row>
    <row r="13" spans="1:20" x14ac:dyDescent="0.2">
      <c r="A13" s="1" t="s">
        <v>0</v>
      </c>
      <c r="C13" s="19"/>
      <c r="D13" s="20" t="s">
        <v>29</v>
      </c>
      <c r="E13" s="21"/>
      <c r="F13" s="29">
        <v>8.8000000000000005E-3</v>
      </c>
      <c r="G13" s="23">
        <f>IF($E5&gt;0, $E5, $E4)</f>
        <v>750</v>
      </c>
      <c r="H13" s="24">
        <f t="shared" ref="H13:H25" si="1">G13*F13</f>
        <v>6.6000000000000005</v>
      </c>
      <c r="I13" s="30">
        <v>4.4999999999999997E-3</v>
      </c>
      <c r="J13" s="26">
        <f>IF($E5&gt;0, $E5, $E4)</f>
        <v>750</v>
      </c>
      <c r="K13" s="24">
        <f>J13*I13</f>
        <v>3.3749999999999996</v>
      </c>
      <c r="L13" s="27">
        <f t="shared" si="0"/>
        <v>-3.225000000000001</v>
      </c>
      <c r="M13" s="28">
        <f t="shared" ref="M13:M23" si="2">IF(ISERROR(L13/H13), "", L13/H13)</f>
        <v>-0.48863636363636376</v>
      </c>
    </row>
    <row r="14" spans="1:20" hidden="1" x14ac:dyDescent="0.2">
      <c r="A14" s="1" t="s">
        <v>0</v>
      </c>
      <c r="C14" s="19"/>
      <c r="D14" s="20" t="s">
        <v>30</v>
      </c>
      <c r="E14" s="21"/>
      <c r="F14" s="29"/>
      <c r="G14" s="23">
        <f>IF($E5&gt;0, $E5, $E4)</f>
        <v>750</v>
      </c>
      <c r="H14" s="24">
        <v>0</v>
      </c>
      <c r="I14" s="30"/>
      <c r="J14" s="26">
        <f>IF($E5&gt;0, $E5, $E4)</f>
        <v>750</v>
      </c>
      <c r="K14" s="24">
        <v>0</v>
      </c>
      <c r="L14" s="27"/>
      <c r="M14" s="28"/>
    </row>
    <row r="15" spans="1:20" hidden="1" x14ac:dyDescent="0.2">
      <c r="A15" s="1" t="s">
        <v>0</v>
      </c>
      <c r="C15" s="19"/>
      <c r="D15" s="20" t="s">
        <v>31</v>
      </c>
      <c r="E15" s="21"/>
      <c r="F15" s="29"/>
      <c r="G15" s="23">
        <f>IF($E5&gt;0, $E5, $E4)</f>
        <v>750</v>
      </c>
      <c r="H15" s="24">
        <v>0</v>
      </c>
      <c r="I15" s="30"/>
      <c r="J15" s="23">
        <f>IF($E5&gt;0, $E5, $E4)</f>
        <v>750</v>
      </c>
      <c r="K15" s="24">
        <v>0</v>
      </c>
      <c r="L15" s="27">
        <f>K15-H15</f>
        <v>0</v>
      </c>
      <c r="M15" s="28" t="str">
        <f>IF(ISERROR(L15/H15), "", L15/H15)</f>
        <v/>
      </c>
    </row>
    <row r="16" spans="1:20" x14ac:dyDescent="0.2">
      <c r="A16" s="1" t="s">
        <v>0</v>
      </c>
      <c r="C16" s="19"/>
      <c r="D16" s="31" t="s">
        <v>32</v>
      </c>
      <c r="E16" s="21"/>
      <c r="F16" s="22">
        <v>0.25</v>
      </c>
      <c r="G16" s="23">
        <v>1</v>
      </c>
      <c r="H16" s="24">
        <f t="shared" si="1"/>
        <v>0.25</v>
      </c>
      <c r="I16" s="25">
        <v>0.13</v>
      </c>
      <c r="J16" s="26">
        <f>G16</f>
        <v>1</v>
      </c>
      <c r="K16" s="24">
        <f t="shared" ref="K16:K23" si="3">J16*I16</f>
        <v>0.13</v>
      </c>
      <c r="L16" s="27">
        <f t="shared" si="0"/>
        <v>-0.12</v>
      </c>
      <c r="M16" s="28">
        <f t="shared" si="2"/>
        <v>-0.48</v>
      </c>
    </row>
    <row r="17" spans="1:13" x14ac:dyDescent="0.2">
      <c r="A17" s="1" t="s">
        <v>0</v>
      </c>
      <c r="C17" s="19"/>
      <c r="D17" s="20" t="s">
        <v>33</v>
      </c>
      <c r="E17" s="21"/>
      <c r="F17" s="29">
        <v>0</v>
      </c>
      <c r="G17" s="23">
        <f>IF($E5&gt;0, $E5, $E4)</f>
        <v>750</v>
      </c>
      <c r="H17" s="24">
        <f t="shared" si="1"/>
        <v>0</v>
      </c>
      <c r="I17" s="30">
        <v>4.0000000000000002E-4</v>
      </c>
      <c r="J17" s="26">
        <f>IF($E5&gt;0, $E5, $E4)</f>
        <v>750</v>
      </c>
      <c r="K17" s="24">
        <f t="shared" si="3"/>
        <v>0.3</v>
      </c>
      <c r="L17" s="27">
        <f t="shared" si="0"/>
        <v>0.3</v>
      </c>
      <c r="M17" s="28" t="str">
        <f t="shared" si="2"/>
        <v/>
      </c>
    </row>
    <row r="18" spans="1:13" x14ac:dyDescent="0.2">
      <c r="A18" s="1" t="s">
        <v>0</v>
      </c>
      <c r="B18" s="32" t="s">
        <v>34</v>
      </c>
      <c r="C18" s="19">
        <v>1</v>
      </c>
      <c r="D18" s="33" t="s">
        <v>35</v>
      </c>
      <c r="E18" s="34"/>
      <c r="F18" s="35"/>
      <c r="G18" s="36"/>
      <c r="H18" s="37">
        <f>SUM(H12:H17)</f>
        <v>28.48</v>
      </c>
      <c r="I18" s="38"/>
      <c r="J18" s="39"/>
      <c r="K18" s="37">
        <f>SUM(K12:K17)</f>
        <v>28.715</v>
      </c>
      <c r="L18" s="40">
        <f t="shared" si="0"/>
        <v>0.23499999999999943</v>
      </c>
      <c r="M18" s="41">
        <f>IF((H18)=0,"",(L18/H18))</f>
        <v>8.2514044943820027E-3</v>
      </c>
    </row>
    <row r="19" spans="1:13" x14ac:dyDescent="0.2">
      <c r="A19" s="1" t="s">
        <v>0</v>
      </c>
      <c r="C19" s="19"/>
      <c r="D19" s="42" t="s">
        <v>36</v>
      </c>
      <c r="E19" s="21"/>
      <c r="F19" s="29">
        <f>IF((E4*12&gt;=150000), 0, IF(E3="RPP",(F35*0.65+F36*0.17+F37*0.18),IF(E3="Non-RPP (Retailer)",F38,F39)))</f>
        <v>8.1990000000000007E-2</v>
      </c>
      <c r="G19" s="43">
        <f>IF(F19=0, 0, $E4*E6-E4)</f>
        <v>27.674999999999955</v>
      </c>
      <c r="H19" s="24">
        <f>G19*F19</f>
        <v>2.2690732499999964</v>
      </c>
      <c r="I19" s="30">
        <f>IF((E4*12&gt;=150000), 0, IF(E3="RPP",(I35*0.65+I36*0.17+I37*0.18),IF(E3="Non-RPP (Retailer)",I38,I39)))</f>
        <v>8.1990000000000007E-2</v>
      </c>
      <c r="J19" s="43">
        <f>IF(I19=0, 0, E4*E7-E4)</f>
        <v>27.674999999999955</v>
      </c>
      <c r="K19" s="24">
        <f>J19*I19</f>
        <v>2.2690732499999964</v>
      </c>
      <c r="L19" s="27">
        <f>K19-H19</f>
        <v>0</v>
      </c>
      <c r="M19" s="28">
        <f>IF(ISERROR(L19/H19), "", L19/H19)</f>
        <v>0</v>
      </c>
    </row>
    <row r="20" spans="1:13" ht="25.5" x14ac:dyDescent="0.2">
      <c r="A20" s="1" t="s">
        <v>0</v>
      </c>
      <c r="C20" s="19"/>
      <c r="D20" s="42" t="s">
        <v>37</v>
      </c>
      <c r="E20" s="21"/>
      <c r="F20" s="29">
        <v>-3.0000000000000001E-3</v>
      </c>
      <c r="G20" s="44">
        <f>IF($E5&gt;0, $E5, $E4)</f>
        <v>750</v>
      </c>
      <c r="H20" s="24">
        <f t="shared" si="1"/>
        <v>-2.25</v>
      </c>
      <c r="I20" s="30">
        <v>-5.1000000000000004E-3</v>
      </c>
      <c r="J20" s="44">
        <f>IF($E5&gt;0, $E5, $E4)</f>
        <v>750</v>
      </c>
      <c r="K20" s="24">
        <f t="shared" si="3"/>
        <v>-3.8250000000000002</v>
      </c>
      <c r="L20" s="27">
        <f t="shared" si="0"/>
        <v>-1.5750000000000002</v>
      </c>
      <c r="M20" s="28">
        <f t="shared" si="2"/>
        <v>0.70000000000000007</v>
      </c>
    </row>
    <row r="21" spans="1:13" x14ac:dyDescent="0.2">
      <c r="A21" s="1" t="s">
        <v>0</v>
      </c>
      <c r="C21" s="19"/>
      <c r="D21" s="42" t="s">
        <v>38</v>
      </c>
      <c r="E21" s="21"/>
      <c r="F21" s="29">
        <v>2.0000000000000001E-4</v>
      </c>
      <c r="G21" s="44">
        <f>IF($E5&gt;0, $E5, $E4)</f>
        <v>750</v>
      </c>
      <c r="H21" s="24">
        <f>G21*F21</f>
        <v>0.15</v>
      </c>
      <c r="I21" s="30">
        <v>2.0000000000000001E-4</v>
      </c>
      <c r="J21" s="44">
        <f>IF($E5&gt;0, $E5, $E4)</f>
        <v>750</v>
      </c>
      <c r="K21" s="24">
        <f>J21*I21</f>
        <v>0.15</v>
      </c>
      <c r="L21" s="27">
        <f t="shared" si="0"/>
        <v>0</v>
      </c>
      <c r="M21" s="28">
        <f t="shared" si="2"/>
        <v>0</v>
      </c>
    </row>
    <row r="22" spans="1:13" x14ac:dyDescent="0.2">
      <c r="A22" s="1" t="s">
        <v>0</v>
      </c>
      <c r="C22" s="19"/>
      <c r="D22" s="42" t="s">
        <v>39</v>
      </c>
      <c r="E22" s="21"/>
      <c r="F22" s="29">
        <v>0</v>
      </c>
      <c r="G22" s="44">
        <f>E4</f>
        <v>750</v>
      </c>
      <c r="H22" s="24">
        <f>G22*F22</f>
        <v>0</v>
      </c>
      <c r="I22" s="30">
        <v>0</v>
      </c>
      <c r="J22" s="44">
        <f>E4</f>
        <v>750</v>
      </c>
      <c r="K22" s="24">
        <f t="shared" si="3"/>
        <v>0</v>
      </c>
      <c r="L22" s="27">
        <f t="shared" si="0"/>
        <v>0</v>
      </c>
      <c r="M22" s="28" t="str">
        <f t="shared" si="2"/>
        <v/>
      </c>
    </row>
    <row r="23" spans="1:13" x14ac:dyDescent="0.2">
      <c r="A23" s="1" t="s">
        <v>0</v>
      </c>
      <c r="C23" s="19"/>
      <c r="D23" s="45" t="s">
        <v>40</v>
      </c>
      <c r="E23" s="21"/>
      <c r="F23" s="29">
        <v>5.0000000000000001E-4</v>
      </c>
      <c r="G23" s="44">
        <f>IF($E5&gt;0, $E5, $E4)</f>
        <v>750</v>
      </c>
      <c r="H23" s="24">
        <f t="shared" si="1"/>
        <v>0.375</v>
      </c>
      <c r="I23" s="30">
        <v>5.0000000000000001E-4</v>
      </c>
      <c r="J23" s="44">
        <f>IF($E5&gt;0, $E5, $E4)</f>
        <v>750</v>
      </c>
      <c r="K23" s="24">
        <f t="shared" si="3"/>
        <v>0.375</v>
      </c>
      <c r="L23" s="27">
        <f t="shared" si="0"/>
        <v>0</v>
      </c>
      <c r="M23" s="28">
        <f t="shared" si="2"/>
        <v>0</v>
      </c>
    </row>
    <row r="24" spans="1:13" ht="25.5" x14ac:dyDescent="0.2">
      <c r="A24" s="1" t="s">
        <v>0</v>
      </c>
      <c r="C24" s="19"/>
      <c r="D24" s="46" t="s">
        <v>41</v>
      </c>
      <c r="E24" s="21"/>
      <c r="F24" s="47">
        <f>IF(OR(ISNUMBER(SEARCH("RESIDENTIAL", E2))=TRUE, ISNUMBER(SEARCH("GENERAL SERVICE LESS THAN 50", E2))=TRUE), SME, 0)</f>
        <v>0.56999999999999995</v>
      </c>
      <c r="G24" s="23">
        <v>1</v>
      </c>
      <c r="H24" s="24">
        <f>G24*F24</f>
        <v>0.56999999999999995</v>
      </c>
      <c r="I24" s="48">
        <f>IF(OR(ISNUMBER(SEARCH("RESIDENTIAL", E2))=TRUE, ISNUMBER(SEARCH("GENERAL SERVICE LESS THAN 50", E2))=TRUE), SME, 0)</f>
        <v>0.56999999999999995</v>
      </c>
      <c r="J24" s="23">
        <v>1</v>
      </c>
      <c r="K24" s="24">
        <f>J24*I24</f>
        <v>0.56999999999999995</v>
      </c>
      <c r="L24" s="27">
        <f t="shared" si="0"/>
        <v>0</v>
      </c>
      <c r="M24" s="28">
        <f>IF(ISERROR(L24/H24), "", L24/H24)</f>
        <v>0</v>
      </c>
    </row>
    <row r="25" spans="1:13" x14ac:dyDescent="0.2">
      <c r="A25" s="1" t="s">
        <v>0</v>
      </c>
      <c r="C25" s="19"/>
      <c r="D25" s="45" t="s">
        <v>42</v>
      </c>
      <c r="E25" s="21"/>
      <c r="F25" s="22">
        <v>0</v>
      </c>
      <c r="G25" s="23">
        <v>1</v>
      </c>
      <c r="H25" s="24">
        <f t="shared" si="1"/>
        <v>0</v>
      </c>
      <c r="I25" s="25">
        <v>0</v>
      </c>
      <c r="J25" s="23">
        <v>1</v>
      </c>
      <c r="K25" s="24">
        <f>J25*I25</f>
        <v>0</v>
      </c>
      <c r="L25" s="27">
        <f>K25-H25</f>
        <v>0</v>
      </c>
      <c r="M25" s="28" t="str">
        <f>IF(ISERROR(L25/H25), "", L25/H25)</f>
        <v/>
      </c>
    </row>
    <row r="26" spans="1:13" x14ac:dyDescent="0.2">
      <c r="A26" s="1" t="s">
        <v>0</v>
      </c>
      <c r="C26" s="19"/>
      <c r="D26" s="45" t="s">
        <v>43</v>
      </c>
      <c r="E26" s="21"/>
      <c r="F26" s="29"/>
      <c r="G26" s="44">
        <f>IF($E5&gt;0, $E5, $E4)</f>
        <v>750</v>
      </c>
      <c r="H26" s="24">
        <f>G26*F26</f>
        <v>0</v>
      </c>
      <c r="I26" s="30">
        <v>0</v>
      </c>
      <c r="J26" s="44">
        <f>IF($E5&gt;0, $E5, $E4)</f>
        <v>750</v>
      </c>
      <c r="K26" s="24">
        <f>J26*I26</f>
        <v>0</v>
      </c>
      <c r="L26" s="27">
        <f t="shared" si="0"/>
        <v>0</v>
      </c>
      <c r="M26" s="28" t="str">
        <f>IF(ISERROR(L26/H26), "", L26/H26)</f>
        <v/>
      </c>
    </row>
    <row r="27" spans="1:13" ht="25.5" x14ac:dyDescent="0.2">
      <c r="A27" s="1" t="s">
        <v>0</v>
      </c>
      <c r="B27" s="7" t="s">
        <v>44</v>
      </c>
      <c r="C27" s="19">
        <v>1</v>
      </c>
      <c r="D27" s="49" t="s">
        <v>45</v>
      </c>
      <c r="E27" s="50"/>
      <c r="F27" s="51"/>
      <c r="G27" s="52"/>
      <c r="H27" s="53">
        <f>SUM(H18:H26)</f>
        <v>29.594073249999994</v>
      </c>
      <c r="I27" s="54"/>
      <c r="J27" s="55"/>
      <c r="K27" s="53">
        <f>SUM(K18:K26)</f>
        <v>28.254073249999994</v>
      </c>
      <c r="L27" s="40">
        <f t="shared" si="0"/>
        <v>-1.3399999999999999</v>
      </c>
      <c r="M27" s="41">
        <f>IF((H27)=0,"",(L27/H27))</f>
        <v>-4.5279336463087252E-2</v>
      </c>
    </row>
    <row r="28" spans="1:13" x14ac:dyDescent="0.2">
      <c r="A28" s="1" t="s">
        <v>0</v>
      </c>
      <c r="C28" s="19"/>
      <c r="D28" s="56" t="s">
        <v>46</v>
      </c>
      <c r="E28" s="21"/>
      <c r="F28" s="29">
        <v>7.4999999999999997E-3</v>
      </c>
      <c r="G28" s="43">
        <f>IF($E5&gt;0, $E5, $E4*$E6)</f>
        <v>777.67499999999995</v>
      </c>
      <c r="H28" s="24">
        <f>G28*F28</f>
        <v>5.8325624999999999</v>
      </c>
      <c r="I28" s="30">
        <v>7.3000000000000001E-3</v>
      </c>
      <c r="J28" s="43">
        <f>IF($E5&gt;0, $E5, $E4*$E7)</f>
        <v>777.67499999999995</v>
      </c>
      <c r="K28" s="24">
        <f>J28*I28</f>
        <v>5.6770274999999994</v>
      </c>
      <c r="L28" s="27">
        <f t="shared" si="0"/>
        <v>-0.15553500000000042</v>
      </c>
      <c r="M28" s="28">
        <f>IF(ISERROR(L28/H28), "", L28/H28)</f>
        <v>-2.6666666666666741E-2</v>
      </c>
    </row>
    <row r="29" spans="1:13" ht="25.5" x14ac:dyDescent="0.2">
      <c r="A29" s="1" t="s">
        <v>0</v>
      </c>
      <c r="C29" s="19"/>
      <c r="D29" s="57" t="s">
        <v>47</v>
      </c>
      <c r="E29" s="21"/>
      <c r="F29" s="29">
        <v>4.0000000000000001E-3</v>
      </c>
      <c r="G29" s="43">
        <f>IF($E5&gt;0, $E5, $E4*$E6)</f>
        <v>777.67499999999995</v>
      </c>
      <c r="H29" s="24">
        <f>G29*F29</f>
        <v>3.1107</v>
      </c>
      <c r="I29" s="30">
        <v>4.0000000000000001E-3</v>
      </c>
      <c r="J29" s="43">
        <f>IF($E5&gt;0, $E5, $E4*$E7)</f>
        <v>777.67499999999995</v>
      </c>
      <c r="K29" s="24">
        <f>J29*I29</f>
        <v>3.1107</v>
      </c>
      <c r="L29" s="27">
        <f t="shared" si="0"/>
        <v>0</v>
      </c>
      <c r="M29" s="28">
        <f>IF(ISERROR(L29/H29), "", L29/H29)</f>
        <v>0</v>
      </c>
    </row>
    <row r="30" spans="1:13" ht="25.5" x14ac:dyDescent="0.2">
      <c r="A30" s="1" t="s">
        <v>0</v>
      </c>
      <c r="B30" s="7" t="s">
        <v>48</v>
      </c>
      <c r="C30" s="19">
        <v>1</v>
      </c>
      <c r="D30" s="49" t="s">
        <v>49</v>
      </c>
      <c r="E30" s="34"/>
      <c r="F30" s="51"/>
      <c r="G30" s="52"/>
      <c r="H30" s="53">
        <f>SUM(H27:H29)</f>
        <v>38.537335749999997</v>
      </c>
      <c r="I30" s="54"/>
      <c r="J30" s="39"/>
      <c r="K30" s="53">
        <f>SUM(K27:K29)</f>
        <v>37.041800749999993</v>
      </c>
      <c r="L30" s="40">
        <f t="shared" si="0"/>
        <v>-1.4955350000000038</v>
      </c>
      <c r="M30" s="41">
        <f>IF((H30)=0,"",(L30/H30))</f>
        <v>-3.8807431050809055E-2</v>
      </c>
    </row>
    <row r="31" spans="1:13" ht="25.5" x14ac:dyDescent="0.2">
      <c r="A31" s="1" t="s">
        <v>0</v>
      </c>
      <c r="C31" s="19"/>
      <c r="D31" s="58" t="s">
        <v>50</v>
      </c>
      <c r="E31" s="21"/>
      <c r="F31" s="29">
        <v>3.3999999999999998E-3</v>
      </c>
      <c r="G31" s="43">
        <f>E4*E6</f>
        <v>777.67499999999995</v>
      </c>
      <c r="H31" s="59">
        <f t="shared" ref="H31:H37" si="4">G31*F31</f>
        <v>2.6440949999999996</v>
      </c>
      <c r="I31" s="30">
        <v>3.4000000000000002E-3</v>
      </c>
      <c r="J31" s="43">
        <f>E4*E7</f>
        <v>777.67499999999995</v>
      </c>
      <c r="K31" s="59">
        <f t="shared" ref="K31:K37" si="5">J31*I31</f>
        <v>2.6440950000000001</v>
      </c>
      <c r="L31" s="27">
        <f t="shared" si="0"/>
        <v>0</v>
      </c>
      <c r="M31" s="28">
        <f t="shared" ref="M31:M39" si="6">IF(ISERROR(L31/H31), "", L31/H31)</f>
        <v>0</v>
      </c>
    </row>
    <row r="32" spans="1:13" ht="25.5" x14ac:dyDescent="0.2">
      <c r="A32" s="1" t="s">
        <v>0</v>
      </c>
      <c r="C32" s="19"/>
      <c r="D32" s="58" t="s">
        <v>51</v>
      </c>
      <c r="E32" s="21"/>
      <c r="F32" s="29">
        <f>'[7]17. Regulatory Charges'!$D$16</f>
        <v>5.0000000000000001E-4</v>
      </c>
      <c r="G32" s="43">
        <f>E4*E6</f>
        <v>777.67499999999995</v>
      </c>
      <c r="H32" s="59">
        <f t="shared" si="4"/>
        <v>0.3888375</v>
      </c>
      <c r="I32" s="30">
        <v>5.0000000000000001E-4</v>
      </c>
      <c r="J32" s="43">
        <f>E4*E7</f>
        <v>777.67499999999995</v>
      </c>
      <c r="K32" s="59">
        <f t="shared" si="5"/>
        <v>0.3888375</v>
      </c>
      <c r="L32" s="27">
        <f t="shared" si="0"/>
        <v>0</v>
      </c>
      <c r="M32" s="28">
        <f t="shared" si="6"/>
        <v>0</v>
      </c>
    </row>
    <row r="33" spans="1:13" x14ac:dyDescent="0.2">
      <c r="A33" s="1" t="s">
        <v>0</v>
      </c>
      <c r="C33" s="19"/>
      <c r="D33" s="60" t="s">
        <v>52</v>
      </c>
      <c r="E33" s="21"/>
      <c r="F33" s="47">
        <v>0.25</v>
      </c>
      <c r="G33" s="23">
        <v>1</v>
      </c>
      <c r="H33" s="59">
        <f t="shared" si="4"/>
        <v>0.25</v>
      </c>
      <c r="I33" s="48">
        <f>'[7]17. Regulatory Charges'!$D$17</f>
        <v>0.25</v>
      </c>
      <c r="J33" s="26">
        <v>1</v>
      </c>
      <c r="K33" s="59">
        <f t="shared" si="5"/>
        <v>0.25</v>
      </c>
      <c r="L33" s="27">
        <f t="shared" si="0"/>
        <v>0</v>
      </c>
      <c r="M33" s="28">
        <f t="shared" si="6"/>
        <v>0</v>
      </c>
    </row>
    <row r="34" spans="1:13" ht="25.5" hidden="1" x14ac:dyDescent="0.2">
      <c r="A34" s="1" t="s">
        <v>0</v>
      </c>
      <c r="C34" s="19"/>
      <c r="D34" s="58" t="s">
        <v>53</v>
      </c>
      <c r="E34" s="21"/>
      <c r="F34" s="29"/>
      <c r="G34" s="43"/>
      <c r="H34" s="59"/>
      <c r="I34" s="30"/>
      <c r="J34" s="43"/>
      <c r="K34" s="59"/>
      <c r="L34" s="27"/>
      <c r="M34" s="28"/>
    </row>
    <row r="35" spans="1:13" x14ac:dyDescent="0.2">
      <c r="A35" s="1" t="s">
        <v>0</v>
      </c>
      <c r="B35" s="7" t="s">
        <v>2</v>
      </c>
      <c r="C35" s="19"/>
      <c r="D35" s="61" t="s">
        <v>54</v>
      </c>
      <c r="E35" s="21"/>
      <c r="F35" s="62">
        <f>OffPeak</f>
        <v>6.5000000000000002E-2</v>
      </c>
      <c r="G35" s="63">
        <f>IF(AND(E4*12&gt;=150000),0.65*E4*E6,0.65*E4)</f>
        <v>487.5</v>
      </c>
      <c r="H35" s="59">
        <f t="shared" si="4"/>
        <v>31.6875</v>
      </c>
      <c r="I35" s="64">
        <f>OffPeak</f>
        <v>6.5000000000000002E-2</v>
      </c>
      <c r="J35" s="63">
        <f>IF(AND(E4*12&gt;=150000),0.65*E4*E7,0.65*E4)</f>
        <v>487.5</v>
      </c>
      <c r="K35" s="59">
        <f t="shared" si="5"/>
        <v>31.6875</v>
      </c>
      <c r="L35" s="27">
        <f>K35-H35</f>
        <v>0</v>
      </c>
      <c r="M35" s="28">
        <f t="shared" si="6"/>
        <v>0</v>
      </c>
    </row>
    <row r="36" spans="1:13" x14ac:dyDescent="0.2">
      <c r="A36" s="1" t="s">
        <v>0</v>
      </c>
      <c r="B36" s="7" t="s">
        <v>2</v>
      </c>
      <c r="C36" s="19"/>
      <c r="D36" s="61" t="s">
        <v>55</v>
      </c>
      <c r="E36" s="21"/>
      <c r="F36" s="62">
        <f>MidPeak</f>
        <v>9.4E-2</v>
      </c>
      <c r="G36" s="63">
        <f>IF(AND(E4*12&gt;=150000),0.17*E4*E6,0.17*E4)</f>
        <v>127.50000000000001</v>
      </c>
      <c r="H36" s="59">
        <f t="shared" si="4"/>
        <v>11.985000000000001</v>
      </c>
      <c r="I36" s="64">
        <f>MidPeak</f>
        <v>9.4E-2</v>
      </c>
      <c r="J36" s="63">
        <f>IF(AND(E4*12&gt;=150000),0.17*E4*E7,0.17*E4)</f>
        <v>127.50000000000001</v>
      </c>
      <c r="K36" s="59">
        <f t="shared" si="5"/>
        <v>11.985000000000001</v>
      </c>
      <c r="L36" s="27">
        <f>K36-H36</f>
        <v>0</v>
      </c>
      <c r="M36" s="28">
        <f t="shared" si="6"/>
        <v>0</v>
      </c>
    </row>
    <row r="37" spans="1:13" ht="13.5" thickBot="1" x14ac:dyDescent="0.25">
      <c r="A37" s="1" t="s">
        <v>0</v>
      </c>
      <c r="B37" s="7" t="s">
        <v>2</v>
      </c>
      <c r="C37" s="19"/>
      <c r="D37" s="7" t="s">
        <v>56</v>
      </c>
      <c r="E37" s="21"/>
      <c r="F37" s="62">
        <f>OnPeak</f>
        <v>0.13200000000000001</v>
      </c>
      <c r="G37" s="63">
        <f>IF(AND(E4*12&gt;=150000),0.18*E4*E6,0.18*E4)</f>
        <v>135</v>
      </c>
      <c r="H37" s="59">
        <f t="shared" si="4"/>
        <v>17.82</v>
      </c>
      <c r="I37" s="64">
        <f>OnPeak</f>
        <v>0.13200000000000001</v>
      </c>
      <c r="J37" s="63">
        <f>IF(AND(E4*12&gt;=150000),0.18*E4*E7,0.18*E4)</f>
        <v>135</v>
      </c>
      <c r="K37" s="59">
        <f t="shared" si="5"/>
        <v>17.82</v>
      </c>
      <c r="L37" s="27">
        <f>K37-H37</f>
        <v>0</v>
      </c>
      <c r="M37" s="28">
        <f t="shared" si="6"/>
        <v>0</v>
      </c>
    </row>
    <row r="38" spans="1:13" ht="13.5" hidden="1" thickBot="1" x14ac:dyDescent="0.25">
      <c r="A38" s="1" t="s">
        <v>0</v>
      </c>
      <c r="B38" s="1" t="s">
        <v>57</v>
      </c>
      <c r="C38" s="19"/>
      <c r="D38" s="61" t="s">
        <v>58</v>
      </c>
      <c r="E38" s="21"/>
      <c r="F38" s="65">
        <v>0.1101</v>
      </c>
      <c r="G38" s="63">
        <f>IF(AND(E4*12&gt;=150000),E4*E6,E4)</f>
        <v>750</v>
      </c>
      <c r="H38" s="59">
        <f>G38*F38</f>
        <v>82.575000000000003</v>
      </c>
      <c r="I38" s="66">
        <f>F38</f>
        <v>0.1101</v>
      </c>
      <c r="J38" s="63">
        <f>IF(AND(E4*12&gt;=150000),E4*E7,E4)</f>
        <v>750</v>
      </c>
      <c r="K38" s="59">
        <f>J38*I38</f>
        <v>82.575000000000003</v>
      </c>
      <c r="L38" s="27">
        <f>K38-H38</f>
        <v>0</v>
      </c>
      <c r="M38" s="28">
        <f t="shared" si="6"/>
        <v>0</v>
      </c>
    </row>
    <row r="39" spans="1:13" ht="13.5" hidden="1" thickBot="1" x14ac:dyDescent="0.25">
      <c r="A39" s="1" t="s">
        <v>0</v>
      </c>
      <c r="B39" s="1" t="s">
        <v>6</v>
      </c>
      <c r="C39" s="19"/>
      <c r="D39" s="61" t="s">
        <v>59</v>
      </c>
      <c r="E39" s="21"/>
      <c r="F39" s="65">
        <v>0.1101</v>
      </c>
      <c r="G39" s="63">
        <f>IF(AND(E4*12&gt;=150000),E4*E6,E4)</f>
        <v>750</v>
      </c>
      <c r="H39" s="59">
        <f>G39*F39</f>
        <v>82.575000000000003</v>
      </c>
      <c r="I39" s="66">
        <f>F39</f>
        <v>0.1101</v>
      </c>
      <c r="J39" s="63">
        <f>IF(AND(E4*12&gt;=150000),E4*E7,E4)</f>
        <v>750</v>
      </c>
      <c r="K39" s="59">
        <f>J39*I39</f>
        <v>82.575000000000003</v>
      </c>
      <c r="L39" s="27">
        <f>K39-H39</f>
        <v>0</v>
      </c>
      <c r="M39" s="28">
        <f t="shared" si="6"/>
        <v>0</v>
      </c>
    </row>
    <row r="40" spans="1:13" ht="13.5" thickBot="1" x14ac:dyDescent="0.25">
      <c r="A40" s="1" t="s">
        <v>0</v>
      </c>
      <c r="B40" s="7"/>
      <c r="C40" s="19"/>
      <c r="D40" s="67"/>
      <c r="E40" s="68"/>
      <c r="F40" s="69"/>
      <c r="G40" s="70"/>
      <c r="H40" s="71"/>
      <c r="I40" s="69"/>
      <c r="J40" s="72"/>
      <c r="K40" s="71"/>
      <c r="L40" s="73"/>
      <c r="M40" s="74"/>
    </row>
    <row r="41" spans="1:13" x14ac:dyDescent="0.2">
      <c r="A41" s="1" t="s">
        <v>0</v>
      </c>
      <c r="B41" s="7" t="s">
        <v>2</v>
      </c>
      <c r="C41" s="19"/>
      <c r="D41" s="75" t="s">
        <v>60</v>
      </c>
      <c r="E41" s="60"/>
      <c r="F41" s="76"/>
      <c r="G41" s="77"/>
      <c r="H41" s="78">
        <f>SUM(H31:H37,H30)</f>
        <v>103.31276824999999</v>
      </c>
      <c r="I41" s="79"/>
      <c r="J41" s="79"/>
      <c r="K41" s="78">
        <f>SUM(K31:K37,K30)</f>
        <v>101.81723324999999</v>
      </c>
      <c r="L41" s="80">
        <f>K41-H41</f>
        <v>-1.4955350000000038</v>
      </c>
      <c r="M41" s="81">
        <f>IF((H41)=0,"",(L41/H41))</f>
        <v>-1.4475800284249996E-2</v>
      </c>
    </row>
    <row r="42" spans="1:13" x14ac:dyDescent="0.2">
      <c r="A42" s="1" t="s">
        <v>0</v>
      </c>
      <c r="B42" s="7" t="s">
        <v>2</v>
      </c>
      <c r="C42" s="19"/>
      <c r="D42" s="82" t="s">
        <v>61</v>
      </c>
      <c r="E42" s="60"/>
      <c r="F42" s="76">
        <v>0.13</v>
      </c>
      <c r="G42" s="83"/>
      <c r="H42" s="84">
        <f>H41*F42</f>
        <v>13.4306598725</v>
      </c>
      <c r="I42" s="85">
        <v>0.13</v>
      </c>
      <c r="J42" s="23"/>
      <c r="K42" s="84">
        <f>K41*I42</f>
        <v>13.236240322499999</v>
      </c>
      <c r="L42" s="86">
        <f>K42-H42</f>
        <v>-0.194419550000001</v>
      </c>
      <c r="M42" s="87">
        <f>IF((H42)=0,"",(L42/H42))</f>
        <v>-1.4475800284250032E-2</v>
      </c>
    </row>
    <row r="43" spans="1:13" x14ac:dyDescent="0.2">
      <c r="A43" s="1" t="s">
        <v>0</v>
      </c>
      <c r="B43" s="7" t="s">
        <v>2</v>
      </c>
      <c r="C43" s="19"/>
      <c r="D43" s="82" t="s">
        <v>62</v>
      </c>
      <c r="E43" s="60"/>
      <c r="F43" s="76">
        <v>0.08</v>
      </c>
      <c r="G43" s="83"/>
      <c r="H43" s="84">
        <f>H41*-F43</f>
        <v>-8.2650214599999998</v>
      </c>
      <c r="I43" s="76">
        <v>0.08</v>
      </c>
      <c r="J43" s="23"/>
      <c r="K43" s="84">
        <f>K41*-I43</f>
        <v>-8.1453786599999987</v>
      </c>
      <c r="L43" s="86">
        <f>K43-H43</f>
        <v>0.11964280000000116</v>
      </c>
      <c r="M43" s="87"/>
    </row>
    <row r="44" spans="1:13" ht="13.5" thickBot="1" x14ac:dyDescent="0.25">
      <c r="A44" s="1" t="s">
        <v>0</v>
      </c>
      <c r="B44" s="7" t="s">
        <v>63</v>
      </c>
      <c r="C44" s="19">
        <v>1</v>
      </c>
      <c r="D44" s="110" t="s">
        <v>64</v>
      </c>
      <c r="E44" s="110"/>
      <c r="F44" s="88"/>
      <c r="G44" s="89"/>
      <c r="H44" s="90">
        <f>H41+H42+H43</f>
        <v>108.47840666249999</v>
      </c>
      <c r="I44" s="91"/>
      <c r="J44" s="91"/>
      <c r="K44" s="92">
        <f>K41+K42+K43</f>
        <v>106.90809491249999</v>
      </c>
      <c r="L44" s="93">
        <f>K44-H44</f>
        <v>-1.5703117500000019</v>
      </c>
      <c r="M44" s="94">
        <f>IF((H44)=0,"",(L44/H44))</f>
        <v>-1.4475800284249976E-2</v>
      </c>
    </row>
    <row r="45" spans="1:13" ht="13.5" thickBot="1" x14ac:dyDescent="0.25">
      <c r="A45" s="1" t="s">
        <v>0</v>
      </c>
      <c r="B45" s="1" t="s">
        <v>2</v>
      </c>
      <c r="C45" s="19"/>
      <c r="D45" s="67"/>
      <c r="E45" s="68"/>
      <c r="F45" s="69"/>
      <c r="G45" s="70"/>
      <c r="H45" s="71"/>
      <c r="I45" s="69"/>
      <c r="J45" s="72"/>
      <c r="K45" s="71"/>
      <c r="L45" s="73"/>
      <c r="M45" s="74"/>
    </row>
    <row r="46" spans="1:13" hidden="1" x14ac:dyDescent="0.2">
      <c r="A46" s="1" t="s">
        <v>0</v>
      </c>
      <c r="B46" s="1" t="s">
        <v>57</v>
      </c>
      <c r="C46" s="19"/>
      <c r="D46" s="75" t="s">
        <v>65</v>
      </c>
      <c r="E46" s="60"/>
      <c r="F46" s="76"/>
      <c r="G46" s="77"/>
      <c r="H46" s="78">
        <v>124.55080324999999</v>
      </c>
      <c r="I46" s="79"/>
      <c r="J46" s="79"/>
      <c r="K46" s="78">
        <v>122.89973325</v>
      </c>
      <c r="L46" s="80">
        <v>-1.65106999999999</v>
      </c>
      <c r="M46" s="81">
        <v>-1.3256197125328377E-2</v>
      </c>
    </row>
    <row r="47" spans="1:13" hidden="1" x14ac:dyDescent="0.2">
      <c r="A47" s="1" t="s">
        <v>0</v>
      </c>
      <c r="B47" s="1" t="s">
        <v>57</v>
      </c>
      <c r="C47" s="19"/>
      <c r="D47" s="82" t="s">
        <v>61</v>
      </c>
      <c r="E47" s="60"/>
      <c r="F47" s="76">
        <v>0.13</v>
      </c>
      <c r="G47" s="77"/>
      <c r="H47" s="84">
        <v>16.191604422499999</v>
      </c>
      <c r="I47" s="76">
        <v>0.13</v>
      </c>
      <c r="J47" s="85"/>
      <c r="K47" s="84">
        <v>15.9769653225</v>
      </c>
      <c r="L47" s="86">
        <v>-0.21463909999999942</v>
      </c>
      <c r="M47" s="87">
        <v>-1.325619712532842E-2</v>
      </c>
    </row>
    <row r="48" spans="1:13" hidden="1" x14ac:dyDescent="0.2">
      <c r="A48" s="1" t="s">
        <v>0</v>
      </c>
      <c r="B48" s="1" t="s">
        <v>57</v>
      </c>
      <c r="C48" s="19"/>
      <c r="D48" s="82" t="s">
        <v>62</v>
      </c>
      <c r="E48" s="60"/>
      <c r="F48" s="76">
        <v>0.08</v>
      </c>
      <c r="G48" s="77"/>
      <c r="H48" s="84"/>
      <c r="I48" s="76">
        <v>0.08</v>
      </c>
      <c r="J48" s="85"/>
      <c r="K48" s="84"/>
      <c r="L48" s="86"/>
      <c r="M48" s="87"/>
    </row>
    <row r="49" spans="1:20" hidden="1" x14ac:dyDescent="0.2">
      <c r="A49" s="1" t="s">
        <v>0</v>
      </c>
      <c r="B49" s="1" t="s">
        <v>66</v>
      </c>
      <c r="C49" s="19"/>
      <c r="D49" s="110" t="s">
        <v>65</v>
      </c>
      <c r="E49" s="110"/>
      <c r="F49" s="95"/>
      <c r="G49" s="96"/>
      <c r="H49" s="90">
        <v>140.74240767249998</v>
      </c>
      <c r="I49" s="97"/>
      <c r="J49" s="97"/>
      <c r="K49" s="90">
        <v>138.8766985725</v>
      </c>
      <c r="L49" s="98">
        <v>-1.8657090999999753</v>
      </c>
      <c r="M49" s="99">
        <v>-1.3256197125328282E-2</v>
      </c>
    </row>
    <row r="50" spans="1:20" ht="13.5" hidden="1" thickBot="1" x14ac:dyDescent="0.25">
      <c r="A50" s="1" t="s">
        <v>0</v>
      </c>
      <c r="B50" s="1" t="s">
        <v>57</v>
      </c>
      <c r="C50" s="19"/>
      <c r="D50" s="67"/>
      <c r="E50" s="68"/>
      <c r="F50" s="100"/>
      <c r="G50" s="101"/>
      <c r="H50" s="102"/>
      <c r="I50" s="100"/>
      <c r="J50" s="70"/>
      <c r="K50" s="102"/>
      <c r="L50" s="103"/>
      <c r="M50" s="74"/>
    </row>
    <row r="51" spans="1:20" hidden="1" x14ac:dyDescent="0.2">
      <c r="A51" s="1" t="s">
        <v>0</v>
      </c>
      <c r="B51" s="1" t="s">
        <v>6</v>
      </c>
      <c r="C51" s="19"/>
      <c r="D51" s="75" t="s">
        <v>67</v>
      </c>
      <c r="E51" s="60"/>
      <c r="F51" s="76"/>
      <c r="G51" s="77"/>
      <c r="H51" s="78">
        <v>124.55080324999999</v>
      </c>
      <c r="I51" s="79"/>
      <c r="J51" s="79"/>
      <c r="K51" s="78">
        <v>122.89973325</v>
      </c>
      <c r="L51" s="80">
        <v>-1.65106999999999</v>
      </c>
      <c r="M51" s="81">
        <v>-1.3256197125328377E-2</v>
      </c>
    </row>
    <row r="52" spans="1:20" hidden="1" x14ac:dyDescent="0.2">
      <c r="A52" s="1" t="s">
        <v>0</v>
      </c>
      <c r="B52" s="1" t="s">
        <v>6</v>
      </c>
      <c r="C52" s="19"/>
      <c r="D52" s="82" t="s">
        <v>61</v>
      </c>
      <c r="E52" s="60"/>
      <c r="F52" s="76">
        <v>0.13</v>
      </c>
      <c r="G52" s="77"/>
      <c r="H52" s="84">
        <v>16.191604422499999</v>
      </c>
      <c r="I52" s="76">
        <v>0.13</v>
      </c>
      <c r="J52" s="85"/>
      <c r="K52" s="84">
        <v>15.9769653225</v>
      </c>
      <c r="L52" s="86">
        <v>-0.21463909999999942</v>
      </c>
      <c r="M52" s="87">
        <v>-1.325619712532842E-2</v>
      </c>
    </row>
    <row r="53" spans="1:20" hidden="1" x14ac:dyDescent="0.2">
      <c r="A53" s="1" t="s">
        <v>0</v>
      </c>
      <c r="B53" s="1" t="s">
        <v>6</v>
      </c>
      <c r="C53" s="19"/>
      <c r="D53" s="82" t="s">
        <v>62</v>
      </c>
      <c r="E53" s="60"/>
      <c r="F53" s="76">
        <v>0.08</v>
      </c>
      <c r="G53" s="77"/>
      <c r="H53" s="84"/>
      <c r="I53" s="76">
        <v>0.08</v>
      </c>
      <c r="J53" s="85"/>
      <c r="K53" s="84"/>
      <c r="L53" s="86"/>
      <c r="M53" s="87"/>
    </row>
    <row r="54" spans="1:20" hidden="1" x14ac:dyDescent="0.2">
      <c r="A54" s="1" t="s">
        <v>0</v>
      </c>
      <c r="B54" s="1" t="s">
        <v>68</v>
      </c>
      <c r="C54" s="19"/>
      <c r="D54" s="110" t="s">
        <v>67</v>
      </c>
      <c r="E54" s="110"/>
      <c r="F54" s="95"/>
      <c r="G54" s="96"/>
      <c r="H54" s="90">
        <v>140.74240767249998</v>
      </c>
      <c r="I54" s="97"/>
      <c r="J54" s="97"/>
      <c r="K54" s="90">
        <v>138.8766985725</v>
      </c>
      <c r="L54" s="98">
        <v>-1.8657090999999753</v>
      </c>
      <c r="M54" s="99">
        <v>-1.3256197125328282E-2</v>
      </c>
    </row>
    <row r="55" spans="1:20" ht="13.5" hidden="1" thickBot="1" x14ac:dyDescent="0.25">
      <c r="A55" s="1" t="s">
        <v>0</v>
      </c>
      <c r="B55" s="1" t="s">
        <v>6</v>
      </c>
      <c r="C55" s="19"/>
      <c r="D55" s="67"/>
      <c r="E55" s="68"/>
      <c r="F55" s="104"/>
      <c r="G55" s="105"/>
      <c r="H55" s="106"/>
      <c r="I55" s="104"/>
      <c r="J55" s="107"/>
      <c r="K55" s="106"/>
      <c r="L55" s="108"/>
      <c r="M55" s="109"/>
    </row>
    <row r="58" spans="1:20" x14ac:dyDescent="0.2">
      <c r="C58" s="1"/>
      <c r="D58" s="3" t="s">
        <v>13</v>
      </c>
      <c r="E58" s="111" t="s">
        <v>3</v>
      </c>
      <c r="F58" s="111"/>
      <c r="G58" s="111"/>
      <c r="H58" s="111"/>
      <c r="I58" s="111"/>
      <c r="J58" s="111"/>
      <c r="K58" s="1" t="s">
        <v>8</v>
      </c>
      <c r="T58" s="1" t="s">
        <v>12</v>
      </c>
    </row>
    <row r="59" spans="1:20" x14ac:dyDescent="0.2">
      <c r="C59" s="1"/>
      <c r="D59" s="3" t="s">
        <v>14</v>
      </c>
      <c r="E59" s="112" t="s">
        <v>2</v>
      </c>
      <c r="F59" s="112"/>
      <c r="G59" s="112"/>
      <c r="H59" s="4"/>
      <c r="I59" s="4"/>
    </row>
    <row r="60" spans="1:20" ht="15.75" x14ac:dyDescent="0.2">
      <c r="C60" s="1"/>
      <c r="D60" s="3" t="s">
        <v>15</v>
      </c>
      <c r="E60" s="5">
        <v>2000</v>
      </c>
      <c r="F60" s="6" t="s">
        <v>1</v>
      </c>
      <c r="G60" s="7"/>
      <c r="J60" s="8"/>
      <c r="K60" s="8"/>
      <c r="L60" s="8"/>
      <c r="M60" s="8"/>
    </row>
    <row r="61" spans="1:20" ht="15.75" x14ac:dyDescent="0.25">
      <c r="C61" s="1"/>
      <c r="D61" s="3" t="s">
        <v>16</v>
      </c>
      <c r="E61" s="5">
        <v>0</v>
      </c>
      <c r="F61" s="9" t="s">
        <v>5</v>
      </c>
      <c r="G61" s="10"/>
      <c r="H61" s="11"/>
      <c r="I61" s="11"/>
      <c r="J61" s="11"/>
    </row>
    <row r="62" spans="1:20" x14ac:dyDescent="0.2">
      <c r="C62" s="1"/>
      <c r="D62" s="3" t="s">
        <v>17</v>
      </c>
      <c r="E62" s="12">
        <v>1.0368999999999999</v>
      </c>
    </row>
    <row r="63" spans="1:20" x14ac:dyDescent="0.2">
      <c r="C63" s="1"/>
      <c r="D63" s="3" t="s">
        <v>18</v>
      </c>
      <c r="E63" s="12">
        <v>1.0368999999999999</v>
      </c>
    </row>
    <row r="64" spans="1:20" x14ac:dyDescent="0.2">
      <c r="C64" s="1"/>
      <c r="D64" s="7"/>
    </row>
    <row r="65" spans="1:13" x14ac:dyDescent="0.2">
      <c r="C65" s="1"/>
      <c r="D65" s="7"/>
      <c r="E65" s="13"/>
      <c r="F65" s="113" t="s">
        <v>19</v>
      </c>
      <c r="G65" s="121"/>
      <c r="H65" s="114"/>
      <c r="I65" s="113" t="s">
        <v>20</v>
      </c>
      <c r="J65" s="121"/>
      <c r="K65" s="114"/>
      <c r="L65" s="113" t="s">
        <v>21</v>
      </c>
      <c r="M65" s="114"/>
    </row>
    <row r="66" spans="1:13" x14ac:dyDescent="0.2">
      <c r="C66" s="1"/>
      <c r="D66" s="7"/>
      <c r="E66" s="115"/>
      <c r="F66" s="14" t="s">
        <v>22</v>
      </c>
      <c r="G66" s="14" t="s">
        <v>23</v>
      </c>
      <c r="H66" s="15" t="s">
        <v>24</v>
      </c>
      <c r="I66" s="14" t="s">
        <v>22</v>
      </c>
      <c r="J66" s="16" t="s">
        <v>23</v>
      </c>
      <c r="K66" s="15" t="s">
        <v>24</v>
      </c>
      <c r="L66" s="117" t="s">
        <v>25</v>
      </c>
      <c r="M66" s="119" t="s">
        <v>26</v>
      </c>
    </row>
    <row r="67" spans="1:13" x14ac:dyDescent="0.2">
      <c r="C67" s="1"/>
      <c r="D67" s="7"/>
      <c r="E67" s="116"/>
      <c r="F67" s="17" t="s">
        <v>27</v>
      </c>
      <c r="G67" s="17"/>
      <c r="H67" s="18" t="s">
        <v>27</v>
      </c>
      <c r="I67" s="17" t="s">
        <v>27</v>
      </c>
      <c r="J67" s="18"/>
      <c r="K67" s="18" t="s">
        <v>27</v>
      </c>
      <c r="L67" s="118"/>
      <c r="M67" s="120"/>
    </row>
    <row r="68" spans="1:13" x14ac:dyDescent="0.2">
      <c r="A68" s="1" t="s">
        <v>3</v>
      </c>
      <c r="C68" s="19"/>
      <c r="D68" s="20" t="s">
        <v>28</v>
      </c>
      <c r="E68" s="21"/>
      <c r="F68" s="22">
        <v>29</v>
      </c>
      <c r="G68" s="23">
        <v>1</v>
      </c>
      <c r="H68" s="24">
        <f>G68*F68</f>
        <v>29</v>
      </c>
      <c r="I68" s="25">
        <v>29.35</v>
      </c>
      <c r="J68" s="26">
        <f>G68</f>
        <v>1</v>
      </c>
      <c r="K68" s="24">
        <f>J68*I68</f>
        <v>29.35</v>
      </c>
      <c r="L68" s="27">
        <f t="shared" ref="L68:L89" si="7">K68-H68</f>
        <v>0.35000000000000142</v>
      </c>
      <c r="M68" s="28">
        <f>IF(ISERROR(L68/H68), "", L68/H68)</f>
        <v>1.2068965517241428E-2</v>
      </c>
    </row>
    <row r="69" spans="1:13" x14ac:dyDescent="0.2">
      <c r="A69" s="1" t="s">
        <v>3</v>
      </c>
      <c r="C69" s="19"/>
      <c r="D69" s="20" t="s">
        <v>29</v>
      </c>
      <c r="E69" s="21"/>
      <c r="F69" s="29">
        <v>1.8499999999999999E-2</v>
      </c>
      <c r="G69" s="23">
        <f>IF($E61&gt;0, $E61, $E60)</f>
        <v>2000</v>
      </c>
      <c r="H69" s="24">
        <f t="shared" ref="H69:H81" si="8">G69*F69</f>
        <v>37</v>
      </c>
      <c r="I69" s="30">
        <v>1.8700000000000001E-2</v>
      </c>
      <c r="J69" s="26">
        <f>IF($E61&gt;0, $E61, $E60)</f>
        <v>2000</v>
      </c>
      <c r="K69" s="24">
        <f>J69*I69</f>
        <v>37.400000000000006</v>
      </c>
      <c r="L69" s="27">
        <f t="shared" si="7"/>
        <v>0.40000000000000568</v>
      </c>
      <c r="M69" s="28">
        <f t="shared" ref="M69:M79" si="9">IF(ISERROR(L69/H69), "", L69/H69)</f>
        <v>1.0810810810810964E-2</v>
      </c>
    </row>
    <row r="70" spans="1:13" hidden="1" x14ac:dyDescent="0.2">
      <c r="A70" s="1" t="s">
        <v>3</v>
      </c>
      <c r="C70" s="19"/>
      <c r="D70" s="20" t="s">
        <v>30</v>
      </c>
      <c r="E70" s="21"/>
      <c r="F70" s="29"/>
      <c r="G70" s="23">
        <f>IF($E61&gt;0, $E61, $E60)</f>
        <v>2000</v>
      </c>
      <c r="H70" s="24">
        <v>0</v>
      </c>
      <c r="I70" s="30"/>
      <c r="J70" s="26">
        <f>IF($E61&gt;0, $E61, $E60)</f>
        <v>2000</v>
      </c>
      <c r="K70" s="24">
        <v>0</v>
      </c>
      <c r="L70" s="27"/>
      <c r="M70" s="28"/>
    </row>
    <row r="71" spans="1:13" hidden="1" x14ac:dyDescent="0.2">
      <c r="A71" s="1" t="s">
        <v>3</v>
      </c>
      <c r="C71" s="19"/>
      <c r="D71" s="20" t="s">
        <v>31</v>
      </c>
      <c r="E71" s="21"/>
      <c r="F71" s="29"/>
      <c r="G71" s="23">
        <f>IF($E61&gt;0, $E61, $E60)</f>
        <v>2000</v>
      </c>
      <c r="H71" s="24">
        <v>0</v>
      </c>
      <c r="I71" s="30"/>
      <c r="J71" s="23">
        <f>IF($E61&gt;0, $E61, $E60)</f>
        <v>2000</v>
      </c>
      <c r="K71" s="24">
        <v>0</v>
      </c>
      <c r="L71" s="27">
        <f>K71-H71</f>
        <v>0</v>
      </c>
      <c r="M71" s="28" t="str">
        <f>IF(ISERROR(L71/H71), "", L71/H71)</f>
        <v/>
      </c>
    </row>
    <row r="72" spans="1:13" x14ac:dyDescent="0.2">
      <c r="A72" s="1" t="s">
        <v>3</v>
      </c>
      <c r="C72" s="19"/>
      <c r="D72" s="31" t="s">
        <v>32</v>
      </c>
      <c r="E72" s="21"/>
      <c r="F72" s="22">
        <v>0.52</v>
      </c>
      <c r="G72" s="23">
        <v>1</v>
      </c>
      <c r="H72" s="24">
        <f t="shared" si="8"/>
        <v>0.52</v>
      </c>
      <c r="I72" s="25">
        <v>0.2</v>
      </c>
      <c r="J72" s="26">
        <f>G72</f>
        <v>1</v>
      </c>
      <c r="K72" s="24">
        <f t="shared" ref="K72:K79" si="10">J72*I72</f>
        <v>0.2</v>
      </c>
      <c r="L72" s="27">
        <f t="shared" si="7"/>
        <v>-0.32</v>
      </c>
      <c r="M72" s="28">
        <f t="shared" si="9"/>
        <v>-0.61538461538461542</v>
      </c>
    </row>
    <row r="73" spans="1:13" x14ac:dyDescent="0.2">
      <c r="A73" s="1" t="s">
        <v>3</v>
      </c>
      <c r="C73" s="19"/>
      <c r="D73" s="20" t="s">
        <v>33</v>
      </c>
      <c r="E73" s="21"/>
      <c r="F73" s="29">
        <v>1E-3</v>
      </c>
      <c r="G73" s="23">
        <f>IF($E61&gt;0, $E61, $E60)</f>
        <v>2000</v>
      </c>
      <c r="H73" s="24">
        <f t="shared" si="8"/>
        <v>2</v>
      </c>
      <c r="I73" s="30">
        <v>1.7000000000000001E-3</v>
      </c>
      <c r="J73" s="26">
        <f>IF($E61&gt;0, $E61, $E60)</f>
        <v>2000</v>
      </c>
      <c r="K73" s="24">
        <f t="shared" si="10"/>
        <v>3.4000000000000004</v>
      </c>
      <c r="L73" s="27">
        <f t="shared" si="7"/>
        <v>1.4000000000000004</v>
      </c>
      <c r="M73" s="28">
        <f t="shared" si="9"/>
        <v>0.70000000000000018</v>
      </c>
    </row>
    <row r="74" spans="1:13" x14ac:dyDescent="0.2">
      <c r="A74" s="1" t="s">
        <v>3</v>
      </c>
      <c r="B74" s="32" t="s">
        <v>34</v>
      </c>
      <c r="C74" s="19">
        <v>2</v>
      </c>
      <c r="D74" s="33" t="s">
        <v>35</v>
      </c>
      <c r="E74" s="34"/>
      <c r="F74" s="35"/>
      <c r="G74" s="36"/>
      <c r="H74" s="37">
        <f>SUM(H68:H73)</f>
        <v>68.52</v>
      </c>
      <c r="I74" s="38"/>
      <c r="J74" s="39"/>
      <c r="K74" s="37">
        <f>SUM(K68:K73)</f>
        <v>70.350000000000009</v>
      </c>
      <c r="L74" s="40">
        <f t="shared" si="7"/>
        <v>1.8300000000000125</v>
      </c>
      <c r="M74" s="41">
        <f>IF((H74)=0,"",(L74/H74))</f>
        <v>2.6707530647986172E-2</v>
      </c>
    </row>
    <row r="75" spans="1:13" x14ac:dyDescent="0.2">
      <c r="A75" s="1" t="s">
        <v>3</v>
      </c>
      <c r="C75" s="19"/>
      <c r="D75" s="42" t="s">
        <v>36</v>
      </c>
      <c r="E75" s="21"/>
      <c r="F75" s="29">
        <f>IF((E60*12&gt;=150000), 0, IF(E59="RPP",(F91*0.65+F92*0.17+F93*0.18),IF(E59="Non-RPP (Retailer)",F94,F95)))</f>
        <v>8.1990000000000007E-2</v>
      </c>
      <c r="G75" s="43">
        <f>IF(F75=0, 0, $E60*E62-E60)</f>
        <v>73.799999999999727</v>
      </c>
      <c r="H75" s="24">
        <f>G75*F75</f>
        <v>6.0508619999999782</v>
      </c>
      <c r="I75" s="30">
        <f>IF((E60*12&gt;=150000), 0, IF(E59="RPP",(I91*0.65+I92*0.17+I93*0.18),IF(E59="Non-RPP (Retailer)",I94,I95)))</f>
        <v>8.1990000000000007E-2</v>
      </c>
      <c r="J75" s="43">
        <f>IF(I75=0, 0, E60*E63-E60)</f>
        <v>73.799999999999727</v>
      </c>
      <c r="K75" s="24">
        <f>J75*I75</f>
        <v>6.0508619999999782</v>
      </c>
      <c r="L75" s="27">
        <f>K75-H75</f>
        <v>0</v>
      </c>
      <c r="M75" s="28">
        <f>IF(ISERROR(L75/H75), "", L75/H75)</f>
        <v>0</v>
      </c>
    </row>
    <row r="76" spans="1:13" ht="25.5" x14ac:dyDescent="0.2">
      <c r="A76" s="1" t="s">
        <v>3</v>
      </c>
      <c r="C76" s="19"/>
      <c r="D76" s="42" t="s">
        <v>37</v>
      </c>
      <c r="E76" s="21"/>
      <c r="F76" s="29">
        <v>-3.0000000000000001E-3</v>
      </c>
      <c r="G76" s="44">
        <f>IF($E61&gt;0, $E61, $E60)</f>
        <v>2000</v>
      </c>
      <c r="H76" s="24">
        <f t="shared" si="8"/>
        <v>-6</v>
      </c>
      <c r="I76" s="30">
        <v>-5.0000000000000001E-3</v>
      </c>
      <c r="J76" s="44">
        <f>IF($E61&gt;0, $E61, $E60)</f>
        <v>2000</v>
      </c>
      <c r="K76" s="24">
        <f t="shared" si="10"/>
        <v>-10</v>
      </c>
      <c r="L76" s="27">
        <f t="shared" si="7"/>
        <v>-4</v>
      </c>
      <c r="M76" s="28">
        <f t="shared" si="9"/>
        <v>0.66666666666666663</v>
      </c>
    </row>
    <row r="77" spans="1:13" x14ac:dyDescent="0.2">
      <c r="A77" s="1" t="s">
        <v>3</v>
      </c>
      <c r="C77" s="19"/>
      <c r="D77" s="42" t="s">
        <v>38</v>
      </c>
      <c r="E77" s="21"/>
      <c r="F77" s="29">
        <v>2.0000000000000001E-4</v>
      </c>
      <c r="G77" s="44">
        <f>IF($E61&gt;0, $E61, $E60)</f>
        <v>2000</v>
      </c>
      <c r="H77" s="24">
        <f>G77*F77</f>
        <v>0.4</v>
      </c>
      <c r="I77" s="30">
        <v>2.0000000000000001E-4</v>
      </c>
      <c r="J77" s="44">
        <f>IF($E61&gt;0, $E61, $E60)</f>
        <v>2000</v>
      </c>
      <c r="K77" s="24">
        <f>J77*I77</f>
        <v>0.4</v>
      </c>
      <c r="L77" s="27">
        <f t="shared" si="7"/>
        <v>0</v>
      </c>
      <c r="M77" s="28">
        <f t="shared" si="9"/>
        <v>0</v>
      </c>
    </row>
    <row r="78" spans="1:13" x14ac:dyDescent="0.2">
      <c r="A78" s="1" t="s">
        <v>3</v>
      </c>
      <c r="C78" s="19"/>
      <c r="D78" s="42" t="s">
        <v>39</v>
      </c>
      <c r="E78" s="21"/>
      <c r="F78" s="29">
        <v>0</v>
      </c>
      <c r="G78" s="44">
        <f>E60</f>
        <v>2000</v>
      </c>
      <c r="H78" s="24">
        <f>G78*F78</f>
        <v>0</v>
      </c>
      <c r="I78" s="30">
        <v>0</v>
      </c>
      <c r="J78" s="44">
        <f>E60</f>
        <v>2000</v>
      </c>
      <c r="K78" s="24">
        <f t="shared" si="10"/>
        <v>0</v>
      </c>
      <c r="L78" s="27">
        <f t="shared" si="7"/>
        <v>0</v>
      </c>
      <c r="M78" s="28" t="str">
        <f t="shared" si="9"/>
        <v/>
      </c>
    </row>
    <row r="79" spans="1:13" x14ac:dyDescent="0.2">
      <c r="A79" s="1" t="s">
        <v>3</v>
      </c>
      <c r="C79" s="19"/>
      <c r="D79" s="45" t="s">
        <v>40</v>
      </c>
      <c r="E79" s="21"/>
      <c r="F79" s="29">
        <v>4.0000000000000002E-4</v>
      </c>
      <c r="G79" s="44">
        <f>IF($E61&gt;0, $E61, $E60)</f>
        <v>2000</v>
      </c>
      <c r="H79" s="24">
        <f t="shared" si="8"/>
        <v>0.8</v>
      </c>
      <c r="I79" s="30">
        <v>4.0000000000000002E-4</v>
      </c>
      <c r="J79" s="44">
        <f>IF($E61&gt;0, $E61, $E60)</f>
        <v>2000</v>
      </c>
      <c r="K79" s="24">
        <f t="shared" si="10"/>
        <v>0.8</v>
      </c>
      <c r="L79" s="27">
        <f t="shared" si="7"/>
        <v>0</v>
      </c>
      <c r="M79" s="28">
        <f t="shared" si="9"/>
        <v>0</v>
      </c>
    </row>
    <row r="80" spans="1:13" ht="25.5" x14ac:dyDescent="0.2">
      <c r="A80" s="1" t="s">
        <v>3</v>
      </c>
      <c r="C80" s="19"/>
      <c r="D80" s="46" t="s">
        <v>41</v>
      </c>
      <c r="E80" s="21"/>
      <c r="F80" s="47">
        <f>IF(OR(ISNUMBER(SEARCH("RESIDENTIAL", E58))=TRUE, ISNUMBER(SEARCH("GENERAL SERVICE LESS THAN 50", E58))=TRUE), SME, 0)</f>
        <v>0.56999999999999995</v>
      </c>
      <c r="G80" s="23">
        <v>1</v>
      </c>
      <c r="H80" s="24">
        <f>G80*F80</f>
        <v>0.56999999999999995</v>
      </c>
      <c r="I80" s="48">
        <f>IF(OR(ISNUMBER(SEARCH("RESIDENTIAL", E58))=TRUE, ISNUMBER(SEARCH("GENERAL SERVICE LESS THAN 50", E58))=TRUE), SME, 0)</f>
        <v>0.56999999999999995</v>
      </c>
      <c r="J80" s="23">
        <v>1</v>
      </c>
      <c r="K80" s="24">
        <f>J80*I80</f>
        <v>0.56999999999999995</v>
      </c>
      <c r="L80" s="27">
        <f t="shared" si="7"/>
        <v>0</v>
      </c>
      <c r="M80" s="28">
        <f>IF(ISERROR(L80/H80), "", L80/H80)</f>
        <v>0</v>
      </c>
    </row>
    <row r="81" spans="1:13" x14ac:dyDescent="0.2">
      <c r="A81" s="1" t="s">
        <v>3</v>
      </c>
      <c r="C81" s="19"/>
      <c r="D81" s="45" t="s">
        <v>42</v>
      </c>
      <c r="E81" s="21"/>
      <c r="F81" s="22">
        <v>0</v>
      </c>
      <c r="G81" s="23">
        <v>1</v>
      </c>
      <c r="H81" s="24">
        <f t="shared" si="8"/>
        <v>0</v>
      </c>
      <c r="I81" s="25">
        <v>0</v>
      </c>
      <c r="J81" s="23">
        <v>1</v>
      </c>
      <c r="K81" s="24">
        <f>J81*I81</f>
        <v>0</v>
      </c>
      <c r="L81" s="27">
        <f>K81-H81</f>
        <v>0</v>
      </c>
      <c r="M81" s="28" t="str">
        <f>IF(ISERROR(L81/H81), "", L81/H81)</f>
        <v/>
      </c>
    </row>
    <row r="82" spans="1:13" x14ac:dyDescent="0.2">
      <c r="A82" s="1" t="s">
        <v>3</v>
      </c>
      <c r="C82" s="19"/>
      <c r="D82" s="45" t="s">
        <v>43</v>
      </c>
      <c r="E82" s="21"/>
      <c r="F82" s="29"/>
      <c r="G82" s="44">
        <f>IF($E61&gt;0, $E61, $E60)</f>
        <v>2000</v>
      </c>
      <c r="H82" s="24">
        <f>G82*F82</f>
        <v>0</v>
      </c>
      <c r="I82" s="30">
        <v>0</v>
      </c>
      <c r="J82" s="44">
        <f>IF($E61&gt;0, $E61, $E60)</f>
        <v>2000</v>
      </c>
      <c r="K82" s="24">
        <f>J82*I82</f>
        <v>0</v>
      </c>
      <c r="L82" s="27">
        <f t="shared" si="7"/>
        <v>0</v>
      </c>
      <c r="M82" s="28" t="str">
        <f>IF(ISERROR(L82/H82), "", L82/H82)</f>
        <v/>
      </c>
    </row>
    <row r="83" spans="1:13" ht="25.5" x14ac:dyDescent="0.2">
      <c r="A83" s="1" t="s">
        <v>3</v>
      </c>
      <c r="B83" s="7" t="s">
        <v>44</v>
      </c>
      <c r="C83" s="19">
        <v>2</v>
      </c>
      <c r="D83" s="49" t="s">
        <v>45</v>
      </c>
      <c r="E83" s="50"/>
      <c r="F83" s="51"/>
      <c r="G83" s="52"/>
      <c r="H83" s="53">
        <f>SUM(H74:H82)</f>
        <v>70.340861999999973</v>
      </c>
      <c r="I83" s="54"/>
      <c r="J83" s="55"/>
      <c r="K83" s="53">
        <f>SUM(K74:K82)</f>
        <v>68.170861999999985</v>
      </c>
      <c r="L83" s="40">
        <f t="shared" si="7"/>
        <v>-2.1699999999999875</v>
      </c>
      <c r="M83" s="41">
        <f>IF((H83)=0,"",(L83/H83))</f>
        <v>-3.0849778326571948E-2</v>
      </c>
    </row>
    <row r="84" spans="1:13" x14ac:dyDescent="0.2">
      <c r="A84" s="1" t="s">
        <v>3</v>
      </c>
      <c r="C84" s="19"/>
      <c r="D84" s="56" t="s">
        <v>46</v>
      </c>
      <c r="E84" s="21"/>
      <c r="F84" s="29">
        <v>6.7000000000000002E-3</v>
      </c>
      <c r="G84" s="43">
        <f>IF($E61&gt;0, $E61, $E60*$E62)</f>
        <v>2073.7999999999997</v>
      </c>
      <c r="H84" s="24">
        <f>G84*F84</f>
        <v>13.894459999999999</v>
      </c>
      <c r="I84" s="30">
        <v>6.4999999999999997E-3</v>
      </c>
      <c r="J84" s="43">
        <f>IF($E61&gt;0, $E61, $E60*$E63)</f>
        <v>2073.7999999999997</v>
      </c>
      <c r="K84" s="24">
        <f>J84*I84</f>
        <v>13.479699999999998</v>
      </c>
      <c r="L84" s="27">
        <f t="shared" si="7"/>
        <v>-0.41476000000000113</v>
      </c>
      <c r="M84" s="28">
        <f>IF(ISERROR(L84/H84), "", L84/H84)</f>
        <v>-2.9850746268656799E-2</v>
      </c>
    </row>
    <row r="85" spans="1:13" ht="25.5" x14ac:dyDescent="0.2">
      <c r="A85" s="1" t="s">
        <v>3</v>
      </c>
      <c r="C85" s="19"/>
      <c r="D85" s="57" t="s">
        <v>47</v>
      </c>
      <c r="E85" s="21"/>
      <c r="F85" s="29">
        <v>3.5000000000000001E-3</v>
      </c>
      <c r="G85" s="43">
        <f>IF($E61&gt;0, $E61, $E60*$E62)</f>
        <v>2073.7999999999997</v>
      </c>
      <c r="H85" s="24">
        <f>G85*F85</f>
        <v>7.2582999999999993</v>
      </c>
      <c r="I85" s="30">
        <v>3.5000000000000001E-3</v>
      </c>
      <c r="J85" s="43">
        <f>IF($E61&gt;0, $E61, $E60*$E63)</f>
        <v>2073.7999999999997</v>
      </c>
      <c r="K85" s="24">
        <f>J85*I85</f>
        <v>7.2582999999999993</v>
      </c>
      <c r="L85" s="27">
        <f t="shared" si="7"/>
        <v>0</v>
      </c>
      <c r="M85" s="28">
        <f>IF(ISERROR(L85/H85), "", L85/H85)</f>
        <v>0</v>
      </c>
    </row>
    <row r="86" spans="1:13" ht="25.5" x14ac:dyDescent="0.2">
      <c r="A86" s="1" t="s">
        <v>3</v>
      </c>
      <c r="B86" s="7" t="s">
        <v>48</v>
      </c>
      <c r="C86" s="19">
        <v>2</v>
      </c>
      <c r="D86" s="49" t="s">
        <v>49</v>
      </c>
      <c r="E86" s="34"/>
      <c r="F86" s="51"/>
      <c r="G86" s="52"/>
      <c r="H86" s="53">
        <f>SUM(H83:H85)</f>
        <v>91.493621999999974</v>
      </c>
      <c r="I86" s="54"/>
      <c r="J86" s="39"/>
      <c r="K86" s="53">
        <f>SUM(K83:K85)</f>
        <v>88.908861999999985</v>
      </c>
      <c r="L86" s="40">
        <f t="shared" si="7"/>
        <v>-2.5847599999999886</v>
      </c>
      <c r="M86" s="41">
        <f>IF((H86)=0,"",(L86/H86))</f>
        <v>-2.8250712382989814E-2</v>
      </c>
    </row>
    <row r="87" spans="1:13" ht="25.5" x14ac:dyDescent="0.2">
      <c r="A87" s="1" t="s">
        <v>3</v>
      </c>
      <c r="C87" s="19"/>
      <c r="D87" s="58" t="s">
        <v>50</v>
      </c>
      <c r="E87" s="21"/>
      <c r="F87" s="29">
        <v>3.3999999999999998E-3</v>
      </c>
      <c r="G87" s="43">
        <f>E60*E62</f>
        <v>2073.7999999999997</v>
      </c>
      <c r="H87" s="59">
        <f t="shared" ref="H87:H93" si="11">G87*F87</f>
        <v>7.0509199999999987</v>
      </c>
      <c r="I87" s="30">
        <v>3.4000000000000002E-3</v>
      </c>
      <c r="J87" s="43">
        <f>E60*E63</f>
        <v>2073.7999999999997</v>
      </c>
      <c r="K87" s="59">
        <f t="shared" ref="K87:K93" si="12">J87*I87</f>
        <v>7.0509199999999996</v>
      </c>
      <c r="L87" s="27">
        <f t="shared" si="7"/>
        <v>0</v>
      </c>
      <c r="M87" s="28">
        <f t="shared" ref="M87:M95" si="13">IF(ISERROR(L87/H87), "", L87/H87)</f>
        <v>0</v>
      </c>
    </row>
    <row r="88" spans="1:13" ht="25.5" x14ac:dyDescent="0.2">
      <c r="A88" s="1" t="s">
        <v>3</v>
      </c>
      <c r="C88" s="19"/>
      <c r="D88" s="58" t="s">
        <v>51</v>
      </c>
      <c r="E88" s="21"/>
      <c r="F88" s="29">
        <f>'[7]17. Regulatory Charges'!$D$16</f>
        <v>5.0000000000000001E-4</v>
      </c>
      <c r="G88" s="43">
        <f>E60*E62</f>
        <v>2073.7999999999997</v>
      </c>
      <c r="H88" s="59">
        <f t="shared" si="11"/>
        <v>1.0368999999999999</v>
      </c>
      <c r="I88" s="30">
        <v>5.0000000000000001E-4</v>
      </c>
      <c r="J88" s="43">
        <f>E60*E63</f>
        <v>2073.7999999999997</v>
      </c>
      <c r="K88" s="59">
        <f t="shared" si="12"/>
        <v>1.0368999999999999</v>
      </c>
      <c r="L88" s="27">
        <f t="shared" si="7"/>
        <v>0</v>
      </c>
      <c r="M88" s="28">
        <f t="shared" si="13"/>
        <v>0</v>
      </c>
    </row>
    <row r="89" spans="1:13" x14ac:dyDescent="0.2">
      <c r="A89" s="1" t="s">
        <v>3</v>
      </c>
      <c r="C89" s="19"/>
      <c r="D89" s="60" t="s">
        <v>52</v>
      </c>
      <c r="E89" s="21"/>
      <c r="F89" s="47">
        <v>0.25</v>
      </c>
      <c r="G89" s="23">
        <v>1</v>
      </c>
      <c r="H89" s="59">
        <f t="shared" si="11"/>
        <v>0.25</v>
      </c>
      <c r="I89" s="48">
        <f>'[7]17. Regulatory Charges'!$D$17</f>
        <v>0.25</v>
      </c>
      <c r="J89" s="26">
        <v>1</v>
      </c>
      <c r="K89" s="59">
        <f t="shared" si="12"/>
        <v>0.25</v>
      </c>
      <c r="L89" s="27">
        <f t="shared" si="7"/>
        <v>0</v>
      </c>
      <c r="M89" s="28">
        <f t="shared" si="13"/>
        <v>0</v>
      </c>
    </row>
    <row r="90" spans="1:13" ht="25.5" hidden="1" x14ac:dyDescent="0.2">
      <c r="A90" s="1" t="s">
        <v>3</v>
      </c>
      <c r="C90" s="19"/>
      <c r="D90" s="58" t="s">
        <v>53</v>
      </c>
      <c r="E90" s="21"/>
      <c r="F90" s="29"/>
      <c r="G90" s="43"/>
      <c r="H90" s="59"/>
      <c r="I90" s="30"/>
      <c r="J90" s="43"/>
      <c r="K90" s="59"/>
      <c r="L90" s="27"/>
      <c r="M90" s="28"/>
    </row>
    <row r="91" spans="1:13" x14ac:dyDescent="0.2">
      <c r="A91" s="1" t="s">
        <v>3</v>
      </c>
      <c r="B91" s="7" t="s">
        <v>2</v>
      </c>
      <c r="C91" s="19"/>
      <c r="D91" s="61" t="s">
        <v>54</v>
      </c>
      <c r="E91" s="21"/>
      <c r="F91" s="62">
        <f>OffPeak</f>
        <v>6.5000000000000002E-2</v>
      </c>
      <c r="G91" s="63">
        <f>IF(AND(E60*12&gt;=150000),0.65*E60*E62,0.65*E60)</f>
        <v>1300</v>
      </c>
      <c r="H91" s="59">
        <f t="shared" si="11"/>
        <v>84.5</v>
      </c>
      <c r="I91" s="64">
        <f>OffPeak</f>
        <v>6.5000000000000002E-2</v>
      </c>
      <c r="J91" s="63">
        <f>IF(AND(E60*12&gt;=150000),0.65*E60*E63,0.65*E60)</f>
        <v>1300</v>
      </c>
      <c r="K91" s="59">
        <f t="shared" si="12"/>
        <v>84.5</v>
      </c>
      <c r="L91" s="27">
        <f>K91-H91</f>
        <v>0</v>
      </c>
      <c r="M91" s="28">
        <f t="shared" si="13"/>
        <v>0</v>
      </c>
    </row>
    <row r="92" spans="1:13" x14ac:dyDescent="0.2">
      <c r="A92" s="1" t="s">
        <v>3</v>
      </c>
      <c r="B92" s="7" t="s">
        <v>2</v>
      </c>
      <c r="C92" s="19"/>
      <c r="D92" s="61" t="s">
        <v>55</v>
      </c>
      <c r="E92" s="21"/>
      <c r="F92" s="62">
        <f>MidPeak</f>
        <v>9.4E-2</v>
      </c>
      <c r="G92" s="63">
        <f>IF(AND(E60*12&gt;=150000),0.17*E60*E62,0.17*E60)</f>
        <v>340</v>
      </c>
      <c r="H92" s="59">
        <f t="shared" si="11"/>
        <v>31.96</v>
      </c>
      <c r="I92" s="64">
        <f>MidPeak</f>
        <v>9.4E-2</v>
      </c>
      <c r="J92" s="63">
        <f>IF(AND(E60*12&gt;=150000),0.17*E60*E63,0.17*E60)</f>
        <v>340</v>
      </c>
      <c r="K92" s="59">
        <f t="shared" si="12"/>
        <v>31.96</v>
      </c>
      <c r="L92" s="27">
        <f>K92-H92</f>
        <v>0</v>
      </c>
      <c r="M92" s="28">
        <f t="shared" si="13"/>
        <v>0</v>
      </c>
    </row>
    <row r="93" spans="1:13" ht="13.5" thickBot="1" x14ac:dyDescent="0.25">
      <c r="A93" s="1" t="s">
        <v>3</v>
      </c>
      <c r="B93" s="7" t="s">
        <v>2</v>
      </c>
      <c r="C93" s="19"/>
      <c r="D93" s="7" t="s">
        <v>56</v>
      </c>
      <c r="E93" s="21"/>
      <c r="F93" s="62">
        <f>OnPeak</f>
        <v>0.13200000000000001</v>
      </c>
      <c r="G93" s="63">
        <f>IF(AND(E60*12&gt;=150000),0.18*E60*E62,0.18*E60)</f>
        <v>360</v>
      </c>
      <c r="H93" s="59">
        <f t="shared" si="11"/>
        <v>47.52</v>
      </c>
      <c r="I93" s="64">
        <f>OnPeak</f>
        <v>0.13200000000000001</v>
      </c>
      <c r="J93" s="63">
        <f>IF(AND(E60*12&gt;=150000),0.18*E60*E63,0.18*E60)</f>
        <v>360</v>
      </c>
      <c r="K93" s="59">
        <f t="shared" si="12"/>
        <v>47.52</v>
      </c>
      <c r="L93" s="27">
        <f>K93-H93</f>
        <v>0</v>
      </c>
      <c r="M93" s="28">
        <f t="shared" si="13"/>
        <v>0</v>
      </c>
    </row>
    <row r="94" spans="1:13" ht="13.5" hidden="1" thickBot="1" x14ac:dyDescent="0.25">
      <c r="A94" s="1" t="s">
        <v>3</v>
      </c>
      <c r="B94" s="1" t="s">
        <v>57</v>
      </c>
      <c r="C94" s="19"/>
      <c r="D94" s="61" t="s">
        <v>58</v>
      </c>
      <c r="E94" s="21"/>
      <c r="F94" s="65">
        <v>0.1101</v>
      </c>
      <c r="G94" s="63">
        <f>IF(AND(E60*12&gt;=150000),E60*E62,E60)</f>
        <v>2000</v>
      </c>
      <c r="H94" s="59">
        <f>G94*F94</f>
        <v>220.20000000000002</v>
      </c>
      <c r="I94" s="66">
        <f>F94</f>
        <v>0.1101</v>
      </c>
      <c r="J94" s="63">
        <f>IF(AND(E60*12&gt;=150000),E60*E63,E60)</f>
        <v>2000</v>
      </c>
      <c r="K94" s="59">
        <f>J94*I94</f>
        <v>220.20000000000002</v>
      </c>
      <c r="L94" s="27">
        <f>K94-H94</f>
        <v>0</v>
      </c>
      <c r="M94" s="28">
        <f t="shared" si="13"/>
        <v>0</v>
      </c>
    </row>
    <row r="95" spans="1:13" ht="13.5" hidden="1" thickBot="1" x14ac:dyDescent="0.25">
      <c r="A95" s="1" t="s">
        <v>3</v>
      </c>
      <c r="B95" s="1" t="s">
        <v>6</v>
      </c>
      <c r="C95" s="19"/>
      <c r="D95" s="61" t="s">
        <v>59</v>
      </c>
      <c r="E95" s="21"/>
      <c r="F95" s="65">
        <v>0.1101</v>
      </c>
      <c r="G95" s="63">
        <f>IF(AND(E60*12&gt;=150000),E60*E62,E60)</f>
        <v>2000</v>
      </c>
      <c r="H95" s="59">
        <f>G95*F95</f>
        <v>220.20000000000002</v>
      </c>
      <c r="I95" s="66">
        <f>F95</f>
        <v>0.1101</v>
      </c>
      <c r="J95" s="63">
        <f>IF(AND(E60*12&gt;=150000),E60*E63,E60)</f>
        <v>2000</v>
      </c>
      <c r="K95" s="59">
        <f>J95*I95</f>
        <v>220.20000000000002</v>
      </c>
      <c r="L95" s="27">
        <f>K95-H95</f>
        <v>0</v>
      </c>
      <c r="M95" s="28">
        <f t="shared" si="13"/>
        <v>0</v>
      </c>
    </row>
    <row r="96" spans="1:13" ht="13.5" thickBot="1" x14ac:dyDescent="0.25">
      <c r="A96" s="1" t="s">
        <v>3</v>
      </c>
      <c r="B96" s="7"/>
      <c r="C96" s="19"/>
      <c r="D96" s="67"/>
      <c r="E96" s="68"/>
      <c r="F96" s="69"/>
      <c r="G96" s="70"/>
      <c r="H96" s="71"/>
      <c r="I96" s="69"/>
      <c r="J96" s="72"/>
      <c r="K96" s="71"/>
      <c r="L96" s="73"/>
      <c r="M96" s="74"/>
    </row>
    <row r="97" spans="1:13" x14ac:dyDescent="0.2">
      <c r="A97" s="1" t="s">
        <v>3</v>
      </c>
      <c r="B97" s="7" t="s">
        <v>2</v>
      </c>
      <c r="C97" s="19"/>
      <c r="D97" s="75" t="s">
        <v>60</v>
      </c>
      <c r="E97" s="60"/>
      <c r="F97" s="76"/>
      <c r="G97" s="77"/>
      <c r="H97" s="78">
        <f>SUM(H87:H93,H86)</f>
        <v>263.811442</v>
      </c>
      <c r="I97" s="79"/>
      <c r="J97" s="79"/>
      <c r="K97" s="78">
        <f>SUM(K87:K93,K86)</f>
        <v>261.22668199999998</v>
      </c>
      <c r="L97" s="80">
        <f>K97-H97</f>
        <v>-2.584760000000017</v>
      </c>
      <c r="M97" s="81">
        <f>IF((H97)=0,"",(L97/H97))</f>
        <v>-9.7977554741542142E-3</v>
      </c>
    </row>
    <row r="98" spans="1:13" x14ac:dyDescent="0.2">
      <c r="A98" s="1" t="s">
        <v>3</v>
      </c>
      <c r="B98" s="7" t="s">
        <v>2</v>
      </c>
      <c r="C98" s="19"/>
      <c r="D98" s="82" t="s">
        <v>61</v>
      </c>
      <c r="E98" s="60"/>
      <c r="F98" s="76">
        <v>0.13</v>
      </c>
      <c r="G98" s="83"/>
      <c r="H98" s="84">
        <f>H97*F98</f>
        <v>34.295487460000004</v>
      </c>
      <c r="I98" s="85">
        <v>0.13</v>
      </c>
      <c r="J98" s="23"/>
      <c r="K98" s="84">
        <f>K97*I98</f>
        <v>33.959468659999999</v>
      </c>
      <c r="L98" s="86">
        <f>K98-H98</f>
        <v>-0.33601880000000506</v>
      </c>
      <c r="M98" s="87">
        <f>IF((H98)=0,"",(L98/H98))</f>
        <v>-9.7977554741542957E-3</v>
      </c>
    </row>
    <row r="99" spans="1:13" x14ac:dyDescent="0.2">
      <c r="A99" s="1" t="s">
        <v>3</v>
      </c>
      <c r="B99" s="7" t="s">
        <v>2</v>
      </c>
      <c r="C99" s="19"/>
      <c r="D99" s="82" t="s">
        <v>62</v>
      </c>
      <c r="E99" s="60"/>
      <c r="F99" s="76">
        <v>0.08</v>
      </c>
      <c r="G99" s="83"/>
      <c r="H99" s="84">
        <f>H97*-F99</f>
        <v>-21.10491536</v>
      </c>
      <c r="I99" s="76">
        <v>0.08</v>
      </c>
      <c r="J99" s="23"/>
      <c r="K99" s="84">
        <f>K97*-I99</f>
        <v>-20.898134559999999</v>
      </c>
      <c r="L99" s="86">
        <f>K99-H99</f>
        <v>0.20678080000000065</v>
      </c>
      <c r="M99" s="87"/>
    </row>
    <row r="100" spans="1:13" ht="13.5" thickBot="1" x14ac:dyDescent="0.25">
      <c r="A100" s="1" t="s">
        <v>3</v>
      </c>
      <c r="B100" s="7" t="s">
        <v>63</v>
      </c>
      <c r="C100" s="19">
        <v>2</v>
      </c>
      <c r="D100" s="110" t="s">
        <v>64</v>
      </c>
      <c r="E100" s="110"/>
      <c r="F100" s="88"/>
      <c r="G100" s="89"/>
      <c r="H100" s="90">
        <f>H97+H98+H99</f>
        <v>277.0020141</v>
      </c>
      <c r="I100" s="91"/>
      <c r="J100" s="91"/>
      <c r="K100" s="92">
        <f>K97+K98+K99</f>
        <v>274.28801609999994</v>
      </c>
      <c r="L100" s="93">
        <f>K100-H100</f>
        <v>-2.7139980000000605</v>
      </c>
      <c r="M100" s="94">
        <f>IF((H100)=0,"",(L100/H100))</f>
        <v>-9.7977554741543686E-3</v>
      </c>
    </row>
    <row r="101" spans="1:13" ht="13.5" thickBot="1" x14ac:dyDescent="0.25">
      <c r="A101" s="1" t="s">
        <v>3</v>
      </c>
      <c r="B101" s="1" t="s">
        <v>2</v>
      </c>
      <c r="C101" s="19"/>
      <c r="D101" s="67"/>
      <c r="E101" s="68"/>
      <c r="F101" s="69"/>
      <c r="G101" s="70"/>
      <c r="H101" s="71"/>
      <c r="I101" s="69"/>
      <c r="J101" s="72"/>
      <c r="K101" s="71"/>
      <c r="L101" s="73"/>
      <c r="M101" s="74"/>
    </row>
    <row r="102" spans="1:13" hidden="1" x14ac:dyDescent="0.2">
      <c r="A102" s="1" t="s">
        <v>3</v>
      </c>
      <c r="B102" s="1" t="s">
        <v>57</v>
      </c>
      <c r="C102" s="19"/>
      <c r="D102" s="75" t="s">
        <v>65</v>
      </c>
      <c r="E102" s="60"/>
      <c r="F102" s="76"/>
      <c r="G102" s="77"/>
      <c r="H102" s="78">
        <v>320.44620199999997</v>
      </c>
      <c r="I102" s="79"/>
      <c r="J102" s="79"/>
      <c r="K102" s="78">
        <v>317.44668200000001</v>
      </c>
      <c r="L102" s="80">
        <v>-2.9995199999999613</v>
      </c>
      <c r="M102" s="81">
        <v>-9.3604479668632848E-3</v>
      </c>
    </row>
    <row r="103" spans="1:13" hidden="1" x14ac:dyDescent="0.2">
      <c r="A103" s="1" t="s">
        <v>3</v>
      </c>
      <c r="B103" s="1" t="s">
        <v>57</v>
      </c>
      <c r="C103" s="19"/>
      <c r="D103" s="82" t="s">
        <v>61</v>
      </c>
      <c r="E103" s="60"/>
      <c r="F103" s="76">
        <v>0.13</v>
      </c>
      <c r="G103" s="77"/>
      <c r="H103" s="84">
        <v>41.658006260000001</v>
      </c>
      <c r="I103" s="76">
        <v>0.13</v>
      </c>
      <c r="J103" s="85"/>
      <c r="K103" s="84">
        <v>41.268068660000004</v>
      </c>
      <c r="L103" s="86">
        <v>-0.38993759999999611</v>
      </c>
      <c r="M103" s="87">
        <v>-9.3604479668633108E-3</v>
      </c>
    </row>
    <row r="104" spans="1:13" hidden="1" x14ac:dyDescent="0.2">
      <c r="A104" s="1" t="s">
        <v>3</v>
      </c>
      <c r="B104" s="1" t="s">
        <v>57</v>
      </c>
      <c r="C104" s="19"/>
      <c r="D104" s="82" t="s">
        <v>62</v>
      </c>
      <c r="E104" s="60"/>
      <c r="F104" s="76">
        <v>0.08</v>
      </c>
      <c r="G104" s="77"/>
      <c r="H104" s="84"/>
      <c r="I104" s="76">
        <v>0.08</v>
      </c>
      <c r="J104" s="85"/>
      <c r="K104" s="84"/>
      <c r="L104" s="86"/>
      <c r="M104" s="87"/>
    </row>
    <row r="105" spans="1:13" hidden="1" x14ac:dyDescent="0.2">
      <c r="A105" s="1" t="s">
        <v>3</v>
      </c>
      <c r="B105" s="1" t="s">
        <v>66</v>
      </c>
      <c r="C105" s="19"/>
      <c r="D105" s="110" t="s">
        <v>65</v>
      </c>
      <c r="E105" s="110"/>
      <c r="F105" s="95"/>
      <c r="G105" s="96"/>
      <c r="H105" s="90">
        <v>362.10420825999995</v>
      </c>
      <c r="I105" s="97"/>
      <c r="J105" s="97"/>
      <c r="K105" s="90">
        <v>358.71475065999999</v>
      </c>
      <c r="L105" s="98">
        <v>-3.3894575999999574</v>
      </c>
      <c r="M105" s="99">
        <v>-9.3604479668632883E-3</v>
      </c>
    </row>
    <row r="106" spans="1:13" ht="13.5" hidden="1" thickBot="1" x14ac:dyDescent="0.25">
      <c r="A106" s="1" t="s">
        <v>3</v>
      </c>
      <c r="B106" s="1" t="s">
        <v>57</v>
      </c>
      <c r="C106" s="19"/>
      <c r="D106" s="67"/>
      <c r="E106" s="68"/>
      <c r="F106" s="100"/>
      <c r="G106" s="101"/>
      <c r="H106" s="102"/>
      <c r="I106" s="100"/>
      <c r="J106" s="70"/>
      <c r="K106" s="102"/>
      <c r="L106" s="103"/>
      <c r="M106" s="74"/>
    </row>
    <row r="107" spans="1:13" hidden="1" x14ac:dyDescent="0.2">
      <c r="A107" s="1" t="s">
        <v>3</v>
      </c>
      <c r="B107" s="1" t="s">
        <v>6</v>
      </c>
      <c r="C107" s="19"/>
      <c r="D107" s="75" t="s">
        <v>67</v>
      </c>
      <c r="E107" s="60"/>
      <c r="F107" s="76"/>
      <c r="G107" s="77"/>
      <c r="H107" s="78">
        <v>320.44620199999997</v>
      </c>
      <c r="I107" s="79"/>
      <c r="J107" s="79"/>
      <c r="K107" s="78">
        <v>317.44668200000001</v>
      </c>
      <c r="L107" s="80">
        <v>-2.9995199999999613</v>
      </c>
      <c r="M107" s="81">
        <v>-9.3604479668632848E-3</v>
      </c>
    </row>
    <row r="108" spans="1:13" hidden="1" x14ac:dyDescent="0.2">
      <c r="A108" s="1" t="s">
        <v>3</v>
      </c>
      <c r="B108" s="1" t="s">
        <v>6</v>
      </c>
      <c r="C108" s="19"/>
      <c r="D108" s="82" t="s">
        <v>61</v>
      </c>
      <c r="E108" s="60"/>
      <c r="F108" s="76">
        <v>0.13</v>
      </c>
      <c r="G108" s="77"/>
      <c r="H108" s="84">
        <v>41.658006260000001</v>
      </c>
      <c r="I108" s="76">
        <v>0.13</v>
      </c>
      <c r="J108" s="85"/>
      <c r="K108" s="84">
        <v>41.268068660000004</v>
      </c>
      <c r="L108" s="86">
        <v>-0.38993759999999611</v>
      </c>
      <c r="M108" s="87">
        <v>-9.3604479668633108E-3</v>
      </c>
    </row>
    <row r="109" spans="1:13" hidden="1" x14ac:dyDescent="0.2">
      <c r="A109" s="1" t="s">
        <v>3</v>
      </c>
      <c r="B109" s="1" t="s">
        <v>6</v>
      </c>
      <c r="C109" s="19"/>
      <c r="D109" s="82" t="s">
        <v>62</v>
      </c>
      <c r="E109" s="60"/>
      <c r="F109" s="76">
        <v>0.08</v>
      </c>
      <c r="G109" s="77"/>
      <c r="H109" s="84"/>
      <c r="I109" s="76">
        <v>0.08</v>
      </c>
      <c r="J109" s="85"/>
      <c r="K109" s="84"/>
      <c r="L109" s="86"/>
      <c r="M109" s="87"/>
    </row>
    <row r="110" spans="1:13" hidden="1" x14ac:dyDescent="0.2">
      <c r="A110" s="1" t="s">
        <v>3</v>
      </c>
      <c r="B110" s="1" t="s">
        <v>68</v>
      </c>
      <c r="C110" s="19"/>
      <c r="D110" s="110" t="s">
        <v>67</v>
      </c>
      <c r="E110" s="110"/>
      <c r="F110" s="95"/>
      <c r="G110" s="96"/>
      <c r="H110" s="90">
        <v>362.10420825999995</v>
      </c>
      <c r="I110" s="97"/>
      <c r="J110" s="97"/>
      <c r="K110" s="90">
        <v>358.71475065999999</v>
      </c>
      <c r="L110" s="98">
        <v>-3.3894575999999574</v>
      </c>
      <c r="M110" s="99">
        <v>-9.3604479668632883E-3</v>
      </c>
    </row>
    <row r="111" spans="1:13" ht="13.5" hidden="1" thickBot="1" x14ac:dyDescent="0.25">
      <c r="A111" s="1" t="s">
        <v>3</v>
      </c>
      <c r="B111" s="1" t="s">
        <v>6</v>
      </c>
      <c r="C111" s="19"/>
      <c r="D111" s="67"/>
      <c r="E111" s="68"/>
      <c r="F111" s="104"/>
      <c r="G111" s="105"/>
      <c r="H111" s="106"/>
      <c r="I111" s="104"/>
      <c r="J111" s="107"/>
      <c r="K111" s="106"/>
      <c r="L111" s="108"/>
      <c r="M111" s="109"/>
    </row>
    <row r="114" spans="1:20" x14ac:dyDescent="0.2">
      <c r="C114" s="1"/>
      <c r="D114" s="3" t="s">
        <v>13</v>
      </c>
      <c r="E114" s="111" t="s">
        <v>4</v>
      </c>
      <c r="F114" s="111"/>
      <c r="G114" s="111"/>
      <c r="H114" s="111"/>
      <c r="I114" s="111"/>
      <c r="J114" s="111"/>
      <c r="K114" s="1" t="s">
        <v>8</v>
      </c>
      <c r="T114" s="1" t="s">
        <v>12</v>
      </c>
    </row>
    <row r="115" spans="1:20" x14ac:dyDescent="0.2">
      <c r="C115" s="1"/>
      <c r="D115" s="3" t="s">
        <v>14</v>
      </c>
      <c r="E115" s="112" t="s">
        <v>6</v>
      </c>
      <c r="F115" s="112"/>
      <c r="G115" s="112"/>
      <c r="H115" s="4"/>
      <c r="I115" s="4"/>
    </row>
    <row r="116" spans="1:20" ht="15.75" x14ac:dyDescent="0.2">
      <c r="C116" s="1"/>
      <c r="D116" s="3" t="s">
        <v>15</v>
      </c>
      <c r="E116" s="5">
        <v>80000</v>
      </c>
      <c r="F116" s="6" t="s">
        <v>1</v>
      </c>
      <c r="G116" s="7"/>
      <c r="J116" s="8"/>
      <c r="K116" s="8"/>
      <c r="L116" s="8"/>
      <c r="M116" s="8"/>
    </row>
    <row r="117" spans="1:20" ht="15.75" x14ac:dyDescent="0.25">
      <c r="C117" s="1"/>
      <c r="D117" s="3" t="s">
        <v>16</v>
      </c>
      <c r="E117" s="5">
        <v>250</v>
      </c>
      <c r="F117" s="9" t="s">
        <v>5</v>
      </c>
      <c r="G117" s="10"/>
      <c r="H117" s="11"/>
      <c r="I117" s="11"/>
      <c r="J117" s="11"/>
    </row>
    <row r="118" spans="1:20" x14ac:dyDescent="0.2">
      <c r="C118" s="1"/>
      <c r="D118" s="3" t="s">
        <v>17</v>
      </c>
      <c r="E118" s="12">
        <v>1.0368999999999999</v>
      </c>
    </row>
    <row r="119" spans="1:20" x14ac:dyDescent="0.2">
      <c r="C119" s="1"/>
      <c r="D119" s="3" t="s">
        <v>18</v>
      </c>
      <c r="E119" s="12">
        <v>1.0368999999999999</v>
      </c>
    </row>
    <row r="120" spans="1:20" x14ac:dyDescent="0.2">
      <c r="C120" s="1"/>
      <c r="D120" s="7"/>
    </row>
    <row r="121" spans="1:20" x14ac:dyDescent="0.2">
      <c r="C121" s="1"/>
      <c r="D121" s="7"/>
      <c r="E121" s="13"/>
      <c r="F121" s="113" t="s">
        <v>19</v>
      </c>
      <c r="G121" s="121"/>
      <c r="H121" s="114"/>
      <c r="I121" s="113" t="s">
        <v>20</v>
      </c>
      <c r="J121" s="121"/>
      <c r="K121" s="114"/>
      <c r="L121" s="113" t="s">
        <v>21</v>
      </c>
      <c r="M121" s="114"/>
    </row>
    <row r="122" spans="1:20" x14ac:dyDescent="0.2">
      <c r="C122" s="1"/>
      <c r="D122" s="7"/>
      <c r="E122" s="115"/>
      <c r="F122" s="14" t="s">
        <v>22</v>
      </c>
      <c r="G122" s="14" t="s">
        <v>23</v>
      </c>
      <c r="H122" s="15" t="s">
        <v>24</v>
      </c>
      <c r="I122" s="14" t="s">
        <v>22</v>
      </c>
      <c r="J122" s="16" t="s">
        <v>23</v>
      </c>
      <c r="K122" s="15" t="s">
        <v>24</v>
      </c>
      <c r="L122" s="117" t="s">
        <v>25</v>
      </c>
      <c r="M122" s="119" t="s">
        <v>26</v>
      </c>
    </row>
    <row r="123" spans="1:20" x14ac:dyDescent="0.2">
      <c r="C123" s="1"/>
      <c r="D123" s="7"/>
      <c r="E123" s="116"/>
      <c r="F123" s="17" t="s">
        <v>27</v>
      </c>
      <c r="G123" s="17"/>
      <c r="H123" s="18" t="s">
        <v>27</v>
      </c>
      <c r="I123" s="17" t="s">
        <v>27</v>
      </c>
      <c r="J123" s="18"/>
      <c r="K123" s="18" t="s">
        <v>27</v>
      </c>
      <c r="L123" s="118"/>
      <c r="M123" s="120"/>
    </row>
    <row r="124" spans="1:20" x14ac:dyDescent="0.2">
      <c r="A124" s="1" t="s">
        <v>4</v>
      </c>
      <c r="C124" s="19"/>
      <c r="D124" s="20" t="s">
        <v>28</v>
      </c>
      <c r="E124" s="21"/>
      <c r="F124" s="22">
        <v>142.24</v>
      </c>
      <c r="G124" s="23">
        <v>1</v>
      </c>
      <c r="H124" s="24">
        <f>G124*F124</f>
        <v>142.24</v>
      </c>
      <c r="I124" s="25">
        <v>143.94999999999999</v>
      </c>
      <c r="J124" s="26">
        <f>G124</f>
        <v>1</v>
      </c>
      <c r="K124" s="24">
        <f>J124*I124</f>
        <v>143.94999999999999</v>
      </c>
      <c r="L124" s="27">
        <f t="shared" ref="L124:L145" si="14">K124-H124</f>
        <v>1.7099999999999795</v>
      </c>
      <c r="M124" s="28">
        <f>IF(ISERROR(L124/H124), "", L124/H124)</f>
        <v>1.2021934758155085E-2</v>
      </c>
    </row>
    <row r="125" spans="1:20" x14ac:dyDescent="0.2">
      <c r="A125" s="1" t="s">
        <v>4</v>
      </c>
      <c r="C125" s="19"/>
      <c r="D125" s="20" t="s">
        <v>29</v>
      </c>
      <c r="E125" s="21"/>
      <c r="F125" s="29">
        <v>4.2415000000000003</v>
      </c>
      <c r="G125" s="23">
        <f>IF($E117&gt;0, $E117, $E116)</f>
        <v>250</v>
      </c>
      <c r="H125" s="24">
        <f t="shared" ref="H125:H137" si="15">G125*F125</f>
        <v>1060.375</v>
      </c>
      <c r="I125" s="30">
        <v>4.2923999999999998</v>
      </c>
      <c r="J125" s="26">
        <f>IF($E117&gt;0, $E117, $E116)</f>
        <v>250</v>
      </c>
      <c r="K125" s="24">
        <f>J125*I125</f>
        <v>1073.0999999999999</v>
      </c>
      <c r="L125" s="27">
        <f t="shared" si="14"/>
        <v>12.724999999999909</v>
      </c>
      <c r="M125" s="28">
        <f t="shared" ref="M125:M135" si="16">IF(ISERROR(L125/H125), "", L125/H125)</f>
        <v>1.2000471531297805E-2</v>
      </c>
    </row>
    <row r="126" spans="1:20" hidden="1" x14ac:dyDescent="0.2">
      <c r="A126" s="1" t="s">
        <v>4</v>
      </c>
      <c r="C126" s="19"/>
      <c r="D126" s="20" t="s">
        <v>30</v>
      </c>
      <c r="E126" s="21"/>
      <c r="F126" s="29"/>
      <c r="G126" s="23">
        <f>IF($E117&gt;0, $E117, $E116)</f>
        <v>250</v>
      </c>
      <c r="H126" s="24">
        <v>0</v>
      </c>
      <c r="I126" s="30"/>
      <c r="J126" s="26">
        <f>IF($E117&gt;0, $E117, $E116)</f>
        <v>250</v>
      </c>
      <c r="K126" s="24">
        <v>0</v>
      </c>
      <c r="L126" s="27"/>
      <c r="M126" s="28"/>
    </row>
    <row r="127" spans="1:20" hidden="1" x14ac:dyDescent="0.2">
      <c r="A127" s="1" t="s">
        <v>4</v>
      </c>
      <c r="C127" s="19"/>
      <c r="D127" s="20" t="s">
        <v>31</v>
      </c>
      <c r="E127" s="21"/>
      <c r="F127" s="29"/>
      <c r="G127" s="23">
        <f>IF($E117&gt;0, $E117, $E116)</f>
        <v>250</v>
      </c>
      <c r="H127" s="24">
        <v>0</v>
      </c>
      <c r="I127" s="30"/>
      <c r="J127" s="23">
        <f>IF($E117&gt;0, $E117, $E116)</f>
        <v>250</v>
      </c>
      <c r="K127" s="24">
        <v>0</v>
      </c>
      <c r="L127" s="27">
        <f>K127-H127</f>
        <v>0</v>
      </c>
      <c r="M127" s="28" t="str">
        <f>IF(ISERROR(L127/H127), "", L127/H127)</f>
        <v/>
      </c>
    </row>
    <row r="128" spans="1:20" x14ac:dyDescent="0.2">
      <c r="A128" s="1" t="s">
        <v>4</v>
      </c>
      <c r="C128" s="19"/>
      <c r="D128" s="31" t="s">
        <v>32</v>
      </c>
      <c r="E128" s="21"/>
      <c r="F128" s="22">
        <v>4.78</v>
      </c>
      <c r="G128" s="23">
        <v>1</v>
      </c>
      <c r="H128" s="24">
        <f t="shared" si="15"/>
        <v>4.78</v>
      </c>
      <c r="I128" s="25">
        <v>1.56</v>
      </c>
      <c r="J128" s="26">
        <f>G128</f>
        <v>1</v>
      </c>
      <c r="K128" s="24">
        <f t="shared" ref="K128:K135" si="17">J128*I128</f>
        <v>1.56</v>
      </c>
      <c r="L128" s="27">
        <f t="shared" si="14"/>
        <v>-3.22</v>
      </c>
      <c r="M128" s="28">
        <f t="shared" si="16"/>
        <v>-0.67364016736401677</v>
      </c>
    </row>
    <row r="129" spans="1:13" x14ac:dyDescent="0.2">
      <c r="A129" s="1" t="s">
        <v>4</v>
      </c>
      <c r="C129" s="19"/>
      <c r="D129" s="20" t="s">
        <v>33</v>
      </c>
      <c r="E129" s="21"/>
      <c r="F129" s="29">
        <v>9.64E-2</v>
      </c>
      <c r="G129" s="23">
        <f>IF($E117&gt;0, $E117, $E116)</f>
        <v>250</v>
      </c>
      <c r="H129" s="24">
        <f t="shared" si="15"/>
        <v>24.1</v>
      </c>
      <c r="I129" s="30">
        <v>0.20369999999999999</v>
      </c>
      <c r="J129" s="26">
        <f>IF($E117&gt;0, $E117, $E116)</f>
        <v>250</v>
      </c>
      <c r="K129" s="24">
        <f t="shared" si="17"/>
        <v>50.924999999999997</v>
      </c>
      <c r="L129" s="27">
        <f t="shared" si="14"/>
        <v>26.824999999999996</v>
      </c>
      <c r="M129" s="28">
        <f t="shared" si="16"/>
        <v>1.113070539419087</v>
      </c>
    </row>
    <row r="130" spans="1:13" x14ac:dyDescent="0.2">
      <c r="A130" s="1" t="s">
        <v>4</v>
      </c>
      <c r="B130" s="32" t="s">
        <v>34</v>
      </c>
      <c r="C130" s="19">
        <v>3</v>
      </c>
      <c r="D130" s="33" t="s">
        <v>35</v>
      </c>
      <c r="E130" s="34"/>
      <c r="F130" s="35"/>
      <c r="G130" s="36"/>
      <c r="H130" s="37">
        <f>SUM(H124:H129)</f>
        <v>1231.4949999999999</v>
      </c>
      <c r="I130" s="38"/>
      <c r="J130" s="39"/>
      <c r="K130" s="37">
        <f>SUM(K124:K129)</f>
        <v>1269.5349999999999</v>
      </c>
      <c r="L130" s="40">
        <f t="shared" si="14"/>
        <v>38.039999999999964</v>
      </c>
      <c r="M130" s="41">
        <f>IF((H130)=0,"",(L130/H130))</f>
        <v>3.0889284974766416E-2</v>
      </c>
    </row>
    <row r="131" spans="1:13" x14ac:dyDescent="0.2">
      <c r="A131" s="1" t="s">
        <v>4</v>
      </c>
      <c r="C131" s="19"/>
      <c r="D131" s="42" t="s">
        <v>36</v>
      </c>
      <c r="E131" s="21"/>
      <c r="F131" s="29">
        <f>IF((E116*12&gt;=150000), 0, IF(E115="RPP",(F147*0.65+F148*0.17+F149*0.18),IF(E115="Non-RPP (Retailer)",F150,F151)))</f>
        <v>0</v>
      </c>
      <c r="G131" s="43">
        <f>IF(F131=0, 0, $E116*E118-E116)</f>
        <v>0</v>
      </c>
      <c r="H131" s="24">
        <f>G131*F131</f>
        <v>0</v>
      </c>
      <c r="I131" s="30">
        <f>IF((E116*12&gt;=150000), 0, IF(E115="RPP",(I147*0.65+I148*0.17+I149*0.18),IF(E115="Non-RPP (Retailer)",I150,I151)))</f>
        <v>0</v>
      </c>
      <c r="J131" s="43">
        <f>IF(I131=0, 0, E116*E119-E116)</f>
        <v>0</v>
      </c>
      <c r="K131" s="24">
        <f>J131*I131</f>
        <v>0</v>
      </c>
      <c r="L131" s="27">
        <f>K131-H131</f>
        <v>0</v>
      </c>
      <c r="M131" s="28" t="str">
        <f>IF(ISERROR(L131/H131), "", L131/H131)</f>
        <v/>
      </c>
    </row>
    <row r="132" spans="1:13" ht="25.5" x14ac:dyDescent="0.2">
      <c r="A132" s="1" t="s">
        <v>4</v>
      </c>
      <c r="C132" s="19"/>
      <c r="D132" s="42" t="s">
        <v>69</v>
      </c>
      <c r="E132" s="21"/>
      <c r="F132" s="29">
        <v>-2.7595000000000001</v>
      </c>
      <c r="G132" s="44">
        <f>IF($E117&gt;0, $E117, $E116)</f>
        <v>250</v>
      </c>
      <c r="H132" s="24">
        <f t="shared" si="15"/>
        <v>-689.875</v>
      </c>
      <c r="I132" s="30">
        <v>-3.5121000000000002</v>
      </c>
      <c r="J132" s="44">
        <f>IF($E117&gt;0, $E117, $E116)</f>
        <v>250</v>
      </c>
      <c r="K132" s="24">
        <f t="shared" si="17"/>
        <v>-878.02500000000009</v>
      </c>
      <c r="L132" s="27">
        <f t="shared" si="14"/>
        <v>-188.15000000000009</v>
      </c>
      <c r="M132" s="28">
        <f t="shared" si="16"/>
        <v>0.27273056713172689</v>
      </c>
    </row>
    <row r="133" spans="1:13" x14ac:dyDescent="0.2">
      <c r="A133" s="1" t="s">
        <v>4</v>
      </c>
      <c r="C133" s="19"/>
      <c r="D133" s="42" t="s">
        <v>38</v>
      </c>
      <c r="E133" s="21"/>
      <c r="F133" s="29">
        <v>9.0499999999999997E-2</v>
      </c>
      <c r="G133" s="44">
        <f>IF($E117&gt;0, $E117, $E116)</f>
        <v>250</v>
      </c>
      <c r="H133" s="24">
        <f>G133*F133</f>
        <v>22.625</v>
      </c>
      <c r="I133" s="30">
        <v>9.0499999999999997E-2</v>
      </c>
      <c r="J133" s="44">
        <f>IF($E117&gt;0, $E117, $E116)</f>
        <v>250</v>
      </c>
      <c r="K133" s="24">
        <f>J133*I133</f>
        <v>22.625</v>
      </c>
      <c r="L133" s="27">
        <f t="shared" si="14"/>
        <v>0</v>
      </c>
      <c r="M133" s="28">
        <f t="shared" si="16"/>
        <v>0</v>
      </c>
    </row>
    <row r="134" spans="1:13" x14ac:dyDescent="0.2">
      <c r="A134" s="1" t="s">
        <v>4</v>
      </c>
      <c r="C134" s="19"/>
      <c r="D134" s="42" t="s">
        <v>39</v>
      </c>
      <c r="E134" s="21"/>
      <c r="F134" s="29">
        <v>4.0000000000000002E-4</v>
      </c>
      <c r="G134" s="44">
        <f>E116</f>
        <v>80000</v>
      </c>
      <c r="H134" s="24">
        <f>G134*F134</f>
        <v>32</v>
      </c>
      <c r="I134" s="30">
        <v>4.7000000000000002E-3</v>
      </c>
      <c r="J134" s="44">
        <f>E116</f>
        <v>80000</v>
      </c>
      <c r="K134" s="24">
        <f t="shared" si="17"/>
        <v>376</v>
      </c>
      <c r="L134" s="27">
        <f t="shared" si="14"/>
        <v>344</v>
      </c>
      <c r="M134" s="28">
        <f t="shared" si="16"/>
        <v>10.75</v>
      </c>
    </row>
    <row r="135" spans="1:13" x14ac:dyDescent="0.2">
      <c r="A135" s="1" t="s">
        <v>4</v>
      </c>
      <c r="C135" s="19"/>
      <c r="D135" s="45" t="s">
        <v>40</v>
      </c>
      <c r="E135" s="21"/>
      <c r="F135" s="29">
        <v>0.15890000000000001</v>
      </c>
      <c r="G135" s="44">
        <f>IF($E117&gt;0, $E117, $E116)</f>
        <v>250</v>
      </c>
      <c r="H135" s="24">
        <f t="shared" si="15"/>
        <v>39.725000000000001</v>
      </c>
      <c r="I135" s="30">
        <v>0.15890000000000001</v>
      </c>
      <c r="J135" s="44">
        <f>IF($E117&gt;0, $E117, $E116)</f>
        <v>250</v>
      </c>
      <c r="K135" s="24">
        <f t="shared" si="17"/>
        <v>39.725000000000001</v>
      </c>
      <c r="L135" s="27">
        <f t="shared" si="14"/>
        <v>0</v>
      </c>
      <c r="M135" s="28">
        <f t="shared" si="16"/>
        <v>0</v>
      </c>
    </row>
    <row r="136" spans="1:13" ht="25.5" x14ac:dyDescent="0.2">
      <c r="A136" s="1" t="s">
        <v>4</v>
      </c>
      <c r="C136" s="19"/>
      <c r="D136" s="46" t="s">
        <v>41</v>
      </c>
      <c r="E136" s="21"/>
      <c r="F136" s="47">
        <f>IF(OR(ISNUMBER(SEARCH("RESIDENTIAL", E114))=TRUE, ISNUMBER(SEARCH("GENERAL SERVICE LESS THAN 50", E114))=TRUE), SME, 0)</f>
        <v>0</v>
      </c>
      <c r="G136" s="23">
        <v>1</v>
      </c>
      <c r="H136" s="24">
        <f>G136*F136</f>
        <v>0</v>
      </c>
      <c r="I136" s="48">
        <f>IF(OR(ISNUMBER(SEARCH("RESIDENTIAL", E114))=TRUE, ISNUMBER(SEARCH("GENERAL SERVICE LESS THAN 50", E114))=TRUE), SME, 0)</f>
        <v>0</v>
      </c>
      <c r="J136" s="23">
        <v>1</v>
      </c>
      <c r="K136" s="24">
        <f>J136*I136</f>
        <v>0</v>
      </c>
      <c r="L136" s="27">
        <f t="shared" si="14"/>
        <v>0</v>
      </c>
      <c r="M136" s="28" t="str">
        <f>IF(ISERROR(L136/H136), "", L136/H136)</f>
        <v/>
      </c>
    </row>
    <row r="137" spans="1:13" x14ac:dyDescent="0.2">
      <c r="A137" s="1" t="s">
        <v>4</v>
      </c>
      <c r="C137" s="19"/>
      <c r="D137" s="45" t="s">
        <v>42</v>
      </c>
      <c r="E137" s="21"/>
      <c r="F137" s="22">
        <v>0</v>
      </c>
      <c r="G137" s="23">
        <v>1</v>
      </c>
      <c r="H137" s="24">
        <f t="shared" si="15"/>
        <v>0</v>
      </c>
      <c r="I137" s="25">
        <v>0</v>
      </c>
      <c r="J137" s="23">
        <v>1</v>
      </c>
      <c r="K137" s="24">
        <f>J137*I137</f>
        <v>0</v>
      </c>
      <c r="L137" s="27">
        <f>K137-H137</f>
        <v>0</v>
      </c>
      <c r="M137" s="28" t="str">
        <f>IF(ISERROR(L137/H137), "", L137/H137)</f>
        <v/>
      </c>
    </row>
    <row r="138" spans="1:13" x14ac:dyDescent="0.2">
      <c r="A138" s="1" t="s">
        <v>4</v>
      </c>
      <c r="C138" s="19"/>
      <c r="D138" s="45" t="s">
        <v>43</v>
      </c>
      <c r="E138" s="21"/>
      <c r="F138" s="29"/>
      <c r="G138" s="44">
        <f>IF($E117&gt;0, $E117, $E116)</f>
        <v>250</v>
      </c>
      <c r="H138" s="24">
        <f>G138*F138</f>
        <v>0</v>
      </c>
      <c r="I138" s="30">
        <v>0</v>
      </c>
      <c r="J138" s="44">
        <f>IF($E117&gt;0, $E117, $E116)</f>
        <v>250</v>
      </c>
      <c r="K138" s="24">
        <f>J138*I138</f>
        <v>0</v>
      </c>
      <c r="L138" s="27">
        <f t="shared" si="14"/>
        <v>0</v>
      </c>
      <c r="M138" s="28" t="str">
        <f>IF(ISERROR(L138/H138), "", L138/H138)</f>
        <v/>
      </c>
    </row>
    <row r="139" spans="1:13" ht="25.5" x14ac:dyDescent="0.2">
      <c r="A139" s="1" t="s">
        <v>4</v>
      </c>
      <c r="B139" s="7" t="s">
        <v>44</v>
      </c>
      <c r="C139" s="19">
        <v>3</v>
      </c>
      <c r="D139" s="49" t="s">
        <v>45</v>
      </c>
      <c r="E139" s="50"/>
      <c r="F139" s="51"/>
      <c r="G139" s="52"/>
      <c r="H139" s="53">
        <f>SUM(H130:H138)</f>
        <v>635.96999999999991</v>
      </c>
      <c r="I139" s="54"/>
      <c r="J139" s="55"/>
      <c r="K139" s="53">
        <f>SUM(K130:K138)</f>
        <v>829.85999999999979</v>
      </c>
      <c r="L139" s="40">
        <f t="shared" si="14"/>
        <v>193.88999999999987</v>
      </c>
      <c r="M139" s="41">
        <f>IF((H139)=0,"",(L139/H139))</f>
        <v>0.30487287136185653</v>
      </c>
    </row>
    <row r="140" spans="1:13" x14ac:dyDescent="0.2">
      <c r="A140" s="1" t="s">
        <v>4</v>
      </c>
      <c r="C140" s="19"/>
      <c r="D140" s="56" t="s">
        <v>46</v>
      </c>
      <c r="E140" s="21"/>
      <c r="F140" s="29">
        <v>2.6739000000000002</v>
      </c>
      <c r="G140" s="43">
        <f>IF($E117&gt;0, $E117, $E116*$E118)</f>
        <v>250</v>
      </c>
      <c r="H140" s="24">
        <f>G140*F140</f>
        <v>668.47500000000002</v>
      </c>
      <c r="I140" s="30">
        <v>2.613</v>
      </c>
      <c r="J140" s="43">
        <f>IF($E117&gt;0, $E117, $E116*$E119)</f>
        <v>250</v>
      </c>
      <c r="K140" s="24">
        <f>J140*I140</f>
        <v>653.25</v>
      </c>
      <c r="L140" s="27">
        <f t="shared" si="14"/>
        <v>-15.225000000000023</v>
      </c>
      <c r="M140" s="28">
        <f>IF(ISERROR(L140/H140), "", L140/H140)</f>
        <v>-2.2775720857174945E-2</v>
      </c>
    </row>
    <row r="141" spans="1:13" ht="25.5" x14ac:dyDescent="0.2">
      <c r="A141" s="1" t="s">
        <v>4</v>
      </c>
      <c r="C141" s="19"/>
      <c r="D141" s="57" t="s">
        <v>47</v>
      </c>
      <c r="E141" s="21"/>
      <c r="F141" s="29">
        <v>1.3420000000000001</v>
      </c>
      <c r="G141" s="43">
        <f>IF($E117&gt;0, $E117, $E116*$E118)</f>
        <v>250</v>
      </c>
      <c r="H141" s="24">
        <f>G141*F141</f>
        <v>335.5</v>
      </c>
      <c r="I141" s="30">
        <v>1.3338000000000001</v>
      </c>
      <c r="J141" s="43">
        <f>IF($E117&gt;0, $E117, $E116*$E119)</f>
        <v>250</v>
      </c>
      <c r="K141" s="24">
        <f>J141*I141</f>
        <v>333.45000000000005</v>
      </c>
      <c r="L141" s="27">
        <f t="shared" si="14"/>
        <v>-2.0499999999999545</v>
      </c>
      <c r="M141" s="28">
        <f>IF(ISERROR(L141/H141), "", L141/H141)</f>
        <v>-6.1102831594633516E-3</v>
      </c>
    </row>
    <row r="142" spans="1:13" ht="25.5" x14ac:dyDescent="0.2">
      <c r="A142" s="1" t="s">
        <v>4</v>
      </c>
      <c r="B142" s="7" t="s">
        <v>48</v>
      </c>
      <c r="C142" s="19">
        <v>3</v>
      </c>
      <c r="D142" s="49" t="s">
        <v>49</v>
      </c>
      <c r="E142" s="34"/>
      <c r="F142" s="51"/>
      <c r="G142" s="52"/>
      <c r="H142" s="53">
        <f>SUM(H139:H141)</f>
        <v>1639.9449999999999</v>
      </c>
      <c r="I142" s="54"/>
      <c r="J142" s="39"/>
      <c r="K142" s="53">
        <f>SUM(K139:K141)</f>
        <v>1816.5599999999997</v>
      </c>
      <c r="L142" s="40">
        <f t="shared" si="14"/>
        <v>176.61499999999978</v>
      </c>
      <c r="M142" s="41">
        <f>IF((H142)=0,"",(L142/H142))</f>
        <v>0.1076956849162623</v>
      </c>
    </row>
    <row r="143" spans="1:13" ht="25.5" x14ac:dyDescent="0.2">
      <c r="A143" s="1" t="s">
        <v>4</v>
      </c>
      <c r="C143" s="19"/>
      <c r="D143" s="58" t="s">
        <v>50</v>
      </c>
      <c r="E143" s="21"/>
      <c r="F143" s="29">
        <v>3.3999999999999998E-3</v>
      </c>
      <c r="G143" s="43">
        <f>E116*E118</f>
        <v>82952</v>
      </c>
      <c r="H143" s="59">
        <f t="shared" ref="H143:H149" si="18">G143*F143</f>
        <v>282.03679999999997</v>
      </c>
      <c r="I143" s="30">
        <v>3.4000000000000002E-3</v>
      </c>
      <c r="J143" s="43">
        <f>E116*E119</f>
        <v>82952</v>
      </c>
      <c r="K143" s="59">
        <f t="shared" ref="K143:K149" si="19">J143*I143</f>
        <v>282.03680000000003</v>
      </c>
      <c r="L143" s="27">
        <f t="shared" si="14"/>
        <v>0</v>
      </c>
      <c r="M143" s="28">
        <f t="shared" ref="M143:M151" si="20">IF(ISERROR(L143/H143), "", L143/H143)</f>
        <v>0</v>
      </c>
    </row>
    <row r="144" spans="1:13" ht="25.5" x14ac:dyDescent="0.2">
      <c r="A144" s="1" t="s">
        <v>4</v>
      </c>
      <c r="C144" s="19"/>
      <c r="D144" s="58" t="s">
        <v>51</v>
      </c>
      <c r="E144" s="21"/>
      <c r="F144" s="29">
        <f>'[7]17. Regulatory Charges'!$D$16</f>
        <v>5.0000000000000001E-4</v>
      </c>
      <c r="G144" s="43">
        <f>E116*E118</f>
        <v>82952</v>
      </c>
      <c r="H144" s="59">
        <f t="shared" si="18"/>
        <v>41.475999999999999</v>
      </c>
      <c r="I144" s="30">
        <v>5.0000000000000001E-4</v>
      </c>
      <c r="J144" s="43">
        <f>E116*E119</f>
        <v>82952</v>
      </c>
      <c r="K144" s="59">
        <f t="shared" si="19"/>
        <v>41.475999999999999</v>
      </c>
      <c r="L144" s="27">
        <f t="shared" si="14"/>
        <v>0</v>
      </c>
      <c r="M144" s="28">
        <f t="shared" si="20"/>
        <v>0</v>
      </c>
    </row>
    <row r="145" spans="1:13" x14ac:dyDescent="0.2">
      <c r="A145" s="1" t="s">
        <v>4</v>
      </c>
      <c r="C145" s="19"/>
      <c r="D145" s="60" t="s">
        <v>52</v>
      </c>
      <c r="E145" s="21"/>
      <c r="F145" s="47">
        <v>0.25</v>
      </c>
      <c r="G145" s="23">
        <v>1</v>
      </c>
      <c r="H145" s="59">
        <f t="shared" si="18"/>
        <v>0.25</v>
      </c>
      <c r="I145" s="48">
        <f>'[7]17. Regulatory Charges'!$D$17</f>
        <v>0.25</v>
      </c>
      <c r="J145" s="26">
        <v>1</v>
      </c>
      <c r="K145" s="59">
        <f t="shared" si="19"/>
        <v>0.25</v>
      </c>
      <c r="L145" s="27">
        <f t="shared" si="14"/>
        <v>0</v>
      </c>
      <c r="M145" s="28">
        <f t="shared" si="20"/>
        <v>0</v>
      </c>
    </row>
    <row r="146" spans="1:13" ht="25.5" hidden="1" x14ac:dyDescent="0.2">
      <c r="A146" s="1" t="s">
        <v>4</v>
      </c>
      <c r="C146" s="19"/>
      <c r="D146" s="58" t="s">
        <v>53</v>
      </c>
      <c r="E146" s="21"/>
      <c r="F146" s="29"/>
      <c r="G146" s="43"/>
      <c r="H146" s="59"/>
      <c r="I146" s="30"/>
      <c r="J146" s="43"/>
      <c r="K146" s="59"/>
      <c r="L146" s="27"/>
      <c r="M146" s="28"/>
    </row>
    <row r="147" spans="1:13" hidden="1" x14ac:dyDescent="0.2">
      <c r="A147" s="1" t="s">
        <v>4</v>
      </c>
      <c r="B147" s="7" t="s">
        <v>2</v>
      </c>
      <c r="C147" s="19"/>
      <c r="D147" s="61" t="s">
        <v>54</v>
      </c>
      <c r="E147" s="21"/>
      <c r="F147" s="62">
        <f>OffPeak</f>
        <v>6.5000000000000002E-2</v>
      </c>
      <c r="G147" s="63">
        <f>IF(AND(E116*12&gt;=150000),0.65*E116*E118,0.65*E116)</f>
        <v>53918.799999999996</v>
      </c>
      <c r="H147" s="59">
        <f t="shared" si="18"/>
        <v>3504.7219999999998</v>
      </c>
      <c r="I147" s="64">
        <f>OffPeak</f>
        <v>6.5000000000000002E-2</v>
      </c>
      <c r="J147" s="63">
        <f>IF(AND(E116*12&gt;=150000),0.65*E116*E119,0.65*E116)</f>
        <v>53918.799999999996</v>
      </c>
      <c r="K147" s="59">
        <f t="shared" si="19"/>
        <v>3504.7219999999998</v>
      </c>
      <c r="L147" s="27">
        <f>K147-H147</f>
        <v>0</v>
      </c>
      <c r="M147" s="28">
        <f t="shared" si="20"/>
        <v>0</v>
      </c>
    </row>
    <row r="148" spans="1:13" hidden="1" x14ac:dyDescent="0.2">
      <c r="A148" s="1" t="s">
        <v>4</v>
      </c>
      <c r="B148" s="7" t="s">
        <v>2</v>
      </c>
      <c r="C148" s="19"/>
      <c r="D148" s="61" t="s">
        <v>55</v>
      </c>
      <c r="E148" s="21"/>
      <c r="F148" s="62">
        <f>MidPeak</f>
        <v>9.4E-2</v>
      </c>
      <c r="G148" s="63">
        <f>IF(AND(E116*12&gt;=150000),0.17*E116*E118,0.17*E116)</f>
        <v>14101.84</v>
      </c>
      <c r="H148" s="59">
        <f t="shared" si="18"/>
        <v>1325.57296</v>
      </c>
      <c r="I148" s="64">
        <f>MidPeak</f>
        <v>9.4E-2</v>
      </c>
      <c r="J148" s="63">
        <f>IF(AND(E116*12&gt;=150000),0.17*E116*E119,0.17*E116)</f>
        <v>14101.84</v>
      </c>
      <c r="K148" s="59">
        <f t="shared" si="19"/>
        <v>1325.57296</v>
      </c>
      <c r="L148" s="27">
        <f>K148-H148</f>
        <v>0</v>
      </c>
      <c r="M148" s="28">
        <f t="shared" si="20"/>
        <v>0</v>
      </c>
    </row>
    <row r="149" spans="1:13" hidden="1" x14ac:dyDescent="0.2">
      <c r="A149" s="1" t="s">
        <v>4</v>
      </c>
      <c r="B149" s="7" t="s">
        <v>2</v>
      </c>
      <c r="C149" s="19"/>
      <c r="D149" s="7" t="s">
        <v>56</v>
      </c>
      <c r="E149" s="21"/>
      <c r="F149" s="62">
        <f>OnPeak</f>
        <v>0.13200000000000001</v>
      </c>
      <c r="G149" s="63">
        <f>IF(AND(E116*12&gt;=150000),0.18*E116*E118,0.18*E116)</f>
        <v>14931.359999999999</v>
      </c>
      <c r="H149" s="59">
        <f t="shared" si="18"/>
        <v>1970.9395199999999</v>
      </c>
      <c r="I149" s="64">
        <f>OnPeak</f>
        <v>0.13200000000000001</v>
      </c>
      <c r="J149" s="63">
        <f>IF(AND(E116*12&gt;=150000),0.18*E116*E119,0.18*E116)</f>
        <v>14931.359999999999</v>
      </c>
      <c r="K149" s="59">
        <f t="shared" si="19"/>
        <v>1970.9395199999999</v>
      </c>
      <c r="L149" s="27">
        <f>K149-H149</f>
        <v>0</v>
      </c>
      <c r="M149" s="28">
        <f t="shared" si="20"/>
        <v>0</v>
      </c>
    </row>
    <row r="150" spans="1:13" hidden="1" x14ac:dyDescent="0.2">
      <c r="A150" s="1" t="s">
        <v>4</v>
      </c>
      <c r="B150" s="1" t="s">
        <v>57</v>
      </c>
      <c r="C150" s="19"/>
      <c r="D150" s="61" t="s">
        <v>58</v>
      </c>
      <c r="E150" s="21"/>
      <c r="F150" s="65">
        <v>0.1101</v>
      </c>
      <c r="G150" s="63">
        <f>IF(AND(E116*12&gt;=150000),E116*E118,E116)</f>
        <v>82952</v>
      </c>
      <c r="H150" s="59">
        <f>G150*F150</f>
        <v>9133.0151999999998</v>
      </c>
      <c r="I150" s="66">
        <f>F150</f>
        <v>0.1101</v>
      </c>
      <c r="J150" s="63">
        <f>IF(AND(E116*12&gt;=150000),E116*E119,E116)</f>
        <v>82952</v>
      </c>
      <c r="K150" s="59">
        <f>J150*I150</f>
        <v>9133.0151999999998</v>
      </c>
      <c r="L150" s="27">
        <f>K150-H150</f>
        <v>0</v>
      </c>
      <c r="M150" s="28">
        <f t="shared" si="20"/>
        <v>0</v>
      </c>
    </row>
    <row r="151" spans="1:13" ht="13.5" thickBot="1" x14ac:dyDescent="0.25">
      <c r="A151" s="1" t="s">
        <v>4</v>
      </c>
      <c r="B151" s="1" t="s">
        <v>6</v>
      </c>
      <c r="C151" s="19"/>
      <c r="D151" s="61" t="s">
        <v>59</v>
      </c>
      <c r="E151" s="21"/>
      <c r="F151" s="65">
        <v>0.1101</v>
      </c>
      <c r="G151" s="63">
        <f>IF(AND(E116*12&gt;=150000),E116*E118,E116)</f>
        <v>82952</v>
      </c>
      <c r="H151" s="59">
        <f>G151*F151</f>
        <v>9133.0151999999998</v>
      </c>
      <c r="I151" s="66">
        <f>F151</f>
        <v>0.1101</v>
      </c>
      <c r="J151" s="63">
        <f>IF(AND(E116*12&gt;=150000),E116*E119,E116)</f>
        <v>82952</v>
      </c>
      <c r="K151" s="59">
        <f>J151*I151</f>
        <v>9133.0151999999998</v>
      </c>
      <c r="L151" s="27">
        <f>K151-H151</f>
        <v>0</v>
      </c>
      <c r="M151" s="28">
        <f t="shared" si="20"/>
        <v>0</v>
      </c>
    </row>
    <row r="152" spans="1:13" ht="13.5" thickBot="1" x14ac:dyDescent="0.25">
      <c r="A152" s="1" t="s">
        <v>4</v>
      </c>
      <c r="B152" s="7"/>
      <c r="C152" s="19"/>
      <c r="D152" s="67"/>
      <c r="E152" s="68"/>
      <c r="F152" s="69"/>
      <c r="G152" s="70"/>
      <c r="H152" s="71"/>
      <c r="I152" s="69"/>
      <c r="J152" s="72"/>
      <c r="K152" s="71"/>
      <c r="L152" s="73"/>
      <c r="M152" s="74"/>
    </row>
    <row r="153" spans="1:13" hidden="1" x14ac:dyDescent="0.2">
      <c r="A153" s="1" t="s">
        <v>4</v>
      </c>
      <c r="B153" s="7" t="s">
        <v>2</v>
      </c>
      <c r="C153" s="19"/>
      <c r="D153" s="75" t="s">
        <v>60</v>
      </c>
      <c r="E153" s="60"/>
      <c r="F153" s="76"/>
      <c r="G153" s="77"/>
      <c r="H153" s="78">
        <f>SUM(H143:H149,H142)</f>
        <v>8764.9422799999993</v>
      </c>
      <c r="I153" s="79"/>
      <c r="J153" s="79"/>
      <c r="K153" s="78">
        <f>SUM(K143:K149,K142)</f>
        <v>8941.5572799999991</v>
      </c>
      <c r="L153" s="80">
        <f>K153-H153</f>
        <v>176.61499999999978</v>
      </c>
      <c r="M153" s="81">
        <f>IF((H153)=0,"",(L153/H153))</f>
        <v>2.0150161217034255E-2</v>
      </c>
    </row>
    <row r="154" spans="1:13" hidden="1" x14ac:dyDescent="0.2">
      <c r="A154" s="1" t="s">
        <v>4</v>
      </c>
      <c r="B154" s="7" t="s">
        <v>2</v>
      </c>
      <c r="C154" s="19"/>
      <c r="D154" s="82" t="s">
        <v>61</v>
      </c>
      <c r="E154" s="60"/>
      <c r="F154" s="76">
        <v>0.13</v>
      </c>
      <c r="G154" s="83"/>
      <c r="H154" s="84">
        <f>H153*F154</f>
        <v>1139.4424964</v>
      </c>
      <c r="I154" s="85">
        <v>0.13</v>
      </c>
      <c r="J154" s="23"/>
      <c r="K154" s="84">
        <f>K153*I154</f>
        <v>1162.4024463999999</v>
      </c>
      <c r="L154" s="86">
        <f>K154-H154</f>
        <v>22.959949999999935</v>
      </c>
      <c r="M154" s="87">
        <f>IF((H154)=0,"",(L154/H154))</f>
        <v>2.015016121703422E-2</v>
      </c>
    </row>
    <row r="155" spans="1:13" hidden="1" x14ac:dyDescent="0.2">
      <c r="A155" s="1" t="s">
        <v>4</v>
      </c>
      <c r="B155" s="7" t="s">
        <v>2</v>
      </c>
      <c r="C155" s="19"/>
      <c r="D155" s="82" t="s">
        <v>62</v>
      </c>
      <c r="E155" s="60"/>
      <c r="F155" s="76">
        <v>0.08</v>
      </c>
      <c r="G155" s="83"/>
      <c r="H155" s="84">
        <v>0</v>
      </c>
      <c r="I155" s="76">
        <v>0.08</v>
      </c>
      <c r="J155" s="23"/>
      <c r="K155" s="84">
        <v>0</v>
      </c>
      <c r="L155" s="86">
        <f>K155-H155</f>
        <v>0</v>
      </c>
      <c r="M155" s="87"/>
    </row>
    <row r="156" spans="1:13" hidden="1" x14ac:dyDescent="0.2">
      <c r="A156" s="1" t="s">
        <v>4</v>
      </c>
      <c r="B156" s="7" t="s">
        <v>63</v>
      </c>
      <c r="C156" s="19"/>
      <c r="D156" s="110" t="s">
        <v>64</v>
      </c>
      <c r="E156" s="110"/>
      <c r="F156" s="88"/>
      <c r="G156" s="89"/>
      <c r="H156" s="90">
        <f>H153+H154+H155</f>
        <v>9904.3847763999984</v>
      </c>
      <c r="I156" s="91"/>
      <c r="J156" s="91"/>
      <c r="K156" s="92">
        <f>K153+K154+K155</f>
        <v>10103.959726399999</v>
      </c>
      <c r="L156" s="93">
        <f>K156-H156</f>
        <v>199.57495000000017</v>
      </c>
      <c r="M156" s="94">
        <f>IF((H156)=0,"",(L156/H156))</f>
        <v>2.01501612170343E-2</v>
      </c>
    </row>
    <row r="157" spans="1:13" ht="13.5" hidden="1" thickBot="1" x14ac:dyDescent="0.25">
      <c r="A157" s="1" t="s">
        <v>4</v>
      </c>
      <c r="B157" s="1" t="s">
        <v>2</v>
      </c>
      <c r="C157" s="19"/>
      <c r="D157" s="67"/>
      <c r="E157" s="68"/>
      <c r="F157" s="69"/>
      <c r="G157" s="70"/>
      <c r="H157" s="71"/>
      <c r="I157" s="69"/>
      <c r="J157" s="72"/>
      <c r="K157" s="71"/>
      <c r="L157" s="73"/>
      <c r="M157" s="74"/>
    </row>
    <row r="158" spans="1:13" hidden="1" x14ac:dyDescent="0.2">
      <c r="A158" s="1" t="s">
        <v>4</v>
      </c>
      <c r="B158" s="1" t="s">
        <v>57</v>
      </c>
      <c r="C158" s="19"/>
      <c r="D158" s="75" t="s">
        <v>65</v>
      </c>
      <c r="E158" s="60"/>
      <c r="F158" s="76"/>
      <c r="G158" s="77"/>
      <c r="H158" s="78">
        <f>SUM(H150,H143:H146,H142)</f>
        <v>11096.723</v>
      </c>
      <c r="I158" s="79"/>
      <c r="J158" s="79"/>
      <c r="K158" s="78">
        <f>SUM(K150,K143:K146,K142)</f>
        <v>11273.338</v>
      </c>
      <c r="L158" s="80">
        <f>K158-H158</f>
        <v>176.61499999999978</v>
      </c>
      <c r="M158" s="81">
        <f>IF((H158)=0,"",(L158/H158))</f>
        <v>1.5915960054152904E-2</v>
      </c>
    </row>
    <row r="159" spans="1:13" hidden="1" x14ac:dyDescent="0.2">
      <c r="A159" s="1" t="s">
        <v>4</v>
      </c>
      <c r="B159" s="1" t="s">
        <v>57</v>
      </c>
      <c r="C159" s="19"/>
      <c r="D159" s="82" t="s">
        <v>61</v>
      </c>
      <c r="E159" s="60"/>
      <c r="F159" s="76">
        <v>0.13</v>
      </c>
      <c r="G159" s="77"/>
      <c r="H159" s="84">
        <f>H158*F159</f>
        <v>1442.5739900000001</v>
      </c>
      <c r="I159" s="76">
        <v>0.13</v>
      </c>
      <c r="J159" s="85"/>
      <c r="K159" s="84">
        <f>K158*I159</f>
        <v>1465.53394</v>
      </c>
      <c r="L159" s="86">
        <f>K159-H159</f>
        <v>22.959949999999935</v>
      </c>
      <c r="M159" s="87">
        <f>IF((H159)=0,"",(L159/H159))</f>
        <v>1.591596005415288E-2</v>
      </c>
    </row>
    <row r="160" spans="1:13" hidden="1" x14ac:dyDescent="0.2">
      <c r="A160" s="1" t="s">
        <v>4</v>
      </c>
      <c r="B160" s="1" t="s">
        <v>57</v>
      </c>
      <c r="C160" s="19"/>
      <c r="D160" s="82" t="s">
        <v>62</v>
      </c>
      <c r="E160" s="60"/>
      <c r="F160" s="76">
        <v>0.08</v>
      </c>
      <c r="G160" s="77"/>
      <c r="H160" s="84">
        <v>0</v>
      </c>
      <c r="I160" s="76">
        <v>0.08</v>
      </c>
      <c r="J160" s="85"/>
      <c r="K160" s="84">
        <v>0</v>
      </c>
      <c r="L160" s="86"/>
      <c r="M160" s="87"/>
    </row>
    <row r="161" spans="1:20" hidden="1" x14ac:dyDescent="0.2">
      <c r="A161" s="1" t="s">
        <v>4</v>
      </c>
      <c r="B161" s="1" t="s">
        <v>66</v>
      </c>
      <c r="C161" s="19"/>
      <c r="D161" s="110" t="s">
        <v>65</v>
      </c>
      <c r="E161" s="110"/>
      <c r="F161" s="95"/>
      <c r="G161" s="96"/>
      <c r="H161" s="90">
        <f>SUM(H158,H159)</f>
        <v>12539.296990000001</v>
      </c>
      <c r="I161" s="97"/>
      <c r="J161" s="97"/>
      <c r="K161" s="90">
        <f>SUM(K158,K159)</f>
        <v>12738.871939999999</v>
      </c>
      <c r="L161" s="98">
        <f>K161-H161</f>
        <v>199.57494999999835</v>
      </c>
      <c r="M161" s="99">
        <f>IF((H161)=0,"",(L161/H161))</f>
        <v>1.5915960054152793E-2</v>
      </c>
    </row>
    <row r="162" spans="1:20" ht="13.5" hidden="1" thickBot="1" x14ac:dyDescent="0.25">
      <c r="A162" s="1" t="s">
        <v>4</v>
      </c>
      <c r="B162" s="1" t="s">
        <v>57</v>
      </c>
      <c r="C162" s="19"/>
      <c r="D162" s="67"/>
      <c r="E162" s="68"/>
      <c r="F162" s="100"/>
      <c r="G162" s="101"/>
      <c r="H162" s="102"/>
      <c r="I162" s="100"/>
      <c r="J162" s="70"/>
      <c r="K162" s="102"/>
      <c r="L162" s="103"/>
      <c r="M162" s="74"/>
    </row>
    <row r="163" spans="1:20" x14ac:dyDescent="0.2">
      <c r="A163" s="1" t="s">
        <v>4</v>
      </c>
      <c r="B163" s="1" t="s">
        <v>6</v>
      </c>
      <c r="C163" s="19"/>
      <c r="D163" s="75" t="s">
        <v>67</v>
      </c>
      <c r="E163" s="60"/>
      <c r="F163" s="76"/>
      <c r="G163" s="77"/>
      <c r="H163" s="78">
        <f>SUM(H151,H143:H146,H142)</f>
        <v>11096.723</v>
      </c>
      <c r="I163" s="79"/>
      <c r="J163" s="79"/>
      <c r="K163" s="78">
        <f>SUM(K151,K143:K146,K142)</f>
        <v>11273.338</v>
      </c>
      <c r="L163" s="80">
        <f>K163-H163</f>
        <v>176.61499999999978</v>
      </c>
      <c r="M163" s="81">
        <f>IF((H163)=0,"",(L163/H163))</f>
        <v>1.5915960054152904E-2</v>
      </c>
    </row>
    <row r="164" spans="1:20" x14ac:dyDescent="0.2">
      <c r="A164" s="1" t="s">
        <v>4</v>
      </c>
      <c r="B164" s="1" t="s">
        <v>6</v>
      </c>
      <c r="C164" s="19"/>
      <c r="D164" s="82" t="s">
        <v>61</v>
      </c>
      <c r="E164" s="60"/>
      <c r="F164" s="76">
        <v>0.13</v>
      </c>
      <c r="G164" s="77"/>
      <c r="H164" s="84">
        <f>H163*F164</f>
        <v>1442.5739900000001</v>
      </c>
      <c r="I164" s="76">
        <v>0.13</v>
      </c>
      <c r="J164" s="85"/>
      <c r="K164" s="84">
        <f>K163*I164</f>
        <v>1465.53394</v>
      </c>
      <c r="L164" s="86">
        <f>K164-H164</f>
        <v>22.959949999999935</v>
      </c>
      <c r="M164" s="87">
        <f>IF((H164)=0,"",(L164/H164))</f>
        <v>1.591596005415288E-2</v>
      </c>
    </row>
    <row r="165" spans="1:20" hidden="1" x14ac:dyDescent="0.2">
      <c r="A165" s="1" t="s">
        <v>4</v>
      </c>
      <c r="B165" s="1" t="s">
        <v>6</v>
      </c>
      <c r="C165" s="19"/>
      <c r="D165" s="82" t="s">
        <v>62</v>
      </c>
      <c r="E165" s="60"/>
      <c r="F165" s="76">
        <v>0.08</v>
      </c>
      <c r="G165" s="77"/>
      <c r="H165" s="84">
        <v>0</v>
      </c>
      <c r="I165" s="76">
        <v>0.08</v>
      </c>
      <c r="J165" s="85"/>
      <c r="K165" s="84">
        <v>0</v>
      </c>
      <c r="L165" s="86"/>
      <c r="M165" s="87"/>
    </row>
    <row r="166" spans="1:20" ht="13.5" thickBot="1" x14ac:dyDescent="0.25">
      <c r="A166" s="1" t="s">
        <v>4</v>
      </c>
      <c r="B166" s="1" t="s">
        <v>68</v>
      </c>
      <c r="C166" s="19">
        <v>3</v>
      </c>
      <c r="D166" s="110" t="s">
        <v>67</v>
      </c>
      <c r="E166" s="110"/>
      <c r="F166" s="95"/>
      <c r="G166" s="96"/>
      <c r="H166" s="90">
        <f>SUM(H163,H164)</f>
        <v>12539.296990000001</v>
      </c>
      <c r="I166" s="97"/>
      <c r="J166" s="97"/>
      <c r="K166" s="90">
        <f>SUM(K163,K164)</f>
        <v>12738.871939999999</v>
      </c>
      <c r="L166" s="98">
        <f>K166-H166</f>
        <v>199.57494999999835</v>
      </c>
      <c r="M166" s="99">
        <f>IF((H166)=0,"",(L166/H166))</f>
        <v>1.5915960054152793E-2</v>
      </c>
    </row>
    <row r="167" spans="1:20" ht="13.5" thickBot="1" x14ac:dyDescent="0.25">
      <c r="A167" s="1" t="s">
        <v>4</v>
      </c>
      <c r="B167" s="1" t="s">
        <v>6</v>
      </c>
      <c r="C167" s="19"/>
      <c r="D167" s="67"/>
      <c r="E167" s="68"/>
      <c r="F167" s="104"/>
      <c r="G167" s="105"/>
      <c r="H167" s="106"/>
      <c r="I167" s="104"/>
      <c r="J167" s="107"/>
      <c r="K167" s="106"/>
      <c r="L167" s="108"/>
      <c r="M167" s="109"/>
    </row>
    <row r="170" spans="1:20" x14ac:dyDescent="0.2">
      <c r="C170" s="1"/>
      <c r="D170" s="3" t="s">
        <v>13</v>
      </c>
      <c r="E170" s="111" t="s">
        <v>7</v>
      </c>
      <c r="F170" s="111"/>
      <c r="G170" s="111"/>
      <c r="H170" s="111"/>
      <c r="I170" s="111"/>
      <c r="J170" s="111"/>
      <c r="K170" s="1" t="s">
        <v>8</v>
      </c>
      <c r="T170" s="1" t="s">
        <v>12</v>
      </c>
    </row>
    <row r="171" spans="1:20" x14ac:dyDescent="0.2">
      <c r="C171" s="1"/>
      <c r="D171" s="3" t="s">
        <v>14</v>
      </c>
      <c r="E171" s="112" t="s">
        <v>6</v>
      </c>
      <c r="F171" s="112"/>
      <c r="G171" s="112"/>
      <c r="H171" s="4"/>
      <c r="I171" s="4"/>
    </row>
    <row r="172" spans="1:20" ht="15.75" x14ac:dyDescent="0.2">
      <c r="C172" s="1"/>
      <c r="D172" s="3" t="s">
        <v>15</v>
      </c>
      <c r="E172" s="5">
        <v>2800000</v>
      </c>
      <c r="F172" s="6" t="s">
        <v>1</v>
      </c>
      <c r="G172" s="7"/>
      <c r="J172" s="8"/>
      <c r="K172" s="8"/>
      <c r="L172" s="8"/>
      <c r="M172" s="8"/>
    </row>
    <row r="173" spans="1:20" ht="15.75" x14ac:dyDescent="0.25">
      <c r="C173" s="1"/>
      <c r="D173" s="3" t="s">
        <v>16</v>
      </c>
      <c r="E173" s="5">
        <v>7350</v>
      </c>
      <c r="F173" s="9" t="s">
        <v>5</v>
      </c>
      <c r="G173" s="10"/>
      <c r="H173" s="11"/>
      <c r="I173" s="11"/>
      <c r="J173" s="11"/>
    </row>
    <row r="174" spans="1:20" x14ac:dyDescent="0.2">
      <c r="C174" s="1"/>
      <c r="D174" s="3" t="s">
        <v>17</v>
      </c>
      <c r="E174" s="12">
        <v>1.0368999999999999</v>
      </c>
    </row>
    <row r="175" spans="1:20" x14ac:dyDescent="0.2">
      <c r="C175" s="1"/>
      <c r="D175" s="3" t="s">
        <v>18</v>
      </c>
      <c r="E175" s="12">
        <v>1.0368999999999999</v>
      </c>
    </row>
    <row r="176" spans="1:20" x14ac:dyDescent="0.2">
      <c r="C176" s="1"/>
      <c r="D176" s="7"/>
    </row>
    <row r="177" spans="1:13" x14ac:dyDescent="0.2">
      <c r="C177" s="1"/>
      <c r="D177" s="7"/>
      <c r="E177" s="13"/>
      <c r="F177" s="113" t="s">
        <v>19</v>
      </c>
      <c r="G177" s="121"/>
      <c r="H177" s="114"/>
      <c r="I177" s="113" t="s">
        <v>20</v>
      </c>
      <c r="J177" s="121"/>
      <c r="K177" s="114"/>
      <c r="L177" s="113" t="s">
        <v>21</v>
      </c>
      <c r="M177" s="114"/>
    </row>
    <row r="178" spans="1:13" x14ac:dyDescent="0.2">
      <c r="C178" s="1"/>
      <c r="D178" s="7"/>
      <c r="E178" s="115"/>
      <c r="F178" s="14" t="s">
        <v>22</v>
      </c>
      <c r="G178" s="14" t="s">
        <v>23</v>
      </c>
      <c r="H178" s="15" t="s">
        <v>24</v>
      </c>
      <c r="I178" s="14" t="s">
        <v>22</v>
      </c>
      <c r="J178" s="16" t="s">
        <v>23</v>
      </c>
      <c r="K178" s="15" t="s">
        <v>24</v>
      </c>
      <c r="L178" s="117" t="s">
        <v>25</v>
      </c>
      <c r="M178" s="119" t="s">
        <v>26</v>
      </c>
    </row>
    <row r="179" spans="1:13" x14ac:dyDescent="0.2">
      <c r="C179" s="1"/>
      <c r="D179" s="7"/>
      <c r="E179" s="116"/>
      <c r="F179" s="17" t="s">
        <v>27</v>
      </c>
      <c r="G179" s="17"/>
      <c r="H179" s="18" t="s">
        <v>27</v>
      </c>
      <c r="I179" s="17" t="s">
        <v>27</v>
      </c>
      <c r="J179" s="18"/>
      <c r="K179" s="18" t="s">
        <v>27</v>
      </c>
      <c r="L179" s="118"/>
      <c r="M179" s="120"/>
    </row>
    <row r="180" spans="1:13" x14ac:dyDescent="0.2">
      <c r="A180" s="1" t="s">
        <v>7</v>
      </c>
      <c r="C180" s="19"/>
      <c r="D180" s="20" t="s">
        <v>28</v>
      </c>
      <c r="E180" s="21"/>
      <c r="F180" s="22">
        <v>6128.34</v>
      </c>
      <c r="G180" s="23">
        <v>1</v>
      </c>
      <c r="H180" s="24">
        <f>G180*F180</f>
        <v>6128.34</v>
      </c>
      <c r="I180" s="25">
        <v>6201.88</v>
      </c>
      <c r="J180" s="26">
        <f>G180</f>
        <v>1</v>
      </c>
      <c r="K180" s="24">
        <f>J180*I180</f>
        <v>6201.88</v>
      </c>
      <c r="L180" s="27">
        <f t="shared" ref="L180:L201" si="21">K180-H180</f>
        <v>73.539999999999964</v>
      </c>
      <c r="M180" s="28">
        <f>IF(ISERROR(L180/H180), "", L180/H180)</f>
        <v>1.1999986945893987E-2</v>
      </c>
    </row>
    <row r="181" spans="1:13" x14ac:dyDescent="0.2">
      <c r="A181" s="1" t="s">
        <v>7</v>
      </c>
      <c r="C181" s="19"/>
      <c r="D181" s="20" t="s">
        <v>29</v>
      </c>
      <c r="E181" s="21"/>
      <c r="F181" s="29">
        <v>2.2623000000000002</v>
      </c>
      <c r="G181" s="23">
        <f>IF($E173&gt;0, $E173, $E172)</f>
        <v>7350</v>
      </c>
      <c r="H181" s="24">
        <f t="shared" ref="H181:H193" si="22">G181*F181</f>
        <v>16627.905000000002</v>
      </c>
      <c r="I181" s="30">
        <v>2.2894000000000001</v>
      </c>
      <c r="J181" s="26">
        <f>IF($E173&gt;0, $E173, $E172)</f>
        <v>7350</v>
      </c>
      <c r="K181" s="24">
        <f>J181*I181</f>
        <v>16827.09</v>
      </c>
      <c r="L181" s="27">
        <f t="shared" si="21"/>
        <v>199.18499999999767</v>
      </c>
      <c r="M181" s="28">
        <f t="shared" ref="M181:M191" si="23">IF(ISERROR(L181/H181), "", L181/H181)</f>
        <v>1.1978959466030005E-2</v>
      </c>
    </row>
    <row r="182" spans="1:13" hidden="1" x14ac:dyDescent="0.2">
      <c r="A182" s="1" t="s">
        <v>7</v>
      </c>
      <c r="C182" s="19"/>
      <c r="D182" s="20" t="s">
        <v>30</v>
      </c>
      <c r="E182" s="21"/>
      <c r="F182" s="29"/>
      <c r="G182" s="23">
        <f>IF($E173&gt;0, $E173, $E172)</f>
        <v>7350</v>
      </c>
      <c r="H182" s="24">
        <v>0</v>
      </c>
      <c r="I182" s="30"/>
      <c r="J182" s="26">
        <f>IF($E173&gt;0, $E173, $E172)</f>
        <v>7350</v>
      </c>
      <c r="K182" s="24">
        <v>0</v>
      </c>
      <c r="L182" s="27"/>
      <c r="M182" s="28"/>
    </row>
    <row r="183" spans="1:13" hidden="1" x14ac:dyDescent="0.2">
      <c r="A183" s="1" t="s">
        <v>7</v>
      </c>
      <c r="C183" s="19"/>
      <c r="D183" s="20" t="s">
        <v>31</v>
      </c>
      <c r="E183" s="21"/>
      <c r="F183" s="29"/>
      <c r="G183" s="23">
        <f>IF($E173&gt;0, $E173, $E172)</f>
        <v>7350</v>
      </c>
      <c r="H183" s="24">
        <v>0</v>
      </c>
      <c r="I183" s="30"/>
      <c r="J183" s="23">
        <f>IF($E173&gt;0, $E173, $E172)</f>
        <v>7350</v>
      </c>
      <c r="K183" s="24">
        <v>0</v>
      </c>
      <c r="L183" s="27">
        <f>K183-H183</f>
        <v>0</v>
      </c>
      <c r="M183" s="28" t="str">
        <f>IF(ISERROR(L183/H183), "", L183/H183)</f>
        <v/>
      </c>
    </row>
    <row r="184" spans="1:13" x14ac:dyDescent="0.2">
      <c r="A184" s="1" t="s">
        <v>7</v>
      </c>
      <c r="C184" s="19"/>
      <c r="D184" s="31" t="s">
        <v>32</v>
      </c>
      <c r="E184" s="21"/>
      <c r="F184" s="22">
        <v>121.36</v>
      </c>
      <c r="G184" s="23">
        <v>1</v>
      </c>
      <c r="H184" s="24">
        <f t="shared" si="22"/>
        <v>121.36</v>
      </c>
      <c r="I184" s="25">
        <v>39.769999999999996</v>
      </c>
      <c r="J184" s="26">
        <f>G184</f>
        <v>1</v>
      </c>
      <c r="K184" s="24">
        <f t="shared" ref="K184:K191" si="24">J184*I184</f>
        <v>39.769999999999996</v>
      </c>
      <c r="L184" s="27">
        <f t="shared" si="21"/>
        <v>-81.59</v>
      </c>
      <c r="M184" s="28">
        <f t="shared" si="23"/>
        <v>-0.67229729729729737</v>
      </c>
    </row>
    <row r="185" spans="1:13" x14ac:dyDescent="0.2">
      <c r="A185" s="1" t="s">
        <v>7</v>
      </c>
      <c r="C185" s="19"/>
      <c r="D185" s="20" t="s">
        <v>33</v>
      </c>
      <c r="E185" s="21"/>
      <c r="F185" s="29">
        <v>-6.3300000000000009E-2</v>
      </c>
      <c r="G185" s="23">
        <f>IF($E173&gt;0, $E173, $E172)</f>
        <v>7350</v>
      </c>
      <c r="H185" s="24">
        <f t="shared" si="22"/>
        <v>-465.25500000000005</v>
      </c>
      <c r="I185" s="30">
        <v>-0.14040000000000002</v>
      </c>
      <c r="J185" s="26">
        <f>IF($E173&gt;0, $E173, $E172)</f>
        <v>7350</v>
      </c>
      <c r="K185" s="24">
        <f t="shared" si="24"/>
        <v>-1031.9400000000003</v>
      </c>
      <c r="L185" s="27">
        <f t="shared" si="21"/>
        <v>-566.68500000000017</v>
      </c>
      <c r="M185" s="28">
        <f t="shared" si="23"/>
        <v>1.218009478672986</v>
      </c>
    </row>
    <row r="186" spans="1:13" x14ac:dyDescent="0.2">
      <c r="A186" s="1" t="s">
        <v>7</v>
      </c>
      <c r="B186" s="32" t="s">
        <v>34</v>
      </c>
      <c r="C186" s="19">
        <v>4</v>
      </c>
      <c r="D186" s="33" t="s">
        <v>35</v>
      </c>
      <c r="E186" s="34"/>
      <c r="F186" s="35"/>
      <c r="G186" s="36"/>
      <c r="H186" s="37">
        <f>SUM(H180:H185)</f>
        <v>22412.350000000002</v>
      </c>
      <c r="I186" s="38"/>
      <c r="J186" s="39"/>
      <c r="K186" s="37">
        <f>SUM(K180:K185)</f>
        <v>22036.800000000003</v>
      </c>
      <c r="L186" s="40">
        <f t="shared" si="21"/>
        <v>-375.54999999999927</v>
      </c>
      <c r="M186" s="41">
        <f>IF((H186)=0,"",(L186/H186))</f>
        <v>-1.6756386545810645E-2</v>
      </c>
    </row>
    <row r="187" spans="1:13" x14ac:dyDescent="0.2">
      <c r="A187" s="1" t="s">
        <v>7</v>
      </c>
      <c r="C187" s="19"/>
      <c r="D187" s="42" t="s">
        <v>36</v>
      </c>
      <c r="E187" s="21"/>
      <c r="F187" s="29">
        <f>IF((E172*12&gt;=150000), 0, IF(E171="RPP",(F203*0.65+F204*0.17+F205*0.18),IF(E171="Non-RPP (Retailer)",F206,F207)))</f>
        <v>0</v>
      </c>
      <c r="G187" s="43">
        <f>IF(F187=0, 0, $E172*E174-E172)</f>
        <v>0</v>
      </c>
      <c r="H187" s="24">
        <f>G187*F187</f>
        <v>0</v>
      </c>
      <c r="I187" s="30">
        <f>IF((E172*12&gt;=150000), 0, IF(E171="RPP",(I203*0.65+I204*0.17+I205*0.18),IF(E171="Non-RPP (Retailer)",I206,I207)))</f>
        <v>0</v>
      </c>
      <c r="J187" s="43">
        <f>IF(I187=0, 0, E172*E175-E172)</f>
        <v>0</v>
      </c>
      <c r="K187" s="24">
        <f>J187*I187</f>
        <v>0</v>
      </c>
      <c r="L187" s="27">
        <f>K187-H187</f>
        <v>0</v>
      </c>
      <c r="M187" s="28" t="str">
        <f>IF(ISERROR(L187/H187), "", L187/H187)</f>
        <v/>
      </c>
    </row>
    <row r="188" spans="1:13" ht="25.5" x14ac:dyDescent="0.2">
      <c r="A188" s="1" t="s">
        <v>7</v>
      </c>
      <c r="C188" s="19"/>
      <c r="D188" s="42" t="s">
        <v>37</v>
      </c>
      <c r="E188" s="21"/>
      <c r="F188" s="29">
        <v>-1.3234999999999999</v>
      </c>
      <c r="G188" s="44">
        <f>IF($E173&gt;0, $E173, $E172)</f>
        <v>7350</v>
      </c>
      <c r="H188" s="24">
        <f t="shared" si="22"/>
        <v>-9727.7249999999985</v>
      </c>
      <c r="I188" s="30">
        <v>-2.6080999999999999</v>
      </c>
      <c r="J188" s="44">
        <f>IF($E173&gt;0, $E173, $E172)</f>
        <v>7350</v>
      </c>
      <c r="K188" s="24">
        <f t="shared" si="24"/>
        <v>-19169.535</v>
      </c>
      <c r="L188" s="27">
        <f t="shared" si="21"/>
        <v>-9441.8100000000013</v>
      </c>
      <c r="M188" s="28">
        <f t="shared" si="23"/>
        <v>0.97060823573857224</v>
      </c>
    </row>
    <row r="189" spans="1:13" x14ac:dyDescent="0.2">
      <c r="A189" s="1" t="s">
        <v>7</v>
      </c>
      <c r="C189" s="19"/>
      <c r="D189" s="42" t="s">
        <v>38</v>
      </c>
      <c r="E189" s="21"/>
      <c r="F189" s="29">
        <v>0</v>
      </c>
      <c r="G189" s="44">
        <f>IF($E173&gt;0, $E173, $E172)</f>
        <v>7350</v>
      </c>
      <c r="H189" s="24">
        <f>G189*F189</f>
        <v>0</v>
      </c>
      <c r="I189" s="30">
        <v>0</v>
      </c>
      <c r="J189" s="44">
        <f>IF($E173&gt;0, $E173, $E172)</f>
        <v>7350</v>
      </c>
      <c r="K189" s="24">
        <f>J189*I189</f>
        <v>0</v>
      </c>
      <c r="L189" s="27">
        <f t="shared" si="21"/>
        <v>0</v>
      </c>
      <c r="M189" s="28" t="str">
        <f t="shared" si="23"/>
        <v/>
      </c>
    </row>
    <row r="190" spans="1:13" x14ac:dyDescent="0.2">
      <c r="A190" s="1" t="s">
        <v>7</v>
      </c>
      <c r="C190" s="19"/>
      <c r="D190" s="42" t="s">
        <v>39</v>
      </c>
      <c r="E190" s="21"/>
      <c r="F190" s="29">
        <v>0</v>
      </c>
      <c r="G190" s="44">
        <f>E172</f>
        <v>2800000</v>
      </c>
      <c r="H190" s="24">
        <f>G190*F190</f>
        <v>0</v>
      </c>
      <c r="I190" s="30">
        <v>0</v>
      </c>
      <c r="J190" s="44">
        <f>E172</f>
        <v>2800000</v>
      </c>
      <c r="K190" s="24">
        <f t="shared" si="24"/>
        <v>0</v>
      </c>
      <c r="L190" s="27">
        <f t="shared" si="21"/>
        <v>0</v>
      </c>
      <c r="M190" s="28" t="str">
        <f t="shared" si="23"/>
        <v/>
      </c>
    </row>
    <row r="191" spans="1:13" x14ac:dyDescent="0.2">
      <c r="A191" s="1" t="s">
        <v>7</v>
      </c>
      <c r="C191" s="19"/>
      <c r="D191" s="45" t="s">
        <v>40</v>
      </c>
      <c r="E191" s="21"/>
      <c r="F191" s="29">
        <v>0.16300000000000001</v>
      </c>
      <c r="G191" s="44">
        <f>IF($E173&gt;0, $E173, $E172)</f>
        <v>7350</v>
      </c>
      <c r="H191" s="24">
        <f t="shared" si="22"/>
        <v>1198.05</v>
      </c>
      <c r="I191" s="30">
        <v>0.16300000000000001</v>
      </c>
      <c r="J191" s="44">
        <f>IF($E173&gt;0, $E173, $E172)</f>
        <v>7350</v>
      </c>
      <c r="K191" s="24">
        <f t="shared" si="24"/>
        <v>1198.05</v>
      </c>
      <c r="L191" s="27">
        <f t="shared" si="21"/>
        <v>0</v>
      </c>
      <c r="M191" s="28">
        <f t="shared" si="23"/>
        <v>0</v>
      </c>
    </row>
    <row r="192" spans="1:13" ht="25.5" x14ac:dyDescent="0.2">
      <c r="A192" s="1" t="s">
        <v>7</v>
      </c>
      <c r="C192" s="19"/>
      <c r="D192" s="46" t="s">
        <v>41</v>
      </c>
      <c r="E192" s="21"/>
      <c r="F192" s="47">
        <f>IF(OR(ISNUMBER(SEARCH("RESIDENTIAL", E170))=TRUE, ISNUMBER(SEARCH("GENERAL SERVICE LESS THAN 50", E170))=TRUE), SME, 0)</f>
        <v>0</v>
      </c>
      <c r="G192" s="23">
        <v>1</v>
      </c>
      <c r="H192" s="24">
        <f>G192*F192</f>
        <v>0</v>
      </c>
      <c r="I192" s="48">
        <f>IF(OR(ISNUMBER(SEARCH("RESIDENTIAL", E170))=TRUE, ISNUMBER(SEARCH("GENERAL SERVICE LESS THAN 50", E170))=TRUE), SME, 0)</f>
        <v>0</v>
      </c>
      <c r="J192" s="23">
        <v>1</v>
      </c>
      <c r="K192" s="24">
        <f>J192*I192</f>
        <v>0</v>
      </c>
      <c r="L192" s="27">
        <f t="shared" si="21"/>
        <v>0</v>
      </c>
      <c r="M192" s="28" t="str">
        <f>IF(ISERROR(L192/H192), "", L192/H192)</f>
        <v/>
      </c>
    </row>
    <row r="193" spans="1:13" x14ac:dyDescent="0.2">
      <c r="A193" s="1" t="s">
        <v>7</v>
      </c>
      <c r="C193" s="19"/>
      <c r="D193" s="45" t="s">
        <v>42</v>
      </c>
      <c r="E193" s="21"/>
      <c r="F193" s="22">
        <v>0</v>
      </c>
      <c r="G193" s="23">
        <v>1</v>
      </c>
      <c r="H193" s="24">
        <f t="shared" si="22"/>
        <v>0</v>
      </c>
      <c r="I193" s="25">
        <v>0</v>
      </c>
      <c r="J193" s="23">
        <v>1</v>
      </c>
      <c r="K193" s="24">
        <f>J193*I193</f>
        <v>0</v>
      </c>
      <c r="L193" s="27">
        <f>K193-H193</f>
        <v>0</v>
      </c>
      <c r="M193" s="28" t="str">
        <f>IF(ISERROR(L193/H193), "", L193/H193)</f>
        <v/>
      </c>
    </row>
    <row r="194" spans="1:13" x14ac:dyDescent="0.2">
      <c r="A194" s="1" t="s">
        <v>7</v>
      </c>
      <c r="C194" s="19"/>
      <c r="D194" s="45" t="s">
        <v>43</v>
      </c>
      <c r="E194" s="21"/>
      <c r="F194" s="29"/>
      <c r="G194" s="44">
        <f>IF($E173&gt;0, $E173, $E172)</f>
        <v>7350</v>
      </c>
      <c r="H194" s="24">
        <f>G194*F194</f>
        <v>0</v>
      </c>
      <c r="I194" s="30">
        <v>0</v>
      </c>
      <c r="J194" s="44">
        <f>IF($E173&gt;0, $E173, $E172)</f>
        <v>7350</v>
      </c>
      <c r="K194" s="24">
        <f>J194*I194</f>
        <v>0</v>
      </c>
      <c r="L194" s="27">
        <f t="shared" si="21"/>
        <v>0</v>
      </c>
      <c r="M194" s="28" t="str">
        <f>IF(ISERROR(L194/H194), "", L194/H194)</f>
        <v/>
      </c>
    </row>
    <row r="195" spans="1:13" ht="25.5" x14ac:dyDescent="0.2">
      <c r="A195" s="1" t="s">
        <v>7</v>
      </c>
      <c r="B195" s="7" t="s">
        <v>44</v>
      </c>
      <c r="C195" s="19">
        <v>4</v>
      </c>
      <c r="D195" s="49" t="s">
        <v>45</v>
      </c>
      <c r="E195" s="50"/>
      <c r="F195" s="51"/>
      <c r="G195" s="52"/>
      <c r="H195" s="53">
        <f>SUM(H186:H194)</f>
        <v>13882.675000000003</v>
      </c>
      <c r="I195" s="54"/>
      <c r="J195" s="55"/>
      <c r="K195" s="53">
        <f>SUM(K186:K194)</f>
        <v>4065.3150000000032</v>
      </c>
      <c r="L195" s="40">
        <f t="shared" si="21"/>
        <v>-9817.36</v>
      </c>
      <c r="M195" s="41">
        <f>IF((H195)=0,"",(L195/H195))</f>
        <v>-0.70716630620539622</v>
      </c>
    </row>
    <row r="196" spans="1:13" x14ac:dyDescent="0.2">
      <c r="A196" s="1" t="s">
        <v>7</v>
      </c>
      <c r="C196" s="19"/>
      <c r="D196" s="56" t="s">
        <v>46</v>
      </c>
      <c r="E196" s="21"/>
      <c r="F196" s="29">
        <v>3.2305000000000001</v>
      </c>
      <c r="G196" s="43">
        <f>IF($E173&gt;0, $E173, $E172*$E174)</f>
        <v>7350</v>
      </c>
      <c r="H196" s="24">
        <f>G196*F196</f>
        <v>23744.175000000003</v>
      </c>
      <c r="I196" s="30">
        <v>3.1568999999999998</v>
      </c>
      <c r="J196" s="43">
        <f>IF($E173&gt;0, $E173, $E172*$E175)</f>
        <v>7350</v>
      </c>
      <c r="K196" s="24">
        <f>J196*I196</f>
        <v>23203.215</v>
      </c>
      <c r="L196" s="27">
        <f t="shared" si="21"/>
        <v>-540.96000000000276</v>
      </c>
      <c r="M196" s="28">
        <f>IF(ISERROR(L196/H196), "", L196/H196)</f>
        <v>-2.278285095186515E-2</v>
      </c>
    </row>
    <row r="197" spans="1:13" ht="25.5" x14ac:dyDescent="0.2">
      <c r="A197" s="1" t="s">
        <v>7</v>
      </c>
      <c r="C197" s="19"/>
      <c r="D197" s="57" t="s">
        <v>47</v>
      </c>
      <c r="E197" s="21"/>
      <c r="F197" s="29">
        <v>1.4016</v>
      </c>
      <c r="G197" s="43">
        <f>IF($E173&gt;0, $E173, $E172*$E174)</f>
        <v>7350</v>
      </c>
      <c r="H197" s="24">
        <f>G197*F197</f>
        <v>10301.76</v>
      </c>
      <c r="I197" s="30">
        <v>1.3931</v>
      </c>
      <c r="J197" s="43">
        <f>IF($E173&gt;0, $E173, $E172*$E175)</f>
        <v>7350</v>
      </c>
      <c r="K197" s="24">
        <f>J197*I197</f>
        <v>10239.285</v>
      </c>
      <c r="L197" s="27">
        <f t="shared" si="21"/>
        <v>-62.475000000000364</v>
      </c>
      <c r="M197" s="28">
        <f>IF(ISERROR(L197/H197), "", L197/H197)</f>
        <v>-6.0644977168950124E-3</v>
      </c>
    </row>
    <row r="198" spans="1:13" ht="25.5" x14ac:dyDescent="0.2">
      <c r="A198" s="1" t="s">
        <v>7</v>
      </c>
      <c r="B198" s="7" t="s">
        <v>48</v>
      </c>
      <c r="C198" s="19">
        <v>4</v>
      </c>
      <c r="D198" s="49" t="s">
        <v>49</v>
      </c>
      <c r="E198" s="34"/>
      <c r="F198" s="51"/>
      <c r="G198" s="52"/>
      <c r="H198" s="53">
        <f>SUM(H195:H197)</f>
        <v>47928.610000000008</v>
      </c>
      <c r="I198" s="54"/>
      <c r="J198" s="39"/>
      <c r="K198" s="53">
        <f>SUM(K195:K197)</f>
        <v>37507.815000000002</v>
      </c>
      <c r="L198" s="40">
        <f t="shared" si="21"/>
        <v>-10420.795000000006</v>
      </c>
      <c r="M198" s="41">
        <f>IF((H198)=0,"",(L198/H198))</f>
        <v>-0.21742326764744491</v>
      </c>
    </row>
    <row r="199" spans="1:13" ht="25.5" x14ac:dyDescent="0.2">
      <c r="A199" s="1" t="s">
        <v>7</v>
      </c>
      <c r="C199" s="19"/>
      <c r="D199" s="58" t="s">
        <v>50</v>
      </c>
      <c r="E199" s="21"/>
      <c r="F199" s="29">
        <v>3.3999999999999998E-3</v>
      </c>
      <c r="G199" s="43">
        <f>E172*E174</f>
        <v>2903320</v>
      </c>
      <c r="H199" s="59">
        <f t="shared" ref="H199:H205" si="25">G199*F199</f>
        <v>9871.2879999999986</v>
      </c>
      <c r="I199" s="30">
        <v>3.4000000000000002E-3</v>
      </c>
      <c r="J199" s="43">
        <f>E172*E175</f>
        <v>2903320</v>
      </c>
      <c r="K199" s="59">
        <f t="shared" ref="K199:K205" si="26">J199*I199</f>
        <v>9871.2880000000005</v>
      </c>
      <c r="L199" s="27">
        <f t="shared" si="21"/>
        <v>0</v>
      </c>
      <c r="M199" s="28">
        <f t="shared" ref="M199:M207" si="27">IF(ISERROR(L199/H199), "", L199/H199)</f>
        <v>0</v>
      </c>
    </row>
    <row r="200" spans="1:13" ht="25.5" x14ac:dyDescent="0.2">
      <c r="A200" s="1" t="s">
        <v>7</v>
      </c>
      <c r="C200" s="19"/>
      <c r="D200" s="58" t="s">
        <v>51</v>
      </c>
      <c r="E200" s="21"/>
      <c r="F200" s="29">
        <f>'[7]17. Regulatory Charges'!$D$16</f>
        <v>5.0000000000000001E-4</v>
      </c>
      <c r="G200" s="43">
        <f>E172*E174</f>
        <v>2903320</v>
      </c>
      <c r="H200" s="59">
        <f t="shared" si="25"/>
        <v>1451.66</v>
      </c>
      <c r="I200" s="30">
        <v>5.0000000000000001E-4</v>
      </c>
      <c r="J200" s="43">
        <f>E172*E175</f>
        <v>2903320</v>
      </c>
      <c r="K200" s="59">
        <f t="shared" si="26"/>
        <v>1451.66</v>
      </c>
      <c r="L200" s="27">
        <f t="shared" si="21"/>
        <v>0</v>
      </c>
      <c r="M200" s="28">
        <f t="shared" si="27"/>
        <v>0</v>
      </c>
    </row>
    <row r="201" spans="1:13" x14ac:dyDescent="0.2">
      <c r="A201" s="1" t="s">
        <v>7</v>
      </c>
      <c r="C201" s="19"/>
      <c r="D201" s="60" t="s">
        <v>52</v>
      </c>
      <c r="E201" s="21"/>
      <c r="F201" s="47">
        <v>0.25</v>
      </c>
      <c r="G201" s="23">
        <v>1</v>
      </c>
      <c r="H201" s="59">
        <f t="shared" si="25"/>
        <v>0.25</v>
      </c>
      <c r="I201" s="48">
        <f>'[7]17. Regulatory Charges'!$D$17</f>
        <v>0.25</v>
      </c>
      <c r="J201" s="26">
        <v>1</v>
      </c>
      <c r="K201" s="59">
        <f t="shared" si="26"/>
        <v>0.25</v>
      </c>
      <c r="L201" s="27">
        <f t="shared" si="21"/>
        <v>0</v>
      </c>
      <c r="M201" s="28">
        <f t="shared" si="27"/>
        <v>0</v>
      </c>
    </row>
    <row r="202" spans="1:13" ht="25.5" hidden="1" x14ac:dyDescent="0.2">
      <c r="A202" s="1" t="s">
        <v>7</v>
      </c>
      <c r="C202" s="19"/>
      <c r="D202" s="58" t="s">
        <v>53</v>
      </c>
      <c r="E202" s="21"/>
      <c r="F202" s="29"/>
      <c r="G202" s="43"/>
      <c r="H202" s="59"/>
      <c r="I202" s="30"/>
      <c r="J202" s="43"/>
      <c r="K202" s="59"/>
      <c r="L202" s="27"/>
      <c r="M202" s="28"/>
    </row>
    <row r="203" spans="1:13" hidden="1" x14ac:dyDescent="0.2">
      <c r="A203" s="1" t="s">
        <v>7</v>
      </c>
      <c r="B203" s="7" t="s">
        <v>2</v>
      </c>
      <c r="C203" s="19"/>
      <c r="D203" s="61" t="s">
        <v>54</v>
      </c>
      <c r="E203" s="21"/>
      <c r="F203" s="62">
        <f>OffPeak</f>
        <v>6.5000000000000002E-2</v>
      </c>
      <c r="G203" s="63">
        <f>IF(AND(E172*12&gt;=150000),0.65*E172*E174,0.65*E172)</f>
        <v>1887157.9999999998</v>
      </c>
      <c r="H203" s="59">
        <f t="shared" si="25"/>
        <v>122665.26999999999</v>
      </c>
      <c r="I203" s="64">
        <f>OffPeak</f>
        <v>6.5000000000000002E-2</v>
      </c>
      <c r="J203" s="63">
        <f>IF(AND(E172*12&gt;=150000),0.65*E172*E175,0.65*E172)</f>
        <v>1887157.9999999998</v>
      </c>
      <c r="K203" s="59">
        <f t="shared" si="26"/>
        <v>122665.26999999999</v>
      </c>
      <c r="L203" s="27">
        <f>K203-H203</f>
        <v>0</v>
      </c>
      <c r="M203" s="28">
        <f t="shared" si="27"/>
        <v>0</v>
      </c>
    </row>
    <row r="204" spans="1:13" hidden="1" x14ac:dyDescent="0.2">
      <c r="A204" s="1" t="s">
        <v>7</v>
      </c>
      <c r="B204" s="7" t="s">
        <v>2</v>
      </c>
      <c r="C204" s="19"/>
      <c r="D204" s="61" t="s">
        <v>55</v>
      </c>
      <c r="E204" s="21"/>
      <c r="F204" s="62">
        <f>MidPeak</f>
        <v>9.4E-2</v>
      </c>
      <c r="G204" s="63">
        <f>IF(AND(E172*12&gt;=150000),0.17*E172*E174,0.17*E172)</f>
        <v>493564.4</v>
      </c>
      <c r="H204" s="59">
        <f t="shared" si="25"/>
        <v>46395.053599999999</v>
      </c>
      <c r="I204" s="64">
        <f>MidPeak</f>
        <v>9.4E-2</v>
      </c>
      <c r="J204" s="63">
        <f>IF(AND(E172*12&gt;=150000),0.17*E172*E175,0.17*E172)</f>
        <v>493564.4</v>
      </c>
      <c r="K204" s="59">
        <f t="shared" si="26"/>
        <v>46395.053599999999</v>
      </c>
      <c r="L204" s="27">
        <f>K204-H204</f>
        <v>0</v>
      </c>
      <c r="M204" s="28">
        <f t="shared" si="27"/>
        <v>0</v>
      </c>
    </row>
    <row r="205" spans="1:13" hidden="1" x14ac:dyDescent="0.2">
      <c r="A205" s="1" t="s">
        <v>7</v>
      </c>
      <c r="B205" s="7" t="s">
        <v>2</v>
      </c>
      <c r="C205" s="19"/>
      <c r="D205" s="7" t="s">
        <v>56</v>
      </c>
      <c r="E205" s="21"/>
      <c r="F205" s="62">
        <f>OnPeak</f>
        <v>0.13200000000000001</v>
      </c>
      <c r="G205" s="63">
        <f>IF(AND(E172*12&gt;=150000),0.18*E172*E174,0.18*E172)</f>
        <v>522597.6</v>
      </c>
      <c r="H205" s="59">
        <f t="shared" si="25"/>
        <v>68982.883199999997</v>
      </c>
      <c r="I205" s="64">
        <f>OnPeak</f>
        <v>0.13200000000000001</v>
      </c>
      <c r="J205" s="63">
        <f>IF(AND(E172*12&gt;=150000),0.18*E172*E175,0.18*E172)</f>
        <v>522597.6</v>
      </c>
      <c r="K205" s="59">
        <f t="shared" si="26"/>
        <v>68982.883199999997</v>
      </c>
      <c r="L205" s="27">
        <f>K205-H205</f>
        <v>0</v>
      </c>
      <c r="M205" s="28">
        <f t="shared" si="27"/>
        <v>0</v>
      </c>
    </row>
    <row r="206" spans="1:13" hidden="1" x14ac:dyDescent="0.2">
      <c r="A206" s="1" t="s">
        <v>7</v>
      </c>
      <c r="B206" s="1" t="s">
        <v>57</v>
      </c>
      <c r="C206" s="19"/>
      <c r="D206" s="61" t="s">
        <v>58</v>
      </c>
      <c r="E206" s="21"/>
      <c r="F206" s="65">
        <v>0.1101</v>
      </c>
      <c r="G206" s="63">
        <f>IF(AND(E172*12&gt;=150000),E172*E174,E172)</f>
        <v>2903320</v>
      </c>
      <c r="H206" s="59">
        <f>G206*F206</f>
        <v>319655.53200000001</v>
      </c>
      <c r="I206" s="66">
        <f>F206</f>
        <v>0.1101</v>
      </c>
      <c r="J206" s="63">
        <f>IF(AND(E172*12&gt;=150000),E172*E175,E172)</f>
        <v>2903320</v>
      </c>
      <c r="K206" s="59">
        <f>J206*I206</f>
        <v>319655.53200000001</v>
      </c>
      <c r="L206" s="27">
        <f>K206-H206</f>
        <v>0</v>
      </c>
      <c r="M206" s="28">
        <f t="shared" si="27"/>
        <v>0</v>
      </c>
    </row>
    <row r="207" spans="1:13" ht="13.5" thickBot="1" x14ac:dyDescent="0.25">
      <c r="A207" s="1" t="s">
        <v>7</v>
      </c>
      <c r="B207" s="1" t="s">
        <v>6</v>
      </c>
      <c r="C207" s="19"/>
      <c r="D207" s="61" t="s">
        <v>59</v>
      </c>
      <c r="E207" s="21"/>
      <c r="F207" s="65">
        <v>0.1101</v>
      </c>
      <c r="G207" s="63">
        <f>IF(AND(E172*12&gt;=150000),E172*E174,E172)</f>
        <v>2903320</v>
      </c>
      <c r="H207" s="59">
        <f>G207*F207</f>
        <v>319655.53200000001</v>
      </c>
      <c r="I207" s="66">
        <f>F207</f>
        <v>0.1101</v>
      </c>
      <c r="J207" s="63">
        <f>IF(AND(E172*12&gt;=150000),E172*E175,E172)</f>
        <v>2903320</v>
      </c>
      <c r="K207" s="59">
        <f>J207*I207</f>
        <v>319655.53200000001</v>
      </c>
      <c r="L207" s="27">
        <f>K207-H207</f>
        <v>0</v>
      </c>
      <c r="M207" s="28">
        <f t="shared" si="27"/>
        <v>0</v>
      </c>
    </row>
    <row r="208" spans="1:13" ht="13.5" thickBot="1" x14ac:dyDescent="0.25">
      <c r="A208" s="1" t="s">
        <v>7</v>
      </c>
      <c r="B208" s="7"/>
      <c r="C208" s="19"/>
      <c r="D208" s="67"/>
      <c r="E208" s="68"/>
      <c r="F208" s="69"/>
      <c r="G208" s="70"/>
      <c r="H208" s="71"/>
      <c r="I208" s="69"/>
      <c r="J208" s="72"/>
      <c r="K208" s="71"/>
      <c r="L208" s="73"/>
      <c r="M208" s="74"/>
    </row>
    <row r="209" spans="1:13" hidden="1" x14ac:dyDescent="0.2">
      <c r="A209" s="1" t="s">
        <v>7</v>
      </c>
      <c r="B209" s="7" t="s">
        <v>2</v>
      </c>
      <c r="C209" s="19"/>
      <c r="D209" s="75" t="s">
        <v>60</v>
      </c>
      <c r="E209" s="60"/>
      <c r="F209" s="76"/>
      <c r="G209" s="77"/>
      <c r="H209" s="78">
        <f>SUM(H199:H205,H198)</f>
        <v>297295.01479999995</v>
      </c>
      <c r="I209" s="79"/>
      <c r="J209" s="79"/>
      <c r="K209" s="78">
        <f>SUM(K199:K205,K198)</f>
        <v>286874.21979999996</v>
      </c>
      <c r="L209" s="80">
        <f>K209-H209</f>
        <v>-10420.794999999984</v>
      </c>
      <c r="M209" s="81">
        <f>IF((H209)=0,"",(L209/H209))</f>
        <v>-3.5052034111673187E-2</v>
      </c>
    </row>
    <row r="210" spans="1:13" hidden="1" x14ac:dyDescent="0.2">
      <c r="A210" s="1" t="s">
        <v>7</v>
      </c>
      <c r="B210" s="7" t="s">
        <v>2</v>
      </c>
      <c r="C210" s="19"/>
      <c r="D210" s="82" t="s">
        <v>61</v>
      </c>
      <c r="E210" s="60"/>
      <c r="F210" s="76">
        <v>0.13</v>
      </c>
      <c r="G210" s="83"/>
      <c r="H210" s="84">
        <f>H209*F210</f>
        <v>38648.351923999995</v>
      </c>
      <c r="I210" s="85">
        <v>0.13</v>
      </c>
      <c r="J210" s="23"/>
      <c r="K210" s="84">
        <f>K209*I210</f>
        <v>37293.648573999999</v>
      </c>
      <c r="L210" s="86">
        <f>K210-H210</f>
        <v>-1354.7033499999961</v>
      </c>
      <c r="M210" s="87">
        <f>IF((H210)=0,"",(L210/H210))</f>
        <v>-3.5052034111673139E-2</v>
      </c>
    </row>
    <row r="211" spans="1:13" hidden="1" x14ac:dyDescent="0.2">
      <c r="A211" s="1" t="s">
        <v>7</v>
      </c>
      <c r="B211" s="7" t="s">
        <v>2</v>
      </c>
      <c r="C211" s="19"/>
      <c r="D211" s="82" t="s">
        <v>62</v>
      </c>
      <c r="E211" s="60"/>
      <c r="F211" s="76">
        <v>0.08</v>
      </c>
      <c r="G211" s="83"/>
      <c r="H211" s="84">
        <v>0</v>
      </c>
      <c r="I211" s="76">
        <v>0.08</v>
      </c>
      <c r="J211" s="23"/>
      <c r="K211" s="84">
        <v>0</v>
      </c>
      <c r="L211" s="86">
        <f>K211-H211</f>
        <v>0</v>
      </c>
      <c r="M211" s="87"/>
    </row>
    <row r="212" spans="1:13" hidden="1" x14ac:dyDescent="0.2">
      <c r="A212" s="1" t="s">
        <v>7</v>
      </c>
      <c r="B212" s="7" t="s">
        <v>63</v>
      </c>
      <c r="C212" s="19"/>
      <c r="D212" s="110" t="s">
        <v>64</v>
      </c>
      <c r="E212" s="110"/>
      <c r="F212" s="88"/>
      <c r="G212" s="89"/>
      <c r="H212" s="90">
        <f>H209+H210+H211</f>
        <v>335943.36672399996</v>
      </c>
      <c r="I212" s="91"/>
      <c r="J212" s="91"/>
      <c r="K212" s="92">
        <f>K209+K210+K211</f>
        <v>324167.86837399995</v>
      </c>
      <c r="L212" s="93">
        <f>K212-H212</f>
        <v>-11775.498350000009</v>
      </c>
      <c r="M212" s="94">
        <f>IF((H212)=0,"",(L212/H212))</f>
        <v>-3.5052034111673271E-2</v>
      </c>
    </row>
    <row r="213" spans="1:13" ht="13.5" hidden="1" thickBot="1" x14ac:dyDescent="0.25">
      <c r="A213" s="1" t="s">
        <v>7</v>
      </c>
      <c r="B213" s="1" t="s">
        <v>2</v>
      </c>
      <c r="C213" s="19"/>
      <c r="D213" s="67"/>
      <c r="E213" s="68"/>
      <c r="F213" s="69"/>
      <c r="G213" s="70"/>
      <c r="H213" s="71"/>
      <c r="I213" s="69"/>
      <c r="J213" s="72"/>
      <c r="K213" s="71"/>
      <c r="L213" s="73"/>
      <c r="M213" s="74"/>
    </row>
    <row r="214" spans="1:13" hidden="1" x14ac:dyDescent="0.2">
      <c r="A214" s="1" t="s">
        <v>7</v>
      </c>
      <c r="B214" s="1" t="s">
        <v>57</v>
      </c>
      <c r="C214" s="19"/>
      <c r="D214" s="75" t="s">
        <v>65</v>
      </c>
      <c r="E214" s="60"/>
      <c r="F214" s="76"/>
      <c r="G214" s="77"/>
      <c r="H214" s="78">
        <f>SUM(H206,H199:H202,H198)</f>
        <v>378907.33999999997</v>
      </c>
      <c r="I214" s="79"/>
      <c r="J214" s="79"/>
      <c r="K214" s="78">
        <f>SUM(K206,K199:K202,K198)</f>
        <v>368486.54499999998</v>
      </c>
      <c r="L214" s="80">
        <f>K214-H214</f>
        <v>-10420.794999999984</v>
      </c>
      <c r="M214" s="81">
        <f>IF((H214)=0,"",(L214/H214))</f>
        <v>-2.7502225214217239E-2</v>
      </c>
    </row>
    <row r="215" spans="1:13" hidden="1" x14ac:dyDescent="0.2">
      <c r="A215" s="1" t="s">
        <v>7</v>
      </c>
      <c r="B215" s="1" t="s">
        <v>57</v>
      </c>
      <c r="C215" s="19"/>
      <c r="D215" s="82" t="s">
        <v>61</v>
      </c>
      <c r="E215" s="60"/>
      <c r="F215" s="76">
        <v>0.13</v>
      </c>
      <c r="G215" s="77"/>
      <c r="H215" s="84">
        <f>H214*F215</f>
        <v>49257.9542</v>
      </c>
      <c r="I215" s="76">
        <v>0.13</v>
      </c>
      <c r="J215" s="85"/>
      <c r="K215" s="84">
        <f>K214*I215</f>
        <v>47903.250849999997</v>
      </c>
      <c r="L215" s="86">
        <f>K215-H215</f>
        <v>-1354.7033500000034</v>
      </c>
      <c r="M215" s="87">
        <f>IF((H215)=0,"",(L215/H215))</f>
        <v>-2.750222521421735E-2</v>
      </c>
    </row>
    <row r="216" spans="1:13" hidden="1" x14ac:dyDescent="0.2">
      <c r="A216" s="1" t="s">
        <v>7</v>
      </c>
      <c r="B216" s="1" t="s">
        <v>57</v>
      </c>
      <c r="C216" s="19"/>
      <c r="D216" s="82" t="s">
        <v>62</v>
      </c>
      <c r="E216" s="60"/>
      <c r="F216" s="76">
        <v>0.08</v>
      </c>
      <c r="G216" s="77"/>
      <c r="H216" s="84">
        <v>0</v>
      </c>
      <c r="I216" s="76">
        <v>0.08</v>
      </c>
      <c r="J216" s="85"/>
      <c r="K216" s="84">
        <v>0</v>
      </c>
      <c r="L216" s="86"/>
      <c r="M216" s="87"/>
    </row>
    <row r="217" spans="1:13" hidden="1" x14ac:dyDescent="0.2">
      <c r="A217" s="1" t="s">
        <v>7</v>
      </c>
      <c r="B217" s="1" t="s">
        <v>66</v>
      </c>
      <c r="C217" s="19"/>
      <c r="D217" s="110" t="s">
        <v>65</v>
      </c>
      <c r="E217" s="110"/>
      <c r="F217" s="95"/>
      <c r="G217" s="96"/>
      <c r="H217" s="90">
        <f>SUM(H214,H215)</f>
        <v>428165.29419999995</v>
      </c>
      <c r="I217" s="97"/>
      <c r="J217" s="97"/>
      <c r="K217" s="90">
        <f>SUM(K214,K215)</f>
        <v>416389.79584999999</v>
      </c>
      <c r="L217" s="98">
        <f>K217-H217</f>
        <v>-11775.498349999951</v>
      </c>
      <c r="M217" s="99">
        <f>IF((H217)=0,"",(L217/H217))</f>
        <v>-2.750222521421717E-2</v>
      </c>
    </row>
    <row r="218" spans="1:13" ht="13.5" hidden="1" thickBot="1" x14ac:dyDescent="0.25">
      <c r="A218" s="1" t="s">
        <v>7</v>
      </c>
      <c r="B218" s="1" t="s">
        <v>57</v>
      </c>
      <c r="C218" s="19"/>
      <c r="D218" s="67"/>
      <c r="E218" s="68"/>
      <c r="F218" s="100"/>
      <c r="G218" s="101"/>
      <c r="H218" s="102"/>
      <c r="I218" s="100"/>
      <c r="J218" s="70"/>
      <c r="K218" s="102"/>
      <c r="L218" s="103"/>
      <c r="M218" s="74"/>
    </row>
    <row r="219" spans="1:13" x14ac:dyDescent="0.2">
      <c r="A219" s="1" t="s">
        <v>7</v>
      </c>
      <c r="B219" s="1" t="s">
        <v>6</v>
      </c>
      <c r="C219" s="19"/>
      <c r="D219" s="75" t="s">
        <v>67</v>
      </c>
      <c r="E219" s="60"/>
      <c r="F219" s="76"/>
      <c r="G219" s="77"/>
      <c r="H219" s="78">
        <f>SUM(H207,H199:H202,H198)</f>
        <v>378907.33999999997</v>
      </c>
      <c r="I219" s="79"/>
      <c r="J219" s="79"/>
      <c r="K219" s="78">
        <f>SUM(K207,K199:K202,K198)</f>
        <v>368486.54499999998</v>
      </c>
      <c r="L219" s="80">
        <f>K219-H219</f>
        <v>-10420.794999999984</v>
      </c>
      <c r="M219" s="81">
        <f>IF((H219)=0,"",(L219/H219))</f>
        <v>-2.7502225214217239E-2</v>
      </c>
    </row>
    <row r="220" spans="1:13" x14ac:dyDescent="0.2">
      <c r="A220" s="1" t="s">
        <v>7</v>
      </c>
      <c r="B220" s="1" t="s">
        <v>6</v>
      </c>
      <c r="C220" s="19"/>
      <c r="D220" s="82" t="s">
        <v>61</v>
      </c>
      <c r="E220" s="60"/>
      <c r="F220" s="76">
        <v>0.13</v>
      </c>
      <c r="G220" s="77"/>
      <c r="H220" s="84">
        <f>H219*F220</f>
        <v>49257.9542</v>
      </c>
      <c r="I220" s="76">
        <v>0.13</v>
      </c>
      <c r="J220" s="85"/>
      <c r="K220" s="84">
        <f>K219*I220</f>
        <v>47903.250849999997</v>
      </c>
      <c r="L220" s="86">
        <f>K220-H220</f>
        <v>-1354.7033500000034</v>
      </c>
      <c r="M220" s="87">
        <f>IF((H220)=0,"",(L220/H220))</f>
        <v>-2.750222521421735E-2</v>
      </c>
    </row>
    <row r="221" spans="1:13" hidden="1" x14ac:dyDescent="0.2">
      <c r="A221" s="1" t="s">
        <v>7</v>
      </c>
      <c r="B221" s="1" t="s">
        <v>6</v>
      </c>
      <c r="C221" s="19"/>
      <c r="D221" s="82" t="s">
        <v>62</v>
      </c>
      <c r="E221" s="60"/>
      <c r="F221" s="76">
        <v>0.08</v>
      </c>
      <c r="G221" s="77"/>
      <c r="H221" s="84">
        <v>0</v>
      </c>
      <c r="I221" s="76">
        <v>0.08</v>
      </c>
      <c r="J221" s="85"/>
      <c r="K221" s="84">
        <v>0</v>
      </c>
      <c r="L221" s="86"/>
      <c r="M221" s="87"/>
    </row>
    <row r="222" spans="1:13" ht="13.5" thickBot="1" x14ac:dyDescent="0.25">
      <c r="A222" s="1" t="s">
        <v>7</v>
      </c>
      <c r="B222" s="1" t="s">
        <v>68</v>
      </c>
      <c r="C222" s="19">
        <v>4</v>
      </c>
      <c r="D222" s="110" t="s">
        <v>67</v>
      </c>
      <c r="E222" s="110"/>
      <c r="F222" s="95"/>
      <c r="G222" s="96"/>
      <c r="H222" s="90">
        <f>SUM(H219,H220)</f>
        <v>428165.29419999995</v>
      </c>
      <c r="I222" s="97"/>
      <c r="J222" s="97"/>
      <c r="K222" s="90">
        <f>SUM(K219,K220)</f>
        <v>416389.79584999999</v>
      </c>
      <c r="L222" s="98">
        <f>K222-H222</f>
        <v>-11775.498349999951</v>
      </c>
      <c r="M222" s="99">
        <f>IF((H222)=0,"",(L222/H222))</f>
        <v>-2.750222521421717E-2</v>
      </c>
    </row>
    <row r="223" spans="1:13" ht="13.5" thickBot="1" x14ac:dyDescent="0.25">
      <c r="A223" s="1" t="s">
        <v>7</v>
      </c>
      <c r="B223" s="1" t="s">
        <v>6</v>
      </c>
      <c r="C223" s="19"/>
      <c r="D223" s="67"/>
      <c r="E223" s="68"/>
      <c r="F223" s="104"/>
      <c r="G223" s="105"/>
      <c r="H223" s="106"/>
      <c r="I223" s="104"/>
      <c r="J223" s="107"/>
      <c r="K223" s="106"/>
      <c r="L223" s="108"/>
      <c r="M223" s="109"/>
    </row>
    <row r="226" spans="1:20" x14ac:dyDescent="0.2">
      <c r="C226" s="1"/>
      <c r="D226" s="3" t="s">
        <v>13</v>
      </c>
      <c r="E226" s="111" t="s">
        <v>9</v>
      </c>
      <c r="F226" s="111"/>
      <c r="G226" s="111"/>
      <c r="H226" s="111"/>
      <c r="I226" s="111"/>
      <c r="J226" s="111"/>
      <c r="K226" s="1" t="s">
        <v>8</v>
      </c>
      <c r="T226" s="1" t="s">
        <v>12</v>
      </c>
    </row>
    <row r="227" spans="1:20" x14ac:dyDescent="0.2">
      <c r="C227" s="1"/>
      <c r="D227" s="3" t="s">
        <v>14</v>
      </c>
      <c r="E227" s="112" t="s">
        <v>2</v>
      </c>
      <c r="F227" s="112"/>
      <c r="G227" s="112"/>
      <c r="H227" s="4"/>
      <c r="I227" s="4"/>
    </row>
    <row r="228" spans="1:20" ht="15.75" x14ac:dyDescent="0.2">
      <c r="C228" s="1"/>
      <c r="D228" s="3" t="s">
        <v>15</v>
      </c>
      <c r="E228" s="5">
        <v>150</v>
      </c>
      <c r="F228" s="6" t="s">
        <v>1</v>
      </c>
      <c r="G228" s="7"/>
      <c r="J228" s="8"/>
      <c r="K228" s="8"/>
      <c r="L228" s="8"/>
      <c r="M228" s="8"/>
    </row>
    <row r="229" spans="1:20" ht="15.75" x14ac:dyDescent="0.25">
      <c r="C229" s="1"/>
      <c r="D229" s="3" t="s">
        <v>16</v>
      </c>
      <c r="E229" s="5">
        <v>0</v>
      </c>
      <c r="F229" s="9" t="s">
        <v>5</v>
      </c>
      <c r="G229" s="10"/>
      <c r="H229" s="11"/>
      <c r="I229" s="11"/>
      <c r="J229" s="11"/>
    </row>
    <row r="230" spans="1:20" x14ac:dyDescent="0.2">
      <c r="C230" s="1"/>
      <c r="D230" s="3" t="s">
        <v>17</v>
      </c>
      <c r="E230" s="12">
        <v>1.0368999999999999</v>
      </c>
    </row>
    <row r="231" spans="1:20" x14ac:dyDescent="0.2">
      <c r="C231" s="1"/>
      <c r="D231" s="3" t="s">
        <v>18</v>
      </c>
      <c r="E231" s="12">
        <v>1.0368999999999999</v>
      </c>
    </row>
    <row r="232" spans="1:20" x14ac:dyDescent="0.2">
      <c r="C232" s="1"/>
      <c r="D232" s="7"/>
    </row>
    <row r="233" spans="1:20" x14ac:dyDescent="0.2">
      <c r="C233" s="1"/>
      <c r="D233" s="7"/>
      <c r="E233" s="13"/>
      <c r="F233" s="113" t="s">
        <v>19</v>
      </c>
      <c r="G233" s="121"/>
      <c r="H233" s="114"/>
      <c r="I233" s="113" t="s">
        <v>20</v>
      </c>
      <c r="J233" s="121"/>
      <c r="K233" s="114"/>
      <c r="L233" s="113" t="s">
        <v>21</v>
      </c>
      <c r="M233" s="114"/>
    </row>
    <row r="234" spans="1:20" x14ac:dyDescent="0.2">
      <c r="C234" s="1"/>
      <c r="D234" s="7"/>
      <c r="E234" s="115"/>
      <c r="F234" s="14" t="s">
        <v>22</v>
      </c>
      <c r="G234" s="14" t="s">
        <v>23</v>
      </c>
      <c r="H234" s="15" t="s">
        <v>24</v>
      </c>
      <c r="I234" s="14" t="s">
        <v>22</v>
      </c>
      <c r="J234" s="16" t="s">
        <v>23</v>
      </c>
      <c r="K234" s="15" t="s">
        <v>24</v>
      </c>
      <c r="L234" s="117" t="s">
        <v>25</v>
      </c>
      <c r="M234" s="119" t="s">
        <v>26</v>
      </c>
    </row>
    <row r="235" spans="1:20" x14ac:dyDescent="0.2">
      <c r="C235" s="1"/>
      <c r="D235" s="7"/>
      <c r="E235" s="116"/>
      <c r="F235" s="17" t="s">
        <v>27</v>
      </c>
      <c r="G235" s="17"/>
      <c r="H235" s="18" t="s">
        <v>27</v>
      </c>
      <c r="I235" s="17" t="s">
        <v>27</v>
      </c>
      <c r="J235" s="18"/>
      <c r="K235" s="18" t="s">
        <v>27</v>
      </c>
      <c r="L235" s="118"/>
      <c r="M235" s="120"/>
    </row>
    <row r="236" spans="1:20" x14ac:dyDescent="0.2">
      <c r="A236" s="1" t="s">
        <v>9</v>
      </c>
      <c r="C236" s="19"/>
      <c r="D236" s="20" t="s">
        <v>28</v>
      </c>
      <c r="E236" s="21"/>
      <c r="F236" s="22">
        <v>8.68</v>
      </c>
      <c r="G236" s="23"/>
      <c r="H236" s="24">
        <f>G236*F236</f>
        <v>0</v>
      </c>
      <c r="I236" s="25">
        <v>8.7799999999999994</v>
      </c>
      <c r="J236" s="26">
        <f>G236</f>
        <v>0</v>
      </c>
      <c r="K236" s="24">
        <f>J236*I236</f>
        <v>0</v>
      </c>
      <c r="L236" s="27">
        <f t="shared" ref="L236:L257" si="28">K236-H236</f>
        <v>0</v>
      </c>
      <c r="M236" s="28" t="str">
        <f>IF(ISERROR(L236/H236), "", L236/H236)</f>
        <v/>
      </c>
    </row>
    <row r="237" spans="1:20" x14ac:dyDescent="0.2">
      <c r="A237" s="1" t="s">
        <v>9</v>
      </c>
      <c r="C237" s="19"/>
      <c r="D237" s="20" t="s">
        <v>29</v>
      </c>
      <c r="E237" s="21"/>
      <c r="F237" s="29">
        <v>1.9699999999999999E-2</v>
      </c>
      <c r="G237" s="23">
        <f>IF($E229&gt;0, $E229, $E228)</f>
        <v>150</v>
      </c>
      <c r="H237" s="24">
        <f t="shared" ref="H237:H249" si="29">G237*F237</f>
        <v>2.9549999999999996</v>
      </c>
      <c r="I237" s="30">
        <v>1.9900000000000001E-2</v>
      </c>
      <c r="J237" s="26">
        <f>IF($E229&gt;0, $E229, $E228)</f>
        <v>150</v>
      </c>
      <c r="K237" s="24">
        <f>J237*I237</f>
        <v>2.9850000000000003</v>
      </c>
      <c r="L237" s="27">
        <f t="shared" si="28"/>
        <v>3.0000000000000693E-2</v>
      </c>
      <c r="M237" s="28">
        <f t="shared" ref="M237:M247" si="30">IF(ISERROR(L237/H237), "", L237/H237)</f>
        <v>1.0152284263959626E-2</v>
      </c>
    </row>
    <row r="238" spans="1:20" hidden="1" x14ac:dyDescent="0.2">
      <c r="A238" s="1" t="s">
        <v>9</v>
      </c>
      <c r="C238" s="19"/>
      <c r="D238" s="20" t="s">
        <v>30</v>
      </c>
      <c r="E238" s="21"/>
      <c r="F238" s="29"/>
      <c r="G238" s="23"/>
      <c r="H238" s="24">
        <v>0</v>
      </c>
      <c r="I238" s="30"/>
      <c r="J238" s="26">
        <f>IF($E229&gt;0, $E229, $E228)</f>
        <v>150</v>
      </c>
      <c r="K238" s="24">
        <v>0</v>
      </c>
      <c r="L238" s="27"/>
      <c r="M238" s="28"/>
    </row>
    <row r="239" spans="1:20" hidden="1" x14ac:dyDescent="0.2">
      <c r="A239" s="1" t="s">
        <v>9</v>
      </c>
      <c r="C239" s="19"/>
      <c r="D239" s="20" t="s">
        <v>31</v>
      </c>
      <c r="E239" s="21"/>
      <c r="F239" s="29"/>
      <c r="G239" s="23">
        <f>IF($E229&gt;0, $E229, $E228)</f>
        <v>150</v>
      </c>
      <c r="H239" s="24">
        <v>0</v>
      </c>
      <c r="I239" s="30"/>
      <c r="J239" s="23">
        <f>IF($E229&gt;0, $E229, $E228)</f>
        <v>150</v>
      </c>
      <c r="K239" s="24">
        <v>0</v>
      </c>
      <c r="L239" s="27">
        <f>K239-H239</f>
        <v>0</v>
      </c>
      <c r="M239" s="28" t="str">
        <f>IF(ISERROR(L239/H239), "", L239/H239)</f>
        <v/>
      </c>
    </row>
    <row r="240" spans="1:20" x14ac:dyDescent="0.2">
      <c r="A240" s="1" t="s">
        <v>9</v>
      </c>
      <c r="C240" s="19"/>
      <c r="D240" s="31" t="s">
        <v>32</v>
      </c>
      <c r="E240" s="21"/>
      <c r="F240" s="22">
        <v>0.11</v>
      </c>
      <c r="G240" s="23">
        <v>1</v>
      </c>
      <c r="H240" s="24">
        <f t="shared" si="29"/>
        <v>0.11</v>
      </c>
      <c r="I240" s="25">
        <v>0.05</v>
      </c>
      <c r="J240" s="26">
        <f>G240</f>
        <v>1</v>
      </c>
      <c r="K240" s="24">
        <f t="shared" ref="K240:K247" si="31">J240*I240</f>
        <v>0.05</v>
      </c>
      <c r="L240" s="27">
        <f t="shared" si="28"/>
        <v>-0.06</v>
      </c>
      <c r="M240" s="28">
        <f t="shared" si="30"/>
        <v>-0.54545454545454541</v>
      </c>
    </row>
    <row r="241" spans="1:13" x14ac:dyDescent="0.2">
      <c r="A241" s="1" t="s">
        <v>9</v>
      </c>
      <c r="C241" s="19"/>
      <c r="D241" s="20" t="s">
        <v>33</v>
      </c>
      <c r="E241" s="21"/>
      <c r="F241" s="29">
        <v>-4.0000000000000002E-4</v>
      </c>
      <c r="G241" s="23">
        <f>IF($E229&gt;0, $E229, $E228)</f>
        <v>150</v>
      </c>
      <c r="H241" s="24">
        <f t="shared" si="29"/>
        <v>-6.0000000000000005E-2</v>
      </c>
      <c r="I241" s="30">
        <v>-6.9999999999999999E-4</v>
      </c>
      <c r="J241" s="26">
        <f>IF($E229&gt;0, $E229, $E228)</f>
        <v>150</v>
      </c>
      <c r="K241" s="24">
        <f t="shared" si="31"/>
        <v>-0.105</v>
      </c>
      <c r="L241" s="27">
        <f t="shared" si="28"/>
        <v>-4.4999999999999991E-2</v>
      </c>
      <c r="M241" s="28">
        <f t="shared" si="30"/>
        <v>0.74999999999999978</v>
      </c>
    </row>
    <row r="242" spans="1:13" x14ac:dyDescent="0.2">
      <c r="A242" s="1" t="s">
        <v>9</v>
      </c>
      <c r="B242" s="32" t="s">
        <v>34</v>
      </c>
      <c r="C242" s="19">
        <v>6</v>
      </c>
      <c r="D242" s="33" t="s">
        <v>35</v>
      </c>
      <c r="E242" s="34"/>
      <c r="F242" s="35"/>
      <c r="G242" s="36"/>
      <c r="H242" s="37">
        <f>SUM(H236:H241)</f>
        <v>3.0049999999999994</v>
      </c>
      <c r="I242" s="38"/>
      <c r="J242" s="39"/>
      <c r="K242" s="37">
        <f>SUM(K236:K241)</f>
        <v>2.93</v>
      </c>
      <c r="L242" s="40">
        <f t="shared" si="28"/>
        <v>-7.4999999999999289E-2</v>
      </c>
      <c r="M242" s="41">
        <f>IF((H242)=0,"",(L242/H242))</f>
        <v>-2.4958402662229387E-2</v>
      </c>
    </row>
    <row r="243" spans="1:13" x14ac:dyDescent="0.2">
      <c r="A243" s="1" t="s">
        <v>9</v>
      </c>
      <c r="C243" s="19"/>
      <c r="D243" s="42" t="s">
        <v>36</v>
      </c>
      <c r="E243" s="21"/>
      <c r="F243" s="29">
        <f>IF((E228*12&gt;=150000), 0, IF(E227="RPP",(F259*0.65+F260*0.17+F261*0.18),IF(E227="Non-RPP (Retailer)",F262,F263)))</f>
        <v>8.1990000000000007E-2</v>
      </c>
      <c r="G243" s="43">
        <f>IF(F243=0, 0, $E228*E230-E228)</f>
        <v>5.5349999999999966</v>
      </c>
      <c r="H243" s="24">
        <f>G243*F243</f>
        <v>0.45381464999999976</v>
      </c>
      <c r="I243" s="30">
        <f>IF((E228*12&gt;=150000), 0, IF(E227="RPP",(I259*0.65+I260*0.17+I261*0.18),IF(E227="Non-RPP (Retailer)",I262,I263)))</f>
        <v>8.1990000000000007E-2</v>
      </c>
      <c r="J243" s="43">
        <f>IF(I243=0, 0, E228*E231-E228)</f>
        <v>5.5349999999999966</v>
      </c>
      <c r="K243" s="24">
        <f>J243*I243</f>
        <v>0.45381464999999976</v>
      </c>
      <c r="L243" s="27">
        <f>K243-H243</f>
        <v>0</v>
      </c>
      <c r="M243" s="28">
        <f>IF(ISERROR(L243/H243), "", L243/H243)</f>
        <v>0</v>
      </c>
    </row>
    <row r="244" spans="1:13" ht="25.5" x14ac:dyDescent="0.2">
      <c r="A244" s="1" t="s">
        <v>9</v>
      </c>
      <c r="C244" s="19"/>
      <c r="D244" s="42" t="s">
        <v>37</v>
      </c>
      <c r="E244" s="21"/>
      <c r="F244" s="29">
        <v>-2.8999999999999998E-3</v>
      </c>
      <c r="G244" s="44">
        <f>IF($E229&gt;0, $E229, $E228)</f>
        <v>150</v>
      </c>
      <c r="H244" s="24">
        <f t="shared" si="29"/>
        <v>-0.43499999999999994</v>
      </c>
      <c r="I244" s="30">
        <v>-4.8999999999999998E-3</v>
      </c>
      <c r="J244" s="44">
        <f>IF($E229&gt;0, $E229, $E228)</f>
        <v>150</v>
      </c>
      <c r="K244" s="24">
        <f t="shared" si="31"/>
        <v>-0.73499999999999999</v>
      </c>
      <c r="L244" s="27">
        <f t="shared" si="28"/>
        <v>-0.30000000000000004</v>
      </c>
      <c r="M244" s="28">
        <f t="shared" si="30"/>
        <v>0.68965517241379326</v>
      </c>
    </row>
    <row r="245" spans="1:13" x14ac:dyDescent="0.2">
      <c r="A245" s="1" t="s">
        <v>9</v>
      </c>
      <c r="C245" s="19"/>
      <c r="D245" s="42" t="s">
        <v>38</v>
      </c>
      <c r="E245" s="21"/>
      <c r="F245" s="29">
        <v>2.0000000000000001E-4</v>
      </c>
      <c r="G245" s="44">
        <f>IF($E229&gt;0, $E229, $E228)</f>
        <v>150</v>
      </c>
      <c r="H245" s="24">
        <f>G245*F245</f>
        <v>3.0000000000000002E-2</v>
      </c>
      <c r="I245" s="30">
        <v>2.0000000000000001E-4</v>
      </c>
      <c r="J245" s="44">
        <f>IF($E229&gt;0, $E229, $E228)</f>
        <v>150</v>
      </c>
      <c r="K245" s="24">
        <f>J245*I245</f>
        <v>3.0000000000000002E-2</v>
      </c>
      <c r="L245" s="27">
        <f t="shared" si="28"/>
        <v>0</v>
      </c>
      <c r="M245" s="28">
        <f t="shared" si="30"/>
        <v>0</v>
      </c>
    </row>
    <row r="246" spans="1:13" x14ac:dyDescent="0.2">
      <c r="A246" s="1" t="s">
        <v>9</v>
      </c>
      <c r="C246" s="19"/>
      <c r="D246" s="42" t="s">
        <v>39</v>
      </c>
      <c r="E246" s="21"/>
      <c r="F246" s="29">
        <v>0</v>
      </c>
      <c r="G246" s="44">
        <f>E228</f>
        <v>150</v>
      </c>
      <c r="H246" s="24">
        <f>G246*F246</f>
        <v>0</v>
      </c>
      <c r="I246" s="30">
        <v>0</v>
      </c>
      <c r="J246" s="44">
        <f>E228</f>
        <v>150</v>
      </c>
      <c r="K246" s="24">
        <f t="shared" si="31"/>
        <v>0</v>
      </c>
      <c r="L246" s="27">
        <f t="shared" si="28"/>
        <v>0</v>
      </c>
      <c r="M246" s="28" t="str">
        <f t="shared" si="30"/>
        <v/>
      </c>
    </row>
    <row r="247" spans="1:13" x14ac:dyDescent="0.2">
      <c r="A247" s="1" t="s">
        <v>9</v>
      </c>
      <c r="C247" s="19"/>
      <c r="D247" s="45" t="s">
        <v>40</v>
      </c>
      <c r="E247" s="21"/>
      <c r="F247" s="29">
        <v>5.0000000000000001E-4</v>
      </c>
      <c r="G247" s="44">
        <f>IF($E229&gt;0, $E229, $E228)</f>
        <v>150</v>
      </c>
      <c r="H247" s="24">
        <f t="shared" si="29"/>
        <v>7.4999999999999997E-2</v>
      </c>
      <c r="I247" s="30">
        <v>5.0000000000000001E-4</v>
      </c>
      <c r="J247" s="44">
        <f>IF($E229&gt;0, $E229, $E228)</f>
        <v>150</v>
      </c>
      <c r="K247" s="24">
        <f t="shared" si="31"/>
        <v>7.4999999999999997E-2</v>
      </c>
      <c r="L247" s="27">
        <f t="shared" si="28"/>
        <v>0</v>
      </c>
      <c r="M247" s="28">
        <f t="shared" si="30"/>
        <v>0</v>
      </c>
    </row>
    <row r="248" spans="1:13" ht="25.5" x14ac:dyDescent="0.2">
      <c r="A248" s="1" t="s">
        <v>9</v>
      </c>
      <c r="C248" s="19"/>
      <c r="D248" s="46" t="s">
        <v>41</v>
      </c>
      <c r="E248" s="21"/>
      <c r="F248" s="47">
        <f>IF(OR(ISNUMBER(SEARCH("RESIDENTIAL", E226))=TRUE, ISNUMBER(SEARCH("GENERAL SERVICE LESS THAN 50", E226))=TRUE), SME, 0)</f>
        <v>0</v>
      </c>
      <c r="G248" s="23">
        <v>1</v>
      </c>
      <c r="H248" s="24">
        <f>G248*F248</f>
        <v>0</v>
      </c>
      <c r="I248" s="48">
        <f>IF(OR(ISNUMBER(SEARCH("RESIDENTIAL", E226))=TRUE, ISNUMBER(SEARCH("GENERAL SERVICE LESS THAN 50", E226))=TRUE), SME, 0)</f>
        <v>0</v>
      </c>
      <c r="J248" s="23">
        <v>1</v>
      </c>
      <c r="K248" s="24">
        <f>J248*I248</f>
        <v>0</v>
      </c>
      <c r="L248" s="27">
        <f t="shared" si="28"/>
        <v>0</v>
      </c>
      <c r="M248" s="28" t="str">
        <f>IF(ISERROR(L248/H248), "", L248/H248)</f>
        <v/>
      </c>
    </row>
    <row r="249" spans="1:13" x14ac:dyDescent="0.2">
      <c r="A249" s="1" t="s">
        <v>9</v>
      </c>
      <c r="C249" s="19"/>
      <c r="D249" s="45" t="s">
        <v>42</v>
      </c>
      <c r="E249" s="21"/>
      <c r="F249" s="22">
        <v>0</v>
      </c>
      <c r="G249" s="23">
        <v>1</v>
      </c>
      <c r="H249" s="24">
        <f t="shared" si="29"/>
        <v>0</v>
      </c>
      <c r="I249" s="25">
        <v>0</v>
      </c>
      <c r="J249" s="23">
        <v>1</v>
      </c>
      <c r="K249" s="24">
        <f>J249*I249</f>
        <v>0</v>
      </c>
      <c r="L249" s="27">
        <f>K249-H249</f>
        <v>0</v>
      </c>
      <c r="M249" s="28" t="str">
        <f>IF(ISERROR(L249/H249), "", L249/H249)</f>
        <v/>
      </c>
    </row>
    <row r="250" spans="1:13" x14ac:dyDescent="0.2">
      <c r="A250" s="1" t="s">
        <v>9</v>
      </c>
      <c r="C250" s="19"/>
      <c r="D250" s="45" t="s">
        <v>43</v>
      </c>
      <c r="E250" s="21"/>
      <c r="F250" s="29"/>
      <c r="G250" s="44">
        <f>IF($E229&gt;0, $E229, $E228)</f>
        <v>150</v>
      </c>
      <c r="H250" s="24">
        <f>G250*F250</f>
        <v>0</v>
      </c>
      <c r="I250" s="30">
        <v>0</v>
      </c>
      <c r="J250" s="44">
        <f>IF($E229&gt;0, $E229, $E228)</f>
        <v>150</v>
      </c>
      <c r="K250" s="24">
        <f>J250*I250</f>
        <v>0</v>
      </c>
      <c r="L250" s="27">
        <f t="shared" si="28"/>
        <v>0</v>
      </c>
      <c r="M250" s="28" t="str">
        <f>IF(ISERROR(L250/H250), "", L250/H250)</f>
        <v/>
      </c>
    </row>
    <row r="251" spans="1:13" ht="25.5" x14ac:dyDescent="0.2">
      <c r="A251" s="1" t="s">
        <v>9</v>
      </c>
      <c r="B251" s="7" t="s">
        <v>44</v>
      </c>
      <c r="C251" s="19">
        <v>6</v>
      </c>
      <c r="D251" s="49" t="s">
        <v>45</v>
      </c>
      <c r="E251" s="50"/>
      <c r="F251" s="51"/>
      <c r="G251" s="52"/>
      <c r="H251" s="53">
        <f>SUM(H242:H250)</f>
        <v>3.1288146499999989</v>
      </c>
      <c r="I251" s="54"/>
      <c r="J251" s="55"/>
      <c r="K251" s="53">
        <f>SUM(K242:K250)</f>
        <v>2.7538146499999998</v>
      </c>
      <c r="L251" s="40">
        <f t="shared" si="28"/>
        <v>-0.37499999999999911</v>
      </c>
      <c r="M251" s="41">
        <f>IF((H251)=0,"",(L251/H251))</f>
        <v>-0.11985369603149847</v>
      </c>
    </row>
    <row r="252" spans="1:13" x14ac:dyDescent="0.2">
      <c r="A252" s="1" t="s">
        <v>9</v>
      </c>
      <c r="C252" s="19"/>
      <c r="D252" s="56" t="s">
        <v>46</v>
      </c>
      <c r="E252" s="21"/>
      <c r="F252" s="29">
        <v>6.3E-3</v>
      </c>
      <c r="G252" s="43">
        <f>IF($E229&gt;0, $E229, $E228*$E230)</f>
        <v>155.535</v>
      </c>
      <c r="H252" s="24">
        <f>G252*F252</f>
        <v>0.97987049999999998</v>
      </c>
      <c r="I252" s="30">
        <v>6.1999999999999998E-3</v>
      </c>
      <c r="J252" s="43">
        <f>IF($E229&gt;0, $E229, $E228*$E231)</f>
        <v>155.535</v>
      </c>
      <c r="K252" s="24">
        <f>J252*I252</f>
        <v>0.96431699999999998</v>
      </c>
      <c r="L252" s="27">
        <f t="shared" si="28"/>
        <v>-1.5553499999999998E-2</v>
      </c>
      <c r="M252" s="28">
        <f>IF(ISERROR(L252/H252), "", L252/H252)</f>
        <v>-1.5873015873015872E-2</v>
      </c>
    </row>
    <row r="253" spans="1:13" ht="25.5" x14ac:dyDescent="0.2">
      <c r="A253" s="1" t="s">
        <v>9</v>
      </c>
      <c r="C253" s="19"/>
      <c r="D253" s="57" t="s">
        <v>47</v>
      </c>
      <c r="E253" s="21"/>
      <c r="F253" s="29">
        <v>3.7000000000000002E-3</v>
      </c>
      <c r="G253" s="43">
        <f>IF($E229&gt;0, $E229, $E228*$E230)</f>
        <v>155.535</v>
      </c>
      <c r="H253" s="24">
        <f>G253*F253</f>
        <v>0.57547950000000003</v>
      </c>
      <c r="I253" s="30">
        <v>3.7000000000000002E-3</v>
      </c>
      <c r="J253" s="43">
        <f>IF($E229&gt;0, $E229, $E228*$E231)</f>
        <v>155.535</v>
      </c>
      <c r="K253" s="24">
        <f>J253*I253</f>
        <v>0.57547950000000003</v>
      </c>
      <c r="L253" s="27">
        <f t="shared" si="28"/>
        <v>0</v>
      </c>
      <c r="M253" s="28">
        <f>IF(ISERROR(L253/H253), "", L253/H253)</f>
        <v>0</v>
      </c>
    </row>
    <row r="254" spans="1:13" ht="25.5" x14ac:dyDescent="0.2">
      <c r="A254" s="1" t="s">
        <v>9</v>
      </c>
      <c r="B254" s="7" t="s">
        <v>48</v>
      </c>
      <c r="C254" s="19">
        <v>6</v>
      </c>
      <c r="D254" s="49" t="s">
        <v>49</v>
      </c>
      <c r="E254" s="34"/>
      <c r="F254" s="51"/>
      <c r="G254" s="52"/>
      <c r="H254" s="53">
        <f>SUM(H251:H253)</f>
        <v>4.6841646499999987</v>
      </c>
      <c r="I254" s="54"/>
      <c r="J254" s="39"/>
      <c r="K254" s="53">
        <f>SUM(K251:K253)</f>
        <v>4.2936111499999994</v>
      </c>
      <c r="L254" s="40">
        <f t="shared" si="28"/>
        <v>-0.39055349999999933</v>
      </c>
      <c r="M254" s="41">
        <f>IF((H254)=0,"",(L254/H254))</f>
        <v>-8.3377406470970111E-2</v>
      </c>
    </row>
    <row r="255" spans="1:13" ht="25.5" x14ac:dyDescent="0.2">
      <c r="A255" s="1" t="s">
        <v>9</v>
      </c>
      <c r="C255" s="19"/>
      <c r="D255" s="58" t="s">
        <v>50</v>
      </c>
      <c r="E255" s="21"/>
      <c r="F255" s="29">
        <v>3.3999999999999998E-3</v>
      </c>
      <c r="G255" s="43">
        <f>E228*E230</f>
        <v>155.535</v>
      </c>
      <c r="H255" s="59">
        <f t="shared" ref="H255:H261" si="32">G255*F255</f>
        <v>0.52881899999999993</v>
      </c>
      <c r="I255" s="30">
        <v>3.4000000000000002E-3</v>
      </c>
      <c r="J255" s="43">
        <f>E228*E231</f>
        <v>155.535</v>
      </c>
      <c r="K255" s="59">
        <f t="shared" ref="K255:K261" si="33">J255*I255</f>
        <v>0.52881900000000004</v>
      </c>
      <c r="L255" s="27">
        <f t="shared" si="28"/>
        <v>0</v>
      </c>
      <c r="M255" s="28">
        <f t="shared" ref="M255:M263" si="34">IF(ISERROR(L255/H255), "", L255/H255)</f>
        <v>0</v>
      </c>
    </row>
    <row r="256" spans="1:13" ht="25.5" x14ac:dyDescent="0.2">
      <c r="A256" s="1" t="s">
        <v>9</v>
      </c>
      <c r="C256" s="19"/>
      <c r="D256" s="58" t="s">
        <v>51</v>
      </c>
      <c r="E256" s="21"/>
      <c r="F256" s="29">
        <f>'[7]17. Regulatory Charges'!$D$16</f>
        <v>5.0000000000000001E-4</v>
      </c>
      <c r="G256" s="43">
        <f>E228*E230</f>
        <v>155.535</v>
      </c>
      <c r="H256" s="59">
        <f t="shared" si="32"/>
        <v>7.7767500000000003E-2</v>
      </c>
      <c r="I256" s="30">
        <v>5.0000000000000001E-4</v>
      </c>
      <c r="J256" s="43">
        <f>E228*E231</f>
        <v>155.535</v>
      </c>
      <c r="K256" s="59">
        <f t="shared" si="33"/>
        <v>7.7767500000000003E-2</v>
      </c>
      <c r="L256" s="27">
        <f t="shared" si="28"/>
        <v>0</v>
      </c>
      <c r="M256" s="28">
        <f t="shared" si="34"/>
        <v>0</v>
      </c>
    </row>
    <row r="257" spans="1:13" x14ac:dyDescent="0.2">
      <c r="A257" s="1" t="s">
        <v>9</v>
      </c>
      <c r="C257" s="19"/>
      <c r="D257" s="60" t="s">
        <v>52</v>
      </c>
      <c r="E257" s="21"/>
      <c r="F257" s="47">
        <v>0.25</v>
      </c>
      <c r="G257" s="23">
        <v>1</v>
      </c>
      <c r="H257" s="59">
        <f t="shared" si="32"/>
        <v>0.25</v>
      </c>
      <c r="I257" s="48">
        <f>'[7]17. Regulatory Charges'!$D$17</f>
        <v>0.25</v>
      </c>
      <c r="J257" s="26">
        <v>1</v>
      </c>
      <c r="K257" s="59">
        <f t="shared" si="33"/>
        <v>0.25</v>
      </c>
      <c r="L257" s="27">
        <f t="shared" si="28"/>
        <v>0</v>
      </c>
      <c r="M257" s="28">
        <f t="shared" si="34"/>
        <v>0</v>
      </c>
    </row>
    <row r="258" spans="1:13" ht="25.5" hidden="1" x14ac:dyDescent="0.2">
      <c r="A258" s="1" t="s">
        <v>9</v>
      </c>
      <c r="C258" s="19"/>
      <c r="D258" s="58" t="s">
        <v>53</v>
      </c>
      <c r="E258" s="21"/>
      <c r="F258" s="29"/>
      <c r="G258" s="43"/>
      <c r="H258" s="59"/>
      <c r="I258" s="30"/>
      <c r="J258" s="43"/>
      <c r="K258" s="59"/>
      <c r="L258" s="27"/>
      <c r="M258" s="28"/>
    </row>
    <row r="259" spans="1:13" x14ac:dyDescent="0.2">
      <c r="A259" s="1" t="s">
        <v>9</v>
      </c>
      <c r="B259" s="7" t="s">
        <v>2</v>
      </c>
      <c r="C259" s="19"/>
      <c r="D259" s="61" t="s">
        <v>54</v>
      </c>
      <c r="E259" s="21"/>
      <c r="F259" s="62">
        <f>OffPeak</f>
        <v>6.5000000000000002E-2</v>
      </c>
      <c r="G259" s="63">
        <f>IF(AND(E228*12&gt;=150000),0.65*E228*E230,0.65*E228)</f>
        <v>97.5</v>
      </c>
      <c r="H259" s="59">
        <f t="shared" si="32"/>
        <v>6.3375000000000004</v>
      </c>
      <c r="I259" s="64">
        <f>OffPeak</f>
        <v>6.5000000000000002E-2</v>
      </c>
      <c r="J259" s="63">
        <f>IF(AND(E228*12&gt;=150000),0.65*E228*E231,0.65*E228)</f>
        <v>97.5</v>
      </c>
      <c r="K259" s="59">
        <f t="shared" si="33"/>
        <v>6.3375000000000004</v>
      </c>
      <c r="L259" s="27">
        <f>K259-H259</f>
        <v>0</v>
      </c>
      <c r="M259" s="28">
        <f t="shared" si="34"/>
        <v>0</v>
      </c>
    </row>
    <row r="260" spans="1:13" x14ac:dyDescent="0.2">
      <c r="A260" s="1" t="s">
        <v>9</v>
      </c>
      <c r="B260" s="7" t="s">
        <v>2</v>
      </c>
      <c r="C260" s="19"/>
      <c r="D260" s="61" t="s">
        <v>55</v>
      </c>
      <c r="E260" s="21"/>
      <c r="F260" s="62">
        <f>MidPeak</f>
        <v>9.4E-2</v>
      </c>
      <c r="G260" s="63">
        <f>IF(AND(E228*12&gt;=150000),0.17*E228*E230,0.17*E228)</f>
        <v>25.500000000000004</v>
      </c>
      <c r="H260" s="59">
        <f t="shared" si="32"/>
        <v>2.3970000000000002</v>
      </c>
      <c r="I260" s="64">
        <f>MidPeak</f>
        <v>9.4E-2</v>
      </c>
      <c r="J260" s="63">
        <f>IF(AND(E228*12&gt;=150000),0.17*E228*E231,0.17*E228)</f>
        <v>25.500000000000004</v>
      </c>
      <c r="K260" s="59">
        <f t="shared" si="33"/>
        <v>2.3970000000000002</v>
      </c>
      <c r="L260" s="27">
        <f>K260-H260</f>
        <v>0</v>
      </c>
      <c r="M260" s="28">
        <f t="shared" si="34"/>
        <v>0</v>
      </c>
    </row>
    <row r="261" spans="1:13" ht="13.5" thickBot="1" x14ac:dyDescent="0.25">
      <c r="A261" s="1" t="s">
        <v>9</v>
      </c>
      <c r="B261" s="7" t="s">
        <v>2</v>
      </c>
      <c r="C261" s="19"/>
      <c r="D261" s="7" t="s">
        <v>56</v>
      </c>
      <c r="E261" s="21"/>
      <c r="F261" s="62">
        <f>OnPeak</f>
        <v>0.13200000000000001</v>
      </c>
      <c r="G261" s="63">
        <f>IF(AND(E228*12&gt;=150000),0.18*E228*E230,0.18*E228)</f>
        <v>27</v>
      </c>
      <c r="H261" s="59">
        <f t="shared" si="32"/>
        <v>3.5640000000000001</v>
      </c>
      <c r="I261" s="64">
        <f>OnPeak</f>
        <v>0.13200000000000001</v>
      </c>
      <c r="J261" s="63">
        <f>IF(AND(E228*12&gt;=150000),0.18*E228*E231,0.18*E228)</f>
        <v>27</v>
      </c>
      <c r="K261" s="59">
        <f t="shared" si="33"/>
        <v>3.5640000000000001</v>
      </c>
      <c r="L261" s="27">
        <f>K261-H261</f>
        <v>0</v>
      </c>
      <c r="M261" s="28">
        <f t="shared" si="34"/>
        <v>0</v>
      </c>
    </row>
    <row r="262" spans="1:13" ht="13.5" hidden="1" thickBot="1" x14ac:dyDescent="0.25">
      <c r="A262" s="1" t="s">
        <v>9</v>
      </c>
      <c r="B262" s="1" t="s">
        <v>57</v>
      </c>
      <c r="C262" s="19"/>
      <c r="D262" s="61" t="s">
        <v>58</v>
      </c>
      <c r="E262" s="21"/>
      <c r="F262" s="65">
        <v>0.1101</v>
      </c>
      <c r="G262" s="63">
        <f>IF(AND(E228*12&gt;=150000),E228*E230,E228)</f>
        <v>150</v>
      </c>
      <c r="H262" s="59">
        <f>G262*F262</f>
        <v>16.515000000000001</v>
      </c>
      <c r="I262" s="66">
        <f>F262</f>
        <v>0.1101</v>
      </c>
      <c r="J262" s="63">
        <f>IF(AND(E228*12&gt;=150000),E228*E231,E228)</f>
        <v>150</v>
      </c>
      <c r="K262" s="59">
        <f>J262*I262</f>
        <v>16.515000000000001</v>
      </c>
      <c r="L262" s="27">
        <f>K262-H262</f>
        <v>0</v>
      </c>
      <c r="M262" s="28">
        <f t="shared" si="34"/>
        <v>0</v>
      </c>
    </row>
    <row r="263" spans="1:13" ht="13.5" hidden="1" thickBot="1" x14ac:dyDescent="0.25">
      <c r="A263" s="1" t="s">
        <v>9</v>
      </c>
      <c r="B263" s="1" t="s">
        <v>6</v>
      </c>
      <c r="C263" s="19"/>
      <c r="D263" s="61" t="s">
        <v>59</v>
      </c>
      <c r="E263" s="21"/>
      <c r="F263" s="65">
        <v>0.1101</v>
      </c>
      <c r="G263" s="63">
        <f>IF(AND(E228*12&gt;=150000),E228*E230,E228)</f>
        <v>150</v>
      </c>
      <c r="H263" s="59">
        <f>G263*F263</f>
        <v>16.515000000000001</v>
      </c>
      <c r="I263" s="66">
        <f>F263</f>
        <v>0.1101</v>
      </c>
      <c r="J263" s="63">
        <f>IF(AND(E228*12&gt;=150000),E228*E231,E228)</f>
        <v>150</v>
      </c>
      <c r="K263" s="59">
        <f>J263*I263</f>
        <v>16.515000000000001</v>
      </c>
      <c r="L263" s="27">
        <f>K263-H263</f>
        <v>0</v>
      </c>
      <c r="M263" s="28">
        <f t="shared" si="34"/>
        <v>0</v>
      </c>
    </row>
    <row r="264" spans="1:13" ht="13.5" thickBot="1" x14ac:dyDescent="0.25">
      <c r="A264" s="1" t="s">
        <v>9</v>
      </c>
      <c r="B264" s="7"/>
      <c r="C264" s="19"/>
      <c r="D264" s="67"/>
      <c r="E264" s="68"/>
      <c r="F264" s="69"/>
      <c r="G264" s="70"/>
      <c r="H264" s="71"/>
      <c r="I264" s="69"/>
      <c r="J264" s="72"/>
      <c r="K264" s="71"/>
      <c r="L264" s="73"/>
      <c r="M264" s="74"/>
    </row>
    <row r="265" spans="1:13" x14ac:dyDescent="0.2">
      <c r="A265" s="1" t="s">
        <v>9</v>
      </c>
      <c r="B265" s="7" t="s">
        <v>2</v>
      </c>
      <c r="C265" s="19"/>
      <c r="D265" s="75" t="s">
        <v>60</v>
      </c>
      <c r="E265" s="60"/>
      <c r="F265" s="76"/>
      <c r="G265" s="77"/>
      <c r="H265" s="78">
        <f>SUM(H255:H261,H254)</f>
        <v>17.839251149999999</v>
      </c>
      <c r="I265" s="79"/>
      <c r="J265" s="79"/>
      <c r="K265" s="78">
        <f>SUM(K255:K261,K254)</f>
        <v>17.44869765</v>
      </c>
      <c r="L265" s="80">
        <f>K265-H265</f>
        <v>-0.39055349999999933</v>
      </c>
      <c r="M265" s="81">
        <f>IF((H265)=0,"",(L265/H265))</f>
        <v>-2.1892931307265068E-2</v>
      </c>
    </row>
    <row r="266" spans="1:13" x14ac:dyDescent="0.2">
      <c r="A266" s="1" t="s">
        <v>9</v>
      </c>
      <c r="B266" s="7" t="s">
        <v>2</v>
      </c>
      <c r="C266" s="19"/>
      <c r="D266" s="82" t="s">
        <v>61</v>
      </c>
      <c r="E266" s="60"/>
      <c r="F266" s="76">
        <v>0.13</v>
      </c>
      <c r="G266" s="83"/>
      <c r="H266" s="84">
        <f>H265*F266</f>
        <v>2.3191026495</v>
      </c>
      <c r="I266" s="85">
        <v>0.13</v>
      </c>
      <c r="J266" s="23"/>
      <c r="K266" s="84">
        <f>K265*I266</f>
        <v>2.2683306944999999</v>
      </c>
      <c r="L266" s="86">
        <f>K266-H266</f>
        <v>-5.0771955000000091E-2</v>
      </c>
      <c r="M266" s="87">
        <f>IF((H266)=0,"",(L266/H266))</f>
        <v>-2.1892931307265141E-2</v>
      </c>
    </row>
    <row r="267" spans="1:13" hidden="1" x14ac:dyDescent="0.2">
      <c r="A267" s="1" t="s">
        <v>9</v>
      </c>
      <c r="B267" s="7" t="s">
        <v>2</v>
      </c>
      <c r="C267" s="19"/>
      <c r="D267" s="82" t="s">
        <v>62</v>
      </c>
      <c r="E267" s="60"/>
      <c r="F267" s="76">
        <v>0.08</v>
      </c>
      <c r="G267" s="83"/>
      <c r="H267" s="84">
        <v>0</v>
      </c>
      <c r="I267" s="76">
        <v>0.08</v>
      </c>
      <c r="J267" s="23"/>
      <c r="K267" s="84">
        <v>0</v>
      </c>
      <c r="L267" s="86">
        <f>K267-H267</f>
        <v>0</v>
      </c>
      <c r="M267" s="87"/>
    </row>
    <row r="268" spans="1:13" ht="13.5" thickBot="1" x14ac:dyDescent="0.25">
      <c r="A268" s="1" t="s">
        <v>9</v>
      </c>
      <c r="B268" s="7" t="s">
        <v>63</v>
      </c>
      <c r="C268" s="19">
        <v>6</v>
      </c>
      <c r="D268" s="110" t="s">
        <v>64</v>
      </c>
      <c r="E268" s="110"/>
      <c r="F268" s="88"/>
      <c r="G268" s="89"/>
      <c r="H268" s="90">
        <f>H265+H266+H267</f>
        <v>20.158353799499999</v>
      </c>
      <c r="I268" s="91"/>
      <c r="J268" s="91"/>
      <c r="K268" s="92">
        <f>K265+K266+K267</f>
        <v>19.717028344500001</v>
      </c>
      <c r="L268" s="93">
        <f>K268-H268</f>
        <v>-0.44132545499999765</v>
      </c>
      <c r="M268" s="94">
        <f>IF((H268)=0,"",(L268/H268))</f>
        <v>-2.1892931307264989E-2</v>
      </c>
    </row>
    <row r="269" spans="1:13" ht="13.5" thickBot="1" x14ac:dyDescent="0.25">
      <c r="A269" s="1" t="s">
        <v>9</v>
      </c>
      <c r="B269" s="1" t="s">
        <v>2</v>
      </c>
      <c r="C269" s="19"/>
      <c r="D269" s="67"/>
      <c r="E269" s="68"/>
      <c r="F269" s="69"/>
      <c r="G269" s="70"/>
      <c r="H269" s="71"/>
      <c r="I269" s="69"/>
      <c r="J269" s="72"/>
      <c r="K269" s="71"/>
      <c r="L269" s="73"/>
      <c r="M269" s="74"/>
    </row>
    <row r="270" spans="1:13" hidden="1" x14ac:dyDescent="0.2">
      <c r="A270" s="1" t="s">
        <v>9</v>
      </c>
      <c r="B270" s="1" t="s">
        <v>57</v>
      </c>
      <c r="C270" s="19"/>
      <c r="D270" s="75" t="s">
        <v>65</v>
      </c>
      <c r="E270" s="60"/>
      <c r="F270" s="76"/>
      <c r="G270" s="77"/>
      <c r="H270" s="78">
        <v>22.086858150000001</v>
      </c>
      <c r="I270" s="79"/>
      <c r="J270" s="79"/>
      <c r="K270" s="78">
        <v>21.66519765</v>
      </c>
      <c r="L270" s="80">
        <v>-0.42166050000000155</v>
      </c>
      <c r="M270" s="81">
        <v>-1.9091013177897444E-2</v>
      </c>
    </row>
    <row r="271" spans="1:13" hidden="1" x14ac:dyDescent="0.2">
      <c r="A271" s="1" t="s">
        <v>9</v>
      </c>
      <c r="B271" s="1" t="s">
        <v>57</v>
      </c>
      <c r="C271" s="19"/>
      <c r="D271" s="82" t="s">
        <v>61</v>
      </c>
      <c r="E271" s="60"/>
      <c r="F271" s="76">
        <v>0.13</v>
      </c>
      <c r="G271" s="77"/>
      <c r="H271" s="84">
        <v>2.8712915595000004</v>
      </c>
      <c r="I271" s="76">
        <v>0.13</v>
      </c>
      <c r="J271" s="85"/>
      <c r="K271" s="84">
        <v>2.8164756945000002</v>
      </c>
      <c r="L271" s="86">
        <v>-5.481586500000013E-2</v>
      </c>
      <c r="M271" s="87">
        <v>-1.9091013177897416E-2</v>
      </c>
    </row>
    <row r="272" spans="1:13" hidden="1" x14ac:dyDescent="0.2">
      <c r="A272" s="1" t="s">
        <v>9</v>
      </c>
      <c r="B272" s="1" t="s">
        <v>57</v>
      </c>
      <c r="C272" s="19"/>
      <c r="D272" s="82" t="s">
        <v>62</v>
      </c>
      <c r="E272" s="60"/>
      <c r="F272" s="76">
        <v>0.08</v>
      </c>
      <c r="G272" s="77"/>
      <c r="H272" s="84">
        <v>0</v>
      </c>
      <c r="I272" s="76">
        <v>0.08</v>
      </c>
      <c r="J272" s="85"/>
      <c r="K272" s="84">
        <v>0</v>
      </c>
      <c r="L272" s="86"/>
      <c r="M272" s="87"/>
    </row>
    <row r="273" spans="1:20" hidden="1" x14ac:dyDescent="0.2">
      <c r="A273" s="1" t="s">
        <v>9</v>
      </c>
      <c r="B273" s="1" t="s">
        <v>66</v>
      </c>
      <c r="C273" s="19"/>
      <c r="D273" s="110" t="s">
        <v>65</v>
      </c>
      <c r="E273" s="110"/>
      <c r="F273" s="95"/>
      <c r="G273" s="96"/>
      <c r="H273" s="90">
        <v>24.958149709500002</v>
      </c>
      <c r="I273" s="97"/>
      <c r="J273" s="97"/>
      <c r="K273" s="90">
        <v>24.481673344499999</v>
      </c>
      <c r="L273" s="98">
        <v>-0.47647636500000345</v>
      </c>
      <c r="M273" s="99">
        <v>-1.909101317789751E-2</v>
      </c>
    </row>
    <row r="274" spans="1:20" ht="13.5" hidden="1" thickBot="1" x14ac:dyDescent="0.25">
      <c r="A274" s="1" t="s">
        <v>9</v>
      </c>
      <c r="B274" s="1" t="s">
        <v>57</v>
      </c>
      <c r="C274" s="19"/>
      <c r="D274" s="67"/>
      <c r="E274" s="68"/>
      <c r="F274" s="100"/>
      <c r="G274" s="101"/>
      <c r="H274" s="102"/>
      <c r="I274" s="100"/>
      <c r="J274" s="70"/>
      <c r="K274" s="102"/>
      <c r="L274" s="103"/>
      <c r="M274" s="74"/>
    </row>
    <row r="275" spans="1:20" hidden="1" x14ac:dyDescent="0.2">
      <c r="A275" s="1" t="s">
        <v>9</v>
      </c>
      <c r="B275" s="1" t="s">
        <v>6</v>
      </c>
      <c r="C275" s="19"/>
      <c r="D275" s="75" t="s">
        <v>67</v>
      </c>
      <c r="E275" s="60"/>
      <c r="F275" s="76"/>
      <c r="G275" s="77"/>
      <c r="H275" s="78">
        <v>22.086858150000001</v>
      </c>
      <c r="I275" s="79"/>
      <c r="J275" s="79"/>
      <c r="K275" s="78">
        <v>21.66519765</v>
      </c>
      <c r="L275" s="80">
        <v>-0.42166050000000155</v>
      </c>
      <c r="M275" s="81">
        <v>-1.9091013177897444E-2</v>
      </c>
    </row>
    <row r="276" spans="1:20" hidden="1" x14ac:dyDescent="0.2">
      <c r="A276" s="1" t="s">
        <v>9</v>
      </c>
      <c r="B276" s="1" t="s">
        <v>6</v>
      </c>
      <c r="C276" s="19"/>
      <c r="D276" s="82" t="s">
        <v>61</v>
      </c>
      <c r="E276" s="60"/>
      <c r="F276" s="76">
        <v>0.13</v>
      </c>
      <c r="G276" s="77"/>
      <c r="H276" s="84">
        <v>2.8712915595000004</v>
      </c>
      <c r="I276" s="76">
        <v>0.13</v>
      </c>
      <c r="J276" s="85"/>
      <c r="K276" s="84">
        <v>2.8164756945000002</v>
      </c>
      <c r="L276" s="86">
        <v>-5.481586500000013E-2</v>
      </c>
      <c r="M276" s="87">
        <v>-1.9091013177897416E-2</v>
      </c>
    </row>
    <row r="277" spans="1:20" hidden="1" x14ac:dyDescent="0.2">
      <c r="A277" s="1" t="s">
        <v>9</v>
      </c>
      <c r="B277" s="1" t="s">
        <v>6</v>
      </c>
      <c r="C277" s="19"/>
      <c r="D277" s="82" t="s">
        <v>62</v>
      </c>
      <c r="E277" s="60"/>
      <c r="F277" s="76">
        <v>0.08</v>
      </c>
      <c r="G277" s="77"/>
      <c r="H277" s="84">
        <v>0</v>
      </c>
      <c r="I277" s="76">
        <v>0.08</v>
      </c>
      <c r="J277" s="85"/>
      <c r="K277" s="84">
        <v>0</v>
      </c>
      <c r="L277" s="86"/>
      <c r="M277" s="87"/>
    </row>
    <row r="278" spans="1:20" hidden="1" x14ac:dyDescent="0.2">
      <c r="A278" s="1" t="s">
        <v>9</v>
      </c>
      <c r="B278" s="1" t="s">
        <v>68</v>
      </c>
      <c r="C278" s="19"/>
      <c r="D278" s="110" t="s">
        <v>67</v>
      </c>
      <c r="E278" s="110"/>
      <c r="F278" s="95"/>
      <c r="G278" s="96"/>
      <c r="H278" s="90">
        <v>24.958149709500002</v>
      </c>
      <c r="I278" s="97"/>
      <c r="J278" s="97"/>
      <c r="K278" s="90">
        <v>24.481673344499999</v>
      </c>
      <c r="L278" s="98">
        <v>-0.47647636500000345</v>
      </c>
      <c r="M278" s="99">
        <v>-1.909101317789751E-2</v>
      </c>
    </row>
    <row r="279" spans="1:20" ht="13.5" hidden="1" thickBot="1" x14ac:dyDescent="0.25">
      <c r="A279" s="1" t="s">
        <v>9</v>
      </c>
      <c r="B279" s="1" t="s">
        <v>6</v>
      </c>
      <c r="C279" s="19"/>
      <c r="D279" s="67"/>
      <c r="E279" s="68"/>
      <c r="F279" s="104"/>
      <c r="G279" s="105"/>
      <c r="H279" s="106"/>
      <c r="I279" s="104"/>
      <c r="J279" s="107"/>
      <c r="K279" s="106"/>
      <c r="L279" s="108"/>
      <c r="M279" s="109"/>
    </row>
    <row r="282" spans="1:20" x14ac:dyDescent="0.2">
      <c r="C282" s="1"/>
      <c r="D282" s="3" t="s">
        <v>13</v>
      </c>
      <c r="E282" s="111" t="s">
        <v>10</v>
      </c>
      <c r="F282" s="111"/>
      <c r="G282" s="111"/>
      <c r="H282" s="111"/>
      <c r="I282" s="111"/>
      <c r="J282" s="111"/>
      <c r="K282" s="1" t="s">
        <v>8</v>
      </c>
      <c r="T282" s="1" t="s">
        <v>12</v>
      </c>
    </row>
    <row r="283" spans="1:20" x14ac:dyDescent="0.2">
      <c r="C283" s="1"/>
      <c r="D283" s="3" t="s">
        <v>14</v>
      </c>
      <c r="E283" s="112" t="s">
        <v>2</v>
      </c>
      <c r="F283" s="112"/>
      <c r="G283" s="112"/>
      <c r="H283" s="4"/>
      <c r="I283" s="4"/>
    </row>
    <row r="284" spans="1:20" ht="15.75" x14ac:dyDescent="0.2">
      <c r="C284" s="1"/>
      <c r="D284" s="3" t="s">
        <v>15</v>
      </c>
      <c r="E284" s="5">
        <v>180</v>
      </c>
      <c r="F284" s="6" t="s">
        <v>1</v>
      </c>
      <c r="G284" s="7"/>
      <c r="J284" s="8"/>
      <c r="K284" s="8"/>
      <c r="L284" s="8"/>
      <c r="M284" s="8"/>
    </row>
    <row r="285" spans="1:20" ht="15.75" x14ac:dyDescent="0.25">
      <c r="C285" s="1"/>
      <c r="D285" s="3" t="s">
        <v>16</v>
      </c>
      <c r="E285" s="5">
        <v>1</v>
      </c>
      <c r="F285" s="9" t="s">
        <v>5</v>
      </c>
      <c r="G285" s="10"/>
      <c r="H285" s="11"/>
      <c r="I285" s="11"/>
      <c r="J285" s="11"/>
    </row>
    <row r="286" spans="1:20" x14ac:dyDescent="0.2">
      <c r="C286" s="1"/>
      <c r="D286" s="3" t="s">
        <v>17</v>
      </c>
      <c r="E286" s="12">
        <v>1.0368999999999999</v>
      </c>
    </row>
    <row r="287" spans="1:20" x14ac:dyDescent="0.2">
      <c r="C287" s="1"/>
      <c r="D287" s="3" t="s">
        <v>18</v>
      </c>
      <c r="E287" s="12">
        <v>1.0368999999999999</v>
      </c>
    </row>
    <row r="288" spans="1:20" x14ac:dyDescent="0.2">
      <c r="C288" s="1"/>
      <c r="D288" s="7"/>
    </row>
    <row r="289" spans="1:13" x14ac:dyDescent="0.2">
      <c r="C289" s="1"/>
      <c r="D289" s="7"/>
      <c r="E289" s="13"/>
      <c r="F289" s="113" t="s">
        <v>19</v>
      </c>
      <c r="G289" s="121"/>
      <c r="H289" s="114"/>
      <c r="I289" s="113" t="s">
        <v>20</v>
      </c>
      <c r="J289" s="121"/>
      <c r="K289" s="114"/>
      <c r="L289" s="113" t="s">
        <v>21</v>
      </c>
      <c r="M289" s="114"/>
    </row>
    <row r="290" spans="1:13" x14ac:dyDescent="0.2">
      <c r="C290" s="1"/>
      <c r="D290" s="7"/>
      <c r="E290" s="115"/>
      <c r="F290" s="14" t="s">
        <v>22</v>
      </c>
      <c r="G290" s="14" t="s">
        <v>23</v>
      </c>
      <c r="H290" s="15" t="s">
        <v>24</v>
      </c>
      <c r="I290" s="14" t="s">
        <v>22</v>
      </c>
      <c r="J290" s="16" t="s">
        <v>23</v>
      </c>
      <c r="K290" s="15" t="s">
        <v>24</v>
      </c>
      <c r="L290" s="117" t="s">
        <v>25</v>
      </c>
      <c r="M290" s="119" t="s">
        <v>26</v>
      </c>
    </row>
    <row r="291" spans="1:13" x14ac:dyDescent="0.2">
      <c r="C291" s="1"/>
      <c r="D291" s="7"/>
      <c r="E291" s="116"/>
      <c r="F291" s="17" t="s">
        <v>27</v>
      </c>
      <c r="G291" s="17"/>
      <c r="H291" s="18" t="s">
        <v>27</v>
      </c>
      <c r="I291" s="17" t="s">
        <v>27</v>
      </c>
      <c r="J291" s="18"/>
      <c r="K291" s="18" t="s">
        <v>27</v>
      </c>
      <c r="L291" s="118"/>
      <c r="M291" s="120"/>
    </row>
    <row r="292" spans="1:13" x14ac:dyDescent="0.2">
      <c r="A292" s="1" t="s">
        <v>10</v>
      </c>
      <c r="C292" s="19"/>
      <c r="D292" s="20" t="s">
        <v>28</v>
      </c>
      <c r="E292" s="21"/>
      <c r="F292" s="22">
        <v>4.2300000000000004</v>
      </c>
      <c r="G292" s="23"/>
      <c r="H292" s="24">
        <f>G292*F292</f>
        <v>0</v>
      </c>
      <c r="I292" s="25">
        <v>4.28</v>
      </c>
      <c r="J292" s="26">
        <f>G292</f>
        <v>0</v>
      </c>
      <c r="K292" s="24">
        <f>J292*I292</f>
        <v>0</v>
      </c>
      <c r="L292" s="27">
        <f t="shared" ref="L292:L313" si="35">K292-H292</f>
        <v>0</v>
      </c>
      <c r="M292" s="28" t="str">
        <f>IF(ISERROR(L292/H292), "", L292/H292)</f>
        <v/>
      </c>
    </row>
    <row r="293" spans="1:13" x14ac:dyDescent="0.2">
      <c r="A293" s="1" t="s">
        <v>10</v>
      </c>
      <c r="C293" s="19"/>
      <c r="D293" s="20" t="s">
        <v>29</v>
      </c>
      <c r="E293" s="21"/>
      <c r="F293" s="29">
        <v>9.9581999999999997</v>
      </c>
      <c r="G293" s="23">
        <f>IF($E285&gt;0, $E285, $E284)</f>
        <v>1</v>
      </c>
      <c r="H293" s="24">
        <f t="shared" ref="H293:H305" si="36">G293*F293</f>
        <v>9.9581999999999997</v>
      </c>
      <c r="I293" s="30">
        <v>10.0777</v>
      </c>
      <c r="J293" s="26">
        <f>IF($E285&gt;0, $E285, $E284)</f>
        <v>1</v>
      </c>
      <c r="K293" s="24">
        <f>J293*I293</f>
        <v>10.0777</v>
      </c>
      <c r="L293" s="27">
        <f t="shared" si="35"/>
        <v>0.11950000000000038</v>
      </c>
      <c r="M293" s="28">
        <f t="shared" ref="M293:M303" si="37">IF(ISERROR(L293/H293), "", L293/H293)</f>
        <v>1.2000160671607358E-2</v>
      </c>
    </row>
    <row r="294" spans="1:13" hidden="1" x14ac:dyDescent="0.2">
      <c r="A294" s="1" t="s">
        <v>10</v>
      </c>
      <c r="C294" s="19"/>
      <c r="D294" s="20" t="s">
        <v>30</v>
      </c>
      <c r="E294" s="21"/>
      <c r="F294" s="29"/>
      <c r="G294" s="23"/>
      <c r="H294" s="24">
        <v>0</v>
      </c>
      <c r="I294" s="30"/>
      <c r="J294" s="26">
        <f>IF($E285&gt;0, $E285, $E284)</f>
        <v>1</v>
      </c>
      <c r="K294" s="24">
        <v>0</v>
      </c>
      <c r="L294" s="27"/>
      <c r="M294" s="28"/>
    </row>
    <row r="295" spans="1:13" hidden="1" x14ac:dyDescent="0.2">
      <c r="A295" s="1" t="s">
        <v>10</v>
      </c>
      <c r="C295" s="19"/>
      <c r="D295" s="20" t="s">
        <v>31</v>
      </c>
      <c r="E295" s="21"/>
      <c r="F295" s="29"/>
      <c r="G295" s="23">
        <f>IF($E285&gt;0, $E285, $E284)</f>
        <v>1</v>
      </c>
      <c r="H295" s="24">
        <v>0</v>
      </c>
      <c r="I295" s="30"/>
      <c r="J295" s="23">
        <f>IF($E285&gt;0, $E285, $E284)</f>
        <v>1</v>
      </c>
      <c r="K295" s="24">
        <v>0</v>
      </c>
      <c r="L295" s="27">
        <f>K295-H295</f>
        <v>0</v>
      </c>
      <c r="M295" s="28" t="str">
        <f>IF(ISERROR(L295/H295), "", L295/H295)</f>
        <v/>
      </c>
    </row>
    <row r="296" spans="1:13" x14ac:dyDescent="0.2">
      <c r="A296" s="1" t="s">
        <v>10</v>
      </c>
      <c r="C296" s="19"/>
      <c r="D296" s="31" t="s">
        <v>32</v>
      </c>
      <c r="E296" s="21"/>
      <c r="F296" s="22">
        <v>0.06</v>
      </c>
      <c r="G296" s="23">
        <v>1</v>
      </c>
      <c r="H296" s="24">
        <f t="shared" si="36"/>
        <v>0.06</v>
      </c>
      <c r="I296" s="25">
        <v>0.03</v>
      </c>
      <c r="J296" s="26">
        <f>G296</f>
        <v>1</v>
      </c>
      <c r="K296" s="24">
        <f t="shared" ref="K296:K303" si="38">J296*I296</f>
        <v>0.03</v>
      </c>
      <c r="L296" s="27">
        <f t="shared" si="35"/>
        <v>-0.03</v>
      </c>
      <c r="M296" s="28">
        <f t="shared" si="37"/>
        <v>-0.5</v>
      </c>
    </row>
    <row r="297" spans="1:13" x14ac:dyDescent="0.2">
      <c r="A297" s="1" t="s">
        <v>10</v>
      </c>
      <c r="C297" s="19"/>
      <c r="D297" s="20" t="s">
        <v>33</v>
      </c>
      <c r="E297" s="21"/>
      <c r="F297" s="29">
        <v>-0.34539999999999998</v>
      </c>
      <c r="G297" s="23">
        <f>IF($E285&gt;0, $E285, $E284)</f>
        <v>1</v>
      </c>
      <c r="H297" s="24">
        <f t="shared" si="36"/>
        <v>-0.34539999999999998</v>
      </c>
      <c r="I297" s="30">
        <v>-0.58330000000000004</v>
      </c>
      <c r="J297" s="26">
        <f>IF($E285&gt;0, $E285, $E284)</f>
        <v>1</v>
      </c>
      <c r="K297" s="24">
        <f t="shared" si="38"/>
        <v>-0.58330000000000004</v>
      </c>
      <c r="L297" s="27">
        <f t="shared" si="35"/>
        <v>-0.23790000000000006</v>
      </c>
      <c r="M297" s="28">
        <f t="shared" si="37"/>
        <v>0.68876664736537363</v>
      </c>
    </row>
    <row r="298" spans="1:13" x14ac:dyDescent="0.2">
      <c r="A298" s="1" t="s">
        <v>10</v>
      </c>
      <c r="B298" s="32" t="s">
        <v>34</v>
      </c>
      <c r="C298" s="19">
        <v>7</v>
      </c>
      <c r="D298" s="33" t="s">
        <v>35</v>
      </c>
      <c r="E298" s="34"/>
      <c r="F298" s="35"/>
      <c r="G298" s="36"/>
      <c r="H298" s="37">
        <f>SUM(H292:H297)</f>
        <v>9.6728000000000005</v>
      </c>
      <c r="I298" s="38"/>
      <c r="J298" s="39"/>
      <c r="K298" s="37">
        <f>SUM(K292:K297)</f>
        <v>9.5244</v>
      </c>
      <c r="L298" s="40">
        <f t="shared" si="35"/>
        <v>-0.14840000000000053</v>
      </c>
      <c r="M298" s="41">
        <f>IF((H298)=0,"",(L298/H298))</f>
        <v>-1.5341989909850357E-2</v>
      </c>
    </row>
    <row r="299" spans="1:13" x14ac:dyDescent="0.2">
      <c r="A299" s="1" t="s">
        <v>10</v>
      </c>
      <c r="C299" s="19"/>
      <c r="D299" s="42" t="s">
        <v>36</v>
      </c>
      <c r="E299" s="21"/>
      <c r="F299" s="29">
        <f>IF((E284*12&gt;=150000), 0, IF(E283="RPP",(F315*0.65+F316*0.17+F317*0.18),IF(E283="Non-RPP (Retailer)",F318,F319)))</f>
        <v>8.1990000000000007E-2</v>
      </c>
      <c r="G299" s="43">
        <f>IF(F299=0, 0, $E284*E286-E284)</f>
        <v>6.6419999999999959</v>
      </c>
      <c r="H299" s="24">
        <f>G299*F299</f>
        <v>0.54457757999999967</v>
      </c>
      <c r="I299" s="30">
        <f>IF((E284*12&gt;=150000), 0, IF(E283="RPP",(I315*0.65+I316*0.17+I317*0.18),IF(E283="Non-RPP (Retailer)",I318,I319)))</f>
        <v>8.1990000000000007E-2</v>
      </c>
      <c r="J299" s="43">
        <f>IF(I299=0, 0, E284*E287-E284)</f>
        <v>6.6419999999999959</v>
      </c>
      <c r="K299" s="24">
        <f>J299*I299</f>
        <v>0.54457757999999967</v>
      </c>
      <c r="L299" s="27">
        <f>K299-H299</f>
        <v>0</v>
      </c>
      <c r="M299" s="28">
        <f>IF(ISERROR(L299/H299), "", L299/H299)</f>
        <v>0</v>
      </c>
    </row>
    <row r="300" spans="1:13" ht="25.5" x14ac:dyDescent="0.2">
      <c r="A300" s="1" t="s">
        <v>10</v>
      </c>
      <c r="C300" s="19"/>
      <c r="D300" s="42" t="s">
        <v>37</v>
      </c>
      <c r="E300" s="21"/>
      <c r="F300" s="29">
        <v>-1.0740000000000001</v>
      </c>
      <c r="G300" s="44">
        <f>IF($E285&gt;0, $E285, $E284)</f>
        <v>1</v>
      </c>
      <c r="H300" s="24">
        <f t="shared" si="36"/>
        <v>-1.0740000000000001</v>
      </c>
      <c r="I300" s="30">
        <v>-1.8203</v>
      </c>
      <c r="J300" s="44">
        <f>IF($E285&gt;0, $E285, $E284)</f>
        <v>1</v>
      </c>
      <c r="K300" s="24">
        <f t="shared" si="38"/>
        <v>-1.8203</v>
      </c>
      <c r="L300" s="27">
        <f t="shared" si="35"/>
        <v>-0.74629999999999996</v>
      </c>
      <c r="M300" s="28">
        <f t="shared" si="37"/>
        <v>0.69487895716945991</v>
      </c>
    </row>
    <row r="301" spans="1:13" x14ac:dyDescent="0.2">
      <c r="A301" s="1" t="s">
        <v>10</v>
      </c>
      <c r="C301" s="19"/>
      <c r="D301" s="42" t="s">
        <v>38</v>
      </c>
      <c r="E301" s="21"/>
      <c r="F301" s="29">
        <v>8.9499999999999996E-2</v>
      </c>
      <c r="G301" s="44">
        <f>IF($E285&gt;0, $E285, $E284)</f>
        <v>1</v>
      </c>
      <c r="H301" s="24">
        <f>G301*F301</f>
        <v>8.9499999999999996E-2</v>
      </c>
      <c r="I301" s="30">
        <v>8.9499999999999996E-2</v>
      </c>
      <c r="J301" s="44">
        <f>IF($E285&gt;0, $E285, $E284)</f>
        <v>1</v>
      </c>
      <c r="K301" s="24">
        <f>J301*I301</f>
        <v>8.9499999999999996E-2</v>
      </c>
      <c r="L301" s="27">
        <f t="shared" si="35"/>
        <v>0</v>
      </c>
      <c r="M301" s="28">
        <f t="shared" si="37"/>
        <v>0</v>
      </c>
    </row>
    <row r="302" spans="1:13" x14ac:dyDescent="0.2">
      <c r="A302" s="1" t="s">
        <v>10</v>
      </c>
      <c r="C302" s="19"/>
      <c r="D302" s="42" t="s">
        <v>39</v>
      </c>
      <c r="E302" s="21"/>
      <c r="F302" s="29">
        <v>0</v>
      </c>
      <c r="G302" s="44">
        <f>E284</f>
        <v>180</v>
      </c>
      <c r="H302" s="24">
        <f>G302*F302</f>
        <v>0</v>
      </c>
      <c r="I302" s="30">
        <v>0</v>
      </c>
      <c r="J302" s="44">
        <f>E284</f>
        <v>180</v>
      </c>
      <c r="K302" s="24">
        <f t="shared" si="38"/>
        <v>0</v>
      </c>
      <c r="L302" s="27">
        <f t="shared" si="35"/>
        <v>0</v>
      </c>
      <c r="M302" s="28" t="str">
        <f t="shared" si="37"/>
        <v/>
      </c>
    </row>
    <row r="303" spans="1:13" x14ac:dyDescent="0.2">
      <c r="A303" s="1" t="s">
        <v>10</v>
      </c>
      <c r="C303" s="19"/>
      <c r="D303" s="45" t="s">
        <v>40</v>
      </c>
      <c r="E303" s="21"/>
      <c r="F303" s="29">
        <v>0.11700000000000001</v>
      </c>
      <c r="G303" s="44">
        <f>IF($E285&gt;0, $E285, $E284)</f>
        <v>1</v>
      </c>
      <c r="H303" s="24">
        <f t="shared" si="36"/>
        <v>0.11700000000000001</v>
      </c>
      <c r="I303" s="30">
        <v>0.11700000000000001</v>
      </c>
      <c r="J303" s="44">
        <f>IF($E285&gt;0, $E285, $E284)</f>
        <v>1</v>
      </c>
      <c r="K303" s="24">
        <f t="shared" si="38"/>
        <v>0.11700000000000001</v>
      </c>
      <c r="L303" s="27">
        <f t="shared" si="35"/>
        <v>0</v>
      </c>
      <c r="M303" s="28">
        <f t="shared" si="37"/>
        <v>0</v>
      </c>
    </row>
    <row r="304" spans="1:13" ht="25.5" x14ac:dyDescent="0.2">
      <c r="A304" s="1" t="s">
        <v>10</v>
      </c>
      <c r="C304" s="19"/>
      <c r="D304" s="46" t="s">
        <v>41</v>
      </c>
      <c r="E304" s="21"/>
      <c r="F304" s="47">
        <f>IF(OR(ISNUMBER(SEARCH("RESIDENTIAL", E282))=TRUE, ISNUMBER(SEARCH("GENERAL SERVICE LESS THAN 50", E282))=TRUE), SME, 0)</f>
        <v>0</v>
      </c>
      <c r="G304" s="23">
        <v>1</v>
      </c>
      <c r="H304" s="24">
        <f>G304*F304</f>
        <v>0</v>
      </c>
      <c r="I304" s="48">
        <f>IF(OR(ISNUMBER(SEARCH("RESIDENTIAL", E282))=TRUE, ISNUMBER(SEARCH("GENERAL SERVICE LESS THAN 50", E282))=TRUE), SME, 0)</f>
        <v>0</v>
      </c>
      <c r="J304" s="23">
        <v>1</v>
      </c>
      <c r="K304" s="24">
        <f>J304*I304</f>
        <v>0</v>
      </c>
      <c r="L304" s="27">
        <f t="shared" si="35"/>
        <v>0</v>
      </c>
      <c r="M304" s="28" t="str">
        <f>IF(ISERROR(L304/H304), "", L304/H304)</f>
        <v/>
      </c>
    </row>
    <row r="305" spans="1:13" x14ac:dyDescent="0.2">
      <c r="A305" s="1" t="s">
        <v>10</v>
      </c>
      <c r="C305" s="19"/>
      <c r="D305" s="45" t="s">
        <v>42</v>
      </c>
      <c r="E305" s="21"/>
      <c r="F305" s="22">
        <v>0</v>
      </c>
      <c r="G305" s="23">
        <v>1</v>
      </c>
      <c r="H305" s="24">
        <f t="shared" si="36"/>
        <v>0</v>
      </c>
      <c r="I305" s="25">
        <v>0</v>
      </c>
      <c r="J305" s="23">
        <v>1</v>
      </c>
      <c r="K305" s="24">
        <f>J305*I305</f>
        <v>0</v>
      </c>
      <c r="L305" s="27">
        <f>K305-H305</f>
        <v>0</v>
      </c>
      <c r="M305" s="28" t="str">
        <f>IF(ISERROR(L305/H305), "", L305/H305)</f>
        <v/>
      </c>
    </row>
    <row r="306" spans="1:13" x14ac:dyDescent="0.2">
      <c r="A306" s="1" t="s">
        <v>10</v>
      </c>
      <c r="C306" s="19"/>
      <c r="D306" s="45" t="s">
        <v>43</v>
      </c>
      <c r="E306" s="21"/>
      <c r="F306" s="29"/>
      <c r="G306" s="44">
        <f>IF($E285&gt;0, $E285, $E284)</f>
        <v>1</v>
      </c>
      <c r="H306" s="24">
        <f>G306*F306</f>
        <v>0</v>
      </c>
      <c r="I306" s="30">
        <v>0</v>
      </c>
      <c r="J306" s="44">
        <f>IF($E285&gt;0, $E285, $E284)</f>
        <v>1</v>
      </c>
      <c r="K306" s="24">
        <f>J306*I306</f>
        <v>0</v>
      </c>
      <c r="L306" s="27">
        <f t="shared" si="35"/>
        <v>0</v>
      </c>
      <c r="M306" s="28" t="str">
        <f>IF(ISERROR(L306/H306), "", L306/H306)</f>
        <v/>
      </c>
    </row>
    <row r="307" spans="1:13" ht="25.5" x14ac:dyDescent="0.2">
      <c r="A307" s="1" t="s">
        <v>10</v>
      </c>
      <c r="B307" s="7" t="s">
        <v>44</v>
      </c>
      <c r="C307" s="19">
        <v>7</v>
      </c>
      <c r="D307" s="49" t="s">
        <v>45</v>
      </c>
      <c r="E307" s="50"/>
      <c r="F307" s="51"/>
      <c r="G307" s="52"/>
      <c r="H307" s="53">
        <f>SUM(H298:H306)</f>
        <v>9.3498775800000011</v>
      </c>
      <c r="I307" s="54"/>
      <c r="J307" s="55"/>
      <c r="K307" s="53">
        <f>SUM(K298:K306)</f>
        <v>8.4551775800000009</v>
      </c>
      <c r="L307" s="40">
        <f t="shared" si="35"/>
        <v>-0.89470000000000027</v>
      </c>
      <c r="M307" s="41">
        <f>IF((H307)=0,"",(L307/H307))</f>
        <v>-9.5691092460271562E-2</v>
      </c>
    </row>
    <row r="308" spans="1:13" x14ac:dyDescent="0.2">
      <c r="A308" s="1" t="s">
        <v>10</v>
      </c>
      <c r="C308" s="19"/>
      <c r="D308" s="56" t="s">
        <v>46</v>
      </c>
      <c r="E308" s="21"/>
      <c r="F308" s="29">
        <v>2.0777999999999999</v>
      </c>
      <c r="G308" s="43">
        <f>IF($E285&gt;0, $E285, $E284*$E286)</f>
        <v>1</v>
      </c>
      <c r="H308" s="24">
        <f>G308*F308</f>
        <v>2.0777999999999999</v>
      </c>
      <c r="I308" s="30">
        <v>2.0304000000000002</v>
      </c>
      <c r="J308" s="43">
        <f>IF($E285&gt;0, $E285, $E284*$E287)</f>
        <v>1</v>
      </c>
      <c r="K308" s="24">
        <f>J308*I308</f>
        <v>2.0304000000000002</v>
      </c>
      <c r="L308" s="27">
        <f t="shared" si="35"/>
        <v>-4.7399999999999665E-2</v>
      </c>
      <c r="M308" s="28">
        <f>IF(ISERROR(L308/H308), "", L308/H308)</f>
        <v>-2.2812590239676422E-2</v>
      </c>
    </row>
    <row r="309" spans="1:13" ht="25.5" x14ac:dyDescent="0.2">
      <c r="A309" s="1" t="s">
        <v>10</v>
      </c>
      <c r="C309" s="19"/>
      <c r="D309" s="57" t="s">
        <v>47</v>
      </c>
      <c r="E309" s="21"/>
      <c r="F309" s="29">
        <v>0.9929</v>
      </c>
      <c r="G309" s="43">
        <f>IF($E285&gt;0, $E285, $E284*$E286)</f>
        <v>1</v>
      </c>
      <c r="H309" s="24">
        <f>G309*F309</f>
        <v>0.9929</v>
      </c>
      <c r="I309" s="30">
        <v>0.98680000000000001</v>
      </c>
      <c r="J309" s="43">
        <f>IF($E285&gt;0, $E285, $E284*$E287)</f>
        <v>1</v>
      </c>
      <c r="K309" s="24">
        <f>J309*I309</f>
        <v>0.98680000000000001</v>
      </c>
      <c r="L309" s="27">
        <f t="shared" si="35"/>
        <v>-6.0999999999999943E-3</v>
      </c>
      <c r="M309" s="28">
        <f>IF(ISERROR(L309/H309), "", L309/H309)</f>
        <v>-6.1436196998690649E-3</v>
      </c>
    </row>
    <row r="310" spans="1:13" ht="25.5" x14ac:dyDescent="0.2">
      <c r="A310" s="1" t="s">
        <v>10</v>
      </c>
      <c r="B310" s="7" t="s">
        <v>48</v>
      </c>
      <c r="C310" s="19">
        <v>7</v>
      </c>
      <c r="D310" s="49" t="s">
        <v>49</v>
      </c>
      <c r="E310" s="34"/>
      <c r="F310" s="51"/>
      <c r="G310" s="52"/>
      <c r="H310" s="53">
        <f>SUM(H307:H309)</f>
        <v>12.420577580000002</v>
      </c>
      <c r="I310" s="54"/>
      <c r="J310" s="39"/>
      <c r="K310" s="53">
        <f>SUM(K307:K309)</f>
        <v>11.472377580000002</v>
      </c>
      <c r="L310" s="40">
        <f t="shared" si="35"/>
        <v>-0.94819999999999993</v>
      </c>
      <c r="M310" s="41">
        <f>IF((H310)=0,"",(L310/H310))</f>
        <v>-7.6341055308637246E-2</v>
      </c>
    </row>
    <row r="311" spans="1:13" ht="25.5" x14ac:dyDescent="0.2">
      <c r="A311" s="1" t="s">
        <v>10</v>
      </c>
      <c r="C311" s="19"/>
      <c r="D311" s="58" t="s">
        <v>50</v>
      </c>
      <c r="E311" s="21"/>
      <c r="F311" s="29">
        <v>3.3999999999999998E-3</v>
      </c>
      <c r="G311" s="43">
        <f>E284*E286</f>
        <v>186.642</v>
      </c>
      <c r="H311" s="59">
        <f t="shared" ref="H311:H317" si="39">G311*F311</f>
        <v>0.6345828</v>
      </c>
      <c r="I311" s="30">
        <v>3.4000000000000002E-3</v>
      </c>
      <c r="J311" s="43">
        <f>E284*E287</f>
        <v>186.642</v>
      </c>
      <c r="K311" s="59">
        <f t="shared" ref="K311:K317" si="40">J311*I311</f>
        <v>0.6345828</v>
      </c>
      <c r="L311" s="27">
        <f t="shared" si="35"/>
        <v>0</v>
      </c>
      <c r="M311" s="28">
        <f t="shared" ref="M311:M319" si="41">IF(ISERROR(L311/H311), "", L311/H311)</f>
        <v>0</v>
      </c>
    </row>
    <row r="312" spans="1:13" ht="25.5" x14ac:dyDescent="0.2">
      <c r="A312" s="1" t="s">
        <v>10</v>
      </c>
      <c r="C312" s="19"/>
      <c r="D312" s="58" t="s">
        <v>51</v>
      </c>
      <c r="E312" s="21"/>
      <c r="F312" s="29">
        <f>'[7]17. Regulatory Charges'!$D$16</f>
        <v>5.0000000000000001E-4</v>
      </c>
      <c r="G312" s="43">
        <f>E284*E286</f>
        <v>186.642</v>
      </c>
      <c r="H312" s="59">
        <f t="shared" si="39"/>
        <v>9.3321000000000001E-2</v>
      </c>
      <c r="I312" s="30">
        <v>5.0000000000000001E-4</v>
      </c>
      <c r="J312" s="43">
        <f>E284*E287</f>
        <v>186.642</v>
      </c>
      <c r="K312" s="59">
        <f t="shared" si="40"/>
        <v>9.3321000000000001E-2</v>
      </c>
      <c r="L312" s="27">
        <f t="shared" si="35"/>
        <v>0</v>
      </c>
      <c r="M312" s="28">
        <f t="shared" si="41"/>
        <v>0</v>
      </c>
    </row>
    <row r="313" spans="1:13" x14ac:dyDescent="0.2">
      <c r="A313" s="1" t="s">
        <v>10</v>
      </c>
      <c r="C313" s="19"/>
      <c r="D313" s="60" t="s">
        <v>52</v>
      </c>
      <c r="E313" s="21"/>
      <c r="F313" s="47">
        <v>0.25</v>
      </c>
      <c r="G313" s="23">
        <v>1</v>
      </c>
      <c r="H313" s="59">
        <f t="shared" si="39"/>
        <v>0.25</v>
      </c>
      <c r="I313" s="48">
        <f>'[7]17. Regulatory Charges'!$D$17</f>
        <v>0.25</v>
      </c>
      <c r="J313" s="26">
        <v>1</v>
      </c>
      <c r="K313" s="59">
        <f t="shared" si="40"/>
        <v>0.25</v>
      </c>
      <c r="L313" s="27">
        <f t="shared" si="35"/>
        <v>0</v>
      </c>
      <c r="M313" s="28">
        <f t="shared" si="41"/>
        <v>0</v>
      </c>
    </row>
    <row r="314" spans="1:13" ht="25.5" hidden="1" x14ac:dyDescent="0.2">
      <c r="A314" s="1" t="s">
        <v>10</v>
      </c>
      <c r="C314" s="19"/>
      <c r="D314" s="58" t="s">
        <v>53</v>
      </c>
      <c r="E314" s="21"/>
      <c r="F314" s="29"/>
      <c r="G314" s="43"/>
      <c r="H314" s="59"/>
      <c r="I314" s="30"/>
      <c r="J314" s="43"/>
      <c r="K314" s="59"/>
      <c r="L314" s="27"/>
      <c r="M314" s="28"/>
    </row>
    <row r="315" spans="1:13" x14ac:dyDescent="0.2">
      <c r="A315" s="1" t="s">
        <v>10</v>
      </c>
      <c r="B315" s="7" t="s">
        <v>2</v>
      </c>
      <c r="C315" s="19"/>
      <c r="D315" s="61" t="s">
        <v>54</v>
      </c>
      <c r="E315" s="21"/>
      <c r="F315" s="62">
        <f>OffPeak</f>
        <v>6.5000000000000002E-2</v>
      </c>
      <c r="G315" s="63">
        <f>IF(AND(E284*12&gt;=150000),0.65*E284*E286,0.65*E284)</f>
        <v>117</v>
      </c>
      <c r="H315" s="59">
        <f t="shared" si="39"/>
        <v>7.6050000000000004</v>
      </c>
      <c r="I315" s="64">
        <f>OffPeak</f>
        <v>6.5000000000000002E-2</v>
      </c>
      <c r="J315" s="63">
        <f>IF(AND(E284*12&gt;=150000),0.65*E284*E287,0.65*E284)</f>
        <v>117</v>
      </c>
      <c r="K315" s="59">
        <f t="shared" si="40"/>
        <v>7.6050000000000004</v>
      </c>
      <c r="L315" s="27">
        <f>K315-H315</f>
        <v>0</v>
      </c>
      <c r="M315" s="28">
        <f t="shared" si="41"/>
        <v>0</v>
      </c>
    </row>
    <row r="316" spans="1:13" x14ac:dyDescent="0.2">
      <c r="A316" s="1" t="s">
        <v>10</v>
      </c>
      <c r="B316" s="7" t="s">
        <v>2</v>
      </c>
      <c r="C316" s="19"/>
      <c r="D316" s="61" t="s">
        <v>55</v>
      </c>
      <c r="E316" s="21"/>
      <c r="F316" s="62">
        <f>MidPeak</f>
        <v>9.4E-2</v>
      </c>
      <c r="G316" s="63">
        <f>IF(AND(E284*12&gt;=150000),0.17*E284*E286,0.17*E284)</f>
        <v>30.6</v>
      </c>
      <c r="H316" s="59">
        <f t="shared" si="39"/>
        <v>2.8764000000000003</v>
      </c>
      <c r="I316" s="64">
        <f>MidPeak</f>
        <v>9.4E-2</v>
      </c>
      <c r="J316" s="63">
        <f>IF(AND(E284*12&gt;=150000),0.17*E284*E287,0.17*E284)</f>
        <v>30.6</v>
      </c>
      <c r="K316" s="59">
        <f t="shared" si="40"/>
        <v>2.8764000000000003</v>
      </c>
      <c r="L316" s="27">
        <f>K316-H316</f>
        <v>0</v>
      </c>
      <c r="M316" s="28">
        <f t="shared" si="41"/>
        <v>0</v>
      </c>
    </row>
    <row r="317" spans="1:13" ht="13.5" thickBot="1" x14ac:dyDescent="0.25">
      <c r="A317" s="1" t="s">
        <v>10</v>
      </c>
      <c r="B317" s="7" t="s">
        <v>2</v>
      </c>
      <c r="C317" s="19"/>
      <c r="D317" s="7" t="s">
        <v>56</v>
      </c>
      <c r="E317" s="21"/>
      <c r="F317" s="62">
        <f>OnPeak</f>
        <v>0.13200000000000001</v>
      </c>
      <c r="G317" s="63">
        <f>IF(AND(E284*12&gt;=150000),0.18*E284*E286,0.18*E284)</f>
        <v>32.4</v>
      </c>
      <c r="H317" s="59">
        <f t="shared" si="39"/>
        <v>4.2767999999999997</v>
      </c>
      <c r="I317" s="64">
        <f>OnPeak</f>
        <v>0.13200000000000001</v>
      </c>
      <c r="J317" s="63">
        <f>IF(AND(E284*12&gt;=150000),0.18*E284*E287,0.18*E284)</f>
        <v>32.4</v>
      </c>
      <c r="K317" s="59">
        <f t="shared" si="40"/>
        <v>4.2767999999999997</v>
      </c>
      <c r="L317" s="27">
        <f>K317-H317</f>
        <v>0</v>
      </c>
      <c r="M317" s="28">
        <f t="shared" si="41"/>
        <v>0</v>
      </c>
    </row>
    <row r="318" spans="1:13" ht="13.5" hidden="1" thickBot="1" x14ac:dyDescent="0.25">
      <c r="A318" s="1" t="s">
        <v>10</v>
      </c>
      <c r="B318" s="1" t="s">
        <v>57</v>
      </c>
      <c r="C318" s="19"/>
      <c r="D318" s="61" t="s">
        <v>58</v>
      </c>
      <c r="E318" s="21"/>
      <c r="F318" s="65">
        <v>0.1101</v>
      </c>
      <c r="G318" s="63">
        <f>IF(AND(E284*12&gt;=150000),E284*E286,E284)</f>
        <v>180</v>
      </c>
      <c r="H318" s="59">
        <f>G318*F318</f>
        <v>19.818000000000001</v>
      </c>
      <c r="I318" s="66">
        <f>F318</f>
        <v>0.1101</v>
      </c>
      <c r="J318" s="63">
        <f>IF(AND(E284*12&gt;=150000),E284*E287,E284)</f>
        <v>180</v>
      </c>
      <c r="K318" s="59">
        <f>J318*I318</f>
        <v>19.818000000000001</v>
      </c>
      <c r="L318" s="27">
        <f>K318-H318</f>
        <v>0</v>
      </c>
      <c r="M318" s="28">
        <f t="shared" si="41"/>
        <v>0</v>
      </c>
    </row>
    <row r="319" spans="1:13" ht="13.5" hidden="1" thickBot="1" x14ac:dyDescent="0.25">
      <c r="A319" s="1" t="s">
        <v>10</v>
      </c>
      <c r="B319" s="1" t="s">
        <v>6</v>
      </c>
      <c r="C319" s="19"/>
      <c r="D319" s="61" t="s">
        <v>59</v>
      </c>
      <c r="E319" s="21"/>
      <c r="F319" s="65">
        <v>0.1101</v>
      </c>
      <c r="G319" s="63">
        <f>IF(AND(E284*12&gt;=150000),E284*E286,E284)</f>
        <v>180</v>
      </c>
      <c r="H319" s="59">
        <f>G319*F319</f>
        <v>19.818000000000001</v>
      </c>
      <c r="I319" s="66">
        <f>F319</f>
        <v>0.1101</v>
      </c>
      <c r="J319" s="63">
        <f>IF(AND(E284*12&gt;=150000),E284*E287,E284)</f>
        <v>180</v>
      </c>
      <c r="K319" s="59">
        <f>J319*I319</f>
        <v>19.818000000000001</v>
      </c>
      <c r="L319" s="27">
        <f>K319-H319</f>
        <v>0</v>
      </c>
      <c r="M319" s="28">
        <f t="shared" si="41"/>
        <v>0</v>
      </c>
    </row>
    <row r="320" spans="1:13" ht="13.5" thickBot="1" x14ac:dyDescent="0.25">
      <c r="A320" s="1" t="s">
        <v>10</v>
      </c>
      <c r="B320" s="7"/>
      <c r="C320" s="19"/>
      <c r="D320" s="67"/>
      <c r="E320" s="68"/>
      <c r="F320" s="69"/>
      <c r="G320" s="70"/>
      <c r="H320" s="71"/>
      <c r="I320" s="69"/>
      <c r="J320" s="72"/>
      <c r="K320" s="71"/>
      <c r="L320" s="73"/>
      <c r="M320" s="74"/>
    </row>
    <row r="321" spans="1:13" x14ac:dyDescent="0.2">
      <c r="A321" s="1" t="s">
        <v>10</v>
      </c>
      <c r="B321" s="7" t="s">
        <v>2</v>
      </c>
      <c r="C321" s="19"/>
      <c r="D321" s="75" t="s">
        <v>60</v>
      </c>
      <c r="E321" s="60"/>
      <c r="F321" s="76"/>
      <c r="G321" s="77"/>
      <c r="H321" s="78">
        <f>SUM(H311:H317,H310)</f>
        <v>28.156681380000002</v>
      </c>
      <c r="I321" s="79"/>
      <c r="J321" s="79"/>
      <c r="K321" s="78">
        <f>SUM(K311:K317,K310)</f>
        <v>27.208481380000002</v>
      </c>
      <c r="L321" s="80">
        <f>K321-H321</f>
        <v>-0.94819999999999993</v>
      </c>
      <c r="M321" s="81">
        <f>IF((H321)=0,"",(L321/H321))</f>
        <v>-3.3675843655123244E-2</v>
      </c>
    </row>
    <row r="322" spans="1:13" x14ac:dyDescent="0.2">
      <c r="A322" s="1" t="s">
        <v>10</v>
      </c>
      <c r="B322" s="7" t="s">
        <v>2</v>
      </c>
      <c r="C322" s="19"/>
      <c r="D322" s="82" t="s">
        <v>61</v>
      </c>
      <c r="E322" s="60"/>
      <c r="F322" s="76">
        <v>0.13</v>
      </c>
      <c r="G322" s="83"/>
      <c r="H322" s="84">
        <f>H321*F322</f>
        <v>3.6603685794000005</v>
      </c>
      <c r="I322" s="85">
        <v>0.13</v>
      </c>
      <c r="J322" s="23"/>
      <c r="K322" s="84">
        <f>K321*I322</f>
        <v>3.5371025794000004</v>
      </c>
      <c r="L322" s="86">
        <f>K322-H322</f>
        <v>-0.1232660000000001</v>
      </c>
      <c r="M322" s="87">
        <f>IF((H322)=0,"",(L322/H322))</f>
        <v>-3.3675843655123272E-2</v>
      </c>
    </row>
    <row r="323" spans="1:13" hidden="1" x14ac:dyDescent="0.2">
      <c r="A323" s="1" t="s">
        <v>10</v>
      </c>
      <c r="B323" s="7" t="s">
        <v>2</v>
      </c>
      <c r="C323" s="19"/>
      <c r="D323" s="82" t="s">
        <v>62</v>
      </c>
      <c r="E323" s="60"/>
      <c r="F323" s="76">
        <v>0.08</v>
      </c>
      <c r="G323" s="83"/>
      <c r="H323" s="84">
        <v>0</v>
      </c>
      <c r="I323" s="76">
        <v>0.08</v>
      </c>
      <c r="J323" s="23"/>
      <c r="K323" s="84">
        <v>0</v>
      </c>
      <c r="L323" s="86">
        <f>K323-H323</f>
        <v>0</v>
      </c>
      <c r="M323" s="87"/>
    </row>
    <row r="324" spans="1:13" ht="13.5" thickBot="1" x14ac:dyDescent="0.25">
      <c r="A324" s="1" t="s">
        <v>10</v>
      </c>
      <c r="B324" s="7" t="s">
        <v>63</v>
      </c>
      <c r="C324" s="19">
        <v>7</v>
      </c>
      <c r="D324" s="110" t="s">
        <v>64</v>
      </c>
      <c r="E324" s="110"/>
      <c r="F324" s="88"/>
      <c r="G324" s="89"/>
      <c r="H324" s="90">
        <f>H321+H322+H323</f>
        <v>31.817049959400002</v>
      </c>
      <c r="I324" s="91"/>
      <c r="J324" s="91"/>
      <c r="K324" s="92">
        <f>K321+K322+K323</f>
        <v>30.745583959400001</v>
      </c>
      <c r="L324" s="93">
        <f>K324-H324</f>
        <v>-1.0714660000000009</v>
      </c>
      <c r="M324" s="94">
        <f>IF((H324)=0,"",(L324/H324))</f>
        <v>-3.3675843655123279E-2</v>
      </c>
    </row>
    <row r="325" spans="1:13" ht="13.5" thickBot="1" x14ac:dyDescent="0.25">
      <c r="A325" s="1" t="s">
        <v>10</v>
      </c>
      <c r="B325" s="1" t="s">
        <v>2</v>
      </c>
      <c r="C325" s="19"/>
      <c r="D325" s="67"/>
      <c r="E325" s="68"/>
      <c r="F325" s="69"/>
      <c r="G325" s="70"/>
      <c r="H325" s="71"/>
      <c r="I325" s="69"/>
      <c r="J325" s="72"/>
      <c r="K325" s="71"/>
      <c r="L325" s="73"/>
      <c r="M325" s="74"/>
    </row>
    <row r="326" spans="1:13" hidden="1" x14ac:dyDescent="0.2">
      <c r="A326" s="1" t="s">
        <v>10</v>
      </c>
      <c r="B326" s="1" t="s">
        <v>57</v>
      </c>
      <c r="C326" s="19"/>
      <c r="D326" s="75" t="s">
        <v>65</v>
      </c>
      <c r="E326" s="60"/>
      <c r="F326" s="76"/>
      <c r="G326" s="77"/>
      <c r="H326" s="78">
        <v>33.253809780000005</v>
      </c>
      <c r="I326" s="79"/>
      <c r="J326" s="79"/>
      <c r="K326" s="78">
        <v>32.268281380000005</v>
      </c>
      <c r="L326" s="80">
        <v>-0.98552839999999975</v>
      </c>
      <c r="M326" s="81">
        <v>-2.9636556127554767E-2</v>
      </c>
    </row>
    <row r="327" spans="1:13" hidden="1" x14ac:dyDescent="0.2">
      <c r="A327" s="1" t="s">
        <v>10</v>
      </c>
      <c r="B327" s="1" t="s">
        <v>57</v>
      </c>
      <c r="C327" s="19"/>
      <c r="D327" s="82" t="s">
        <v>61</v>
      </c>
      <c r="E327" s="60"/>
      <c r="F327" s="76">
        <v>0.13</v>
      </c>
      <c r="G327" s="77"/>
      <c r="H327" s="84">
        <v>4.3229952714000008</v>
      </c>
      <c r="I327" s="76">
        <v>0.13</v>
      </c>
      <c r="J327" s="85"/>
      <c r="K327" s="84">
        <v>4.1948765794000007</v>
      </c>
      <c r="L327" s="86">
        <v>-0.12811869200000015</v>
      </c>
      <c r="M327" s="87">
        <v>-2.9636556127554805E-2</v>
      </c>
    </row>
    <row r="328" spans="1:13" hidden="1" x14ac:dyDescent="0.2">
      <c r="A328" s="1" t="s">
        <v>10</v>
      </c>
      <c r="B328" s="1" t="s">
        <v>57</v>
      </c>
      <c r="C328" s="19"/>
      <c r="D328" s="82" t="s">
        <v>62</v>
      </c>
      <c r="E328" s="60"/>
      <c r="F328" s="76">
        <v>0.08</v>
      </c>
      <c r="G328" s="77"/>
      <c r="H328" s="84">
        <v>0</v>
      </c>
      <c r="I328" s="76">
        <v>0.08</v>
      </c>
      <c r="J328" s="85"/>
      <c r="K328" s="84">
        <v>0</v>
      </c>
      <c r="L328" s="86"/>
      <c r="M328" s="87"/>
    </row>
    <row r="329" spans="1:13" hidden="1" x14ac:dyDescent="0.2">
      <c r="A329" s="1" t="s">
        <v>10</v>
      </c>
      <c r="B329" s="1" t="s">
        <v>66</v>
      </c>
      <c r="C329" s="19"/>
      <c r="D329" s="110" t="s">
        <v>65</v>
      </c>
      <c r="E329" s="110"/>
      <c r="F329" s="95"/>
      <c r="G329" s="96"/>
      <c r="H329" s="90">
        <v>37.576805051400008</v>
      </c>
      <c r="I329" s="97"/>
      <c r="J329" s="97"/>
      <c r="K329" s="90">
        <v>36.463157959400007</v>
      </c>
      <c r="L329" s="98">
        <v>-1.1136470920000008</v>
      </c>
      <c r="M329" s="99">
        <v>-2.9636556127554791E-2</v>
      </c>
    </row>
    <row r="330" spans="1:13" ht="13.5" hidden="1" thickBot="1" x14ac:dyDescent="0.25">
      <c r="A330" s="1" t="s">
        <v>10</v>
      </c>
      <c r="B330" s="1" t="s">
        <v>57</v>
      </c>
      <c r="C330" s="19"/>
      <c r="D330" s="67"/>
      <c r="E330" s="68"/>
      <c r="F330" s="100"/>
      <c r="G330" s="101"/>
      <c r="H330" s="102"/>
      <c r="I330" s="100"/>
      <c r="J330" s="70"/>
      <c r="K330" s="102"/>
      <c r="L330" s="103"/>
      <c r="M330" s="74"/>
    </row>
    <row r="331" spans="1:13" hidden="1" x14ac:dyDescent="0.2">
      <c r="A331" s="1" t="s">
        <v>10</v>
      </c>
      <c r="B331" s="1" t="s">
        <v>6</v>
      </c>
      <c r="C331" s="19"/>
      <c r="D331" s="75" t="s">
        <v>67</v>
      </c>
      <c r="E331" s="60"/>
      <c r="F331" s="76"/>
      <c r="G331" s="77"/>
      <c r="H331" s="78">
        <v>33.253809780000005</v>
      </c>
      <c r="I331" s="79"/>
      <c r="J331" s="79"/>
      <c r="K331" s="78">
        <v>32.268281380000005</v>
      </c>
      <c r="L331" s="80">
        <v>-0.98552839999999975</v>
      </c>
      <c r="M331" s="81">
        <v>-2.9636556127554767E-2</v>
      </c>
    </row>
    <row r="332" spans="1:13" hidden="1" x14ac:dyDescent="0.2">
      <c r="A332" s="1" t="s">
        <v>10</v>
      </c>
      <c r="B332" s="1" t="s">
        <v>6</v>
      </c>
      <c r="C332" s="19"/>
      <c r="D332" s="82" t="s">
        <v>61</v>
      </c>
      <c r="E332" s="60"/>
      <c r="F332" s="76">
        <v>0.13</v>
      </c>
      <c r="G332" s="77"/>
      <c r="H332" s="84">
        <v>4.3229952714000008</v>
      </c>
      <c r="I332" s="76">
        <v>0.13</v>
      </c>
      <c r="J332" s="85"/>
      <c r="K332" s="84">
        <v>4.1948765794000007</v>
      </c>
      <c r="L332" s="86">
        <v>-0.12811869200000015</v>
      </c>
      <c r="M332" s="87">
        <v>-2.9636556127554805E-2</v>
      </c>
    </row>
    <row r="333" spans="1:13" hidden="1" x14ac:dyDescent="0.2">
      <c r="A333" s="1" t="s">
        <v>10</v>
      </c>
      <c r="B333" s="1" t="s">
        <v>6</v>
      </c>
      <c r="C333" s="19"/>
      <c r="D333" s="82" t="s">
        <v>62</v>
      </c>
      <c r="E333" s="60"/>
      <c r="F333" s="76">
        <v>0.08</v>
      </c>
      <c r="G333" s="77"/>
      <c r="H333" s="84">
        <v>0</v>
      </c>
      <c r="I333" s="76">
        <v>0.08</v>
      </c>
      <c r="J333" s="85"/>
      <c r="K333" s="84">
        <v>0</v>
      </c>
      <c r="L333" s="86"/>
      <c r="M333" s="87"/>
    </row>
    <row r="334" spans="1:13" hidden="1" x14ac:dyDescent="0.2">
      <c r="A334" s="1" t="s">
        <v>10</v>
      </c>
      <c r="B334" s="1" t="s">
        <v>68</v>
      </c>
      <c r="C334" s="19"/>
      <c r="D334" s="110" t="s">
        <v>67</v>
      </c>
      <c r="E334" s="110"/>
      <c r="F334" s="95"/>
      <c r="G334" s="96"/>
      <c r="H334" s="90">
        <v>37.576805051400008</v>
      </c>
      <c r="I334" s="97"/>
      <c r="J334" s="97"/>
      <c r="K334" s="90">
        <v>36.463157959400007</v>
      </c>
      <c r="L334" s="98">
        <v>-1.1136470920000008</v>
      </c>
      <c r="M334" s="99">
        <v>-2.9636556127554791E-2</v>
      </c>
    </row>
    <row r="335" spans="1:13" ht="13.5" hidden="1" thickBot="1" x14ac:dyDescent="0.25">
      <c r="A335" s="1" t="s">
        <v>10</v>
      </c>
      <c r="B335" s="1" t="s">
        <v>6</v>
      </c>
      <c r="C335" s="19"/>
      <c r="D335" s="67"/>
      <c r="E335" s="68"/>
      <c r="F335" s="104"/>
      <c r="G335" s="105"/>
      <c r="H335" s="106"/>
      <c r="I335" s="104"/>
      <c r="J335" s="107"/>
      <c r="K335" s="106"/>
      <c r="L335" s="108"/>
      <c r="M335" s="109"/>
    </row>
    <row r="338" spans="1:20" x14ac:dyDescent="0.2">
      <c r="C338" s="1"/>
      <c r="D338" s="3" t="s">
        <v>13</v>
      </c>
      <c r="E338" s="111" t="s">
        <v>11</v>
      </c>
      <c r="F338" s="111"/>
      <c r="G338" s="111"/>
      <c r="H338" s="111"/>
      <c r="I338" s="111"/>
      <c r="J338" s="111"/>
      <c r="K338" s="1" t="s">
        <v>8</v>
      </c>
      <c r="T338" s="1" t="s">
        <v>12</v>
      </c>
    </row>
    <row r="339" spans="1:20" x14ac:dyDescent="0.2">
      <c r="C339" s="1"/>
      <c r="D339" s="3" t="s">
        <v>14</v>
      </c>
      <c r="E339" s="112" t="s">
        <v>6</v>
      </c>
      <c r="F339" s="112"/>
      <c r="G339" s="112"/>
      <c r="H339" s="4"/>
      <c r="I339" s="4"/>
    </row>
    <row r="340" spans="1:20" ht="15.75" x14ac:dyDescent="0.2">
      <c r="C340" s="1"/>
      <c r="D340" s="3" t="s">
        <v>15</v>
      </c>
      <c r="E340" s="5">
        <v>280</v>
      </c>
      <c r="F340" s="6" t="s">
        <v>1</v>
      </c>
      <c r="G340" s="7"/>
      <c r="J340" s="8"/>
      <c r="K340" s="8"/>
      <c r="L340" s="8"/>
      <c r="M340" s="8"/>
    </row>
    <row r="341" spans="1:20" ht="15.75" x14ac:dyDescent="0.25">
      <c r="C341" s="1"/>
      <c r="D341" s="3" t="s">
        <v>16</v>
      </c>
      <c r="E341" s="5">
        <v>1</v>
      </c>
      <c r="F341" s="9" t="s">
        <v>5</v>
      </c>
      <c r="G341" s="10"/>
      <c r="H341" s="11"/>
      <c r="I341" s="11"/>
      <c r="J341" s="11"/>
    </row>
    <row r="342" spans="1:20" x14ac:dyDescent="0.2">
      <c r="C342" s="1"/>
      <c r="D342" s="3" t="s">
        <v>17</v>
      </c>
      <c r="E342" s="12">
        <v>1.0368999999999999</v>
      </c>
    </row>
    <row r="343" spans="1:20" x14ac:dyDescent="0.2">
      <c r="C343" s="1"/>
      <c r="D343" s="3" t="s">
        <v>18</v>
      </c>
      <c r="E343" s="12">
        <v>1.0368999999999999</v>
      </c>
    </row>
    <row r="344" spans="1:20" x14ac:dyDescent="0.2">
      <c r="C344" s="1"/>
      <c r="D344" s="7"/>
    </row>
    <row r="345" spans="1:20" x14ac:dyDescent="0.2">
      <c r="C345" s="1"/>
      <c r="D345" s="7"/>
      <c r="E345" s="13"/>
      <c r="F345" s="113" t="s">
        <v>19</v>
      </c>
      <c r="G345" s="121"/>
      <c r="H345" s="114"/>
      <c r="I345" s="113" t="s">
        <v>20</v>
      </c>
      <c r="J345" s="121"/>
      <c r="K345" s="114"/>
      <c r="L345" s="113" t="s">
        <v>21</v>
      </c>
      <c r="M345" s="114"/>
    </row>
    <row r="346" spans="1:20" x14ac:dyDescent="0.2">
      <c r="C346" s="1"/>
      <c r="D346" s="7"/>
      <c r="E346" s="115"/>
      <c r="F346" s="14" t="s">
        <v>22</v>
      </c>
      <c r="G346" s="14" t="s">
        <v>23</v>
      </c>
      <c r="H346" s="15" t="s">
        <v>24</v>
      </c>
      <c r="I346" s="14" t="s">
        <v>22</v>
      </c>
      <c r="J346" s="16" t="s">
        <v>23</v>
      </c>
      <c r="K346" s="15" t="s">
        <v>24</v>
      </c>
      <c r="L346" s="117" t="s">
        <v>25</v>
      </c>
      <c r="M346" s="119" t="s">
        <v>26</v>
      </c>
    </row>
    <row r="347" spans="1:20" x14ac:dyDescent="0.2">
      <c r="C347" s="1"/>
      <c r="D347" s="7"/>
      <c r="E347" s="116"/>
      <c r="F347" s="17" t="s">
        <v>27</v>
      </c>
      <c r="G347" s="17"/>
      <c r="H347" s="18" t="s">
        <v>27</v>
      </c>
      <c r="I347" s="17" t="s">
        <v>27</v>
      </c>
      <c r="J347" s="18"/>
      <c r="K347" s="18" t="s">
        <v>27</v>
      </c>
      <c r="L347" s="118"/>
      <c r="M347" s="120"/>
    </row>
    <row r="348" spans="1:20" x14ac:dyDescent="0.2">
      <c r="A348" s="1" t="s">
        <v>11</v>
      </c>
      <c r="C348" s="19"/>
      <c r="D348" s="20" t="s">
        <v>28</v>
      </c>
      <c r="E348" s="21"/>
      <c r="F348" s="22">
        <v>1.2</v>
      </c>
      <c r="G348" s="23"/>
      <c r="H348" s="24">
        <f>G348*F348</f>
        <v>0</v>
      </c>
      <c r="I348" s="25">
        <v>1.21</v>
      </c>
      <c r="J348" s="26">
        <f>G348</f>
        <v>0</v>
      </c>
      <c r="K348" s="24">
        <f>J348*I348</f>
        <v>0</v>
      </c>
      <c r="L348" s="27">
        <f t="shared" ref="L348:L369" si="42">K348-H348</f>
        <v>0</v>
      </c>
      <c r="M348" s="28" t="str">
        <f>IF(ISERROR(L348/H348), "", L348/H348)</f>
        <v/>
      </c>
    </row>
    <row r="349" spans="1:20" x14ac:dyDescent="0.2">
      <c r="A349" s="1" t="s">
        <v>11</v>
      </c>
      <c r="C349" s="19"/>
      <c r="D349" s="20" t="s">
        <v>29</v>
      </c>
      <c r="E349" s="21"/>
      <c r="F349" s="29">
        <v>6.3791000000000002</v>
      </c>
      <c r="G349" s="23">
        <f>IF($E341&gt;0, $E341, $E340)</f>
        <v>1</v>
      </c>
      <c r="H349" s="24">
        <f t="shared" ref="H349:H361" si="43">G349*F349</f>
        <v>6.3791000000000002</v>
      </c>
      <c r="I349" s="30">
        <v>6.4555999999999996</v>
      </c>
      <c r="J349" s="26">
        <f>IF($E341&gt;0, $E341, $E340)</f>
        <v>1</v>
      </c>
      <c r="K349" s="24">
        <f>J349*I349</f>
        <v>6.4555999999999996</v>
      </c>
      <c r="L349" s="27">
        <f t="shared" si="42"/>
        <v>7.6499999999999346E-2</v>
      </c>
      <c r="M349" s="28">
        <f t="shared" ref="M349:M359" si="44">IF(ISERROR(L349/H349), "", L349/H349)</f>
        <v>1.1992287313257253E-2</v>
      </c>
    </row>
    <row r="350" spans="1:20" hidden="1" x14ac:dyDescent="0.2">
      <c r="A350" s="1" t="s">
        <v>11</v>
      </c>
      <c r="C350" s="19"/>
      <c r="D350" s="20" t="s">
        <v>30</v>
      </c>
      <c r="E350" s="21"/>
      <c r="F350" s="29"/>
      <c r="G350" s="23"/>
      <c r="H350" s="24">
        <v>0</v>
      </c>
      <c r="I350" s="30"/>
      <c r="J350" s="26">
        <f>IF($E341&gt;0, $E341, $E340)</f>
        <v>1</v>
      </c>
      <c r="K350" s="24">
        <v>0</v>
      </c>
      <c r="L350" s="27"/>
      <c r="M350" s="28"/>
    </row>
    <row r="351" spans="1:20" hidden="1" x14ac:dyDescent="0.2">
      <c r="A351" s="1" t="s">
        <v>11</v>
      </c>
      <c r="C351" s="19"/>
      <c r="D351" s="20" t="s">
        <v>31</v>
      </c>
      <c r="E351" s="21"/>
      <c r="F351" s="29"/>
      <c r="G351" s="23">
        <f>IF($E341&gt;0, $E341, $E340)</f>
        <v>1</v>
      </c>
      <c r="H351" s="24">
        <v>0</v>
      </c>
      <c r="I351" s="30"/>
      <c r="J351" s="23">
        <f>IF($E341&gt;0, $E341, $E340)</f>
        <v>1</v>
      </c>
      <c r="K351" s="24">
        <v>0</v>
      </c>
      <c r="L351" s="27">
        <f>K351-H351</f>
        <v>0</v>
      </c>
      <c r="M351" s="28" t="str">
        <f>IF(ISERROR(L351/H351), "", L351/H351)</f>
        <v/>
      </c>
    </row>
    <row r="352" spans="1:20" x14ac:dyDescent="0.2">
      <c r="A352" s="1" t="s">
        <v>11</v>
      </c>
      <c r="C352" s="19"/>
      <c r="D352" s="31" t="s">
        <v>32</v>
      </c>
      <c r="E352" s="21"/>
      <c r="F352" s="22">
        <v>0.01</v>
      </c>
      <c r="G352" s="23">
        <v>1</v>
      </c>
      <c r="H352" s="24">
        <f t="shared" si="43"/>
        <v>0.01</v>
      </c>
      <c r="I352" s="25">
        <v>0</v>
      </c>
      <c r="J352" s="26">
        <f>G352</f>
        <v>1</v>
      </c>
      <c r="K352" s="24">
        <f t="shared" ref="K352:K359" si="45">J352*I352</f>
        <v>0</v>
      </c>
      <c r="L352" s="27">
        <f t="shared" si="42"/>
        <v>-0.01</v>
      </c>
      <c r="M352" s="28">
        <f t="shared" si="44"/>
        <v>-1</v>
      </c>
    </row>
    <row r="353" spans="1:13" x14ac:dyDescent="0.2">
      <c r="A353" s="1" t="s">
        <v>11</v>
      </c>
      <c r="C353" s="19"/>
      <c r="D353" s="20" t="s">
        <v>33</v>
      </c>
      <c r="E353" s="21"/>
      <c r="F353" s="29">
        <v>0.61070000000000002</v>
      </c>
      <c r="G353" s="23">
        <f>IF($E341&gt;0, $E341, $E340)</f>
        <v>1</v>
      </c>
      <c r="H353" s="24">
        <f t="shared" si="43"/>
        <v>0.61070000000000002</v>
      </c>
      <c r="I353" s="30">
        <v>1.9598</v>
      </c>
      <c r="J353" s="26">
        <f>IF($E341&gt;0, $E341, $E340)</f>
        <v>1</v>
      </c>
      <c r="K353" s="24">
        <f t="shared" si="45"/>
        <v>1.9598</v>
      </c>
      <c r="L353" s="27">
        <f t="shared" si="42"/>
        <v>1.3491</v>
      </c>
      <c r="M353" s="28">
        <f t="shared" si="44"/>
        <v>2.2091043065334861</v>
      </c>
    </row>
    <row r="354" spans="1:13" x14ac:dyDescent="0.2">
      <c r="A354" s="1" t="s">
        <v>11</v>
      </c>
      <c r="B354" s="32" t="s">
        <v>34</v>
      </c>
      <c r="C354" s="19">
        <v>8</v>
      </c>
      <c r="D354" s="33" t="s">
        <v>35</v>
      </c>
      <c r="E354" s="34"/>
      <c r="F354" s="35"/>
      <c r="G354" s="36"/>
      <c r="H354" s="37">
        <f>SUM(H348:H353)</f>
        <v>6.9998000000000005</v>
      </c>
      <c r="I354" s="38"/>
      <c r="J354" s="39"/>
      <c r="K354" s="37">
        <f>SUM(K348:K353)</f>
        <v>8.4154</v>
      </c>
      <c r="L354" s="40">
        <f t="shared" si="42"/>
        <v>1.4155999999999995</v>
      </c>
      <c r="M354" s="41">
        <f>IF((H354)=0,"",(L354/H354))</f>
        <v>0.20223434955284428</v>
      </c>
    </row>
    <row r="355" spans="1:13" x14ac:dyDescent="0.2">
      <c r="A355" s="1" t="s">
        <v>11</v>
      </c>
      <c r="C355" s="19"/>
      <c r="D355" s="42" t="s">
        <v>36</v>
      </c>
      <c r="E355" s="21"/>
      <c r="F355" s="29">
        <f>IF((E340*12&gt;=150000), 0, IF(E339="RPP",(F371*0.65+F372*0.17+F373*0.18),IF(E339="Non-RPP (Retailer)",F374,F375)))</f>
        <v>0.1101</v>
      </c>
      <c r="G355" s="43">
        <f>IF(F355=0, 0, $E340*E342-E340)</f>
        <v>10.331999999999994</v>
      </c>
      <c r="H355" s="24">
        <f>G355*F355</f>
        <v>1.1375531999999993</v>
      </c>
      <c r="I355" s="30">
        <f>IF((E340*12&gt;=150000), 0, IF(E339="RPP",(I371*0.65+I372*0.17+I373*0.18),IF(E339="Non-RPP (Retailer)",I374,I375)))</f>
        <v>0.1101</v>
      </c>
      <c r="J355" s="43">
        <f>IF(I355=0, 0, E340*E343-E340)</f>
        <v>10.331999999999994</v>
      </c>
      <c r="K355" s="24">
        <f>J355*I355</f>
        <v>1.1375531999999993</v>
      </c>
      <c r="L355" s="27">
        <f>K355-H355</f>
        <v>0</v>
      </c>
      <c r="M355" s="28">
        <f>IF(ISERROR(L355/H355), "", L355/H355)</f>
        <v>0</v>
      </c>
    </row>
    <row r="356" spans="1:13" ht="25.5" x14ac:dyDescent="0.2">
      <c r="A356" s="1" t="s">
        <v>11</v>
      </c>
      <c r="C356" s="19"/>
      <c r="D356" s="42" t="s">
        <v>37</v>
      </c>
      <c r="E356" s="21"/>
      <c r="F356" s="29">
        <v>-1.0519000000000001</v>
      </c>
      <c r="G356" s="44">
        <f>IF($E341&gt;0, $E341, $E340)</f>
        <v>1</v>
      </c>
      <c r="H356" s="24">
        <f t="shared" si="43"/>
        <v>-1.0519000000000001</v>
      </c>
      <c r="I356" s="30">
        <v>-1.7563</v>
      </c>
      <c r="J356" s="44">
        <f>IF($E341&gt;0, $E341, $E340)</f>
        <v>1</v>
      </c>
      <c r="K356" s="24">
        <f t="shared" si="45"/>
        <v>-1.7563</v>
      </c>
      <c r="L356" s="27">
        <f t="shared" si="42"/>
        <v>-0.70439999999999992</v>
      </c>
      <c r="M356" s="28">
        <f t="shared" si="44"/>
        <v>0.66964540355547097</v>
      </c>
    </row>
    <row r="357" spans="1:13" x14ac:dyDescent="0.2">
      <c r="A357" s="1" t="s">
        <v>11</v>
      </c>
      <c r="C357" s="19"/>
      <c r="D357" s="42" t="s">
        <v>38</v>
      </c>
      <c r="E357" s="21"/>
      <c r="F357" s="29">
        <v>8.6999999999999994E-2</v>
      </c>
      <c r="G357" s="44">
        <f>IF($E341&gt;0, $E341, $E340)</f>
        <v>1</v>
      </c>
      <c r="H357" s="24">
        <f>G357*F357</f>
        <v>8.6999999999999994E-2</v>
      </c>
      <c r="I357" s="30">
        <v>8.6999999999999994E-2</v>
      </c>
      <c r="J357" s="44">
        <f>IF($E341&gt;0, $E341, $E340)</f>
        <v>1</v>
      </c>
      <c r="K357" s="24">
        <f>J357*I357</f>
        <v>8.6999999999999994E-2</v>
      </c>
      <c r="L357" s="27">
        <f t="shared" si="42"/>
        <v>0</v>
      </c>
      <c r="M357" s="28">
        <f t="shared" si="44"/>
        <v>0</v>
      </c>
    </row>
    <row r="358" spans="1:13" x14ac:dyDescent="0.2">
      <c r="A358" s="1" t="s">
        <v>11</v>
      </c>
      <c r="C358" s="19"/>
      <c r="D358" s="42" t="s">
        <v>39</v>
      </c>
      <c r="E358" s="21"/>
      <c r="F358" s="29">
        <v>4.0000000000000002E-4</v>
      </c>
      <c r="G358" s="44">
        <f>E340</f>
        <v>280</v>
      </c>
      <c r="H358" s="24">
        <f>G358*F358</f>
        <v>0.112</v>
      </c>
      <c r="I358" s="30">
        <v>4.0000000000000002E-4</v>
      </c>
      <c r="J358" s="44">
        <f>E340</f>
        <v>280</v>
      </c>
      <c r="K358" s="24">
        <f t="shared" si="45"/>
        <v>0.112</v>
      </c>
      <c r="L358" s="27">
        <f t="shared" si="42"/>
        <v>0</v>
      </c>
      <c r="M358" s="28">
        <f t="shared" si="44"/>
        <v>0</v>
      </c>
    </row>
    <row r="359" spans="1:13" x14ac:dyDescent="0.2">
      <c r="A359" s="1" t="s">
        <v>11</v>
      </c>
      <c r="C359" s="19"/>
      <c r="D359" s="45" t="s">
        <v>40</v>
      </c>
      <c r="E359" s="21"/>
      <c r="F359" s="29">
        <v>0.1288</v>
      </c>
      <c r="G359" s="44">
        <f>IF($E341&gt;0, $E341, $E340)</f>
        <v>1</v>
      </c>
      <c r="H359" s="24">
        <f t="shared" si="43"/>
        <v>0.1288</v>
      </c>
      <c r="I359" s="30">
        <v>0.1288</v>
      </c>
      <c r="J359" s="44">
        <f>IF($E341&gt;0, $E341, $E340)</f>
        <v>1</v>
      </c>
      <c r="K359" s="24">
        <f t="shared" si="45"/>
        <v>0.1288</v>
      </c>
      <c r="L359" s="27">
        <f t="shared" si="42"/>
        <v>0</v>
      </c>
      <c r="M359" s="28">
        <f t="shared" si="44"/>
        <v>0</v>
      </c>
    </row>
    <row r="360" spans="1:13" ht="25.5" x14ac:dyDescent="0.2">
      <c r="A360" s="1" t="s">
        <v>11</v>
      </c>
      <c r="C360" s="19"/>
      <c r="D360" s="46" t="s">
        <v>41</v>
      </c>
      <c r="E360" s="21"/>
      <c r="F360" s="47">
        <f>IF(OR(ISNUMBER(SEARCH("RESIDENTIAL", E338))=TRUE, ISNUMBER(SEARCH("GENERAL SERVICE LESS THAN 50", E338))=TRUE), SME, 0)</f>
        <v>0</v>
      </c>
      <c r="G360" s="23">
        <v>1</v>
      </c>
      <c r="H360" s="24">
        <f>G360*F360</f>
        <v>0</v>
      </c>
      <c r="I360" s="48">
        <f>IF(OR(ISNUMBER(SEARCH("RESIDENTIAL", E338))=TRUE, ISNUMBER(SEARCH("GENERAL SERVICE LESS THAN 50", E338))=TRUE), SME, 0)</f>
        <v>0</v>
      </c>
      <c r="J360" s="23">
        <v>1</v>
      </c>
      <c r="K360" s="24">
        <f>J360*I360</f>
        <v>0</v>
      </c>
      <c r="L360" s="27">
        <f t="shared" si="42"/>
        <v>0</v>
      </c>
      <c r="M360" s="28" t="str">
        <f>IF(ISERROR(L360/H360), "", L360/H360)</f>
        <v/>
      </c>
    </row>
    <row r="361" spans="1:13" x14ac:dyDescent="0.2">
      <c r="A361" s="1" t="s">
        <v>11</v>
      </c>
      <c r="C361" s="19"/>
      <c r="D361" s="45" t="s">
        <v>42</v>
      </c>
      <c r="E361" s="21"/>
      <c r="F361" s="22">
        <v>0</v>
      </c>
      <c r="G361" s="23">
        <v>1</v>
      </c>
      <c r="H361" s="24">
        <f t="shared" si="43"/>
        <v>0</v>
      </c>
      <c r="I361" s="25">
        <v>0</v>
      </c>
      <c r="J361" s="23">
        <v>1</v>
      </c>
      <c r="K361" s="24">
        <f>J361*I361</f>
        <v>0</v>
      </c>
      <c r="L361" s="27">
        <f>K361-H361</f>
        <v>0</v>
      </c>
      <c r="M361" s="28" t="str">
        <f>IF(ISERROR(L361/H361), "", L361/H361)</f>
        <v/>
      </c>
    </row>
    <row r="362" spans="1:13" x14ac:dyDescent="0.2">
      <c r="A362" s="1" t="s">
        <v>11</v>
      </c>
      <c r="C362" s="19"/>
      <c r="D362" s="45" t="s">
        <v>43</v>
      </c>
      <c r="E362" s="21"/>
      <c r="F362" s="29"/>
      <c r="G362" s="44">
        <f>IF($E341&gt;0, $E341, $E340)</f>
        <v>1</v>
      </c>
      <c r="H362" s="24">
        <f>G362*F362</f>
        <v>0</v>
      </c>
      <c r="I362" s="30">
        <v>0</v>
      </c>
      <c r="J362" s="44">
        <f>IF($E341&gt;0, $E341, $E340)</f>
        <v>1</v>
      </c>
      <c r="K362" s="24">
        <f>J362*I362</f>
        <v>0</v>
      </c>
      <c r="L362" s="27">
        <f t="shared" si="42"/>
        <v>0</v>
      </c>
      <c r="M362" s="28" t="str">
        <f>IF(ISERROR(L362/H362), "", L362/H362)</f>
        <v/>
      </c>
    </row>
    <row r="363" spans="1:13" ht="25.5" x14ac:dyDescent="0.2">
      <c r="A363" s="1" t="s">
        <v>11</v>
      </c>
      <c r="B363" s="7" t="s">
        <v>44</v>
      </c>
      <c r="C363" s="19">
        <v>8</v>
      </c>
      <c r="D363" s="49" t="s">
        <v>45</v>
      </c>
      <c r="E363" s="50"/>
      <c r="F363" s="51"/>
      <c r="G363" s="52"/>
      <c r="H363" s="53">
        <f>SUM(H354:H362)</f>
        <v>7.4132531999999998</v>
      </c>
      <c r="I363" s="54"/>
      <c r="J363" s="55"/>
      <c r="K363" s="53">
        <f>SUM(K354:K362)</f>
        <v>8.1244531999999996</v>
      </c>
      <c r="L363" s="40">
        <f t="shared" si="42"/>
        <v>0.71119999999999983</v>
      </c>
      <c r="M363" s="41">
        <f>IF((H363)=0,"",(L363/H363))</f>
        <v>9.5936288807726117E-2</v>
      </c>
    </row>
    <row r="364" spans="1:13" x14ac:dyDescent="0.2">
      <c r="A364" s="1" t="s">
        <v>11</v>
      </c>
      <c r="C364" s="19"/>
      <c r="D364" s="56" t="s">
        <v>46</v>
      </c>
      <c r="E364" s="21"/>
      <c r="F364" s="29">
        <v>2.6888000000000001</v>
      </c>
      <c r="G364" s="43">
        <f>IF($E341&gt;0, $E341, $E340*$E342)</f>
        <v>1</v>
      </c>
      <c r="H364" s="24">
        <f>G364*F364</f>
        <v>2.6888000000000001</v>
      </c>
      <c r="I364" s="30">
        <v>2.6274999999999999</v>
      </c>
      <c r="J364" s="43">
        <f>IF($E341&gt;0, $E341, $E340*$E343)</f>
        <v>1</v>
      </c>
      <c r="K364" s="24">
        <f>J364*I364</f>
        <v>2.6274999999999999</v>
      </c>
      <c r="L364" s="27">
        <f t="shared" si="42"/>
        <v>-6.1300000000000132E-2</v>
      </c>
      <c r="M364" s="28">
        <f>IF(ISERROR(L364/H364), "", L364/H364)</f>
        <v>-2.2798274323118168E-2</v>
      </c>
    </row>
    <row r="365" spans="1:13" ht="25.5" x14ac:dyDescent="0.2">
      <c r="A365" s="1" t="s">
        <v>11</v>
      </c>
      <c r="C365" s="19"/>
      <c r="D365" s="57" t="s">
        <v>47</v>
      </c>
      <c r="E365" s="21"/>
      <c r="F365" s="29">
        <v>1.4379</v>
      </c>
      <c r="G365" s="43">
        <f>IF($E341&gt;0, $E341, $E340*$E342)</f>
        <v>1</v>
      </c>
      <c r="H365" s="24">
        <f>G365*F365</f>
        <v>1.4379</v>
      </c>
      <c r="I365" s="30">
        <v>1.4291</v>
      </c>
      <c r="J365" s="43">
        <f>IF($E341&gt;0, $E341, $E340*$E343)</f>
        <v>1</v>
      </c>
      <c r="K365" s="24">
        <f>J365*I365</f>
        <v>1.4291</v>
      </c>
      <c r="L365" s="27">
        <f t="shared" si="42"/>
        <v>-8.799999999999919E-3</v>
      </c>
      <c r="M365" s="28">
        <f>IF(ISERROR(L365/H365), "", L365/H365)</f>
        <v>-6.1200361638500027E-3</v>
      </c>
    </row>
    <row r="366" spans="1:13" ht="25.5" x14ac:dyDescent="0.2">
      <c r="A366" s="1" t="s">
        <v>11</v>
      </c>
      <c r="B366" s="7" t="s">
        <v>48</v>
      </c>
      <c r="C366" s="19">
        <v>8</v>
      </c>
      <c r="D366" s="49" t="s">
        <v>49</v>
      </c>
      <c r="E366" s="34"/>
      <c r="F366" s="51"/>
      <c r="G366" s="52"/>
      <c r="H366" s="53">
        <f>SUM(H363:H365)</f>
        <v>11.539953199999999</v>
      </c>
      <c r="I366" s="54"/>
      <c r="J366" s="39"/>
      <c r="K366" s="53">
        <f>SUM(K363:K365)</f>
        <v>12.181053199999999</v>
      </c>
      <c r="L366" s="40">
        <f t="shared" si="42"/>
        <v>0.64109999999999978</v>
      </c>
      <c r="M366" s="41">
        <f>IF((H366)=0,"",(L366/H366))</f>
        <v>5.5554818021272379E-2</v>
      </c>
    </row>
    <row r="367" spans="1:13" ht="25.5" x14ac:dyDescent="0.2">
      <c r="A367" s="1" t="s">
        <v>11</v>
      </c>
      <c r="C367" s="19"/>
      <c r="D367" s="58" t="s">
        <v>50</v>
      </c>
      <c r="E367" s="21"/>
      <c r="F367" s="29">
        <v>3.3999999999999998E-3</v>
      </c>
      <c r="G367" s="43">
        <f>E340*E342</f>
        <v>290.33199999999999</v>
      </c>
      <c r="H367" s="59">
        <f t="shared" ref="H367:H373" si="46">G367*F367</f>
        <v>0.98712879999999992</v>
      </c>
      <c r="I367" s="30">
        <v>3.4000000000000002E-3</v>
      </c>
      <c r="J367" s="43">
        <f>E340*E343</f>
        <v>290.33199999999999</v>
      </c>
      <c r="K367" s="59">
        <f t="shared" ref="K367:K373" si="47">J367*I367</f>
        <v>0.98712880000000003</v>
      </c>
      <c r="L367" s="27">
        <f t="shared" si="42"/>
        <v>0</v>
      </c>
      <c r="M367" s="28">
        <f t="shared" ref="M367:M375" si="48">IF(ISERROR(L367/H367), "", L367/H367)</f>
        <v>0</v>
      </c>
    </row>
    <row r="368" spans="1:13" ht="25.5" x14ac:dyDescent="0.2">
      <c r="A368" s="1" t="s">
        <v>11</v>
      </c>
      <c r="C368" s="19"/>
      <c r="D368" s="58" t="s">
        <v>51</v>
      </c>
      <c r="E368" s="21"/>
      <c r="F368" s="29">
        <f>'[7]17. Regulatory Charges'!$D$16</f>
        <v>5.0000000000000001E-4</v>
      </c>
      <c r="G368" s="43">
        <f>E340*E342</f>
        <v>290.33199999999999</v>
      </c>
      <c r="H368" s="59">
        <f t="shared" si="46"/>
        <v>0.14516599999999999</v>
      </c>
      <c r="I368" s="30">
        <v>5.0000000000000001E-4</v>
      </c>
      <c r="J368" s="43">
        <f>E340*E343</f>
        <v>290.33199999999999</v>
      </c>
      <c r="K368" s="59">
        <f t="shared" si="47"/>
        <v>0.14516599999999999</v>
      </c>
      <c r="L368" s="27">
        <f t="shared" si="42"/>
        <v>0</v>
      </c>
      <c r="M368" s="28">
        <f t="shared" si="48"/>
        <v>0</v>
      </c>
    </row>
    <row r="369" spans="1:13" x14ac:dyDescent="0.2">
      <c r="A369" s="1" t="s">
        <v>11</v>
      </c>
      <c r="C369" s="19"/>
      <c r="D369" s="60" t="s">
        <v>52</v>
      </c>
      <c r="E369" s="21"/>
      <c r="F369" s="47">
        <v>0.25</v>
      </c>
      <c r="G369" s="23">
        <v>1</v>
      </c>
      <c r="H369" s="59">
        <f t="shared" si="46"/>
        <v>0.25</v>
      </c>
      <c r="I369" s="48">
        <f>'[7]17. Regulatory Charges'!$D$17</f>
        <v>0.25</v>
      </c>
      <c r="J369" s="26">
        <v>1</v>
      </c>
      <c r="K369" s="59">
        <f t="shared" si="47"/>
        <v>0.25</v>
      </c>
      <c r="L369" s="27">
        <f t="shared" si="42"/>
        <v>0</v>
      </c>
      <c r="M369" s="28">
        <f t="shared" si="48"/>
        <v>0</v>
      </c>
    </row>
    <row r="370" spans="1:13" ht="25.5" hidden="1" x14ac:dyDescent="0.2">
      <c r="A370" s="1" t="s">
        <v>11</v>
      </c>
      <c r="C370" s="19"/>
      <c r="D370" s="58" t="s">
        <v>53</v>
      </c>
      <c r="E370" s="21"/>
      <c r="F370" s="29"/>
      <c r="G370" s="43"/>
      <c r="H370" s="59"/>
      <c r="I370" s="30"/>
      <c r="J370" s="43"/>
      <c r="K370" s="59"/>
      <c r="L370" s="27"/>
      <c r="M370" s="28"/>
    </row>
    <row r="371" spans="1:13" hidden="1" x14ac:dyDescent="0.2">
      <c r="A371" s="1" t="s">
        <v>11</v>
      </c>
      <c r="B371" s="7" t="s">
        <v>2</v>
      </c>
      <c r="C371" s="19"/>
      <c r="D371" s="61" t="s">
        <v>54</v>
      </c>
      <c r="E371" s="21"/>
      <c r="F371" s="62">
        <f>OffPeak</f>
        <v>6.5000000000000002E-2</v>
      </c>
      <c r="G371" s="63">
        <f>IF(AND(E340*12&gt;=150000),0.65*E340*E342,0.65*E340)</f>
        <v>182</v>
      </c>
      <c r="H371" s="59">
        <f t="shared" si="46"/>
        <v>11.83</v>
      </c>
      <c r="I371" s="64">
        <f>OffPeak</f>
        <v>6.5000000000000002E-2</v>
      </c>
      <c r="J371" s="63">
        <f>IF(AND(E340*12&gt;=150000),0.65*E340*E343,0.65*E340)</f>
        <v>182</v>
      </c>
      <c r="K371" s="59">
        <f t="shared" si="47"/>
        <v>11.83</v>
      </c>
      <c r="L371" s="27">
        <f>K371-H371</f>
        <v>0</v>
      </c>
      <c r="M371" s="28">
        <f t="shared" si="48"/>
        <v>0</v>
      </c>
    </row>
    <row r="372" spans="1:13" hidden="1" x14ac:dyDescent="0.2">
      <c r="A372" s="1" t="s">
        <v>11</v>
      </c>
      <c r="B372" s="7" t="s">
        <v>2</v>
      </c>
      <c r="C372" s="19"/>
      <c r="D372" s="61" t="s">
        <v>55</v>
      </c>
      <c r="E372" s="21"/>
      <c r="F372" s="62">
        <f>MidPeak</f>
        <v>9.4E-2</v>
      </c>
      <c r="G372" s="63">
        <f>IF(AND(E340*12&gt;=150000),0.17*E340*E342,0.17*E340)</f>
        <v>47.6</v>
      </c>
      <c r="H372" s="59">
        <f t="shared" si="46"/>
        <v>4.4744000000000002</v>
      </c>
      <c r="I372" s="64">
        <f>MidPeak</f>
        <v>9.4E-2</v>
      </c>
      <c r="J372" s="63">
        <f>IF(AND(E340*12&gt;=150000),0.17*E340*E343,0.17*E340)</f>
        <v>47.6</v>
      </c>
      <c r="K372" s="59">
        <f t="shared" si="47"/>
        <v>4.4744000000000002</v>
      </c>
      <c r="L372" s="27">
        <f>K372-H372</f>
        <v>0</v>
      </c>
      <c r="M372" s="28">
        <f t="shared" si="48"/>
        <v>0</v>
      </c>
    </row>
    <row r="373" spans="1:13" hidden="1" x14ac:dyDescent="0.2">
      <c r="A373" s="1" t="s">
        <v>11</v>
      </c>
      <c r="B373" s="7" t="s">
        <v>2</v>
      </c>
      <c r="C373" s="19"/>
      <c r="D373" s="7" t="s">
        <v>56</v>
      </c>
      <c r="E373" s="21"/>
      <c r="F373" s="62">
        <f>OnPeak</f>
        <v>0.13200000000000001</v>
      </c>
      <c r="G373" s="63">
        <f>IF(AND(E340*12&gt;=150000),0.18*E340*E342,0.18*E340)</f>
        <v>50.4</v>
      </c>
      <c r="H373" s="59">
        <f t="shared" si="46"/>
        <v>6.6528</v>
      </c>
      <c r="I373" s="64">
        <f>OnPeak</f>
        <v>0.13200000000000001</v>
      </c>
      <c r="J373" s="63">
        <f>IF(AND(E340*12&gt;=150000),0.18*E340*E343,0.18*E340)</f>
        <v>50.4</v>
      </c>
      <c r="K373" s="59">
        <f t="shared" si="47"/>
        <v>6.6528</v>
      </c>
      <c r="L373" s="27">
        <f>K373-H373</f>
        <v>0</v>
      </c>
      <c r="M373" s="28">
        <f t="shared" si="48"/>
        <v>0</v>
      </c>
    </row>
    <row r="374" spans="1:13" hidden="1" x14ac:dyDescent="0.2">
      <c r="A374" s="1" t="s">
        <v>11</v>
      </c>
      <c r="B374" s="1" t="s">
        <v>57</v>
      </c>
      <c r="C374" s="19"/>
      <c r="D374" s="61" t="s">
        <v>58</v>
      </c>
      <c r="E374" s="21"/>
      <c r="F374" s="65">
        <v>0.1101</v>
      </c>
      <c r="G374" s="63">
        <f>IF(AND(E340*12&gt;=150000),E340*E342,E340)</f>
        <v>280</v>
      </c>
      <c r="H374" s="59">
        <f>G374*F374</f>
        <v>30.827999999999999</v>
      </c>
      <c r="I374" s="66">
        <f>F374</f>
        <v>0.1101</v>
      </c>
      <c r="J374" s="63">
        <f>IF(AND(E340*12&gt;=150000),E340*E343,E340)</f>
        <v>280</v>
      </c>
      <c r="K374" s="59">
        <f>J374*I374</f>
        <v>30.827999999999999</v>
      </c>
      <c r="L374" s="27">
        <f>K374-H374</f>
        <v>0</v>
      </c>
      <c r="M374" s="28">
        <f t="shared" si="48"/>
        <v>0</v>
      </c>
    </row>
    <row r="375" spans="1:13" ht="13.5" thickBot="1" x14ac:dyDescent="0.25">
      <c r="A375" s="1" t="s">
        <v>11</v>
      </c>
      <c r="B375" s="1" t="s">
        <v>6</v>
      </c>
      <c r="C375" s="19"/>
      <c r="D375" s="61" t="s">
        <v>59</v>
      </c>
      <c r="E375" s="21"/>
      <c r="F375" s="65">
        <v>0.1101</v>
      </c>
      <c r="G375" s="63">
        <f>IF(AND(E340*12&gt;=150000),E340*E342,E340)</f>
        <v>280</v>
      </c>
      <c r="H375" s="59">
        <f>G375*F375</f>
        <v>30.827999999999999</v>
      </c>
      <c r="I375" s="66">
        <f>F375</f>
        <v>0.1101</v>
      </c>
      <c r="J375" s="63">
        <f>IF(AND(E340*12&gt;=150000),E340*E343,E340)</f>
        <v>280</v>
      </c>
      <c r="K375" s="59">
        <f>J375*I375</f>
        <v>30.827999999999999</v>
      </c>
      <c r="L375" s="27">
        <f>K375-H375</f>
        <v>0</v>
      </c>
      <c r="M375" s="28">
        <f t="shared" si="48"/>
        <v>0</v>
      </c>
    </row>
    <row r="376" spans="1:13" ht="13.5" thickBot="1" x14ac:dyDescent="0.25">
      <c r="A376" s="1" t="s">
        <v>11</v>
      </c>
      <c r="B376" s="7"/>
      <c r="C376" s="19"/>
      <c r="D376" s="67"/>
      <c r="E376" s="68"/>
      <c r="F376" s="69"/>
      <c r="G376" s="70"/>
      <c r="H376" s="71"/>
      <c r="I376" s="69"/>
      <c r="J376" s="72"/>
      <c r="K376" s="71"/>
      <c r="L376" s="73"/>
      <c r="M376" s="74"/>
    </row>
    <row r="377" spans="1:13" hidden="1" x14ac:dyDescent="0.2">
      <c r="A377" s="1" t="s">
        <v>11</v>
      </c>
      <c r="B377" s="7" t="s">
        <v>2</v>
      </c>
      <c r="C377" s="19"/>
      <c r="D377" s="75" t="s">
        <v>60</v>
      </c>
      <c r="E377" s="60"/>
      <c r="F377" s="76"/>
      <c r="G377" s="77"/>
      <c r="H377" s="78">
        <f>SUM(H367:H373,H366)</f>
        <v>35.879447999999996</v>
      </c>
      <c r="I377" s="79"/>
      <c r="J377" s="79"/>
      <c r="K377" s="78">
        <f>SUM(K367:K373,K366)</f>
        <v>36.520547999999998</v>
      </c>
      <c r="L377" s="80">
        <f>K377-H377</f>
        <v>0.64110000000000156</v>
      </c>
      <c r="M377" s="81">
        <f>IF((H377)=0,"",(L377/H377))</f>
        <v>1.7868167871479004E-2</v>
      </c>
    </row>
    <row r="378" spans="1:13" hidden="1" x14ac:dyDescent="0.2">
      <c r="A378" s="1" t="s">
        <v>11</v>
      </c>
      <c r="B378" s="7" t="s">
        <v>2</v>
      </c>
      <c r="C378" s="19"/>
      <c r="D378" s="82" t="s">
        <v>61</v>
      </c>
      <c r="E378" s="60"/>
      <c r="F378" s="76">
        <v>0.13</v>
      </c>
      <c r="G378" s="83"/>
      <c r="H378" s="84">
        <f>H377*F378</f>
        <v>4.6643282399999997</v>
      </c>
      <c r="I378" s="85">
        <v>0.13</v>
      </c>
      <c r="J378" s="23"/>
      <c r="K378" s="84">
        <f>K377*I378</f>
        <v>4.7476712399999998</v>
      </c>
      <c r="L378" s="86">
        <f>K378-H378</f>
        <v>8.3343000000000167E-2</v>
      </c>
      <c r="M378" s="87">
        <f>IF((H378)=0,"",(L378/H378))</f>
        <v>1.7868167871478997E-2</v>
      </c>
    </row>
    <row r="379" spans="1:13" hidden="1" x14ac:dyDescent="0.2">
      <c r="A379" s="1" t="s">
        <v>11</v>
      </c>
      <c r="B379" s="7" t="s">
        <v>2</v>
      </c>
      <c r="C379" s="19"/>
      <c r="D379" s="82" t="s">
        <v>62</v>
      </c>
      <c r="E379" s="60"/>
      <c r="F379" s="76">
        <v>0.08</v>
      </c>
      <c r="G379" s="83"/>
      <c r="H379" s="84">
        <v>0</v>
      </c>
      <c r="I379" s="76">
        <v>0.08</v>
      </c>
      <c r="J379" s="23"/>
      <c r="K379" s="84">
        <v>0</v>
      </c>
      <c r="L379" s="86">
        <f>K379-H379</f>
        <v>0</v>
      </c>
      <c r="M379" s="87"/>
    </row>
    <row r="380" spans="1:13" hidden="1" x14ac:dyDescent="0.2">
      <c r="A380" s="1" t="s">
        <v>11</v>
      </c>
      <c r="B380" s="7" t="s">
        <v>63</v>
      </c>
      <c r="C380" s="19"/>
      <c r="D380" s="110" t="s">
        <v>64</v>
      </c>
      <c r="E380" s="110"/>
      <c r="F380" s="88"/>
      <c r="G380" s="89"/>
      <c r="H380" s="90">
        <f>H377+H378+H379</f>
        <v>40.54377624</v>
      </c>
      <c r="I380" s="91"/>
      <c r="J380" s="91"/>
      <c r="K380" s="92">
        <f>K377+K378+K379</f>
        <v>41.268219240000001</v>
      </c>
      <c r="L380" s="93">
        <f>K380-H380</f>
        <v>0.72444300000000084</v>
      </c>
      <c r="M380" s="94">
        <f>IF((H380)=0,"",(L380/H380))</f>
        <v>1.786816787147898E-2</v>
      </c>
    </row>
    <row r="381" spans="1:13" ht="13.5" hidden="1" thickBot="1" x14ac:dyDescent="0.25">
      <c r="A381" s="1" t="s">
        <v>11</v>
      </c>
      <c r="B381" s="1" t="s">
        <v>2</v>
      </c>
      <c r="C381" s="19"/>
      <c r="D381" s="67"/>
      <c r="E381" s="68"/>
      <c r="F381" s="69"/>
      <c r="G381" s="70"/>
      <c r="H381" s="71"/>
      <c r="I381" s="69"/>
      <c r="J381" s="72"/>
      <c r="K381" s="71"/>
      <c r="L381" s="73"/>
      <c r="M381" s="74"/>
    </row>
    <row r="382" spans="1:13" hidden="1" x14ac:dyDescent="0.2">
      <c r="A382" s="1" t="s">
        <v>11</v>
      </c>
      <c r="B382" s="1" t="s">
        <v>57</v>
      </c>
      <c r="C382" s="19"/>
      <c r="D382" s="75" t="s">
        <v>65</v>
      </c>
      <c r="E382" s="60"/>
      <c r="F382" s="76"/>
      <c r="G382" s="77"/>
      <c r="H382" s="78">
        <f>SUM(H374,H367:H370,H366)</f>
        <v>43.750247999999999</v>
      </c>
      <c r="I382" s="79"/>
      <c r="J382" s="79"/>
      <c r="K382" s="78">
        <f>SUM(K374,K367:K370,K366)</f>
        <v>44.391348000000001</v>
      </c>
      <c r="L382" s="80">
        <f>K382-H382</f>
        <v>0.64110000000000156</v>
      </c>
      <c r="M382" s="81">
        <f>IF((H382)=0,"",(L382/H382))</f>
        <v>1.4653631220559059E-2</v>
      </c>
    </row>
    <row r="383" spans="1:13" hidden="1" x14ac:dyDescent="0.2">
      <c r="A383" s="1" t="s">
        <v>11</v>
      </c>
      <c r="B383" s="1" t="s">
        <v>57</v>
      </c>
      <c r="C383" s="19"/>
      <c r="D383" s="82" t="s">
        <v>61</v>
      </c>
      <c r="E383" s="60"/>
      <c r="F383" s="76">
        <v>0.13</v>
      </c>
      <c r="G383" s="77"/>
      <c r="H383" s="84">
        <f>H382*F383</f>
        <v>5.6875322400000003</v>
      </c>
      <c r="I383" s="76">
        <v>0.13</v>
      </c>
      <c r="J383" s="85"/>
      <c r="K383" s="84">
        <f>K382*I383</f>
        <v>5.7708752400000005</v>
      </c>
      <c r="L383" s="86">
        <f>K383-H383</f>
        <v>8.3343000000000167E-2</v>
      </c>
      <c r="M383" s="87">
        <f>IF((H383)=0,"",(L383/H383))</f>
        <v>1.4653631220559052E-2</v>
      </c>
    </row>
    <row r="384" spans="1:13" hidden="1" x14ac:dyDescent="0.2">
      <c r="A384" s="1" t="s">
        <v>11</v>
      </c>
      <c r="B384" s="1" t="s">
        <v>57</v>
      </c>
      <c r="C384" s="19"/>
      <c r="D384" s="82" t="s">
        <v>62</v>
      </c>
      <c r="E384" s="60"/>
      <c r="F384" s="76">
        <v>0.08</v>
      </c>
      <c r="G384" s="77"/>
      <c r="H384" s="84">
        <v>0</v>
      </c>
      <c r="I384" s="76">
        <v>0.08</v>
      </c>
      <c r="J384" s="85"/>
      <c r="K384" s="84">
        <v>0</v>
      </c>
      <c r="L384" s="86"/>
      <c r="M384" s="87"/>
    </row>
    <row r="385" spans="1:13" hidden="1" x14ac:dyDescent="0.2">
      <c r="A385" s="1" t="s">
        <v>11</v>
      </c>
      <c r="B385" s="1" t="s">
        <v>66</v>
      </c>
      <c r="C385" s="19"/>
      <c r="D385" s="110" t="s">
        <v>65</v>
      </c>
      <c r="E385" s="110"/>
      <c r="F385" s="95"/>
      <c r="G385" s="96"/>
      <c r="H385" s="90">
        <f>SUM(H382,H383)</f>
        <v>49.437780240000002</v>
      </c>
      <c r="I385" s="97"/>
      <c r="J385" s="97"/>
      <c r="K385" s="90">
        <f>SUM(K382,K383)</f>
        <v>50.162223240000003</v>
      </c>
      <c r="L385" s="98">
        <f>K385-H385</f>
        <v>0.72444300000000084</v>
      </c>
      <c r="M385" s="99">
        <f>IF((H385)=0,"",(L385/H385))</f>
        <v>1.465363122055904E-2</v>
      </c>
    </row>
    <row r="386" spans="1:13" ht="13.5" hidden="1" thickBot="1" x14ac:dyDescent="0.25">
      <c r="A386" s="1" t="s">
        <v>11</v>
      </c>
      <c r="B386" s="1" t="s">
        <v>57</v>
      </c>
      <c r="C386" s="19"/>
      <c r="D386" s="67"/>
      <c r="E386" s="68"/>
      <c r="F386" s="100"/>
      <c r="G386" s="101"/>
      <c r="H386" s="102"/>
      <c r="I386" s="100"/>
      <c r="J386" s="70"/>
      <c r="K386" s="102"/>
      <c r="L386" s="103"/>
      <c r="M386" s="74"/>
    </row>
    <row r="387" spans="1:13" x14ac:dyDescent="0.2">
      <c r="A387" s="1" t="s">
        <v>11</v>
      </c>
      <c r="B387" s="1" t="s">
        <v>6</v>
      </c>
      <c r="C387" s="19"/>
      <c r="D387" s="75" t="s">
        <v>67</v>
      </c>
      <c r="E387" s="60"/>
      <c r="F387" s="76"/>
      <c r="G387" s="77"/>
      <c r="H387" s="78">
        <f>SUM(H375,H367:H370,H366)</f>
        <v>43.750247999999999</v>
      </c>
      <c r="I387" s="79"/>
      <c r="J387" s="79"/>
      <c r="K387" s="78">
        <f>SUM(K375,K367:K370,K366)</f>
        <v>44.391348000000001</v>
      </c>
      <c r="L387" s="80">
        <f>K387-H387</f>
        <v>0.64110000000000156</v>
      </c>
      <c r="M387" s="81">
        <f>IF((H387)=0,"",(L387/H387))</f>
        <v>1.4653631220559059E-2</v>
      </c>
    </row>
    <row r="388" spans="1:13" x14ac:dyDescent="0.2">
      <c r="A388" s="1" t="s">
        <v>11</v>
      </c>
      <c r="B388" s="1" t="s">
        <v>6</v>
      </c>
      <c r="C388" s="19"/>
      <c r="D388" s="82" t="s">
        <v>61</v>
      </c>
      <c r="E388" s="60"/>
      <c r="F388" s="76">
        <v>0.13</v>
      </c>
      <c r="G388" s="77"/>
      <c r="H388" s="84">
        <f>H387*F388</f>
        <v>5.6875322400000003</v>
      </c>
      <c r="I388" s="76">
        <v>0.13</v>
      </c>
      <c r="J388" s="85"/>
      <c r="K388" s="84">
        <f>K387*I388</f>
        <v>5.7708752400000005</v>
      </c>
      <c r="L388" s="86">
        <f>K388-H388</f>
        <v>8.3343000000000167E-2</v>
      </c>
      <c r="M388" s="87">
        <f>IF((H388)=0,"",(L388/H388))</f>
        <v>1.4653631220559052E-2</v>
      </c>
    </row>
    <row r="389" spans="1:13" hidden="1" x14ac:dyDescent="0.2">
      <c r="A389" s="1" t="s">
        <v>11</v>
      </c>
      <c r="B389" s="1" t="s">
        <v>6</v>
      </c>
      <c r="C389" s="19"/>
      <c r="D389" s="82" t="s">
        <v>62</v>
      </c>
      <c r="E389" s="60"/>
      <c r="F389" s="76">
        <v>0.08</v>
      </c>
      <c r="G389" s="77"/>
      <c r="H389" s="84">
        <v>0</v>
      </c>
      <c r="I389" s="76">
        <v>0.08</v>
      </c>
      <c r="J389" s="85"/>
      <c r="K389" s="84">
        <v>0</v>
      </c>
      <c r="L389" s="86"/>
      <c r="M389" s="87"/>
    </row>
    <row r="390" spans="1:13" ht="13.5" thickBot="1" x14ac:dyDescent="0.25">
      <c r="A390" s="1" t="s">
        <v>11</v>
      </c>
      <c r="B390" s="1" t="s">
        <v>68</v>
      </c>
      <c r="C390" s="19">
        <v>8</v>
      </c>
      <c r="D390" s="110" t="s">
        <v>67</v>
      </c>
      <c r="E390" s="110"/>
      <c r="F390" s="95"/>
      <c r="G390" s="96"/>
      <c r="H390" s="90">
        <v>49.503395271999999</v>
      </c>
      <c r="I390" s="97"/>
      <c r="J390" s="97"/>
      <c r="K390" s="90">
        <v>50.162223240000003</v>
      </c>
      <c r="L390" s="98">
        <v>0.6588279680000042</v>
      </c>
      <c r="M390" s="99">
        <v>1.3308743054492042E-2</v>
      </c>
    </row>
    <row r="391" spans="1:13" ht="13.5" thickBot="1" x14ac:dyDescent="0.25">
      <c r="A391" s="1" t="s">
        <v>11</v>
      </c>
      <c r="B391" s="1" t="s">
        <v>6</v>
      </c>
      <c r="C391" s="19"/>
      <c r="D391" s="67"/>
      <c r="E391" s="68"/>
      <c r="F391" s="104"/>
      <c r="G391" s="105"/>
      <c r="H391" s="106"/>
      <c r="I391" s="104"/>
      <c r="J391" s="107"/>
      <c r="K391" s="106"/>
      <c r="L391" s="108"/>
      <c r="M391" s="109"/>
    </row>
  </sheetData>
  <mergeCells count="77">
    <mergeCell ref="E2:J2"/>
    <mergeCell ref="E3:G3"/>
    <mergeCell ref="F9:H9"/>
    <mergeCell ref="I9:K9"/>
    <mergeCell ref="D54:E54"/>
    <mergeCell ref="D49:E49"/>
    <mergeCell ref="D110:E110"/>
    <mergeCell ref="L9:M9"/>
    <mergeCell ref="E10:E11"/>
    <mergeCell ref="L10:L11"/>
    <mergeCell ref="M10:M11"/>
    <mergeCell ref="D44:E44"/>
    <mergeCell ref="E58:J58"/>
    <mergeCell ref="E59:G59"/>
    <mergeCell ref="F65:H65"/>
    <mergeCell ref="I65:K65"/>
    <mergeCell ref="L65:M65"/>
    <mergeCell ref="E66:E67"/>
    <mergeCell ref="L66:L67"/>
    <mergeCell ref="M66:M67"/>
    <mergeCell ref="D100:E100"/>
    <mergeCell ref="D105:E105"/>
    <mergeCell ref="D161:E161"/>
    <mergeCell ref="D166:E166"/>
    <mergeCell ref="E170:J170"/>
    <mergeCell ref="E171:G171"/>
    <mergeCell ref="L121:M121"/>
    <mergeCell ref="E122:E123"/>
    <mergeCell ref="L122:L123"/>
    <mergeCell ref="M122:M123"/>
    <mergeCell ref="E114:J114"/>
    <mergeCell ref="E115:G115"/>
    <mergeCell ref="F121:H121"/>
    <mergeCell ref="I121:K121"/>
    <mergeCell ref="D156:E156"/>
    <mergeCell ref="L233:M233"/>
    <mergeCell ref="L177:M177"/>
    <mergeCell ref="E178:E179"/>
    <mergeCell ref="L178:L179"/>
    <mergeCell ref="M178:M179"/>
    <mergeCell ref="D212:E212"/>
    <mergeCell ref="D217:E217"/>
    <mergeCell ref="D222:E222"/>
    <mergeCell ref="E226:J226"/>
    <mergeCell ref="E227:G227"/>
    <mergeCell ref="F233:H233"/>
    <mergeCell ref="I233:K233"/>
    <mergeCell ref="F177:H177"/>
    <mergeCell ref="I177:K177"/>
    <mergeCell ref="E290:E291"/>
    <mergeCell ref="L290:L291"/>
    <mergeCell ref="M290:M291"/>
    <mergeCell ref="E234:E235"/>
    <mergeCell ref="L234:L235"/>
    <mergeCell ref="M234:M235"/>
    <mergeCell ref="D268:E268"/>
    <mergeCell ref="D273:E273"/>
    <mergeCell ref="D278:E278"/>
    <mergeCell ref="E282:J282"/>
    <mergeCell ref="E283:G283"/>
    <mergeCell ref="F289:H289"/>
    <mergeCell ref="I289:K289"/>
    <mergeCell ref="L289:M289"/>
    <mergeCell ref="D390:E390"/>
    <mergeCell ref="L345:M345"/>
    <mergeCell ref="E346:E347"/>
    <mergeCell ref="L346:L347"/>
    <mergeCell ref="M346:M347"/>
    <mergeCell ref="D380:E380"/>
    <mergeCell ref="D385:E385"/>
    <mergeCell ref="F345:H345"/>
    <mergeCell ref="I345:K345"/>
    <mergeCell ref="D324:E324"/>
    <mergeCell ref="D329:E329"/>
    <mergeCell ref="D334:E334"/>
    <mergeCell ref="E338:J338"/>
    <mergeCell ref="E339:G339"/>
  </mergeCells>
  <pageMargins left="0.70866141732283472" right="0.70866141732283472" top="0.74803149606299213" bottom="0.74803149606299213" header="0.31496062992125984" footer="0.31496062992125984"/>
  <pageSetup scale="60" orientation="landscape" r:id="rId1"/>
  <rowBreaks count="6" manualBreakCount="6">
    <brk id="56" max="16383" man="1"/>
    <brk id="112" max="16383" man="1"/>
    <brk id="168" max="16383" man="1"/>
    <brk id="224" max="16383" man="1"/>
    <brk id="280" max="16383" man="1"/>
    <brk id="3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 impact</vt:lpstr>
      <vt:lpstr>'bill impact'!Print_Area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William Cheng</cp:lastModifiedBy>
  <cp:lastPrinted>2019-01-06T13:59:32Z</cp:lastPrinted>
  <dcterms:created xsi:type="dcterms:W3CDTF">2018-12-20T20:29:51Z</dcterms:created>
  <dcterms:modified xsi:type="dcterms:W3CDTF">2019-01-06T22:39:19Z</dcterms:modified>
</cp:coreProperties>
</file>