
<file path=[Content_Types].xml><?xml version="1.0" encoding="utf-8"?>
<Types xmlns="http://schemas.openxmlformats.org/package/2006/content-type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externalLink+xml" PartName="/xl/externalLinks/externalLink1.xml"/>
  <Override ContentType="application/vnd.openxmlformats-officedocument.spreadsheetml.externalLink+xml" PartName="/xl/externalLinks/externalLink10.xml"/>
  <Override ContentType="application/vnd.openxmlformats-officedocument.spreadsheetml.externalLink+xml" PartName="/xl/externalLinks/externalLink11.xml"/>
  <Override ContentType="application/vnd.openxmlformats-officedocument.spreadsheetml.externalLink+xml" PartName="/xl/externalLinks/externalLink12.xml"/>
  <Override ContentType="application/vnd.openxmlformats-officedocument.spreadsheetml.externalLink+xml" PartName="/xl/externalLinks/externalLink13.xml"/>
  <Override ContentType="application/vnd.openxmlformats-officedocument.spreadsheetml.externalLink+xml" PartName="/xl/externalLinks/externalLink14.xml"/>
  <Override ContentType="application/vnd.openxmlformats-officedocument.spreadsheetml.externalLink+xml" PartName="/xl/externalLinks/externalLink15.xml"/>
  <Override ContentType="application/vnd.openxmlformats-officedocument.spreadsheetml.externalLink+xml" PartName="/xl/externalLinks/externalLink16.xml"/>
  <Override ContentType="application/vnd.openxmlformats-officedocument.spreadsheetml.externalLink+xml" PartName="/xl/externalLinks/externalLink17.xml"/>
  <Override ContentType="application/vnd.openxmlformats-officedocument.spreadsheetml.externalLink+xml" PartName="/xl/externalLinks/externalLink18.xml"/>
  <Override ContentType="application/vnd.openxmlformats-officedocument.spreadsheetml.externalLink+xml" PartName="/xl/externalLinks/externalLink19.xml"/>
  <Override ContentType="application/vnd.openxmlformats-officedocument.spreadsheetml.externalLink+xml" PartName="/xl/externalLinks/externalLink2.xml"/>
  <Override ContentType="application/vnd.openxmlformats-officedocument.spreadsheetml.externalLink+xml" PartName="/xl/externalLinks/externalLink20.xml"/>
  <Override ContentType="application/vnd.openxmlformats-officedocument.spreadsheetml.externalLink+xml" PartName="/xl/externalLinks/externalLink21.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worksheet+xml" PartName="/xl/worksheets/sheet44.xml"/>
  <Override ContentType="application/vnd.openxmlformats-officedocument.spreadsheetml.worksheet+xml" PartName="/xl/worksheets/sheet45.xml"/>
  <Override ContentType="application/vnd.openxmlformats-officedocument.spreadsheetml.worksheet+xml" PartName="/xl/worksheets/sheet46.xml"/>
  <Override ContentType="application/vnd.openxmlformats-officedocument.spreadsheetml.worksheet+xml" PartName="/xl/worksheets/sheet47.xml"/>
  <Override ContentType="application/vnd.openxmlformats-officedocument.spreadsheetml.worksheet+xml" PartName="/xl/worksheets/sheet48.xml"/>
  <Override ContentType="application/vnd.openxmlformats-officedocument.spreadsheetml.worksheet+xml" PartName="/xl/worksheets/sheet49.xml"/>
  <Override ContentType="application/vnd.openxmlformats-officedocument.spreadsheetml.worksheet+xml" PartName="/xl/worksheets/sheet5.xml"/>
  <Override ContentType="application/vnd.openxmlformats-officedocument.spreadsheetml.worksheet+xml" PartName="/xl/worksheets/sheet50.xml"/>
  <Override ContentType="application/vnd.openxmlformats-officedocument.spreadsheetml.worksheet+xml" PartName="/xl/worksheets/sheet51.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codeName="{22E68647-3C60-695B-3CA0-4895CD717B8A}"/>
  <workbookPr codeName="ThisWorkbook" defaultThemeVersion="124226"/>
  <mc:AlternateContent xmlns:mc="http://schemas.openxmlformats.org/markup-compatibility/2006">
    <mc:Choice Requires="x15">
      <x15ac:absPath xmlns:x15ac="http://schemas.microsoft.com/office/spreadsheetml/2010/11/ac" url="Y:\OEB\Rate Applications\2019 Cost of Service\OEB Models\OEB Models (01-04-19)\For Filing\"/>
    </mc:Choice>
  </mc:AlternateContent>
  <xr:revisionPtr revIDLastSave="0" documentId="13_ncr:1_{7B03D4D0-3CD0-4C7D-AC47-B4E9DF886CF1}" xr6:coauthVersionLast="40" xr6:coauthVersionMax="40" xr10:uidLastSave="{00000000-0000-0000-0000-000000000000}"/>
  <workbookProtection workbookAlgorithmName="SHA-512" workbookHashValue="X/sWAW+YMVGMF+blaKvCdpnAEKwWhvG3JGvUhpxD4gzTD3Xej/LPMasxoolemVB7X7H3oui4oku6YgNMe287eQ==" workbookSaltValue="wY+hFxHHxeLx3gkH7fdCyA==" workbookSpinCount="100000" lockStructure="1"/>
  <bookViews>
    <workbookView xWindow="0" yWindow="0" windowWidth="18870" windowHeight="6225" tabRatio="934" xr2:uid="{00000000-000D-0000-FFFF-FFFF00000000}"/>
  </bookViews>
  <sheets>
    <sheet name="LDC Info" sheetId="32" r:id="rId1"/>
    <sheet name="Index" sheetId="10" r:id="rId2"/>
    <sheet name="COS Flowchart" sheetId="26" r:id="rId3"/>
    <sheet name="List of Key References" sheetId="151" r:id="rId4"/>
    <sheet name="App.2-A_Requested_Approvals" sheetId="135" r:id="rId5"/>
    <sheet name="App.2-AA_Capital Projects" sheetId="11" r:id="rId6"/>
    <sheet name="App.2-AB_Capital Expenditures" sheetId="102" r:id="rId7"/>
    <sheet name="Hidden_CAPEX" sheetId="140" state="hidden" r:id="rId8"/>
    <sheet name="App.2-AC_Customer Engagement" sheetId="110" r:id="rId9"/>
    <sheet name="App.2-B_Acctg Instructions" sheetId="137" r:id="rId10"/>
    <sheet name="App.2-BA_Fixed Asset Cont" sheetId="100" r:id="rId11"/>
    <sheet name="Appendix 2-BB Service Life  " sheetId="109" r:id="rId12"/>
    <sheet name="App.2-C_DepExp" sheetId="138" r:id="rId13"/>
    <sheet name="App.2-D_Overhead" sheetId="71" r:id="rId14"/>
    <sheet name="App.2-EA_Account 1575 (2015)" sheetId="118" state="hidden" r:id="rId15"/>
    <sheet name="App.2-EB_Account 1576 (2012)" sheetId="75" state="hidden" r:id="rId16"/>
    <sheet name="App.2-EC_Account 1576 (2013)" sheetId="119" state="hidden" r:id="rId17"/>
    <sheet name="App.2-FA Proposed REG Invest." sheetId="55" r:id="rId18"/>
    <sheet name="Hidden_REG Invest." sheetId="142" state="hidden" r:id="rId19"/>
    <sheet name="App.2-FB Calc of REG Improvemnt" sheetId="54" r:id="rId20"/>
    <sheet name="Hidden_REG Improvement" sheetId="143" state="hidden" r:id="rId21"/>
    <sheet name="App.2-FC Calc of REG Expansion" sheetId="98" r:id="rId22"/>
    <sheet name="Hidden_REG Expansion" sheetId="144" state="hidden" r:id="rId23"/>
    <sheet name="App.2-G SQI" sheetId="53" r:id="rId24"/>
    <sheet name="App.2-H_Other_Oper_Rev" sheetId="14" r:id="rId25"/>
    <sheet name="Hidden_Other Revenue" sheetId="145" state="hidden" r:id="rId26"/>
    <sheet name="App_2-I LF_CDM" sheetId="122" r:id="rId27"/>
    <sheet name="App.2-IA_Load_Forecast_Instrct" sheetId="132" r:id="rId28"/>
    <sheet name="App.2-IB_Load_Forecast_Analysis" sheetId="133" r:id="rId29"/>
    <sheet name="App.2-JA_OM&amp;A_Summary_Analys" sheetId="49" r:id="rId30"/>
    <sheet name="Hidden_OM&amp;A Summary" sheetId="146" state="hidden" r:id="rId31"/>
    <sheet name="App.2-JB_OM&amp;A_Cost _Drivers" sheetId="15" r:id="rId32"/>
    <sheet name="App.2-JC_OMA Programs" sheetId="105" r:id="rId33"/>
    <sheet name="App.2-K_Employee Costs" sheetId="5" r:id="rId34"/>
    <sheet name="Hidden_Employee Costs" sheetId="147" state="hidden" r:id="rId35"/>
    <sheet name="App.2-L_OM&amp;A_per_Cust_FTE" sheetId="136" r:id="rId36"/>
    <sheet name="App.2-L_OM&amp;A_per_Cust_FTEE_exp" sheetId="20" state="hidden" r:id="rId37"/>
    <sheet name="App.2-M_Regulatory_Costs" sheetId="12" r:id="rId38"/>
    <sheet name="Hidden_RegulatoryCosts1" sheetId="148" state="hidden" r:id="rId39"/>
    <sheet name="Hidden_RegulatoryCosts2" sheetId="149" state="hidden" r:id="rId40"/>
    <sheet name="App.2-N_Corp_Cost_Allocation" sheetId="18" r:id="rId41"/>
    <sheet name="App.2-OA Capital Structure" sheetId="50" r:id="rId42"/>
    <sheet name="App.2-OB_Debt Instruments" sheetId="6" r:id="rId43"/>
    <sheet name="App.2-Q_Cost of Serv. Emb. Dx" sheetId="34" r:id="rId44"/>
    <sheet name="App.2-R_Loss Factors" sheetId="21" r:id="rId45"/>
    <sheet name="App.2-S_Stranded Meters" sheetId="23" r:id="rId46"/>
    <sheet name="App.2-Y_MIFRS Summary Impacts" sheetId="81" state="hidden" r:id="rId47"/>
    <sheet name="Sheet19" sheetId="96" state="hidden" r:id="rId48"/>
    <sheet name="App.2-YA_IFRS Transition Costs" sheetId="80" state="hidden" r:id="rId49"/>
    <sheet name="App.2-Z_Commodity Expense" sheetId="150" r:id="rId50"/>
    <sheet name="Sheet1" sheetId="134" state="hidden" r:id="rId51"/>
  </sheets>
  <externalReferences>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s>
  <definedNames>
    <definedName name="_ftn1" localSheetId="9">'App.2-B_Acctg Instructions'!#REF!</definedName>
    <definedName name="_ftnref1" localSheetId="9">'App.2-B_Acctg Instructions'!#REF!</definedName>
    <definedName name="_Parse_Out" hidden="1">#REF!</definedName>
    <definedName name="ApprovedYr">'[1]Z1.ModelVariables'!$C$12</definedName>
    <definedName name="AS2DocOpenMode" hidden="1">"AS2DocumentEdit"</definedName>
    <definedName name="BI_LDCLIST">'[2]3. Rate Class Selection'!$B$19:$B$21</definedName>
    <definedName name="Bridge_Year">'[3]0.1 LDC Info'!$E$23</definedName>
    <definedName name="BridgeYear" localSheetId="9">'[4]LDC Info'!$E$26</definedName>
    <definedName name="BridgeYear" localSheetId="26">'LDC Info'!$E$26</definedName>
    <definedName name="BridgeYear" localSheetId="11">'[5]LDC Info'!$E$26</definedName>
    <definedName name="BridgeYear">'LDC Info'!$E$26</definedName>
    <definedName name="contactf" localSheetId="14">#REF!</definedName>
    <definedName name="contactf" localSheetId="16">#REF!</definedName>
    <definedName name="contactf" localSheetId="28">#REF!</definedName>
    <definedName name="contactf" localSheetId="35">#REF!</definedName>
    <definedName name="contactf" localSheetId="26">#REF!</definedName>
    <definedName name="contactf" localSheetId="11">#REF!</definedName>
    <definedName name="contactf">#REF!</definedName>
    <definedName name="CRLF">'[1]Z1.ModelVariables'!$C$10</definedName>
    <definedName name="CustomerAdministration" localSheetId="9">[6]lists!$Z$1:$Z$36</definedName>
    <definedName name="CustomerAdministration" localSheetId="26">[7]lists!$Z$1:$Z$36</definedName>
    <definedName name="CustomerAdministration" localSheetId="11">[5]lists!$Z$1:$Z$36</definedName>
    <definedName name="CustomerAdministration">[7]lists!$Z$1:$Z$36</definedName>
    <definedName name="EBNUMBER" localSheetId="9">'[4]LDC Info'!$E$16</definedName>
    <definedName name="EBNUMBER" localSheetId="12">'[8]LDC Info'!$E$16</definedName>
    <definedName name="EBNumber" localSheetId="49">'[9]LDC Info'!$E$15</definedName>
    <definedName name="EBNUMBER" localSheetId="26">'LDC Info'!$E$16</definedName>
    <definedName name="EBNUMBER" localSheetId="11">'[5]LDC Info'!$E$16</definedName>
    <definedName name="EBNUMBER">'LDC Info'!$E$16</definedName>
    <definedName name="Fixed_Charges" localSheetId="9">[6]lists!$I$1:$I$212</definedName>
    <definedName name="Fixed_Charges" localSheetId="26">[7]lists!$I$1:$I$212</definedName>
    <definedName name="Fixed_Charges" localSheetId="11">[5]lists!$I$1:$I$185</definedName>
    <definedName name="Fixed_Charges">[7]lists!$I$1:$I$212</definedName>
    <definedName name="histdate">[10]Financials!$E$76</definedName>
    <definedName name="Incr2000" localSheetId="14">#REF!</definedName>
    <definedName name="Incr2000" localSheetId="16">#REF!</definedName>
    <definedName name="Incr2000" localSheetId="28">#REF!</definedName>
    <definedName name="Incr2000" localSheetId="35">#REF!</definedName>
    <definedName name="Incr2000" localSheetId="26">#REF!</definedName>
    <definedName name="Incr2000" localSheetId="11">#REF!</definedName>
    <definedName name="Incr2000">#REF!</definedName>
    <definedName name="IRMWG" localSheetId="9">'App.2-B_Acctg Instructions'!#REF!</definedName>
    <definedName name="Last_Rebasing_Year">'[3]0.1 LDC Info'!$E$27</definedName>
    <definedName name="LDC_LIST" localSheetId="49">[11]lists!$AM$1:$AM$80</definedName>
    <definedName name="LDC_LIST" localSheetId="11">[12]lists!$AM$1:$AM$80</definedName>
    <definedName name="LDC_LIST">[13]lists!$AM$1:$AM$80</definedName>
    <definedName name="LDCLIST" localSheetId="9">#REF!</definedName>
    <definedName name="LDCLIST" localSheetId="10">#REF!</definedName>
    <definedName name="LDCLIST" localSheetId="14">#REF!</definedName>
    <definedName name="LDCLIST" localSheetId="41">'[14]LDC Info'!$AA$3:$AA$79</definedName>
    <definedName name="LDCLIST">'LDC Info'!$AA$8:$AA$78</definedName>
    <definedName name="LDCNAMES" localSheetId="9">[6]lists!$AL$1:$AL$78</definedName>
    <definedName name="LDCNAMES">[7]lists!$AL$1:$AL$78</definedName>
    <definedName name="LIMIT" localSheetId="14">#REF!</definedName>
    <definedName name="LIMIT" localSheetId="16">#REF!</definedName>
    <definedName name="LIMIT" localSheetId="28">#REF!</definedName>
    <definedName name="LIMIT" localSheetId="35">#REF!</definedName>
    <definedName name="LIMIT" localSheetId="26">#REF!</definedName>
    <definedName name="LIMIT" localSheetId="11">#REF!</definedName>
    <definedName name="LIMIT">#REF!</definedName>
    <definedName name="LossFactors" localSheetId="9">[6]lists!$L$2:$L$15</definedName>
    <definedName name="LossFactors" localSheetId="26">[7]lists!$L$2:$L$15</definedName>
    <definedName name="LossFactors" localSheetId="11">[5]lists!$L$2:$L$15</definedName>
    <definedName name="LossFactors">[7]lists!$L$2:$L$15</definedName>
    <definedName name="man_beg_bud" localSheetId="14">#REF!</definedName>
    <definedName name="man_beg_bud" localSheetId="16">#REF!</definedName>
    <definedName name="man_beg_bud" localSheetId="28">#REF!</definedName>
    <definedName name="man_beg_bud" localSheetId="35">#REF!</definedName>
    <definedName name="man_beg_bud" localSheetId="26">#REF!</definedName>
    <definedName name="man_beg_bud" localSheetId="11">#REF!</definedName>
    <definedName name="man_beg_bud">#REF!</definedName>
    <definedName name="man_end_bud" localSheetId="14">#REF!</definedName>
    <definedName name="man_end_bud" localSheetId="16">#REF!</definedName>
    <definedName name="man_end_bud" localSheetId="28">#REF!</definedName>
    <definedName name="man_end_bud" localSheetId="35">#REF!</definedName>
    <definedName name="man_end_bud" localSheetId="26">#REF!</definedName>
    <definedName name="man_end_bud" localSheetId="11">#REF!</definedName>
    <definedName name="man_end_bud">#REF!</definedName>
    <definedName name="man12ACT" localSheetId="14">#REF!</definedName>
    <definedName name="man12ACT" localSheetId="16">#REF!</definedName>
    <definedName name="man12ACT" localSheetId="28">#REF!</definedName>
    <definedName name="man12ACT" localSheetId="35">#REF!</definedName>
    <definedName name="man12ACT" localSheetId="26">#REF!</definedName>
    <definedName name="man12ACT" localSheetId="11">#REF!</definedName>
    <definedName name="man12ACT">#REF!</definedName>
    <definedName name="MANBUD" localSheetId="14">#REF!</definedName>
    <definedName name="MANBUD" localSheetId="16">#REF!</definedName>
    <definedName name="MANBUD" localSheetId="28">#REF!</definedName>
    <definedName name="MANBUD" localSheetId="35">#REF!</definedName>
    <definedName name="MANBUD" localSheetId="26">#REF!</definedName>
    <definedName name="MANBUD">#REF!</definedName>
    <definedName name="manCYACT" localSheetId="14">#REF!</definedName>
    <definedName name="manCYACT" localSheetId="16">#REF!</definedName>
    <definedName name="manCYACT" localSheetId="28">#REF!</definedName>
    <definedName name="manCYACT" localSheetId="35">#REF!</definedName>
    <definedName name="manCYACT" localSheetId="26">#REF!</definedName>
    <definedName name="manCYACT">#REF!</definedName>
    <definedName name="manCYBUD" localSheetId="14">#REF!</definedName>
    <definedName name="manCYBUD" localSheetId="16">#REF!</definedName>
    <definedName name="manCYBUD" localSheetId="28">#REF!</definedName>
    <definedName name="manCYBUD" localSheetId="35">#REF!</definedName>
    <definedName name="manCYBUD" localSheetId="26">#REF!</definedName>
    <definedName name="manCYBUD">#REF!</definedName>
    <definedName name="manCYF" localSheetId="14">#REF!</definedName>
    <definedName name="manCYF" localSheetId="16">#REF!</definedName>
    <definedName name="manCYF" localSheetId="28">#REF!</definedName>
    <definedName name="manCYF" localSheetId="35">#REF!</definedName>
    <definedName name="manCYF" localSheetId="26">#REF!</definedName>
    <definedName name="manCYF">#REF!</definedName>
    <definedName name="MANEND" localSheetId="14">#REF!</definedName>
    <definedName name="MANEND" localSheetId="16">#REF!</definedName>
    <definedName name="MANEND" localSheetId="28">#REF!</definedName>
    <definedName name="MANEND" localSheetId="35">#REF!</definedName>
    <definedName name="MANEND" localSheetId="26">#REF!</definedName>
    <definedName name="MANEND">#REF!</definedName>
    <definedName name="manNYbud" localSheetId="14">#REF!</definedName>
    <definedName name="manNYbud" localSheetId="16">#REF!</definedName>
    <definedName name="manNYbud" localSheetId="28">#REF!</definedName>
    <definedName name="manNYbud" localSheetId="35">#REF!</definedName>
    <definedName name="manNYbud" localSheetId="26">#REF!</definedName>
    <definedName name="manNYbud">#REF!</definedName>
    <definedName name="manpower_costs" localSheetId="14">#REF!</definedName>
    <definedName name="manpower_costs" localSheetId="16">#REF!</definedName>
    <definedName name="manpower_costs" localSheetId="28">#REF!</definedName>
    <definedName name="manpower_costs" localSheetId="35">#REF!</definedName>
    <definedName name="manpower_costs" localSheetId="26">#REF!</definedName>
    <definedName name="manpower_costs">#REF!</definedName>
    <definedName name="manPYACT" localSheetId="14">#REF!</definedName>
    <definedName name="manPYACT" localSheetId="16">#REF!</definedName>
    <definedName name="manPYACT" localSheetId="28">#REF!</definedName>
    <definedName name="manPYACT" localSheetId="35">#REF!</definedName>
    <definedName name="manPYACT" localSheetId="26">#REF!</definedName>
    <definedName name="manPYACT">#REF!</definedName>
    <definedName name="MANSTART" localSheetId="14">#REF!</definedName>
    <definedName name="MANSTART" localSheetId="16">#REF!</definedName>
    <definedName name="MANSTART" localSheetId="28">#REF!</definedName>
    <definedName name="MANSTART" localSheetId="35">#REF!</definedName>
    <definedName name="MANSTART" localSheetId="26">#REF!</definedName>
    <definedName name="MANSTART">#REF!</definedName>
    <definedName name="mat_beg_bud" localSheetId="14">#REF!</definedName>
    <definedName name="mat_beg_bud" localSheetId="16">#REF!</definedName>
    <definedName name="mat_beg_bud" localSheetId="28">#REF!</definedName>
    <definedName name="mat_beg_bud" localSheetId="35">#REF!</definedName>
    <definedName name="mat_beg_bud" localSheetId="26">#REF!</definedName>
    <definedName name="mat_beg_bud">#REF!</definedName>
    <definedName name="mat_end_bud" localSheetId="14">#REF!</definedName>
    <definedName name="mat_end_bud" localSheetId="16">#REF!</definedName>
    <definedName name="mat_end_bud" localSheetId="28">#REF!</definedName>
    <definedName name="mat_end_bud" localSheetId="35">#REF!</definedName>
    <definedName name="mat_end_bud" localSheetId="26">#REF!</definedName>
    <definedName name="mat_end_bud">#REF!</definedName>
    <definedName name="mat12ACT" localSheetId="14">#REF!</definedName>
    <definedName name="mat12ACT" localSheetId="16">#REF!</definedName>
    <definedName name="mat12ACT" localSheetId="28">#REF!</definedName>
    <definedName name="mat12ACT" localSheetId="35">#REF!</definedName>
    <definedName name="mat12ACT" localSheetId="26">#REF!</definedName>
    <definedName name="mat12ACT">#REF!</definedName>
    <definedName name="MATBUD" localSheetId="14">#REF!</definedName>
    <definedName name="MATBUD" localSheetId="16">#REF!</definedName>
    <definedName name="MATBUD" localSheetId="28">#REF!</definedName>
    <definedName name="MATBUD" localSheetId="35">#REF!</definedName>
    <definedName name="MATBUD" localSheetId="26">#REF!</definedName>
    <definedName name="MATBUD">#REF!</definedName>
    <definedName name="matCYACT" localSheetId="14">#REF!</definedName>
    <definedName name="matCYACT" localSheetId="16">#REF!</definedName>
    <definedName name="matCYACT" localSheetId="28">#REF!</definedName>
    <definedName name="matCYACT" localSheetId="35">#REF!</definedName>
    <definedName name="matCYACT" localSheetId="26">#REF!</definedName>
    <definedName name="matCYACT">#REF!</definedName>
    <definedName name="matCYBUD" localSheetId="14">#REF!</definedName>
    <definedName name="matCYBUD" localSheetId="16">#REF!</definedName>
    <definedName name="matCYBUD" localSheetId="28">#REF!</definedName>
    <definedName name="matCYBUD" localSheetId="35">#REF!</definedName>
    <definedName name="matCYBUD" localSheetId="26">#REF!</definedName>
    <definedName name="matCYBUD">#REF!</definedName>
    <definedName name="matCYF" localSheetId="14">#REF!</definedName>
    <definedName name="matCYF" localSheetId="16">#REF!</definedName>
    <definedName name="matCYF" localSheetId="28">#REF!</definedName>
    <definedName name="matCYF" localSheetId="35">#REF!</definedName>
    <definedName name="matCYF" localSheetId="26">#REF!</definedName>
    <definedName name="matCYF">#REF!</definedName>
    <definedName name="MATEND" localSheetId="14">#REF!</definedName>
    <definedName name="MATEND" localSheetId="16">#REF!</definedName>
    <definedName name="MATEND" localSheetId="28">#REF!</definedName>
    <definedName name="MATEND" localSheetId="35">#REF!</definedName>
    <definedName name="MATEND" localSheetId="26">#REF!</definedName>
    <definedName name="MATEND">#REF!</definedName>
    <definedName name="material_costs" localSheetId="14">#REF!</definedName>
    <definedName name="material_costs" localSheetId="16">#REF!</definedName>
    <definedName name="material_costs" localSheetId="28">#REF!</definedName>
    <definedName name="material_costs" localSheetId="35">#REF!</definedName>
    <definedName name="material_costs" localSheetId="26">#REF!</definedName>
    <definedName name="material_costs">#REF!</definedName>
    <definedName name="matNYbud" localSheetId="14">#REF!</definedName>
    <definedName name="matNYbud" localSheetId="16">#REF!</definedName>
    <definedName name="matNYbud" localSheetId="28">#REF!</definedName>
    <definedName name="matNYbud" localSheetId="35">#REF!</definedName>
    <definedName name="matNYbud" localSheetId="26">#REF!</definedName>
    <definedName name="matNYbud">#REF!</definedName>
    <definedName name="matPYACT" localSheetId="14">#REF!</definedName>
    <definedName name="matPYACT" localSheetId="16">#REF!</definedName>
    <definedName name="matPYACT" localSheetId="28">#REF!</definedName>
    <definedName name="matPYACT" localSheetId="35">#REF!</definedName>
    <definedName name="matPYACT" localSheetId="26">#REF!</definedName>
    <definedName name="matPYACT">#REF!</definedName>
    <definedName name="MATSTART" localSheetId="14">#REF!</definedName>
    <definedName name="MATSTART" localSheetId="16">#REF!</definedName>
    <definedName name="MATSTART" localSheetId="28">#REF!</definedName>
    <definedName name="MATSTART" localSheetId="35">#REF!</definedName>
    <definedName name="MATSTART" localSheetId="26">#REF!</definedName>
    <definedName name="MATSTART">#REF!</definedName>
    <definedName name="NonPayment" localSheetId="9">[6]lists!$AA$1:$AA$71</definedName>
    <definedName name="NonPayment" localSheetId="26">[7]lists!$AA$1:$AA$71</definedName>
    <definedName name="NonPayment" localSheetId="11">[5]lists!$AA$1:$AA$71</definedName>
    <definedName name="NonPayment">[7]lists!$AA$1:$AA$71</definedName>
    <definedName name="oth_beg_bud" localSheetId="14">#REF!</definedName>
    <definedName name="oth_beg_bud" localSheetId="16">#REF!</definedName>
    <definedName name="oth_beg_bud" localSheetId="28">#REF!</definedName>
    <definedName name="oth_beg_bud" localSheetId="35">#REF!</definedName>
    <definedName name="oth_beg_bud" localSheetId="26">#REF!</definedName>
    <definedName name="oth_beg_bud" localSheetId="11">#REF!</definedName>
    <definedName name="oth_beg_bud">#REF!</definedName>
    <definedName name="oth_end_bud" localSheetId="14">#REF!</definedName>
    <definedName name="oth_end_bud" localSheetId="16">#REF!</definedName>
    <definedName name="oth_end_bud" localSheetId="28">#REF!</definedName>
    <definedName name="oth_end_bud" localSheetId="35">#REF!</definedName>
    <definedName name="oth_end_bud" localSheetId="26">#REF!</definedName>
    <definedName name="oth_end_bud" localSheetId="11">#REF!</definedName>
    <definedName name="oth_end_bud">#REF!</definedName>
    <definedName name="oth12ACT" localSheetId="14">#REF!</definedName>
    <definedName name="oth12ACT" localSheetId="16">#REF!</definedName>
    <definedName name="oth12ACT" localSheetId="28">#REF!</definedName>
    <definedName name="oth12ACT" localSheetId="35">#REF!</definedName>
    <definedName name="oth12ACT" localSheetId="26">#REF!</definedName>
    <definedName name="oth12ACT" localSheetId="11">#REF!</definedName>
    <definedName name="oth12ACT">#REF!</definedName>
    <definedName name="othCYACT" localSheetId="14">#REF!</definedName>
    <definedName name="othCYACT" localSheetId="16">#REF!</definedName>
    <definedName name="othCYACT" localSheetId="28">#REF!</definedName>
    <definedName name="othCYACT" localSheetId="35">#REF!</definedName>
    <definedName name="othCYACT" localSheetId="26">#REF!</definedName>
    <definedName name="othCYACT">#REF!</definedName>
    <definedName name="othCYBUD" localSheetId="14">#REF!</definedName>
    <definedName name="othCYBUD" localSheetId="16">#REF!</definedName>
    <definedName name="othCYBUD" localSheetId="28">#REF!</definedName>
    <definedName name="othCYBUD" localSheetId="35">#REF!</definedName>
    <definedName name="othCYBUD" localSheetId="26">#REF!</definedName>
    <definedName name="othCYBUD">#REF!</definedName>
    <definedName name="othCYF" localSheetId="14">#REF!</definedName>
    <definedName name="othCYF" localSheetId="16">#REF!</definedName>
    <definedName name="othCYF" localSheetId="28">#REF!</definedName>
    <definedName name="othCYF" localSheetId="35">#REF!</definedName>
    <definedName name="othCYF" localSheetId="26">#REF!</definedName>
    <definedName name="othCYF">#REF!</definedName>
    <definedName name="OTHEND" localSheetId="14">#REF!</definedName>
    <definedName name="OTHEND" localSheetId="16">#REF!</definedName>
    <definedName name="OTHEND" localSheetId="28">#REF!</definedName>
    <definedName name="OTHEND" localSheetId="35">#REF!</definedName>
    <definedName name="OTHEND" localSheetId="26">#REF!</definedName>
    <definedName name="OTHEND">#REF!</definedName>
    <definedName name="other_costs" localSheetId="14">#REF!</definedName>
    <definedName name="other_costs" localSheetId="16">#REF!</definedName>
    <definedName name="other_costs" localSheetId="28">#REF!</definedName>
    <definedName name="other_costs" localSheetId="35">#REF!</definedName>
    <definedName name="other_costs" localSheetId="26">#REF!</definedName>
    <definedName name="other_costs">#REF!</definedName>
    <definedName name="OTHERBUD" localSheetId="14">#REF!</definedName>
    <definedName name="OTHERBUD" localSheetId="16">#REF!</definedName>
    <definedName name="OTHERBUD" localSheetId="28">#REF!</definedName>
    <definedName name="OTHERBUD" localSheetId="35">#REF!</definedName>
    <definedName name="OTHERBUD" localSheetId="26">#REF!</definedName>
    <definedName name="OTHERBUD">#REF!</definedName>
    <definedName name="othNYbud" localSheetId="14">#REF!</definedName>
    <definedName name="othNYbud" localSheetId="16">#REF!</definedName>
    <definedName name="othNYbud" localSheetId="28">#REF!</definedName>
    <definedName name="othNYbud" localSheetId="35">#REF!</definedName>
    <definedName name="othNYbud" localSheetId="26">#REF!</definedName>
    <definedName name="othNYbud">#REF!</definedName>
    <definedName name="othPYACT" localSheetId="14">#REF!</definedName>
    <definedName name="othPYACT" localSheetId="16">#REF!</definedName>
    <definedName name="othPYACT" localSheetId="28">#REF!</definedName>
    <definedName name="othPYACT" localSheetId="35">#REF!</definedName>
    <definedName name="othPYACT" localSheetId="26">#REF!</definedName>
    <definedName name="othPYACT">#REF!</definedName>
    <definedName name="OTHSTART" localSheetId="14">#REF!</definedName>
    <definedName name="OTHSTART" localSheetId="16">#REF!</definedName>
    <definedName name="OTHSTART" localSheetId="28">#REF!</definedName>
    <definedName name="OTHSTART" localSheetId="35">#REF!</definedName>
    <definedName name="OTHSTART" localSheetId="26">#REF!</definedName>
    <definedName name="OTHSTART">#REF!</definedName>
    <definedName name="_xlnm.Print_Area" localSheetId="4">'App.2-A_Requested_Approvals'!$A$1:$H$43</definedName>
    <definedName name="_xlnm.Print_Area" localSheetId="5">'App.2-AA_Capital Projects'!$A$1:$H$52</definedName>
    <definedName name="_xlnm.Print_Area" localSheetId="9">'App.2-B_Acctg Instructions'!$A$1:$P$63</definedName>
    <definedName name="_xlnm.Print_Area" localSheetId="10">'App.2-BA_Fixed Asset Cont'!$A$1:$M$598</definedName>
    <definedName name="_xlnm.Print_Area" localSheetId="13">'App.2-D_Overhead'!$A$1:$H$49</definedName>
    <definedName name="_xlnm.Print_Area" localSheetId="24">'App.2-H_Other_Oper_Rev'!$A$1:$L$137</definedName>
    <definedName name="_xlnm.Print_Area" localSheetId="27">'App.2-IA_Load_Forecast_Instrct'!$A$1:$R$44</definedName>
    <definedName name="_xlnm.Print_Area" localSheetId="29">'App.2-JA_OM&amp;A_Summary_Analys'!$A$1:$AX$41</definedName>
    <definedName name="_xlnm.Print_Area" localSheetId="31">'App.2-JB_OM&amp;A_Cost _Drivers'!$A$1:$G$49</definedName>
    <definedName name="_xlnm.Print_Area" localSheetId="32">'App.2-JC_OMA Programs'!$A$1:$I$61</definedName>
    <definedName name="_xlnm.Print_Area" localSheetId="33">'App.2-K_Employee Costs'!$A$1:$Z$31</definedName>
    <definedName name="_xlnm.Print_Area" localSheetId="35">'App.2-L_OM&amp;A_per_Cust_FTE'!$A$1:$J$38</definedName>
    <definedName name="_xlnm.Print_Area" localSheetId="36">'App.2-L_OM&amp;A_per_Cust_FTEE_exp'!$A$1:$L$39</definedName>
    <definedName name="_xlnm.Print_Area" localSheetId="37">'App.2-M_Regulatory_Costs'!$A$1:$K$71</definedName>
    <definedName name="_xlnm.Print_Area" localSheetId="40">'App.2-N_Corp_Cost_Allocation'!$A$1:$H$211</definedName>
    <definedName name="_xlnm.Print_Area" localSheetId="41">'App.2-OA Capital Structure'!$A$1:$P$41</definedName>
    <definedName name="_xlnm.Print_Area" localSheetId="42">'App.2-OB_Debt Instruments'!$A$1:$L$144</definedName>
    <definedName name="_xlnm.Print_Area" localSheetId="43">'App.2-Q_Cost of Serv. Emb. Dx'!$A$1:$G$60</definedName>
    <definedName name="_xlnm.Print_Area" localSheetId="44">'App.2-R_Loss Factors'!$B$1:$I$70</definedName>
    <definedName name="_xlnm.Print_Area" localSheetId="45">'App.2-S_Stranded Meters'!$A$1:$H$96</definedName>
    <definedName name="_xlnm.Print_Area" localSheetId="48">'App.2-YA_IFRS Transition Costs'!$A$1:$N$34</definedName>
    <definedName name="_xlnm.Print_Area" localSheetId="2">'COS Flowchart'!$A$1:$G$39</definedName>
    <definedName name="_xlnm.Print_Area" localSheetId="1">Index!$A$1:$G$42</definedName>
    <definedName name="_xlnm.Print_Area" localSheetId="0">'LDC Info'!$A$1:$M$55</definedName>
    <definedName name="print_end" localSheetId="14">#REF!</definedName>
    <definedName name="print_end" localSheetId="16">#REF!</definedName>
    <definedName name="print_end" localSheetId="28">#REF!</definedName>
    <definedName name="print_end" localSheetId="35">#REF!</definedName>
    <definedName name="print_end" localSheetId="26">#REF!</definedName>
    <definedName name="print_end" localSheetId="11">#REF!</definedName>
    <definedName name="print_end">#REF!</definedName>
    <definedName name="Rate_Class" localSheetId="9">[6]lists!$A$2:$A$105</definedName>
    <definedName name="Rate_Class" localSheetId="11">[5]lists!$A$1:$A$104</definedName>
    <definedName name="Rate_Class">[7]lists!$A$2:$A$105</definedName>
    <definedName name="RATE_CLASSES" localSheetId="9">[6]lists!$A$1:$A$104</definedName>
    <definedName name="RATE_CLASSES">[7]lists!$A$1:$A$104</definedName>
    <definedName name="ratedescription" localSheetId="49">[15]hidden1!$D$1:$D$122</definedName>
    <definedName name="ratedescription" localSheetId="11">[16]hidden1!$D$1:$D$122</definedName>
    <definedName name="ratedescription">[17]hidden1!$D$1:$D$122</definedName>
    <definedName name="RebaseYear" localSheetId="9">'[4]LDC Info'!$E$28</definedName>
    <definedName name="RebaseYear" localSheetId="49">'[18]LDC Info'!$E$28</definedName>
    <definedName name="RebaseYear" localSheetId="26">'LDC Info'!$E$28</definedName>
    <definedName name="RebaseYear" localSheetId="11">'[5]LDC Info'!$E$28</definedName>
    <definedName name="RebaseYear">'LDC Info'!$E$28</definedName>
    <definedName name="RebaseYear_1">'[19]LDC Info'!$E$24</definedName>
    <definedName name="RMpilsVer">'[1]Z1.ModelVariables'!$C$13</definedName>
    <definedName name="RMversion">'[20]Z1.ModelVariables'!$C$13</definedName>
    <definedName name="SALBENF" localSheetId="14">#REF!</definedName>
    <definedName name="SALBENF" localSheetId="16">#REF!</definedName>
    <definedName name="SALBENF" localSheetId="28">#REF!</definedName>
    <definedName name="SALBENF" localSheetId="35">#REF!</definedName>
    <definedName name="SALBENF" localSheetId="26">#REF!</definedName>
    <definedName name="SALBENF" localSheetId="11">#REF!</definedName>
    <definedName name="SALBENF">#REF!</definedName>
    <definedName name="salreg" localSheetId="14">#REF!</definedName>
    <definedName name="salreg" localSheetId="16">#REF!</definedName>
    <definedName name="salreg" localSheetId="28">#REF!</definedName>
    <definedName name="salreg" localSheetId="35">#REF!</definedName>
    <definedName name="salreg" localSheetId="26">#REF!</definedName>
    <definedName name="salreg" localSheetId="11">#REF!</definedName>
    <definedName name="salreg">#REF!</definedName>
    <definedName name="SALREGF" localSheetId="14">#REF!</definedName>
    <definedName name="SALREGF" localSheetId="16">#REF!</definedName>
    <definedName name="SALREGF" localSheetId="28">#REF!</definedName>
    <definedName name="SALREGF" localSheetId="35">#REF!</definedName>
    <definedName name="SALREGF" localSheetId="26">#REF!</definedName>
    <definedName name="SALREGF" localSheetId="11">#REF!</definedName>
    <definedName name="SALREGF">#REF!</definedName>
    <definedName name="TEMPA" localSheetId="14">#REF!</definedName>
    <definedName name="TEMPA" localSheetId="16">#REF!</definedName>
    <definedName name="TEMPA" localSheetId="28">#REF!</definedName>
    <definedName name="TEMPA" localSheetId="35">#REF!</definedName>
    <definedName name="TEMPA" localSheetId="26">#REF!</definedName>
    <definedName name="TEMPA">#REF!</definedName>
    <definedName name="Test_Year">'[3]0.1 LDC Info'!$E$25</definedName>
    <definedName name="TestYear" localSheetId="9">'[4]LDC Info'!$E$24</definedName>
    <definedName name="TestYear" localSheetId="26">'LDC Info'!$E$24</definedName>
    <definedName name="TestYear" localSheetId="11">'[5]LDC Info'!$E$24</definedName>
    <definedName name="TestYear">'LDC Info'!$E$24</definedName>
    <definedName name="TestYr">'[1]P0.Admin'!$C$13</definedName>
    <definedName name="total_dept" localSheetId="14">#REF!</definedName>
    <definedName name="total_dept" localSheetId="16">#REF!</definedName>
    <definedName name="total_dept" localSheetId="28">#REF!</definedName>
    <definedName name="total_dept" localSheetId="35">#REF!</definedName>
    <definedName name="total_dept" localSheetId="26">#REF!</definedName>
    <definedName name="total_dept" localSheetId="11">#REF!</definedName>
    <definedName name="total_dept">#REF!</definedName>
    <definedName name="total_manpower" localSheetId="14">#REF!</definedName>
    <definedName name="total_manpower" localSheetId="16">#REF!</definedName>
    <definedName name="total_manpower" localSheetId="28">#REF!</definedName>
    <definedName name="total_manpower" localSheetId="35">#REF!</definedName>
    <definedName name="total_manpower" localSheetId="26">#REF!</definedName>
    <definedName name="total_manpower" localSheetId="11">#REF!</definedName>
    <definedName name="total_manpower">#REF!</definedName>
    <definedName name="total_material" localSheetId="14">#REF!</definedName>
    <definedName name="total_material" localSheetId="16">#REF!</definedName>
    <definedName name="total_material" localSheetId="28">#REF!</definedName>
    <definedName name="total_material" localSheetId="35">#REF!</definedName>
    <definedName name="total_material" localSheetId="26">#REF!</definedName>
    <definedName name="total_material" localSheetId="11">#REF!</definedName>
    <definedName name="total_material">#REF!</definedName>
    <definedName name="total_other" localSheetId="14">#REF!</definedName>
    <definedName name="total_other" localSheetId="16">#REF!</definedName>
    <definedName name="total_other" localSheetId="28">#REF!</definedName>
    <definedName name="total_other" localSheetId="35">#REF!</definedName>
    <definedName name="total_other" localSheetId="26">#REF!</definedName>
    <definedName name="total_other">#REF!</definedName>
    <definedName name="total_transportation" localSheetId="14">#REF!</definedName>
    <definedName name="total_transportation" localSheetId="16">#REF!</definedName>
    <definedName name="total_transportation" localSheetId="28">#REF!</definedName>
    <definedName name="total_transportation" localSheetId="35">#REF!</definedName>
    <definedName name="total_transportation" localSheetId="26">#REF!</definedName>
    <definedName name="total_transportation">#REF!</definedName>
    <definedName name="TRANBUD" localSheetId="14">#REF!</definedName>
    <definedName name="TRANBUD" localSheetId="16">#REF!</definedName>
    <definedName name="TRANBUD" localSheetId="28">#REF!</definedName>
    <definedName name="TRANBUD" localSheetId="35">#REF!</definedName>
    <definedName name="TRANBUD" localSheetId="26">#REF!</definedName>
    <definedName name="TRANBUD">#REF!</definedName>
    <definedName name="TRANEND" localSheetId="14">#REF!</definedName>
    <definedName name="TRANEND" localSheetId="16">#REF!</definedName>
    <definedName name="TRANEND" localSheetId="28">#REF!</definedName>
    <definedName name="TRANEND" localSheetId="35">#REF!</definedName>
    <definedName name="TRANEND" localSheetId="26">#REF!</definedName>
    <definedName name="TRANEND">#REF!</definedName>
    <definedName name="transportation_costs" localSheetId="14">#REF!</definedName>
    <definedName name="transportation_costs" localSheetId="16">#REF!</definedName>
    <definedName name="transportation_costs" localSheetId="28">#REF!</definedName>
    <definedName name="transportation_costs" localSheetId="35">#REF!</definedName>
    <definedName name="transportation_costs" localSheetId="26">#REF!</definedName>
    <definedName name="transportation_costs">#REF!</definedName>
    <definedName name="TRANSTART" localSheetId="14">#REF!</definedName>
    <definedName name="TRANSTART" localSheetId="16">#REF!</definedName>
    <definedName name="TRANSTART" localSheetId="28">#REF!</definedName>
    <definedName name="TRANSTART" localSheetId="35">#REF!</definedName>
    <definedName name="TRANSTART" localSheetId="26">#REF!</definedName>
    <definedName name="TRANSTART">#REF!</definedName>
    <definedName name="trn_beg_bud" localSheetId="14">#REF!</definedName>
    <definedName name="trn_beg_bud" localSheetId="16">#REF!</definedName>
    <definedName name="trn_beg_bud" localSheetId="28">#REF!</definedName>
    <definedName name="trn_beg_bud" localSheetId="35">#REF!</definedName>
    <definedName name="trn_beg_bud" localSheetId="26">#REF!</definedName>
    <definedName name="trn_beg_bud">#REF!</definedName>
    <definedName name="trn_end_bud" localSheetId="14">#REF!</definedName>
    <definedName name="trn_end_bud" localSheetId="16">#REF!</definedName>
    <definedName name="trn_end_bud" localSheetId="28">#REF!</definedName>
    <definedName name="trn_end_bud" localSheetId="35">#REF!</definedName>
    <definedName name="trn_end_bud" localSheetId="26">#REF!</definedName>
    <definedName name="trn_end_bud">#REF!</definedName>
    <definedName name="trn12ACT" localSheetId="14">#REF!</definedName>
    <definedName name="trn12ACT" localSheetId="16">#REF!</definedName>
    <definedName name="trn12ACT" localSheetId="28">#REF!</definedName>
    <definedName name="trn12ACT" localSheetId="35">#REF!</definedName>
    <definedName name="trn12ACT" localSheetId="26">#REF!</definedName>
    <definedName name="trn12ACT">#REF!</definedName>
    <definedName name="trnCYACT" localSheetId="14">#REF!</definedName>
    <definedName name="trnCYACT" localSheetId="16">#REF!</definedName>
    <definedName name="trnCYACT" localSheetId="28">#REF!</definedName>
    <definedName name="trnCYACT" localSheetId="35">#REF!</definedName>
    <definedName name="trnCYACT" localSheetId="26">#REF!</definedName>
    <definedName name="trnCYACT">#REF!</definedName>
    <definedName name="trnCYBUD" localSheetId="14">#REF!</definedName>
    <definedName name="trnCYBUD" localSheetId="16">#REF!</definedName>
    <definedName name="trnCYBUD" localSheetId="28">#REF!</definedName>
    <definedName name="trnCYBUD" localSheetId="35">#REF!</definedName>
    <definedName name="trnCYBUD" localSheetId="26">#REF!</definedName>
    <definedName name="trnCYBUD">#REF!</definedName>
    <definedName name="trnCYF" localSheetId="14">#REF!</definedName>
    <definedName name="trnCYF" localSheetId="16">#REF!</definedName>
    <definedName name="trnCYF" localSheetId="28">#REF!</definedName>
    <definedName name="trnCYF" localSheetId="35">#REF!</definedName>
    <definedName name="trnCYF" localSheetId="26">#REF!</definedName>
    <definedName name="trnCYF">#REF!</definedName>
    <definedName name="trnNYbud" localSheetId="14">#REF!</definedName>
    <definedName name="trnNYbud" localSheetId="16">#REF!</definedName>
    <definedName name="trnNYbud" localSheetId="28">#REF!</definedName>
    <definedName name="trnNYbud" localSheetId="35">#REF!</definedName>
    <definedName name="trnNYbud" localSheetId="26">#REF!</definedName>
    <definedName name="trnNYbud">#REF!</definedName>
    <definedName name="trnPYACT" localSheetId="14">#REF!</definedName>
    <definedName name="trnPYACT" localSheetId="16">#REF!</definedName>
    <definedName name="trnPYACT" localSheetId="28">#REF!</definedName>
    <definedName name="trnPYACT" localSheetId="35">#REF!</definedName>
    <definedName name="trnPYACT" localSheetId="26">#REF!</definedName>
    <definedName name="trnPYACT">#REF!</definedName>
    <definedName name="Units" localSheetId="9">[6]lists!$N$2:$N$5</definedName>
    <definedName name="Units" localSheetId="26">[7]lists!$N$2:$N$5</definedName>
    <definedName name="Units" localSheetId="11">[5]lists!$N$2:$N$5</definedName>
    <definedName name="Units">[7]lists!$N$2:$N$5</definedName>
    <definedName name="Units1" localSheetId="9">[6]lists!$O$2:$O$4</definedName>
    <definedName name="Units1">[7]lists!$O$2:$O$4</definedName>
    <definedName name="Units2" localSheetId="9">[6]lists!$P$2:$P$3</definedName>
    <definedName name="Units2">[7]lists!$P$2:$P$3</definedName>
    <definedName name="Utility">[10]Financials!$A$1</definedName>
    <definedName name="utitliy1">[21]Financials!$A$1</definedName>
    <definedName name="valuevx">42.314159</definedName>
    <definedName name="WAGBENF" localSheetId="14">#REF!</definedName>
    <definedName name="WAGBENF" localSheetId="16">#REF!</definedName>
    <definedName name="WAGBENF" localSheetId="28">#REF!</definedName>
    <definedName name="WAGBENF" localSheetId="35">#REF!</definedName>
    <definedName name="WAGBENF" localSheetId="26">#REF!</definedName>
    <definedName name="WAGBENF" localSheetId="11">#REF!</definedName>
    <definedName name="WAGBENF">#REF!</definedName>
    <definedName name="wagdob" localSheetId="14">#REF!</definedName>
    <definedName name="wagdob" localSheetId="16">#REF!</definedName>
    <definedName name="wagdob" localSheetId="28">#REF!</definedName>
    <definedName name="wagdob" localSheetId="35">#REF!</definedName>
    <definedName name="wagdob" localSheetId="26">#REF!</definedName>
    <definedName name="wagdob" localSheetId="11">#REF!</definedName>
    <definedName name="wagdob">#REF!</definedName>
    <definedName name="wagdobf" localSheetId="14">#REF!</definedName>
    <definedName name="wagdobf" localSheetId="16">#REF!</definedName>
    <definedName name="wagdobf" localSheetId="28">#REF!</definedName>
    <definedName name="wagdobf" localSheetId="35">#REF!</definedName>
    <definedName name="wagdobf" localSheetId="26">#REF!</definedName>
    <definedName name="wagdobf" localSheetId="11">#REF!</definedName>
    <definedName name="wagdobf">#REF!</definedName>
    <definedName name="wagreg" localSheetId="14">#REF!</definedName>
    <definedName name="wagreg" localSheetId="16">#REF!</definedName>
    <definedName name="wagreg" localSheetId="28">#REF!</definedName>
    <definedName name="wagreg" localSheetId="35">#REF!</definedName>
    <definedName name="wagreg" localSheetId="26">#REF!</definedName>
    <definedName name="wagreg">#REF!</definedName>
    <definedName name="wagregf" localSheetId="14">#REF!</definedName>
    <definedName name="wagregf" localSheetId="16">#REF!</definedName>
    <definedName name="wagregf" localSheetId="28">#REF!</definedName>
    <definedName name="wagregf" localSheetId="35">#REF!</definedName>
    <definedName name="wagregf" localSheetId="26">#REF!</definedName>
    <definedName name="wagregf">#REF!</definedName>
  </definedNames>
  <calcPr calcId="181029"/>
</workbook>
</file>

<file path=xl/calcChain.xml><?xml version="1.0" encoding="utf-8"?>
<calcChain xmlns="http://schemas.openxmlformats.org/spreadsheetml/2006/main">
  <c r="J35" i="6" l="1"/>
  <c r="J89" i="6"/>
  <c r="J107" i="6"/>
  <c r="J71" i="6"/>
  <c r="J53" i="6"/>
  <c r="J136" i="6" l="1"/>
  <c r="J135" i="6"/>
  <c r="J134" i="6"/>
  <c r="J133" i="6"/>
  <c r="J132" i="6"/>
  <c r="J131" i="6"/>
  <c r="J130" i="6"/>
  <c r="J129" i="6"/>
  <c r="J128" i="6"/>
  <c r="J127" i="6"/>
  <c r="J126" i="6"/>
  <c r="J125" i="6"/>
  <c r="J118" i="6"/>
  <c r="J117" i="6"/>
  <c r="J116" i="6"/>
  <c r="J115" i="6"/>
  <c r="J114" i="6"/>
  <c r="J113" i="6"/>
  <c r="J112" i="6"/>
  <c r="J111" i="6"/>
  <c r="J110" i="6"/>
  <c r="J109" i="6"/>
  <c r="J108" i="6"/>
  <c r="J100" i="6"/>
  <c r="J99" i="6"/>
  <c r="J98" i="6"/>
  <c r="J97" i="6"/>
  <c r="J96" i="6"/>
  <c r="J95" i="6"/>
  <c r="J94" i="6"/>
  <c r="J93" i="6"/>
  <c r="J92" i="6"/>
  <c r="J91" i="6"/>
  <c r="J90" i="6"/>
  <c r="J82" i="6"/>
  <c r="J81" i="6"/>
  <c r="J80" i="6"/>
  <c r="J79" i="6"/>
  <c r="J78" i="6"/>
  <c r="J77" i="6"/>
  <c r="J76" i="6"/>
  <c r="J75" i="6"/>
  <c r="J74" i="6"/>
  <c r="J73" i="6"/>
  <c r="J72" i="6"/>
  <c r="J64" i="6"/>
  <c r="J63" i="6"/>
  <c r="J62" i="6"/>
  <c r="J61" i="6"/>
  <c r="J60" i="6"/>
  <c r="J59" i="6"/>
  <c r="J58" i="6"/>
  <c r="J57" i="6"/>
  <c r="J56" i="6"/>
  <c r="J55" i="6"/>
  <c r="J54" i="6"/>
  <c r="J46" i="6"/>
  <c r="J45" i="6"/>
  <c r="J44" i="6"/>
  <c r="J43" i="6"/>
  <c r="J42" i="6"/>
  <c r="J41" i="6"/>
  <c r="J40" i="6"/>
  <c r="J39" i="6"/>
  <c r="J38" i="6"/>
  <c r="J37" i="6"/>
  <c r="J36" i="6"/>
  <c r="J28" i="6"/>
  <c r="J27" i="6"/>
  <c r="J26" i="6"/>
  <c r="J25" i="6"/>
  <c r="J24" i="6"/>
  <c r="J23" i="6"/>
  <c r="J22" i="6"/>
  <c r="J21" i="6"/>
  <c r="J20" i="6"/>
  <c r="J19" i="6"/>
  <c r="J18" i="6"/>
  <c r="J17" i="6"/>
  <c r="J120" i="6" l="1"/>
  <c r="J102" i="6"/>
  <c r="J30" i="6"/>
  <c r="J138" i="6"/>
  <c r="J84" i="6"/>
  <c r="J66" i="6"/>
  <c r="J48" i="6"/>
  <c r="P56" i="109"/>
  <c r="M82" i="109"/>
  <c r="M81" i="109"/>
  <c r="M31" i="109"/>
  <c r="M32" i="109"/>
  <c r="Q31" i="109"/>
  <c r="P32" i="109"/>
  <c r="O32" i="109" l="1"/>
  <c r="Q56" i="109"/>
  <c r="Q32" i="109"/>
  <c r="O31" i="109"/>
  <c r="P31" i="109"/>
  <c r="J41" i="12" l="1"/>
  <c r="E17" i="21" l="1"/>
  <c r="F17" i="21"/>
  <c r="G17" i="21"/>
  <c r="H17" i="21"/>
  <c r="D17" i="21"/>
  <c r="K129" i="6"/>
  <c r="K130" i="6"/>
  <c r="H138" i="6"/>
  <c r="I138" i="6" s="1"/>
  <c r="K136" i="6"/>
  <c r="K135" i="6"/>
  <c r="K134" i="6"/>
  <c r="K133" i="6"/>
  <c r="K132" i="6"/>
  <c r="K131" i="6"/>
  <c r="H120" i="6"/>
  <c r="I120" i="6" s="1"/>
  <c r="K118" i="6"/>
  <c r="K117" i="6"/>
  <c r="K116" i="6"/>
  <c r="K115" i="6"/>
  <c r="K114" i="6"/>
  <c r="K113" i="6"/>
  <c r="H102" i="6"/>
  <c r="I102" i="6" s="1"/>
  <c r="K100" i="6"/>
  <c r="K99" i="6"/>
  <c r="K98" i="6"/>
  <c r="K97" i="6"/>
  <c r="K96" i="6"/>
  <c r="H84" i="6"/>
  <c r="I84" i="6" s="1"/>
  <c r="K82" i="6"/>
  <c r="K81" i="6"/>
  <c r="K80" i="6"/>
  <c r="K79" i="6"/>
  <c r="K78" i="6"/>
  <c r="H66" i="6"/>
  <c r="I66" i="6" s="1"/>
  <c r="H48" i="6"/>
  <c r="I48" i="6" s="1"/>
  <c r="K48" i="6" l="1"/>
  <c r="K66" i="6"/>
  <c r="K84" i="6"/>
  <c r="K120" i="6"/>
  <c r="K138" i="6"/>
  <c r="K102" i="6"/>
  <c r="D35" i="105" l="1"/>
  <c r="E35" i="105"/>
  <c r="C55" i="105"/>
  <c r="E55" i="105"/>
  <c r="F55" i="105"/>
  <c r="F35" i="105"/>
  <c r="D55" i="105"/>
  <c r="C35" i="105"/>
  <c r="C19" i="105"/>
  <c r="F19" i="105"/>
  <c r="E19" i="105"/>
  <c r="D19" i="105"/>
  <c r="I45" i="105"/>
  <c r="I41" i="105"/>
  <c r="I34" i="105"/>
  <c r="I32" i="105"/>
  <c r="I53" i="105"/>
  <c r="J53" i="105"/>
  <c r="I44" i="105"/>
  <c r="J46" i="105"/>
  <c r="J44" i="105"/>
  <c r="J38" i="105"/>
  <c r="I46" i="105"/>
  <c r="I38" i="105"/>
  <c r="J45" i="105"/>
  <c r="J41" i="105"/>
  <c r="J34" i="105"/>
  <c r="J32" i="105"/>
  <c r="D56" i="105" l="1"/>
  <c r="C56" i="105"/>
  <c r="E56" i="105"/>
  <c r="F56" i="105"/>
  <c r="E58" i="50" l="1"/>
  <c r="E53" i="50" l="1"/>
  <c r="E89" i="122" l="1"/>
  <c r="E91" i="122" s="1"/>
  <c r="E93" i="122" s="1"/>
  <c r="F89" i="122"/>
  <c r="F91" i="122" s="1"/>
  <c r="F93" i="122" s="1"/>
  <c r="F96" i="122" s="1"/>
  <c r="H38" i="122"/>
  <c r="H37" i="122"/>
  <c r="H39" i="122"/>
  <c r="I16" i="53" l="1"/>
  <c r="N16" i="53" s="1"/>
  <c r="F16" i="53"/>
  <c r="K16" i="53" s="1"/>
  <c r="P16" i="53" s="1"/>
  <c r="E16" i="53"/>
  <c r="J29" i="53" s="1"/>
  <c r="D16" i="53"/>
  <c r="I29" i="53" s="1"/>
  <c r="C16" i="53"/>
  <c r="H16" i="53" s="1"/>
  <c r="M16" i="53" s="1"/>
  <c r="B16" i="53"/>
  <c r="G16" i="53" s="1"/>
  <c r="L16" i="53" s="1"/>
  <c r="O1" i="53"/>
  <c r="O104" i="109"/>
  <c r="M104" i="109"/>
  <c r="Q103" i="109"/>
  <c r="M103" i="109"/>
  <c r="M102" i="109"/>
  <c r="M101" i="109"/>
  <c r="M100" i="109"/>
  <c r="M99" i="109"/>
  <c r="M98" i="109"/>
  <c r="M97" i="109"/>
  <c r="M96" i="109"/>
  <c r="Q95" i="109"/>
  <c r="M95" i="109"/>
  <c r="M94" i="109"/>
  <c r="M93" i="109"/>
  <c r="M92" i="109"/>
  <c r="Q91" i="109"/>
  <c r="M91" i="109"/>
  <c r="M90" i="109"/>
  <c r="Q89" i="109"/>
  <c r="M89" i="109"/>
  <c r="M88" i="109"/>
  <c r="Q87" i="109"/>
  <c r="M87" i="109"/>
  <c r="M86" i="109"/>
  <c r="O85" i="109"/>
  <c r="M85" i="109"/>
  <c r="M84" i="109"/>
  <c r="M83" i="109"/>
  <c r="O81" i="109"/>
  <c r="M80" i="109"/>
  <c r="M79" i="109"/>
  <c r="M72" i="109"/>
  <c r="O71" i="109"/>
  <c r="M71" i="109"/>
  <c r="M70" i="109"/>
  <c r="M69" i="109"/>
  <c r="M68" i="109"/>
  <c r="M67" i="109"/>
  <c r="M66" i="109"/>
  <c r="M65" i="109"/>
  <c r="M64" i="109"/>
  <c r="O63" i="109"/>
  <c r="M63" i="109"/>
  <c r="M62" i="109"/>
  <c r="M61" i="109"/>
  <c r="M60" i="109"/>
  <c r="P59" i="109"/>
  <c r="M59" i="109"/>
  <c r="M58" i="109"/>
  <c r="M57" i="109"/>
  <c r="M55" i="109"/>
  <c r="O54" i="109"/>
  <c r="M54" i="109"/>
  <c r="O53" i="109"/>
  <c r="M53" i="109"/>
  <c r="M52" i="109"/>
  <c r="M51" i="109"/>
  <c r="M50" i="109"/>
  <c r="O49" i="109"/>
  <c r="M49" i="109"/>
  <c r="P48" i="109"/>
  <c r="M48" i="109"/>
  <c r="M47" i="109"/>
  <c r="M46" i="109"/>
  <c r="M45" i="109"/>
  <c r="M44" i="109"/>
  <c r="M43" i="109"/>
  <c r="M42" i="109"/>
  <c r="M41" i="109"/>
  <c r="M40" i="109"/>
  <c r="Q39" i="109"/>
  <c r="M39" i="109"/>
  <c r="O38" i="109"/>
  <c r="M38" i="109"/>
  <c r="O37" i="109"/>
  <c r="M37" i="109"/>
  <c r="M36" i="109"/>
  <c r="M35" i="109"/>
  <c r="M34" i="109"/>
  <c r="O33" i="109"/>
  <c r="M33" i="109"/>
  <c r="M30" i="109"/>
  <c r="M29" i="109"/>
  <c r="P28" i="109"/>
  <c r="M28" i="109"/>
  <c r="O27" i="109"/>
  <c r="M27" i="109"/>
  <c r="O26" i="109"/>
  <c r="M26" i="109"/>
  <c r="M25" i="109"/>
  <c r="O24" i="109"/>
  <c r="M24" i="109"/>
  <c r="O23" i="109"/>
  <c r="M23" i="109"/>
  <c r="O22" i="109"/>
  <c r="M22" i="109"/>
  <c r="M21" i="109"/>
  <c r="M20" i="109"/>
  <c r="O19" i="109"/>
  <c r="M19" i="109"/>
  <c r="O18" i="109"/>
  <c r="M18" i="109"/>
  <c r="O17" i="109"/>
  <c r="M17" i="109"/>
  <c r="L586" i="100"/>
  <c r="G586" i="100"/>
  <c r="L585" i="100"/>
  <c r="G585" i="100"/>
  <c r="L490" i="100"/>
  <c r="G490" i="100"/>
  <c r="L489" i="100"/>
  <c r="G489" i="100"/>
  <c r="M489" i="100" s="1"/>
  <c r="L395" i="100"/>
  <c r="G395" i="100"/>
  <c r="L394" i="100"/>
  <c r="G394" i="100"/>
  <c r="L300" i="100"/>
  <c r="G300" i="100"/>
  <c r="L299" i="100"/>
  <c r="G299" i="100"/>
  <c r="L204" i="100"/>
  <c r="G204" i="100"/>
  <c r="L203" i="100"/>
  <c r="G203" i="100"/>
  <c r="Q84" i="109" l="1"/>
  <c r="P84" i="109"/>
  <c r="O84" i="109"/>
  <c r="K29" i="53"/>
  <c r="G29" i="53"/>
  <c r="H29" i="53"/>
  <c r="M204" i="100"/>
  <c r="M299" i="100"/>
  <c r="M394" i="100"/>
  <c r="M395" i="100"/>
  <c r="M203" i="100"/>
  <c r="M490" i="100"/>
  <c r="M300" i="100"/>
  <c r="M585" i="100"/>
  <c r="L190" i="100"/>
  <c r="L198" i="100"/>
  <c r="L441" i="100"/>
  <c r="G565" i="100"/>
  <c r="G257" i="100"/>
  <c r="G361" i="100"/>
  <c r="G369" i="100"/>
  <c r="G444" i="100"/>
  <c r="L556" i="100"/>
  <c r="L537" i="100"/>
  <c r="P63" i="109"/>
  <c r="G372" i="100"/>
  <c r="G380" i="100"/>
  <c r="G439" i="100"/>
  <c r="L540" i="100"/>
  <c r="Q71" i="109"/>
  <c r="L230" i="100"/>
  <c r="L238" i="100"/>
  <c r="L246" i="100"/>
  <c r="L254" i="100"/>
  <c r="L369" i="100"/>
  <c r="L415" i="100"/>
  <c r="P415" i="100" s="1"/>
  <c r="G534" i="100"/>
  <c r="K21" i="53"/>
  <c r="P22" i="53"/>
  <c r="L148" i="100"/>
  <c r="L152" i="100"/>
  <c r="L158" i="100"/>
  <c r="L164" i="100"/>
  <c r="L174" i="100"/>
  <c r="L182" i="100"/>
  <c r="L225" i="100"/>
  <c r="P225" i="100" s="1"/>
  <c r="G226" i="100"/>
  <c r="O226" i="100" s="1"/>
  <c r="L274" i="100"/>
  <c r="L290" i="100"/>
  <c r="L296" i="100"/>
  <c r="L321" i="100"/>
  <c r="P321" i="100" s="1"/>
  <c r="L335" i="100"/>
  <c r="G484" i="100"/>
  <c r="P24" i="109"/>
  <c r="P38" i="109"/>
  <c r="P54" i="109"/>
  <c r="Q63" i="109"/>
  <c r="D202" i="100"/>
  <c r="D205" i="100" s="1"/>
  <c r="G148" i="100"/>
  <c r="G152" i="100"/>
  <c r="G156" i="100"/>
  <c r="G158" i="100"/>
  <c r="G164" i="100"/>
  <c r="G172" i="100"/>
  <c r="G174" i="100"/>
  <c r="G180" i="100"/>
  <c r="G182" i="100"/>
  <c r="G188" i="100"/>
  <c r="G190" i="100"/>
  <c r="G196" i="100"/>
  <c r="G198" i="100"/>
  <c r="G225" i="100"/>
  <c r="G274" i="100"/>
  <c r="G280" i="100"/>
  <c r="G290" i="100"/>
  <c r="G296" i="100"/>
  <c r="G324" i="100"/>
  <c r="G326" i="100"/>
  <c r="G328" i="100"/>
  <c r="G415" i="100"/>
  <c r="M415" i="100" s="1"/>
  <c r="Q24" i="109"/>
  <c r="Q38" i="109"/>
  <c r="Q54" i="109"/>
  <c r="L231" i="100"/>
  <c r="L233" i="100"/>
  <c r="G234" i="100"/>
  <c r="L239" i="100"/>
  <c r="L241" i="100"/>
  <c r="G242" i="100"/>
  <c r="L247" i="100"/>
  <c r="L249" i="100"/>
  <c r="L253" i="100"/>
  <c r="L255" i="100"/>
  <c r="L257" i="100"/>
  <c r="L261" i="100"/>
  <c r="L262" i="100"/>
  <c r="L263" i="100"/>
  <c r="L265" i="100"/>
  <c r="L349" i="100"/>
  <c r="L355" i="100"/>
  <c r="L361" i="100"/>
  <c r="L365" i="100"/>
  <c r="L367" i="100"/>
  <c r="L370" i="100"/>
  <c r="L372" i="100"/>
  <c r="L425" i="100"/>
  <c r="L444" i="100"/>
  <c r="L545" i="100"/>
  <c r="L551" i="100"/>
  <c r="L557" i="100"/>
  <c r="P89" i="109"/>
  <c r="L132" i="100"/>
  <c r="L136" i="100"/>
  <c r="L142" i="100"/>
  <c r="L268" i="100"/>
  <c r="L352" i="100"/>
  <c r="L385" i="100"/>
  <c r="O50" i="109"/>
  <c r="Q50" i="109"/>
  <c r="G130" i="100"/>
  <c r="O130" i="100" s="1"/>
  <c r="G132" i="100"/>
  <c r="L134" i="100"/>
  <c r="G136" i="100"/>
  <c r="L138" i="100"/>
  <c r="G140" i="100"/>
  <c r="G142" i="100"/>
  <c r="L150" i="100"/>
  <c r="L154" i="100"/>
  <c r="L166" i="100"/>
  <c r="G268" i="100"/>
  <c r="L278" i="100"/>
  <c r="L284" i="100"/>
  <c r="L286" i="100"/>
  <c r="G333" i="100"/>
  <c r="G352" i="100"/>
  <c r="G385" i="100"/>
  <c r="G468" i="100"/>
  <c r="O28" i="109"/>
  <c r="Q28" i="109"/>
  <c r="O41" i="109"/>
  <c r="Q41" i="109"/>
  <c r="P50" i="109"/>
  <c r="Q81" i="109"/>
  <c r="O82" i="109"/>
  <c r="Q82" i="109"/>
  <c r="O46" i="109"/>
  <c r="Q46" i="109"/>
  <c r="O67" i="109"/>
  <c r="Q67" i="109"/>
  <c r="G143" i="100"/>
  <c r="L226" i="100"/>
  <c r="P226" i="100" s="1"/>
  <c r="L229" i="100"/>
  <c r="L237" i="100"/>
  <c r="L245" i="100"/>
  <c r="G349" i="100"/>
  <c r="G355" i="100"/>
  <c r="M355" i="100" s="1"/>
  <c r="G556" i="100"/>
  <c r="O20" i="109"/>
  <c r="Q20" i="109"/>
  <c r="P46" i="109"/>
  <c r="O59" i="109"/>
  <c r="Q59" i="109"/>
  <c r="P67" i="109"/>
  <c r="P91" i="109"/>
  <c r="Q97" i="109"/>
  <c r="P97" i="109"/>
  <c r="L145" i="100"/>
  <c r="L161" i="100"/>
  <c r="L169" i="100"/>
  <c r="L177" i="100"/>
  <c r="L185" i="100"/>
  <c r="L193" i="100"/>
  <c r="L201" i="100"/>
  <c r="L228" i="100"/>
  <c r="G229" i="100"/>
  <c r="L236" i="100"/>
  <c r="G237" i="100"/>
  <c r="L244" i="100"/>
  <c r="G245" i="100"/>
  <c r="L252" i="100"/>
  <c r="L260" i="100"/>
  <c r="L266" i="100"/>
  <c r="G270" i="100"/>
  <c r="L273" i="100"/>
  <c r="L293" i="100"/>
  <c r="I393" i="100"/>
  <c r="I396" i="100" s="1"/>
  <c r="L332" i="100"/>
  <c r="L339" i="100"/>
  <c r="L343" i="100"/>
  <c r="L345" i="100"/>
  <c r="L350" i="100"/>
  <c r="L356" i="100"/>
  <c r="L377" i="100"/>
  <c r="L381" i="100"/>
  <c r="L383" i="100"/>
  <c r="L386" i="100"/>
  <c r="L388" i="100"/>
  <c r="L416" i="100"/>
  <c r="P416" i="100" s="1"/>
  <c r="L420" i="100"/>
  <c r="G421" i="100"/>
  <c r="L460" i="100"/>
  <c r="L474" i="100"/>
  <c r="G486" i="100"/>
  <c r="G145" i="100"/>
  <c r="G159" i="100"/>
  <c r="G161" i="100"/>
  <c r="G169" i="100"/>
  <c r="G175" i="100"/>
  <c r="G177" i="100"/>
  <c r="G183" i="100"/>
  <c r="G185" i="100"/>
  <c r="G191" i="100"/>
  <c r="G193" i="100"/>
  <c r="G199" i="100"/>
  <c r="G201" i="100"/>
  <c r="F298" i="100"/>
  <c r="F301" i="100" s="1"/>
  <c r="L234" i="100"/>
  <c r="L242" i="100"/>
  <c r="G275" i="100"/>
  <c r="G277" i="100"/>
  <c r="L281" i="100"/>
  <c r="G291" i="100"/>
  <c r="G293" i="100"/>
  <c r="G332" i="100"/>
  <c r="G336" i="100"/>
  <c r="G339" i="100"/>
  <c r="G347" i="100"/>
  <c r="G356" i="100"/>
  <c r="G364" i="100"/>
  <c r="G377" i="100"/>
  <c r="G388" i="100"/>
  <c r="G460" i="100"/>
  <c r="G464" i="100"/>
  <c r="G465" i="100"/>
  <c r="G474" i="100"/>
  <c r="G527" i="100"/>
  <c r="G529" i="100"/>
  <c r="G562" i="100"/>
  <c r="G568" i="100"/>
  <c r="G580" i="100"/>
  <c r="P71" i="109"/>
  <c r="P103" i="109"/>
  <c r="O55" i="109"/>
  <c r="Q55" i="109"/>
  <c r="O64" i="109"/>
  <c r="Q64" i="109"/>
  <c r="O72" i="109"/>
  <c r="Q72" i="109"/>
  <c r="L131" i="100"/>
  <c r="L133" i="100"/>
  <c r="L137" i="100"/>
  <c r="G138" i="100"/>
  <c r="L141" i="100"/>
  <c r="L144" i="100"/>
  <c r="L146" i="100"/>
  <c r="L147" i="100"/>
  <c r="L149" i="100"/>
  <c r="L153" i="100"/>
  <c r="G154" i="100"/>
  <c r="L157" i="100"/>
  <c r="L160" i="100"/>
  <c r="L162" i="100"/>
  <c r="L163" i="100"/>
  <c r="L165" i="100"/>
  <c r="L168" i="100"/>
  <c r="L170" i="100"/>
  <c r="L171" i="100"/>
  <c r="L173" i="100"/>
  <c r="L176" i="100"/>
  <c r="L178" i="100"/>
  <c r="L179" i="100"/>
  <c r="L181" i="100"/>
  <c r="L184" i="100"/>
  <c r="L186" i="100"/>
  <c r="L187" i="100"/>
  <c r="L189" i="100"/>
  <c r="L192" i="100"/>
  <c r="L194" i="100"/>
  <c r="L195" i="100"/>
  <c r="L197" i="100"/>
  <c r="L200" i="100"/>
  <c r="G230" i="100"/>
  <c r="G233" i="100"/>
  <c r="G238" i="100"/>
  <c r="G241" i="100"/>
  <c r="G246" i="100"/>
  <c r="G249" i="100"/>
  <c r="G251" i="100"/>
  <c r="G253" i="100"/>
  <c r="G254" i="100"/>
  <c r="G259" i="100"/>
  <c r="G261" i="100"/>
  <c r="G262" i="100"/>
  <c r="L270" i="100"/>
  <c r="G272" i="100"/>
  <c r="L275" i="100"/>
  <c r="L277" i="100"/>
  <c r="G278" i="100"/>
  <c r="G282" i="100"/>
  <c r="G284" i="100"/>
  <c r="G344" i="100"/>
  <c r="G357" i="100"/>
  <c r="G389" i="100"/>
  <c r="O21" i="109"/>
  <c r="Q21" i="109"/>
  <c r="O29" i="109"/>
  <c r="Q29" i="109"/>
  <c r="Q93" i="109"/>
  <c r="P93" i="109"/>
  <c r="G139" i="100"/>
  <c r="G146" i="100"/>
  <c r="G149" i="100"/>
  <c r="G153" i="100"/>
  <c r="G155" i="100"/>
  <c r="G157" i="100"/>
  <c r="G160" i="100"/>
  <c r="G162" i="100"/>
  <c r="G165" i="100"/>
  <c r="G173" i="100"/>
  <c r="G178" i="100"/>
  <c r="G181" i="100"/>
  <c r="L250" i="100"/>
  <c r="L258" i="100"/>
  <c r="G133" i="100"/>
  <c r="G137" i="100"/>
  <c r="G141" i="100"/>
  <c r="G170" i="100"/>
  <c r="G186" i="100"/>
  <c r="G189" i="100"/>
  <c r="G194" i="100"/>
  <c r="G197" i="100"/>
  <c r="O34" i="109"/>
  <c r="Q34" i="109"/>
  <c r="O60" i="109"/>
  <c r="Q60" i="109"/>
  <c r="O68" i="109"/>
  <c r="Q68" i="109"/>
  <c r="Q99" i="109"/>
  <c r="P99" i="109"/>
  <c r="I202" i="100"/>
  <c r="I205" i="100" s="1"/>
  <c r="K202" i="100"/>
  <c r="K205" i="100" s="1"/>
  <c r="G134" i="100"/>
  <c r="L140" i="100"/>
  <c r="L143" i="100"/>
  <c r="G150" i="100"/>
  <c r="L156" i="100"/>
  <c r="L159" i="100"/>
  <c r="G166" i="100"/>
  <c r="G227" i="100"/>
  <c r="G232" i="100"/>
  <c r="G235" i="100"/>
  <c r="G243" i="100"/>
  <c r="G248" i="100"/>
  <c r="G250" i="100"/>
  <c r="G256" i="100"/>
  <c r="G258" i="100"/>
  <c r="G264" i="100"/>
  <c r="G266" i="100"/>
  <c r="L280" i="100"/>
  <c r="G281" i="100"/>
  <c r="G320" i="100"/>
  <c r="O320" i="100" s="1"/>
  <c r="L320" i="100"/>
  <c r="P320" i="100" s="1"/>
  <c r="G323" i="100"/>
  <c r="G373" i="100"/>
  <c r="G461" i="100"/>
  <c r="G514" i="100"/>
  <c r="G563" i="100"/>
  <c r="O25" i="109"/>
  <c r="Q25" i="109"/>
  <c r="P34" i="109"/>
  <c r="O42" i="109"/>
  <c r="Q42" i="109"/>
  <c r="P42" i="109"/>
  <c r="G265" i="100"/>
  <c r="G273" i="100"/>
  <c r="L279" i="100"/>
  <c r="L285" i="100"/>
  <c r="G286" i="100"/>
  <c r="L289" i="100"/>
  <c r="L292" i="100"/>
  <c r="L294" i="100"/>
  <c r="L295" i="100"/>
  <c r="L297" i="100"/>
  <c r="G345" i="100"/>
  <c r="L353" i="100"/>
  <c r="G365" i="100"/>
  <c r="G381" i="100"/>
  <c r="L432" i="100"/>
  <c r="L511" i="100"/>
  <c r="P511" i="100" s="1"/>
  <c r="O45" i="109"/>
  <c r="Q45" i="109"/>
  <c r="Q101" i="109"/>
  <c r="P101" i="109"/>
  <c r="L272" i="100"/>
  <c r="G276" i="100"/>
  <c r="L282" i="100"/>
  <c r="G285" i="100"/>
  <c r="G287" i="100"/>
  <c r="G289" i="100"/>
  <c r="G294" i="100"/>
  <c r="G297" i="100"/>
  <c r="L323" i="100"/>
  <c r="L357" i="100"/>
  <c r="L359" i="100"/>
  <c r="L362" i="100"/>
  <c r="L364" i="100"/>
  <c r="L373" i="100"/>
  <c r="L375" i="100"/>
  <c r="L378" i="100"/>
  <c r="L380" i="100"/>
  <c r="L389" i="100"/>
  <c r="L391" i="100"/>
  <c r="L421" i="100"/>
  <c r="G431" i="100"/>
  <c r="G449" i="100"/>
  <c r="L461" i="100"/>
  <c r="G470" i="100"/>
  <c r="G511" i="100"/>
  <c r="O511" i="100" s="1"/>
  <c r="L514" i="100"/>
  <c r="Q17" i="109"/>
  <c r="P45" i="109"/>
  <c r="G321" i="100"/>
  <c r="L325" i="100"/>
  <c r="G330" i="100"/>
  <c r="L341" i="100"/>
  <c r="G343" i="100"/>
  <c r="L346" i="100"/>
  <c r="L348" i="100"/>
  <c r="L351" i="100"/>
  <c r="G353" i="100"/>
  <c r="L360" i="100"/>
  <c r="L368" i="100"/>
  <c r="L376" i="100"/>
  <c r="L384" i="100"/>
  <c r="L392" i="100"/>
  <c r="G416" i="100"/>
  <c r="O416" i="100" s="1"/>
  <c r="G420" i="100"/>
  <c r="G432" i="100"/>
  <c r="G440" i="100"/>
  <c r="L446" i="100"/>
  <c r="L448" i="100"/>
  <c r="L456" i="100"/>
  <c r="L459" i="100"/>
  <c r="G469" i="100"/>
  <c r="G471" i="100"/>
  <c r="G473" i="100"/>
  <c r="L517" i="100"/>
  <c r="L544" i="100"/>
  <c r="L554" i="100"/>
  <c r="G557" i="100"/>
  <c r="G559" i="100"/>
  <c r="G561" i="100"/>
  <c r="G564" i="100"/>
  <c r="G579" i="100"/>
  <c r="L324" i="100"/>
  <c r="G325" i="100"/>
  <c r="L328" i="100"/>
  <c r="L331" i="100"/>
  <c r="L334" i="100"/>
  <c r="L336" i="100"/>
  <c r="G341" i="100"/>
  <c r="L344" i="100"/>
  <c r="G346" i="100"/>
  <c r="G348" i="100"/>
  <c r="G351" i="100"/>
  <c r="G360" i="100"/>
  <c r="G368" i="100"/>
  <c r="G376" i="100"/>
  <c r="G384" i="100"/>
  <c r="G392" i="100"/>
  <c r="G443" i="100"/>
  <c r="G448" i="100"/>
  <c r="L449" i="100"/>
  <c r="G456" i="100"/>
  <c r="M456" i="100" s="1"/>
  <c r="L464" i="100"/>
  <c r="G536" i="100"/>
  <c r="L542" i="100"/>
  <c r="L552" i="100"/>
  <c r="L560" i="100"/>
  <c r="G566" i="100"/>
  <c r="G569" i="100"/>
  <c r="L570" i="100"/>
  <c r="L583" i="100"/>
  <c r="P20" i="109"/>
  <c r="P81" i="109"/>
  <c r="P87" i="109"/>
  <c r="P95" i="109"/>
  <c r="F21" i="53"/>
  <c r="P21" i="53"/>
  <c r="F22" i="53"/>
  <c r="K22" i="53"/>
  <c r="J16" i="53"/>
  <c r="O16" i="53" s="1"/>
  <c r="O36" i="109"/>
  <c r="Q36" i="109"/>
  <c r="O43" i="109"/>
  <c r="P43" i="109"/>
  <c r="O52" i="109"/>
  <c r="Q52" i="109"/>
  <c r="O57" i="109"/>
  <c r="Q57" i="109"/>
  <c r="P57" i="109"/>
  <c r="O58" i="109"/>
  <c r="Q58" i="109"/>
  <c r="O65" i="109"/>
  <c r="Q65" i="109"/>
  <c r="P65" i="109"/>
  <c r="O66" i="109"/>
  <c r="Q66" i="109"/>
  <c r="O79" i="109"/>
  <c r="Q79" i="109"/>
  <c r="P79" i="109"/>
  <c r="O80" i="109"/>
  <c r="Q80" i="109"/>
  <c r="Q88" i="109"/>
  <c r="P88" i="109"/>
  <c r="Q92" i="109"/>
  <c r="P92" i="109"/>
  <c r="Q96" i="109"/>
  <c r="P96" i="109"/>
  <c r="Q100" i="109"/>
  <c r="P100" i="109"/>
  <c r="P19" i="109"/>
  <c r="P23" i="109"/>
  <c r="P27" i="109"/>
  <c r="O30" i="109"/>
  <c r="P30" i="109"/>
  <c r="P33" i="109"/>
  <c r="P36" i="109"/>
  <c r="O40" i="109"/>
  <c r="Q40" i="109"/>
  <c r="Q43" i="109"/>
  <c r="O47" i="109"/>
  <c r="P47" i="109"/>
  <c r="P49" i="109"/>
  <c r="P52" i="109"/>
  <c r="P58" i="109"/>
  <c r="P66" i="109"/>
  <c r="P80" i="109"/>
  <c r="O88" i="109"/>
  <c r="O92" i="109"/>
  <c r="O96" i="109"/>
  <c r="O100" i="109"/>
  <c r="P18" i="109"/>
  <c r="Q19" i="109"/>
  <c r="P22" i="109"/>
  <c r="Q23" i="109"/>
  <c r="P26" i="109"/>
  <c r="Q27" i="109"/>
  <c r="Q30" i="109"/>
  <c r="Q33" i="109"/>
  <c r="O35" i="109"/>
  <c r="P35" i="109"/>
  <c r="P37" i="109"/>
  <c r="P40" i="109"/>
  <c r="O44" i="109"/>
  <c r="Q44" i="109"/>
  <c r="Q47" i="109"/>
  <c r="Q49" i="109"/>
  <c r="O51" i="109"/>
  <c r="P51" i="109"/>
  <c r="P53" i="109"/>
  <c r="O61" i="109"/>
  <c r="Q61" i="109"/>
  <c r="P61" i="109"/>
  <c r="O62" i="109"/>
  <c r="Q62" i="109"/>
  <c r="O69" i="109"/>
  <c r="Q69" i="109"/>
  <c r="P69" i="109"/>
  <c r="O70" i="109"/>
  <c r="Q70" i="109"/>
  <c r="O83" i="109"/>
  <c r="Q83" i="109"/>
  <c r="P83" i="109"/>
  <c r="Q86" i="109"/>
  <c r="P86" i="109"/>
  <c r="Q90" i="109"/>
  <c r="P90" i="109"/>
  <c r="Q94" i="109"/>
  <c r="P94" i="109"/>
  <c r="Q104" i="109"/>
  <c r="P104" i="109"/>
  <c r="Q98" i="109"/>
  <c r="P98" i="109"/>
  <c r="Q102" i="109"/>
  <c r="P102" i="109"/>
  <c r="P17" i="109"/>
  <c r="Q18" i="109"/>
  <c r="P21" i="109"/>
  <c r="Q22" i="109"/>
  <c r="P25" i="109"/>
  <c r="Q26" i="109"/>
  <c r="P29" i="109"/>
  <c r="Q35" i="109"/>
  <c r="Q37" i="109"/>
  <c r="O39" i="109"/>
  <c r="P39" i="109"/>
  <c r="P41" i="109"/>
  <c r="P44" i="109"/>
  <c r="O48" i="109"/>
  <c r="Q48" i="109"/>
  <c r="Q51" i="109"/>
  <c r="Q53" i="109"/>
  <c r="P62" i="109"/>
  <c r="P70" i="109"/>
  <c r="O86" i="109"/>
  <c r="O90" i="109"/>
  <c r="O94" i="109"/>
  <c r="O98" i="109"/>
  <c r="O102" i="109"/>
  <c r="P55" i="109"/>
  <c r="P60" i="109"/>
  <c r="P64" i="109"/>
  <c r="P68" i="109"/>
  <c r="P72" i="109"/>
  <c r="P82" i="109"/>
  <c r="O87" i="109"/>
  <c r="O89" i="109"/>
  <c r="O91" i="109"/>
  <c r="O93" i="109"/>
  <c r="O95" i="109"/>
  <c r="O97" i="109"/>
  <c r="O99" i="109"/>
  <c r="O101" i="109"/>
  <c r="O103" i="109"/>
  <c r="E202" i="100"/>
  <c r="E205" i="100" s="1"/>
  <c r="L130" i="100"/>
  <c r="P130" i="100" s="1"/>
  <c r="E298" i="100"/>
  <c r="E301" i="100" s="1"/>
  <c r="J298" i="100"/>
  <c r="J301" i="100" s="1"/>
  <c r="J303" i="100" s="1"/>
  <c r="K312" i="100" s="1"/>
  <c r="L333" i="100"/>
  <c r="G131" i="100"/>
  <c r="L135" i="100"/>
  <c r="G147" i="100"/>
  <c r="L151" i="100"/>
  <c r="G163" i="100"/>
  <c r="L167" i="100"/>
  <c r="G168" i="100"/>
  <c r="G171" i="100"/>
  <c r="G176" i="100"/>
  <c r="G179" i="100"/>
  <c r="G184" i="100"/>
  <c r="G187" i="100"/>
  <c r="G192" i="100"/>
  <c r="G195" i="100"/>
  <c r="G200" i="100"/>
  <c r="K298" i="100"/>
  <c r="K301" i="100" s="1"/>
  <c r="G228" i="100"/>
  <c r="G231" i="100"/>
  <c r="G236" i="100"/>
  <c r="G239" i="100"/>
  <c r="G244" i="100"/>
  <c r="G247" i="100"/>
  <c r="G252" i="100"/>
  <c r="G255" i="100"/>
  <c r="G260" i="100"/>
  <c r="G263" i="100"/>
  <c r="L269" i="100"/>
  <c r="L288" i="100"/>
  <c r="G292" i="100"/>
  <c r="L327" i="100"/>
  <c r="G331" i="100"/>
  <c r="L337" i="100"/>
  <c r="L340" i="100"/>
  <c r="J202" i="100"/>
  <c r="J205" i="100" s="1"/>
  <c r="J207" i="100" s="1"/>
  <c r="K216" i="100" s="1"/>
  <c r="G129" i="100"/>
  <c r="L129" i="100"/>
  <c r="G135" i="100"/>
  <c r="L139" i="100"/>
  <c r="G151" i="100"/>
  <c r="L155" i="100"/>
  <c r="G167" i="100"/>
  <c r="L172" i="100"/>
  <c r="L175" i="100"/>
  <c r="L180" i="100"/>
  <c r="L183" i="100"/>
  <c r="L188" i="100"/>
  <c r="L191" i="100"/>
  <c r="L196" i="100"/>
  <c r="L199" i="100"/>
  <c r="L227" i="100"/>
  <c r="L232" i="100"/>
  <c r="L235" i="100"/>
  <c r="L240" i="100"/>
  <c r="L243" i="100"/>
  <c r="L248" i="100"/>
  <c r="L251" i="100"/>
  <c r="L256" i="100"/>
  <c r="L259" i="100"/>
  <c r="L264" i="100"/>
  <c r="G269" i="100"/>
  <c r="G271" i="100"/>
  <c r="L276" i="100"/>
  <c r="G288" i="100"/>
  <c r="L291" i="100"/>
  <c r="G327" i="100"/>
  <c r="L330" i="100"/>
  <c r="G337" i="100"/>
  <c r="G340" i="100"/>
  <c r="G342" i="100"/>
  <c r="L347" i="100"/>
  <c r="G358" i="100"/>
  <c r="G363" i="100"/>
  <c r="G366" i="100"/>
  <c r="G371" i="100"/>
  <c r="G374" i="100"/>
  <c r="G379" i="100"/>
  <c r="G382" i="100"/>
  <c r="G387" i="100"/>
  <c r="G390" i="100"/>
  <c r="I298" i="100"/>
  <c r="I301" i="100" s="1"/>
  <c r="L267" i="100"/>
  <c r="G279" i="100"/>
  <c r="L283" i="100"/>
  <c r="G295" i="100"/>
  <c r="E393" i="100"/>
  <c r="E396" i="100" s="1"/>
  <c r="J393" i="100"/>
  <c r="J396" i="100" s="1"/>
  <c r="J398" i="100" s="1"/>
  <c r="K407" i="100" s="1"/>
  <c r="L322" i="100"/>
  <c r="G334" i="100"/>
  <c r="L338" i="100"/>
  <c r="G350" i="100"/>
  <c r="L354" i="100"/>
  <c r="G359" i="100"/>
  <c r="G362" i="100"/>
  <c r="G367" i="100"/>
  <c r="G370" i="100"/>
  <c r="G375" i="100"/>
  <c r="G378" i="100"/>
  <c r="G383" i="100"/>
  <c r="G386" i="100"/>
  <c r="G391" i="100"/>
  <c r="G512" i="100"/>
  <c r="G267" i="100"/>
  <c r="L271" i="100"/>
  <c r="G283" i="100"/>
  <c r="L287" i="100"/>
  <c r="G322" i="100"/>
  <c r="L326" i="100"/>
  <c r="G338" i="100"/>
  <c r="L342" i="100"/>
  <c r="G354" i="100"/>
  <c r="L358" i="100"/>
  <c r="L363" i="100"/>
  <c r="L366" i="100"/>
  <c r="L371" i="100"/>
  <c r="L374" i="100"/>
  <c r="L379" i="100"/>
  <c r="L382" i="100"/>
  <c r="L387" i="100"/>
  <c r="L390" i="100"/>
  <c r="G433" i="100"/>
  <c r="G438" i="100"/>
  <c r="L443" i="100"/>
  <c r="G455" i="100"/>
  <c r="G458" i="100"/>
  <c r="G463" i="100"/>
  <c r="G466" i="100"/>
  <c r="L418" i="100"/>
  <c r="G446" i="100"/>
  <c r="G459" i="100"/>
  <c r="L528" i="100"/>
  <c r="G418" i="100"/>
  <c r="L455" i="100"/>
  <c r="L458" i="100"/>
  <c r="L463" i="100"/>
  <c r="G472" i="100"/>
  <c r="G487" i="100"/>
  <c r="F584" i="100"/>
  <c r="F587" i="100" s="1"/>
  <c r="K584" i="100"/>
  <c r="K587" i="100" s="1"/>
  <c r="L516" i="100"/>
  <c r="G528" i="100"/>
  <c r="G560" i="100"/>
  <c r="G570" i="100"/>
  <c r="G535" i="100"/>
  <c r="L539" i="100"/>
  <c r="L555" i="100"/>
  <c r="G567" i="100"/>
  <c r="G583" i="100"/>
  <c r="G467" i="100"/>
  <c r="G483" i="100"/>
  <c r="L487" i="100"/>
  <c r="L512" i="100"/>
  <c r="P512" i="100" s="1"/>
  <c r="G539" i="100"/>
  <c r="G555" i="100"/>
  <c r="L559" i="100"/>
  <c r="M586" i="100"/>
  <c r="M332" i="100" l="1"/>
  <c r="M556" i="100"/>
  <c r="M234" i="100"/>
  <c r="M296" i="100"/>
  <c r="M225" i="100"/>
  <c r="M245" i="100"/>
  <c r="M377" i="100"/>
  <c r="M281" i="100"/>
  <c r="M159" i="100"/>
  <c r="M293" i="100"/>
  <c r="M201" i="100"/>
  <c r="M169" i="100"/>
  <c r="M290" i="100"/>
  <c r="M182" i="100"/>
  <c r="O415" i="100"/>
  <c r="M570" i="100"/>
  <c r="M383" i="100"/>
  <c r="M350" i="100"/>
  <c r="M161" i="100"/>
  <c r="O225" i="100"/>
  <c r="M188" i="100"/>
  <c r="M172" i="100"/>
  <c r="M231" i="100"/>
  <c r="M361" i="100"/>
  <c r="M190" i="100"/>
  <c r="M420" i="100"/>
  <c r="M280" i="100"/>
  <c r="M166" i="100"/>
  <c r="M143" i="100"/>
  <c r="M145" i="100"/>
  <c r="M372" i="100"/>
  <c r="M583" i="100"/>
  <c r="M333" i="100"/>
  <c r="M270" i="100"/>
  <c r="M198" i="100"/>
  <c r="M185" i="100"/>
  <c r="M291" i="100"/>
  <c r="M134" i="100"/>
  <c r="M254" i="100"/>
  <c r="M369" i="100"/>
  <c r="M449" i="100"/>
  <c r="M282" i="100"/>
  <c r="M238" i="100"/>
  <c r="M138" i="100"/>
  <c r="M233" i="100"/>
  <c r="M242" i="100"/>
  <c r="M386" i="100"/>
  <c r="M370" i="100"/>
  <c r="M292" i="100"/>
  <c r="M195" i="100"/>
  <c r="M179" i="100"/>
  <c r="M156" i="100"/>
  <c r="M444" i="100"/>
  <c r="M262" i="100"/>
  <c r="M253" i="100"/>
  <c r="M241" i="100"/>
  <c r="M474" i="100"/>
  <c r="M177" i="100"/>
  <c r="M352" i="100"/>
  <c r="M132" i="100"/>
  <c r="M142" i="100"/>
  <c r="M557" i="100"/>
  <c r="M257" i="100"/>
  <c r="M158" i="100"/>
  <c r="M274" i="100"/>
  <c r="M279" i="100"/>
  <c r="M272" i="100"/>
  <c r="M324" i="100"/>
  <c r="M380" i="100"/>
  <c r="M364" i="100"/>
  <c r="M460" i="100"/>
  <c r="M356" i="100"/>
  <c r="M193" i="100"/>
  <c r="M136" i="100"/>
  <c r="M528" i="100"/>
  <c r="M251" i="100"/>
  <c r="M247" i="100"/>
  <c r="M147" i="100"/>
  <c r="M348" i="100"/>
  <c r="M148" i="100"/>
  <c r="M152" i="100"/>
  <c r="M264" i="100"/>
  <c r="M248" i="100"/>
  <c r="M232" i="100"/>
  <c r="M199" i="100"/>
  <c r="M183" i="100"/>
  <c r="M263" i="100"/>
  <c r="M432" i="100"/>
  <c r="M150" i="100"/>
  <c r="M189" i="100"/>
  <c r="M141" i="100"/>
  <c r="M165" i="100"/>
  <c r="M278" i="100"/>
  <c r="M246" i="100"/>
  <c r="M230" i="100"/>
  <c r="M249" i="100"/>
  <c r="M164" i="100"/>
  <c r="M191" i="100"/>
  <c r="M175" i="100"/>
  <c r="M255" i="100"/>
  <c r="M192" i="100"/>
  <c r="M176" i="100"/>
  <c r="M131" i="100"/>
  <c r="M416" i="100"/>
  <c r="M376" i="100"/>
  <c r="M336" i="100"/>
  <c r="M421" i="100"/>
  <c r="M297" i="100"/>
  <c r="M285" i="100"/>
  <c r="M339" i="100"/>
  <c r="M275" i="100"/>
  <c r="M229" i="100"/>
  <c r="M367" i="100"/>
  <c r="M244" i="100"/>
  <c r="M345" i="100"/>
  <c r="M388" i="100"/>
  <c r="M237" i="100"/>
  <c r="M228" i="100"/>
  <c r="M326" i="100"/>
  <c r="M167" i="100"/>
  <c r="M135" i="100"/>
  <c r="M239" i="100"/>
  <c r="M443" i="100"/>
  <c r="M328" i="100"/>
  <c r="M321" i="100"/>
  <c r="O321" i="100"/>
  <c r="M381" i="100"/>
  <c r="M174" i="100"/>
  <c r="M267" i="100"/>
  <c r="M258" i="100"/>
  <c r="M154" i="100"/>
  <c r="M289" i="100"/>
  <c r="M365" i="100"/>
  <c r="M286" i="100"/>
  <c r="M265" i="100"/>
  <c r="M266" i="100"/>
  <c r="M235" i="100"/>
  <c r="M137" i="100"/>
  <c r="M277" i="100"/>
  <c r="M464" i="100"/>
  <c r="M349" i="100"/>
  <c r="M560" i="100"/>
  <c r="M459" i="100"/>
  <c r="M391" i="100"/>
  <c r="M375" i="100"/>
  <c r="M359" i="100"/>
  <c r="M334" i="100"/>
  <c r="M295" i="100"/>
  <c r="M347" i="100"/>
  <c r="M330" i="100"/>
  <c r="M276" i="100"/>
  <c r="M243" i="100"/>
  <c r="M227" i="100"/>
  <c r="M196" i="100"/>
  <c r="M180" i="100"/>
  <c r="M448" i="100"/>
  <c r="M384" i="100"/>
  <c r="M351" i="100"/>
  <c r="M341" i="100"/>
  <c r="M346" i="100"/>
  <c r="M284" i="100"/>
  <c r="M261" i="100"/>
  <c r="M385" i="100"/>
  <c r="M288" i="100"/>
  <c r="M260" i="100"/>
  <c r="M353" i="100"/>
  <c r="M181" i="100"/>
  <c r="M327" i="100"/>
  <c r="M259" i="100"/>
  <c r="M155" i="100"/>
  <c r="M163" i="100"/>
  <c r="M368" i="100"/>
  <c r="M197" i="100"/>
  <c r="M389" i="100"/>
  <c r="M287" i="100"/>
  <c r="M343" i="100"/>
  <c r="M140" i="100"/>
  <c r="M320" i="100"/>
  <c r="M252" i="100"/>
  <c r="M236" i="100"/>
  <c r="M187" i="100"/>
  <c r="M171" i="100"/>
  <c r="M226" i="100"/>
  <c r="M273" i="100"/>
  <c r="M173" i="100"/>
  <c r="M157" i="100"/>
  <c r="M146" i="100"/>
  <c r="M268" i="100"/>
  <c r="M455" i="100"/>
  <c r="M323" i="100"/>
  <c r="M379" i="100"/>
  <c r="M511" i="100"/>
  <c r="M514" i="100"/>
  <c r="M250" i="100"/>
  <c r="M186" i="100"/>
  <c r="M162" i="100"/>
  <c r="M153" i="100"/>
  <c r="M340" i="100"/>
  <c r="M256" i="100"/>
  <c r="M559" i="100"/>
  <c r="M418" i="100"/>
  <c r="M446" i="100"/>
  <c r="M354" i="100"/>
  <c r="M322" i="100"/>
  <c r="M390" i="100"/>
  <c r="M374" i="100"/>
  <c r="M358" i="100"/>
  <c r="M337" i="100"/>
  <c r="M139" i="100"/>
  <c r="M331" i="100"/>
  <c r="M200" i="100"/>
  <c r="M184" i="100"/>
  <c r="M168" i="100"/>
  <c r="M325" i="100"/>
  <c r="M294" i="100"/>
  <c r="M461" i="100"/>
  <c r="M373" i="100"/>
  <c r="M170" i="100"/>
  <c r="M133" i="100"/>
  <c r="M178" i="100"/>
  <c r="M160" i="100"/>
  <c r="M149" i="100"/>
  <c r="M357" i="100"/>
  <c r="M363" i="100"/>
  <c r="M555" i="100"/>
  <c r="M378" i="100"/>
  <c r="M362" i="100"/>
  <c r="M130" i="100"/>
  <c r="M392" i="100"/>
  <c r="M360" i="100"/>
  <c r="M194" i="100"/>
  <c r="M344" i="100"/>
  <c r="L298" i="100"/>
  <c r="L301" i="100" s="1"/>
  <c r="O512" i="100"/>
  <c r="M512" i="100"/>
  <c r="L202" i="100"/>
  <c r="L205" i="100" s="1"/>
  <c r="P129" i="100"/>
  <c r="M487" i="100"/>
  <c r="M463" i="100"/>
  <c r="M338" i="100"/>
  <c r="M283" i="100"/>
  <c r="M387" i="100"/>
  <c r="M371" i="100"/>
  <c r="M271" i="100"/>
  <c r="M151" i="100"/>
  <c r="M129" i="100"/>
  <c r="O129" i="100"/>
  <c r="M539" i="100"/>
  <c r="M458" i="100"/>
  <c r="M382" i="100"/>
  <c r="M366" i="100"/>
  <c r="M342" i="100"/>
  <c r="M269" i="100"/>
  <c r="N51" i="150" l="1"/>
  <c r="L92" i="100" l="1"/>
  <c r="L91" i="100"/>
  <c r="L89" i="100"/>
  <c r="G91" i="100" l="1"/>
  <c r="G92" i="100"/>
  <c r="L40" i="100" l="1"/>
  <c r="L88" i="100"/>
  <c r="L45" i="100"/>
  <c r="L73" i="100"/>
  <c r="L38" i="100"/>
  <c r="L34" i="100"/>
  <c r="L26" i="100"/>
  <c r="L19" i="100"/>
  <c r="L39" i="100"/>
  <c r="L23" i="100"/>
  <c r="G46" i="100"/>
  <c r="M91" i="100"/>
  <c r="M92" i="100"/>
  <c r="G22" i="100"/>
  <c r="G19" i="100"/>
  <c r="G23" i="100"/>
  <c r="L18" i="100"/>
  <c r="L35" i="100" l="1"/>
  <c r="L51" i="100"/>
  <c r="L83" i="100"/>
  <c r="L62" i="100"/>
  <c r="L55" i="100"/>
  <c r="L71" i="100"/>
  <c r="L87" i="100"/>
  <c r="L22" i="100"/>
  <c r="M22" i="100" s="1"/>
  <c r="L36" i="100"/>
  <c r="L66" i="100"/>
  <c r="L80" i="100"/>
  <c r="L69" i="100"/>
  <c r="L70" i="100"/>
  <c r="L85" i="100"/>
  <c r="L68" i="100"/>
  <c r="L17" i="100"/>
  <c r="G39" i="100"/>
  <c r="M39" i="100" s="1"/>
  <c r="G55" i="100"/>
  <c r="G87" i="100"/>
  <c r="G42" i="100"/>
  <c r="L67" i="100"/>
  <c r="L21" i="100"/>
  <c r="G29" i="100"/>
  <c r="G88" i="100"/>
  <c r="M88" i="100" s="1"/>
  <c r="G77" i="100"/>
  <c r="L54" i="100"/>
  <c r="J90" i="100"/>
  <c r="J93" i="100" s="1"/>
  <c r="J95" i="100" s="1"/>
  <c r="K104" i="100" s="1"/>
  <c r="L63" i="100"/>
  <c r="L25" i="100"/>
  <c r="G71" i="100"/>
  <c r="M71" i="100" s="1"/>
  <c r="G26" i="100"/>
  <c r="M26" i="100" s="1"/>
  <c r="G58" i="100"/>
  <c r="L50" i="100"/>
  <c r="L28" i="100"/>
  <c r="L60" i="100"/>
  <c r="L82" i="100"/>
  <c r="L48" i="100"/>
  <c r="L81" i="100"/>
  <c r="L49" i="100"/>
  <c r="L72" i="100"/>
  <c r="G24" i="100"/>
  <c r="G82" i="100"/>
  <c r="G48" i="100"/>
  <c r="G64" i="100"/>
  <c r="G85" i="100"/>
  <c r="G69" i="100"/>
  <c r="G70" i="100"/>
  <c r="L78" i="100"/>
  <c r="L32" i="100"/>
  <c r="L61" i="100"/>
  <c r="L29" i="100"/>
  <c r="M29" i="100" s="1"/>
  <c r="G17" i="100"/>
  <c r="M19" i="100"/>
  <c r="G35" i="100"/>
  <c r="G51" i="100"/>
  <c r="G67" i="100"/>
  <c r="L31" i="100"/>
  <c r="L47" i="100"/>
  <c r="L79" i="100"/>
  <c r="L30" i="100"/>
  <c r="L46" i="100"/>
  <c r="M46" i="100" s="1"/>
  <c r="L20" i="100"/>
  <c r="L52" i="100"/>
  <c r="L74" i="100"/>
  <c r="L24" i="100"/>
  <c r="L53" i="100"/>
  <c r="L65" i="100"/>
  <c r="L84" i="100"/>
  <c r="L37" i="100"/>
  <c r="G21" i="100"/>
  <c r="M21" i="100" s="1"/>
  <c r="G79" i="100"/>
  <c r="G34" i="100"/>
  <c r="M34" i="100" s="1"/>
  <c r="G50" i="100"/>
  <c r="M50" i="100" s="1"/>
  <c r="G66" i="100"/>
  <c r="M66" i="100" s="1"/>
  <c r="L27" i="100"/>
  <c r="L43" i="100"/>
  <c r="L59" i="100"/>
  <c r="L75" i="100"/>
  <c r="L42" i="100"/>
  <c r="L58" i="100"/>
  <c r="L44" i="100"/>
  <c r="L64" i="100"/>
  <c r="L41" i="100"/>
  <c r="L76" i="100"/>
  <c r="L86" i="100"/>
  <c r="L56" i="100"/>
  <c r="L77" i="100"/>
  <c r="G53" i="100"/>
  <c r="G80" i="100"/>
  <c r="L57" i="100"/>
  <c r="L33" i="100"/>
  <c r="G60" i="100"/>
  <c r="G36" i="100"/>
  <c r="M36" i="100" s="1"/>
  <c r="G84" i="100"/>
  <c r="G49" i="100"/>
  <c r="G20" i="100"/>
  <c r="G83" i="100"/>
  <c r="G38" i="100"/>
  <c r="G54" i="100"/>
  <c r="G52" i="100"/>
  <c r="G37" i="100"/>
  <c r="G68" i="100"/>
  <c r="G78" i="100"/>
  <c r="G81" i="100"/>
  <c r="G44" i="100"/>
  <c r="G57" i="100"/>
  <c r="G25" i="100"/>
  <c r="G31" i="100"/>
  <c r="G47" i="100"/>
  <c r="G63" i="100"/>
  <c r="G74" i="100"/>
  <c r="G65" i="100"/>
  <c r="G33" i="100"/>
  <c r="G18" i="100"/>
  <c r="G27" i="100"/>
  <c r="G43" i="100"/>
  <c r="G59" i="100"/>
  <c r="G75" i="100"/>
  <c r="G30" i="100"/>
  <c r="G62" i="100"/>
  <c r="M23" i="100"/>
  <c r="G40" i="100"/>
  <c r="G56" i="100"/>
  <c r="G89" i="100"/>
  <c r="M89" i="100" s="1"/>
  <c r="G45" i="100"/>
  <c r="M45" i="100" s="1"/>
  <c r="G72" i="100"/>
  <c r="G61" i="100"/>
  <c r="G73" i="100"/>
  <c r="M73" i="100" s="1"/>
  <c r="G32" i="100"/>
  <c r="G76" i="100"/>
  <c r="G28" i="100"/>
  <c r="G86" i="100"/>
  <c r="G41" i="100"/>
  <c r="K90" i="100"/>
  <c r="K93" i="100" s="1"/>
  <c r="F90" i="100"/>
  <c r="F93" i="100" s="1"/>
  <c r="I90" i="100"/>
  <c r="I93" i="100" s="1"/>
  <c r="E90" i="100"/>
  <c r="E93" i="100" s="1"/>
  <c r="D90" i="100"/>
  <c r="D93" i="100" s="1"/>
  <c r="P18" i="100"/>
  <c r="M17" i="100" l="1"/>
  <c r="M79" i="100"/>
  <c r="M77" i="100"/>
  <c r="M70" i="100"/>
  <c r="M48" i="100"/>
  <c r="M44" i="100"/>
  <c r="M37" i="100"/>
  <c r="M67" i="100"/>
  <c r="M85" i="100"/>
  <c r="M28" i="100"/>
  <c r="M35" i="100"/>
  <c r="M32" i="100"/>
  <c r="M55" i="100"/>
  <c r="M51" i="100"/>
  <c r="M87" i="100"/>
  <c r="M61" i="100"/>
  <c r="M81" i="100"/>
  <c r="M25" i="100"/>
  <c r="M80" i="100"/>
  <c r="M83" i="100"/>
  <c r="M69" i="100"/>
  <c r="M62" i="100"/>
  <c r="M78" i="100"/>
  <c r="M76" i="100"/>
  <c r="M42" i="100"/>
  <c r="M43" i="100"/>
  <c r="M65" i="100"/>
  <c r="M64" i="100"/>
  <c r="M53" i="100"/>
  <c r="M82" i="100"/>
  <c r="M30" i="100"/>
  <c r="M74" i="100"/>
  <c r="M63" i="100"/>
  <c r="M24" i="100"/>
  <c r="M27" i="100"/>
  <c r="M52" i="100"/>
  <c r="M41" i="100"/>
  <c r="M75" i="100"/>
  <c r="M47" i="100"/>
  <c r="M86" i="100"/>
  <c r="M59" i="100"/>
  <c r="M33" i="100"/>
  <c r="M31" i="100"/>
  <c r="M57" i="100"/>
  <c r="M49" i="100"/>
  <c r="M60" i="100"/>
  <c r="M58" i="100"/>
  <c r="M56" i="100"/>
  <c r="M54" i="100"/>
  <c r="M72" i="100"/>
  <c r="M40" i="100"/>
  <c r="M68" i="100"/>
  <c r="M38" i="100"/>
  <c r="M20" i="100"/>
  <c r="M18" i="100"/>
  <c r="M84" i="100"/>
  <c r="P17" i="100"/>
  <c r="O17" i="100"/>
  <c r="O18" i="100"/>
  <c r="A87" i="146" l="1"/>
  <c r="B87" i="146"/>
  <c r="C87" i="146"/>
  <c r="E87" i="146"/>
  <c r="A88" i="146"/>
  <c r="B88" i="146"/>
  <c r="C88" i="146"/>
  <c r="E88" i="146"/>
  <c r="A89" i="146"/>
  <c r="B89" i="146"/>
  <c r="C89" i="146"/>
  <c r="E89" i="146"/>
  <c r="A90" i="146"/>
  <c r="B90" i="146"/>
  <c r="C90" i="146"/>
  <c r="E90" i="146"/>
  <c r="A91" i="146"/>
  <c r="B91" i="146"/>
  <c r="C91" i="146"/>
  <c r="E91" i="146"/>
  <c r="K81" i="150" l="1"/>
  <c r="F81" i="150"/>
  <c r="B81" i="150"/>
  <c r="K80" i="150"/>
  <c r="F80" i="150"/>
  <c r="B80" i="150"/>
  <c r="B79" i="150"/>
  <c r="K78" i="150"/>
  <c r="F78" i="150"/>
  <c r="B78" i="150"/>
  <c r="B77" i="150"/>
  <c r="B76" i="150"/>
  <c r="B75" i="150"/>
  <c r="B74" i="150"/>
  <c r="B73" i="150"/>
  <c r="B66" i="150"/>
  <c r="B65" i="150"/>
  <c r="B64" i="150"/>
  <c r="B63" i="150"/>
  <c r="B62" i="150"/>
  <c r="F76" i="150"/>
  <c r="B61" i="150"/>
  <c r="B60" i="150"/>
  <c r="B59" i="150"/>
  <c r="B58" i="150"/>
  <c r="M52" i="150"/>
  <c r="O52" i="150" s="1"/>
  <c r="H52" i="150"/>
  <c r="J52" i="150" s="1"/>
  <c r="B52" i="150"/>
  <c r="M51" i="150"/>
  <c r="H51" i="150"/>
  <c r="B51" i="150"/>
  <c r="I40" i="150"/>
  <c r="I41" i="150" s="1"/>
  <c r="J39" i="150"/>
  <c r="J38" i="150"/>
  <c r="J37" i="150"/>
  <c r="F27" i="150"/>
  <c r="G26" i="150"/>
  <c r="L26" i="150" s="1"/>
  <c r="G25" i="150"/>
  <c r="L25" i="150" s="1"/>
  <c r="K23" i="150"/>
  <c r="M23" i="150" s="1"/>
  <c r="G23" i="150"/>
  <c r="L23" i="150" s="1"/>
  <c r="N23" i="150" s="1"/>
  <c r="K22" i="150"/>
  <c r="K21" i="150"/>
  <c r="M21" i="150" s="1"/>
  <c r="G21" i="150"/>
  <c r="L21" i="150" s="1"/>
  <c r="N21" i="150" s="1"/>
  <c r="K19" i="150"/>
  <c r="K18" i="150"/>
  <c r="J40" i="150" l="1"/>
  <c r="K76" i="150"/>
  <c r="H2" i="146"/>
  <c r="AS34" i="49"/>
  <c r="AS33" i="49"/>
  <c r="AS32" i="49"/>
  <c r="AS31" i="49"/>
  <c r="AS30" i="49"/>
  <c r="AP34" i="49"/>
  <c r="AP33" i="49"/>
  <c r="AP32" i="49"/>
  <c r="AP31" i="49"/>
  <c r="AP30" i="49"/>
  <c r="AM34" i="49"/>
  <c r="AM33" i="49"/>
  <c r="AM32" i="49"/>
  <c r="AM31" i="49"/>
  <c r="AM30" i="49"/>
  <c r="AJ34" i="49"/>
  <c r="AJ33" i="49"/>
  <c r="AJ32" i="49"/>
  <c r="AJ31" i="49"/>
  <c r="AJ30" i="49"/>
  <c r="AG34" i="49"/>
  <c r="AG33" i="49"/>
  <c r="AG32" i="49"/>
  <c r="AG31" i="49"/>
  <c r="AG30" i="49"/>
  <c r="AD34" i="49"/>
  <c r="AD33" i="49"/>
  <c r="AD32" i="49"/>
  <c r="AD31" i="49"/>
  <c r="AD30" i="49"/>
  <c r="AA34" i="49"/>
  <c r="AA33" i="49"/>
  <c r="AA32" i="49"/>
  <c r="AA31" i="49"/>
  <c r="AA30" i="49"/>
  <c r="J41" i="150" l="1"/>
  <c r="L40" i="150"/>
  <c r="L41" i="150" s="1"/>
  <c r="T1" i="49"/>
  <c r="T3" i="49"/>
  <c r="O12" i="49" l="1"/>
  <c r="K12" i="49"/>
  <c r="G12" i="49"/>
  <c r="N12" i="49"/>
  <c r="J12" i="49"/>
  <c r="F12" i="49"/>
  <c r="Q12" i="49"/>
  <c r="M12" i="49"/>
  <c r="I12" i="49"/>
  <c r="E12" i="49"/>
  <c r="P12" i="49"/>
  <c r="L12" i="49"/>
  <c r="H12" i="49"/>
  <c r="D12" i="49"/>
  <c r="C12" i="49"/>
  <c r="G7" i="146" s="1"/>
  <c r="B12" i="49"/>
  <c r="G3" i="146" s="1"/>
  <c r="AX12" i="49"/>
  <c r="AW12" i="49"/>
  <c r="AV12" i="49"/>
  <c r="AU12" i="49"/>
  <c r="T2" i="49"/>
  <c r="AT12" i="49"/>
  <c r="AQ12" i="49"/>
  <c r="AN12" i="49"/>
  <c r="AK12" i="49"/>
  <c r="AH12" i="49"/>
  <c r="AE12" i="49"/>
  <c r="AB12" i="49"/>
  <c r="Y12" i="49"/>
  <c r="G75" i="146" l="1"/>
  <c r="G74" i="146"/>
  <c r="G76" i="146"/>
  <c r="G73" i="146"/>
  <c r="G72" i="146"/>
  <c r="G81" i="146"/>
  <c r="G78" i="146"/>
  <c r="G77" i="146"/>
  <c r="G80" i="146"/>
  <c r="G79" i="146"/>
  <c r="G29" i="146"/>
  <c r="G27" i="146"/>
  <c r="G30" i="146"/>
  <c r="G31" i="146"/>
  <c r="G28" i="146"/>
  <c r="G61" i="146"/>
  <c r="G60" i="146"/>
  <c r="G58" i="146"/>
  <c r="G57" i="146"/>
  <c r="G59" i="146"/>
  <c r="G63" i="146"/>
  <c r="G62" i="146"/>
  <c r="G64" i="146"/>
  <c r="G65" i="146"/>
  <c r="G66" i="146"/>
  <c r="G23" i="146"/>
  <c r="G22" i="146"/>
  <c r="G24" i="146"/>
  <c r="G26" i="146"/>
  <c r="G25" i="146"/>
  <c r="G49" i="146"/>
  <c r="G48" i="146"/>
  <c r="G50" i="146"/>
  <c r="G51" i="146"/>
  <c r="G47" i="146"/>
  <c r="G55" i="146"/>
  <c r="G56" i="146"/>
  <c r="G54" i="146"/>
  <c r="G53" i="146"/>
  <c r="G52" i="146"/>
  <c r="G35" i="146"/>
  <c r="G36" i="146"/>
  <c r="G34" i="146"/>
  <c r="G33" i="146"/>
  <c r="G32" i="146"/>
  <c r="G41" i="146"/>
  <c r="G40" i="146"/>
  <c r="G38" i="146"/>
  <c r="G37" i="146"/>
  <c r="G39" i="146"/>
  <c r="G43" i="146"/>
  <c r="G42" i="146"/>
  <c r="G44" i="146"/>
  <c r="G46" i="146"/>
  <c r="G45" i="146"/>
  <c r="G69" i="146"/>
  <c r="G70" i="146"/>
  <c r="G67" i="146"/>
  <c r="G71" i="146"/>
  <c r="G68" i="146"/>
  <c r="G16" i="146"/>
  <c r="G13" i="146"/>
  <c r="G12" i="146"/>
  <c r="G15" i="146"/>
  <c r="G14" i="146"/>
  <c r="G18" i="146"/>
  <c r="G17" i="146"/>
  <c r="G19" i="146"/>
  <c r="G20" i="146"/>
  <c r="G21" i="146"/>
  <c r="G8" i="146"/>
  <c r="G9" i="146"/>
  <c r="G10" i="146"/>
  <c r="G11" i="146"/>
  <c r="G2" i="146"/>
  <c r="G4" i="146"/>
  <c r="G5" i="146"/>
  <c r="G6" i="146"/>
  <c r="AM12" i="49"/>
  <c r="AI12" i="49"/>
  <c r="AP12" i="49"/>
  <c r="AC12" i="49"/>
  <c r="AD12" i="49"/>
  <c r="AF12" i="49"/>
  <c r="AJ12" i="49"/>
  <c r="AR12" i="49"/>
  <c r="X12" i="49"/>
  <c r="W12" i="49"/>
  <c r="AO12" i="49"/>
  <c r="AS12" i="49"/>
  <c r="AA12" i="49"/>
  <c r="AG12" i="49"/>
  <c r="Z12" i="49"/>
  <c r="AL12" i="49"/>
  <c r="D2" i="149" l="1"/>
  <c r="B2" i="149"/>
  <c r="A2" i="149"/>
  <c r="I23" i="148" l="1"/>
  <c r="J23" i="148"/>
  <c r="K23" i="148"/>
  <c r="L23" i="148"/>
  <c r="M23" i="148"/>
  <c r="O23" i="148"/>
  <c r="I24" i="148"/>
  <c r="J24" i="148"/>
  <c r="K24" i="148"/>
  <c r="L24" i="148"/>
  <c r="M24" i="148"/>
  <c r="O24" i="148"/>
  <c r="I25" i="148"/>
  <c r="J25" i="148"/>
  <c r="K25" i="148"/>
  <c r="L25" i="148"/>
  <c r="M25" i="148"/>
  <c r="O25" i="148"/>
  <c r="I26" i="148"/>
  <c r="J26" i="148"/>
  <c r="K26" i="148"/>
  <c r="L26" i="148"/>
  <c r="M26" i="148"/>
  <c r="O26" i="148"/>
  <c r="I27" i="148"/>
  <c r="J27" i="148"/>
  <c r="K27" i="148"/>
  <c r="L27" i="148"/>
  <c r="M27" i="148"/>
  <c r="I28" i="148"/>
  <c r="J28" i="148"/>
  <c r="K28" i="148"/>
  <c r="L28" i="148"/>
  <c r="M28" i="148"/>
  <c r="O28" i="148"/>
  <c r="I29" i="148"/>
  <c r="J29" i="148"/>
  <c r="K29" i="148"/>
  <c r="L29" i="148"/>
  <c r="M29" i="148"/>
  <c r="O29" i="148"/>
  <c r="I30" i="148"/>
  <c r="J30" i="148"/>
  <c r="K30" i="148"/>
  <c r="L30" i="148"/>
  <c r="M30" i="148"/>
  <c r="O30" i="148"/>
  <c r="I31" i="148"/>
  <c r="J31" i="148"/>
  <c r="K31" i="148"/>
  <c r="L31" i="148"/>
  <c r="M31" i="148"/>
  <c r="O31" i="148"/>
  <c r="I32" i="148"/>
  <c r="J32" i="148"/>
  <c r="K32" i="148"/>
  <c r="L32" i="148"/>
  <c r="M32" i="148"/>
  <c r="O32" i="148"/>
  <c r="I33" i="148"/>
  <c r="J33" i="148"/>
  <c r="K33" i="148"/>
  <c r="L33" i="148"/>
  <c r="M33" i="148"/>
  <c r="O33" i="148"/>
  <c r="I34" i="148"/>
  <c r="J34" i="148"/>
  <c r="K34" i="148"/>
  <c r="L34" i="148"/>
  <c r="M34" i="148"/>
  <c r="O34" i="148"/>
  <c r="I35" i="148"/>
  <c r="J35" i="148"/>
  <c r="K35" i="148"/>
  <c r="L35" i="148"/>
  <c r="M35" i="148"/>
  <c r="O35" i="148"/>
  <c r="I36" i="148"/>
  <c r="J36" i="148"/>
  <c r="K36" i="148"/>
  <c r="L36" i="148"/>
  <c r="M36" i="148"/>
  <c r="O36" i="148"/>
  <c r="I37" i="148"/>
  <c r="J37" i="148"/>
  <c r="K37" i="148"/>
  <c r="L37" i="148"/>
  <c r="M37" i="148"/>
  <c r="O37" i="148"/>
  <c r="H24" i="148"/>
  <c r="H25" i="148"/>
  <c r="H26" i="148"/>
  <c r="H27" i="148"/>
  <c r="H28" i="148"/>
  <c r="H29" i="148"/>
  <c r="H30" i="148"/>
  <c r="H31" i="148"/>
  <c r="H32" i="148"/>
  <c r="H33" i="148"/>
  <c r="H34" i="148"/>
  <c r="H35" i="148"/>
  <c r="H36" i="148"/>
  <c r="H37" i="148"/>
  <c r="H38" i="148"/>
  <c r="H39" i="148"/>
  <c r="H40" i="148"/>
  <c r="H23" i="148"/>
  <c r="F27" i="148"/>
  <c r="A33" i="148"/>
  <c r="B33" i="148"/>
  <c r="C33" i="148"/>
  <c r="E33" i="148"/>
  <c r="A34" i="148"/>
  <c r="B34" i="148"/>
  <c r="C34" i="148"/>
  <c r="E34" i="148"/>
  <c r="A35" i="148"/>
  <c r="B35" i="148"/>
  <c r="C35" i="148"/>
  <c r="E35" i="148"/>
  <c r="A36" i="148"/>
  <c r="B36" i="148"/>
  <c r="C36" i="148"/>
  <c r="E36" i="148"/>
  <c r="A37" i="148"/>
  <c r="B37" i="148"/>
  <c r="C37" i="148"/>
  <c r="E37" i="148"/>
  <c r="A38" i="148"/>
  <c r="B38" i="148"/>
  <c r="C38" i="148"/>
  <c r="E38" i="148"/>
  <c r="A39" i="148"/>
  <c r="B39" i="148"/>
  <c r="C39" i="148"/>
  <c r="E39" i="148"/>
  <c r="A40" i="148"/>
  <c r="B40" i="148"/>
  <c r="C40" i="148"/>
  <c r="E40" i="148"/>
  <c r="F33" i="148"/>
  <c r="F34" i="148"/>
  <c r="F35" i="148"/>
  <c r="F36" i="148"/>
  <c r="F37" i="148"/>
  <c r="F38" i="148"/>
  <c r="F39" i="148"/>
  <c r="F40" i="148"/>
  <c r="F24" i="148"/>
  <c r="F25" i="148"/>
  <c r="F26" i="148"/>
  <c r="F28" i="148"/>
  <c r="F29" i="148"/>
  <c r="F30" i="148"/>
  <c r="F31" i="148"/>
  <c r="F32" i="148"/>
  <c r="F23" i="148"/>
  <c r="F21" i="148"/>
  <c r="F19" i="148"/>
  <c r="F20" i="148"/>
  <c r="F13" i="148"/>
  <c r="F14" i="148"/>
  <c r="F15" i="148"/>
  <c r="F16" i="148"/>
  <c r="F17" i="148"/>
  <c r="F18" i="148"/>
  <c r="A24" i="148"/>
  <c r="B24" i="148"/>
  <c r="C24" i="148"/>
  <c r="E24" i="148"/>
  <c r="A25" i="148"/>
  <c r="B25" i="148"/>
  <c r="C25" i="148"/>
  <c r="E25" i="148"/>
  <c r="A26" i="148"/>
  <c r="B26" i="148"/>
  <c r="C26" i="148"/>
  <c r="E26" i="148"/>
  <c r="A27" i="148"/>
  <c r="B27" i="148"/>
  <c r="C27" i="148"/>
  <c r="E27" i="148"/>
  <c r="A28" i="148"/>
  <c r="B28" i="148"/>
  <c r="C28" i="148"/>
  <c r="E28" i="148"/>
  <c r="A29" i="148"/>
  <c r="B29" i="148"/>
  <c r="C29" i="148"/>
  <c r="E29" i="148"/>
  <c r="A30" i="148"/>
  <c r="B30" i="148"/>
  <c r="C30" i="148"/>
  <c r="E30" i="148"/>
  <c r="A31" i="148"/>
  <c r="B31" i="148"/>
  <c r="C31" i="148"/>
  <c r="E31" i="148"/>
  <c r="A32" i="148"/>
  <c r="B32" i="148"/>
  <c r="C32" i="148"/>
  <c r="E32" i="148"/>
  <c r="F12" i="148"/>
  <c r="I38" i="12" l="1"/>
  <c r="N24" i="148" s="1"/>
  <c r="I39" i="12"/>
  <c r="N25" i="148" s="1"/>
  <c r="I40" i="12"/>
  <c r="N26" i="148" s="1"/>
  <c r="I41" i="12"/>
  <c r="N27" i="148" s="1"/>
  <c r="I42" i="12"/>
  <c r="N28" i="148" s="1"/>
  <c r="I43" i="12"/>
  <c r="N29" i="148" s="1"/>
  <c r="I44" i="12"/>
  <c r="N30" i="148" s="1"/>
  <c r="I45" i="12"/>
  <c r="N31" i="148" s="1"/>
  <c r="I46" i="12"/>
  <c r="N32" i="148" s="1"/>
  <c r="I47" i="12"/>
  <c r="N33" i="148" s="1"/>
  <c r="I48" i="12"/>
  <c r="N34" i="148" s="1"/>
  <c r="I49" i="12"/>
  <c r="N35" i="148" s="1"/>
  <c r="I50" i="12"/>
  <c r="N36" i="148" s="1"/>
  <c r="I51" i="12"/>
  <c r="N37" i="148" s="1"/>
  <c r="I37" i="12"/>
  <c r="N23" i="148" s="1"/>
  <c r="I22" i="12"/>
  <c r="I23" i="12"/>
  <c r="I24" i="12"/>
  <c r="I25" i="12"/>
  <c r="I26" i="12"/>
  <c r="I27" i="12"/>
  <c r="I28" i="12"/>
  <c r="I29" i="12"/>
  <c r="I30" i="12"/>
  <c r="I31" i="12"/>
  <c r="I32" i="12"/>
  <c r="I33" i="12"/>
  <c r="I34" i="12"/>
  <c r="I35" i="12"/>
  <c r="K38" i="12"/>
  <c r="P24" i="148" s="1"/>
  <c r="K39" i="12"/>
  <c r="P25" i="148" s="1"/>
  <c r="K40" i="12"/>
  <c r="P26" i="148" s="1"/>
  <c r="K42" i="12"/>
  <c r="P28" i="148" s="1"/>
  <c r="K43" i="12"/>
  <c r="P29" i="148" s="1"/>
  <c r="K44" i="12"/>
  <c r="P30" i="148" s="1"/>
  <c r="K45" i="12"/>
  <c r="P31" i="148" s="1"/>
  <c r="K46" i="12"/>
  <c r="P32" i="148" s="1"/>
  <c r="K47" i="12"/>
  <c r="P33" i="148" s="1"/>
  <c r="K48" i="12"/>
  <c r="P34" i="148" s="1"/>
  <c r="K49" i="12"/>
  <c r="P35" i="148" s="1"/>
  <c r="K50" i="12"/>
  <c r="P36" i="148" s="1"/>
  <c r="K51" i="12"/>
  <c r="P37" i="148" s="1"/>
  <c r="K37" i="12"/>
  <c r="P23" i="148" s="1"/>
  <c r="K27" i="12"/>
  <c r="K28" i="12"/>
  <c r="K29" i="12"/>
  <c r="K30" i="12"/>
  <c r="K31" i="12"/>
  <c r="K32" i="12"/>
  <c r="K33" i="12"/>
  <c r="K34" i="12"/>
  <c r="K35" i="12"/>
  <c r="E52" i="12"/>
  <c r="J38" i="148" s="1"/>
  <c r="F52" i="12"/>
  <c r="K38" i="148" s="1"/>
  <c r="G52" i="12"/>
  <c r="L38" i="148" s="1"/>
  <c r="E53" i="12"/>
  <c r="J39" i="148" s="1"/>
  <c r="F53" i="12"/>
  <c r="K39" i="148" s="1"/>
  <c r="G53" i="12"/>
  <c r="L39" i="148" s="1"/>
  <c r="H53" i="12"/>
  <c r="M39" i="148" s="1"/>
  <c r="D53" i="12"/>
  <c r="I39" i="148" s="1"/>
  <c r="D52" i="12"/>
  <c r="I38" i="148" s="1"/>
  <c r="F93" i="98"/>
  <c r="F92" i="98"/>
  <c r="F76" i="98"/>
  <c r="G93" i="98"/>
  <c r="G92" i="98"/>
  <c r="H92" i="98"/>
  <c r="I92" i="98"/>
  <c r="H93" i="98"/>
  <c r="I93" i="98"/>
  <c r="A7" i="143"/>
  <c r="B7" i="143"/>
  <c r="C7" i="143"/>
  <c r="E7" i="143"/>
  <c r="A8" i="143"/>
  <c r="B8" i="143"/>
  <c r="C8" i="143"/>
  <c r="E8" i="143"/>
  <c r="A9" i="143"/>
  <c r="B9" i="143"/>
  <c r="C9" i="143"/>
  <c r="E9" i="143"/>
  <c r="A10" i="143"/>
  <c r="B10" i="143"/>
  <c r="C10" i="143"/>
  <c r="E10" i="143"/>
  <c r="A11" i="143"/>
  <c r="B11" i="143"/>
  <c r="C11" i="143"/>
  <c r="E11" i="143"/>
  <c r="F54" i="12" l="1"/>
  <c r="K40" i="148" s="1"/>
  <c r="G54" i="12"/>
  <c r="L40" i="148" s="1"/>
  <c r="E54" i="12"/>
  <c r="J40" i="148" s="1"/>
  <c r="D54" i="12"/>
  <c r="I40" i="148" s="1"/>
  <c r="F80" i="98"/>
  <c r="A7" i="144" l="1"/>
  <c r="B7" i="144"/>
  <c r="C7" i="144"/>
  <c r="E7" i="144"/>
  <c r="A8" i="144"/>
  <c r="B8" i="144"/>
  <c r="C8" i="144"/>
  <c r="E8" i="144"/>
  <c r="A9" i="144"/>
  <c r="B9" i="144"/>
  <c r="C9" i="144"/>
  <c r="E9" i="144"/>
  <c r="A10" i="144"/>
  <c r="B10" i="144"/>
  <c r="C10" i="144"/>
  <c r="E10" i="144"/>
  <c r="A11" i="144"/>
  <c r="B11" i="144"/>
  <c r="C11" i="144"/>
  <c r="E11" i="144"/>
  <c r="B32" i="142"/>
  <c r="C32" i="142"/>
  <c r="E32" i="142"/>
  <c r="B33" i="142"/>
  <c r="C33" i="142"/>
  <c r="E33" i="142"/>
  <c r="B34" i="142"/>
  <c r="C34" i="142"/>
  <c r="E34" i="142"/>
  <c r="B35" i="142"/>
  <c r="C35" i="142"/>
  <c r="E35" i="142"/>
  <c r="B36" i="142"/>
  <c r="C36" i="142"/>
  <c r="E36" i="142"/>
  <c r="B37" i="142"/>
  <c r="C37" i="142"/>
  <c r="E37" i="142"/>
  <c r="B38" i="142"/>
  <c r="C38" i="142"/>
  <c r="E38" i="142"/>
  <c r="B39" i="142"/>
  <c r="C39" i="142"/>
  <c r="E39" i="142"/>
  <c r="B40" i="142"/>
  <c r="C40" i="142"/>
  <c r="E40" i="142"/>
  <c r="B41" i="142"/>
  <c r="C41" i="142"/>
  <c r="E41" i="142"/>
  <c r="B42" i="142"/>
  <c r="C42" i="142"/>
  <c r="E42" i="142"/>
  <c r="B43" i="142"/>
  <c r="C43" i="142"/>
  <c r="E43" i="142"/>
  <c r="B44" i="142"/>
  <c r="C44" i="142"/>
  <c r="E44" i="142"/>
  <c r="B45" i="142"/>
  <c r="C45" i="142"/>
  <c r="E45" i="142"/>
  <c r="B46" i="142"/>
  <c r="C46" i="142"/>
  <c r="E46" i="142"/>
  <c r="B47" i="142"/>
  <c r="C47" i="142"/>
  <c r="E47" i="142"/>
  <c r="B48" i="142"/>
  <c r="C48" i="142"/>
  <c r="E48" i="142"/>
  <c r="B49" i="142"/>
  <c r="C49" i="142"/>
  <c r="E49" i="142"/>
  <c r="B50" i="142"/>
  <c r="C50" i="142"/>
  <c r="E50" i="142"/>
  <c r="B51" i="142"/>
  <c r="C51" i="142"/>
  <c r="E51" i="142"/>
  <c r="B52" i="142"/>
  <c r="C52" i="142"/>
  <c r="E52" i="142"/>
  <c r="B53" i="142"/>
  <c r="C53" i="142"/>
  <c r="E53" i="142"/>
  <c r="B54" i="142"/>
  <c r="C54" i="142"/>
  <c r="E54" i="142"/>
  <c r="B55" i="142"/>
  <c r="C55" i="142"/>
  <c r="E55" i="142"/>
  <c r="B56" i="142"/>
  <c r="C56" i="142"/>
  <c r="E56" i="142"/>
  <c r="B57" i="142"/>
  <c r="C57" i="142"/>
  <c r="E57" i="142"/>
  <c r="B58" i="142"/>
  <c r="C58" i="142"/>
  <c r="E58" i="142"/>
  <c r="B59" i="142"/>
  <c r="C59" i="142"/>
  <c r="E59" i="142"/>
  <c r="B60" i="142"/>
  <c r="C60" i="142"/>
  <c r="E60" i="142"/>
  <c r="B61" i="142"/>
  <c r="C61" i="142"/>
  <c r="E61" i="142"/>
  <c r="A32" i="142"/>
  <c r="A33" i="142"/>
  <c r="A34" i="142"/>
  <c r="A35" i="142"/>
  <c r="A36" i="142"/>
  <c r="A37" i="142"/>
  <c r="A38" i="142"/>
  <c r="A39" i="142"/>
  <c r="A40" i="142"/>
  <c r="A41" i="142"/>
  <c r="A42" i="142"/>
  <c r="A43" i="142"/>
  <c r="A44" i="142"/>
  <c r="A45" i="142"/>
  <c r="A46" i="142"/>
  <c r="A47" i="142"/>
  <c r="A48" i="142"/>
  <c r="A49" i="142"/>
  <c r="A50" i="142"/>
  <c r="A51" i="142"/>
  <c r="A52" i="142"/>
  <c r="A53" i="142"/>
  <c r="A54" i="142"/>
  <c r="A55" i="142"/>
  <c r="A56" i="142"/>
  <c r="A57" i="142"/>
  <c r="A58" i="142"/>
  <c r="A59" i="142"/>
  <c r="A60" i="142"/>
  <c r="A61" i="142"/>
  <c r="F58" i="98"/>
  <c r="E58" i="98"/>
  <c r="D38" i="98"/>
  <c r="F38" i="98" s="1"/>
  <c r="F57" i="98" s="1"/>
  <c r="F93" i="54"/>
  <c r="F92" i="54"/>
  <c r="F76" i="54"/>
  <c r="F80" i="54"/>
  <c r="E57" i="54"/>
  <c r="D57" i="54"/>
  <c r="E38" i="98" l="1"/>
  <c r="E57" i="98" s="1"/>
  <c r="C37" i="54" l="1"/>
  <c r="E37" i="54" s="1"/>
  <c r="E56" i="54" s="1"/>
  <c r="C101" i="55"/>
  <c r="C100" i="55"/>
  <c r="C99" i="55"/>
  <c r="C64" i="55"/>
  <c r="H4" i="142" s="1"/>
  <c r="C63" i="55"/>
  <c r="H3" i="142" s="1"/>
  <c r="C62" i="55"/>
  <c r="H2" i="142" l="1"/>
  <c r="F72" i="54"/>
  <c r="H33" i="142"/>
  <c r="D23" i="98"/>
  <c r="H34" i="142"/>
  <c r="D22" i="98"/>
  <c r="E22" i="98" s="1"/>
  <c r="C21" i="54"/>
  <c r="D21" i="54" s="1"/>
  <c r="F72" i="98"/>
  <c r="H32" i="142"/>
  <c r="C22" i="54"/>
  <c r="E22" i="54" s="1"/>
  <c r="E23" i="54" s="1"/>
  <c r="D37" i="54"/>
  <c r="D56" i="54" s="1"/>
  <c r="D22" i="54"/>
  <c r="H12" i="145"/>
  <c r="H16" i="145"/>
  <c r="H24" i="145"/>
  <c r="H28" i="145"/>
  <c r="H32" i="145"/>
  <c r="H13" i="145"/>
  <c r="H17" i="145"/>
  <c r="H25" i="145"/>
  <c r="H29" i="145"/>
  <c r="H33" i="145"/>
  <c r="H8" i="145"/>
  <c r="H9" i="145"/>
  <c r="H4" i="145"/>
  <c r="H5" i="145"/>
  <c r="A3" i="145"/>
  <c r="B3" i="145"/>
  <c r="C3" i="145"/>
  <c r="E3" i="145"/>
  <c r="A4" i="145"/>
  <c r="B4" i="145"/>
  <c r="C4" i="145"/>
  <c r="E4" i="145"/>
  <c r="A5" i="145"/>
  <c r="B5" i="145"/>
  <c r="C5" i="145"/>
  <c r="E5" i="145"/>
  <c r="A6" i="145"/>
  <c r="B6" i="145"/>
  <c r="C6" i="145"/>
  <c r="E6" i="145"/>
  <c r="A7" i="145"/>
  <c r="B7" i="145"/>
  <c r="C7" i="145"/>
  <c r="E7" i="145"/>
  <c r="A8" i="145"/>
  <c r="B8" i="145"/>
  <c r="C8" i="145"/>
  <c r="E8" i="145"/>
  <c r="A9" i="145"/>
  <c r="B9" i="145"/>
  <c r="C9" i="145"/>
  <c r="E9" i="145"/>
  <c r="A10" i="145"/>
  <c r="B10" i="145"/>
  <c r="C10" i="145"/>
  <c r="E10" i="145"/>
  <c r="A11" i="145"/>
  <c r="B11" i="145"/>
  <c r="C11" i="145"/>
  <c r="E11" i="145"/>
  <c r="A12" i="145"/>
  <c r="B12" i="145"/>
  <c r="C12" i="145"/>
  <c r="E12" i="145"/>
  <c r="A13" i="145"/>
  <c r="B13" i="145"/>
  <c r="C13" i="145"/>
  <c r="E13" i="145"/>
  <c r="A14" i="145"/>
  <c r="B14" i="145"/>
  <c r="C14" i="145"/>
  <c r="E14" i="145"/>
  <c r="A15" i="145"/>
  <c r="B15" i="145"/>
  <c r="C15" i="145"/>
  <c r="E15" i="145"/>
  <c r="A16" i="145"/>
  <c r="B16" i="145"/>
  <c r="C16" i="145"/>
  <c r="E16" i="145"/>
  <c r="A17" i="145"/>
  <c r="B17" i="145"/>
  <c r="C17" i="145"/>
  <c r="E17" i="145"/>
  <c r="A18" i="145"/>
  <c r="B18" i="145"/>
  <c r="C18" i="145"/>
  <c r="E18" i="145"/>
  <c r="A19" i="145"/>
  <c r="B19" i="145"/>
  <c r="C19" i="145"/>
  <c r="E19" i="145"/>
  <c r="A20" i="145"/>
  <c r="B20" i="145"/>
  <c r="C20" i="145"/>
  <c r="E20" i="145"/>
  <c r="A21" i="145"/>
  <c r="B21" i="145"/>
  <c r="C21" i="145"/>
  <c r="E21" i="145"/>
  <c r="A22" i="145"/>
  <c r="B22" i="145"/>
  <c r="C22" i="145"/>
  <c r="E22" i="145"/>
  <c r="A23" i="145"/>
  <c r="B23" i="145"/>
  <c r="C23" i="145"/>
  <c r="E23" i="145"/>
  <c r="A24" i="145"/>
  <c r="B24" i="145"/>
  <c r="C24" i="145"/>
  <c r="E24" i="145"/>
  <c r="A25" i="145"/>
  <c r="B25" i="145"/>
  <c r="C25" i="145"/>
  <c r="E25" i="145"/>
  <c r="A26" i="145"/>
  <c r="B26" i="145"/>
  <c r="C26" i="145"/>
  <c r="E26" i="145"/>
  <c r="A27" i="145"/>
  <c r="B27" i="145"/>
  <c r="C27" i="145"/>
  <c r="E27" i="145"/>
  <c r="A28" i="145"/>
  <c r="B28" i="145"/>
  <c r="C28" i="145"/>
  <c r="E28" i="145"/>
  <c r="A29" i="145"/>
  <c r="B29" i="145"/>
  <c r="C29" i="145"/>
  <c r="E29" i="145"/>
  <c r="A30" i="145"/>
  <c r="B30" i="145"/>
  <c r="C30" i="145"/>
  <c r="E30" i="145"/>
  <c r="A31" i="145"/>
  <c r="B31" i="145"/>
  <c r="C31" i="145"/>
  <c r="E31" i="145"/>
  <c r="A32" i="145"/>
  <c r="B32" i="145"/>
  <c r="C32" i="145"/>
  <c r="E32" i="145"/>
  <c r="A33" i="145"/>
  <c r="B33" i="145"/>
  <c r="C33" i="145"/>
  <c r="E33" i="145"/>
  <c r="A34" i="145"/>
  <c r="B34" i="145"/>
  <c r="C34" i="145"/>
  <c r="E34" i="145"/>
  <c r="A35" i="145"/>
  <c r="B35" i="145"/>
  <c r="C35" i="145"/>
  <c r="E35" i="145"/>
  <c r="A36" i="145"/>
  <c r="B36" i="145"/>
  <c r="C36" i="145"/>
  <c r="E36" i="145"/>
  <c r="A37" i="145"/>
  <c r="B37" i="145"/>
  <c r="C37" i="145"/>
  <c r="E37" i="145"/>
  <c r="A38" i="145"/>
  <c r="B38" i="145"/>
  <c r="C38" i="145"/>
  <c r="E38" i="145"/>
  <c r="A39" i="145"/>
  <c r="B39" i="145"/>
  <c r="C39" i="145"/>
  <c r="E39" i="145"/>
  <c r="A40" i="145"/>
  <c r="B40" i="145"/>
  <c r="C40" i="145"/>
  <c r="E40" i="145"/>
  <c r="A41" i="145"/>
  <c r="B41" i="145"/>
  <c r="C41" i="145"/>
  <c r="E41" i="145"/>
  <c r="E36" i="54" l="1"/>
  <c r="F88" i="98"/>
  <c r="F77" i="98"/>
  <c r="F78" i="98" s="1"/>
  <c r="G75" i="98" s="1"/>
  <c r="F73" i="98"/>
  <c r="D23" i="54"/>
  <c r="F73" i="54"/>
  <c r="G71" i="54" s="1"/>
  <c r="F77" i="54"/>
  <c r="F78" i="54" s="1"/>
  <c r="F88" i="54"/>
  <c r="E23" i="98"/>
  <c r="E37" i="98" s="1"/>
  <c r="F23" i="98"/>
  <c r="D36" i="54"/>
  <c r="E2" i="145"/>
  <c r="C2" i="145"/>
  <c r="B2" i="145"/>
  <c r="A2" i="145"/>
  <c r="N132" i="14"/>
  <c r="N76" i="14"/>
  <c r="N75" i="14"/>
  <c r="N74" i="14"/>
  <c r="N54" i="14"/>
  <c r="N53" i="14"/>
  <c r="N57" i="14" l="1"/>
  <c r="F24" i="98"/>
  <c r="F37" i="98"/>
  <c r="E24" i="98"/>
  <c r="F81" i="98"/>
  <c r="F82" i="98" s="1"/>
  <c r="G71" i="98"/>
  <c r="F89" i="54"/>
  <c r="F90" i="54"/>
  <c r="F91" i="54" s="1"/>
  <c r="F94" i="54" s="1"/>
  <c r="F95" i="54" s="1"/>
  <c r="G87" i="54" s="1"/>
  <c r="F81" i="54"/>
  <c r="F82" i="54" s="1"/>
  <c r="C20" i="54" s="1"/>
  <c r="F90" i="98"/>
  <c r="F89" i="98"/>
  <c r="F91" i="98" l="1"/>
  <c r="F94" i="98" s="1"/>
  <c r="F95" i="98" s="1"/>
  <c r="G87" i="98" s="1"/>
  <c r="E20" i="54"/>
  <c r="E24" i="54" s="1"/>
  <c r="D20" i="54"/>
  <c r="D24" i="54" s="1"/>
  <c r="G76" i="98"/>
  <c r="G80" i="98"/>
  <c r="L29" i="80"/>
  <c r="J29" i="80"/>
  <c r="H29" i="80"/>
  <c r="F29" i="80"/>
  <c r="E29" i="80"/>
  <c r="N28" i="80"/>
  <c r="N27" i="80"/>
  <c r="N26" i="80"/>
  <c r="N25" i="80"/>
  <c r="N24" i="80"/>
  <c r="N23" i="80"/>
  <c r="N22" i="80"/>
  <c r="N21" i="80"/>
  <c r="N20" i="80"/>
  <c r="N19" i="80"/>
  <c r="N18" i="80"/>
  <c r="N17" i="80"/>
  <c r="O2" i="80"/>
  <c r="E35" i="81"/>
  <c r="D35" i="81"/>
  <c r="F34" i="81"/>
  <c r="F33" i="81"/>
  <c r="F32" i="81"/>
  <c r="F31" i="81"/>
  <c r="F30" i="81"/>
  <c r="F29" i="81"/>
  <c r="F28" i="81"/>
  <c r="F27" i="81"/>
  <c r="F26" i="81"/>
  <c r="F25" i="81"/>
  <c r="F24" i="81"/>
  <c r="F23" i="81"/>
  <c r="F21" i="81"/>
  <c r="E20" i="81"/>
  <c r="E22" i="81" s="1"/>
  <c r="D20" i="81"/>
  <c r="D22" i="81" s="1"/>
  <c r="F19" i="81"/>
  <c r="F18" i="81"/>
  <c r="E15" i="81"/>
  <c r="D15" i="81"/>
  <c r="I1" i="81"/>
  <c r="F25" i="23"/>
  <c r="H25" i="23" s="1"/>
  <c r="F24" i="23"/>
  <c r="H24" i="23" s="1"/>
  <c r="F23" i="23"/>
  <c r="H23" i="23" s="1"/>
  <c r="F22" i="23"/>
  <c r="H22" i="23" s="1"/>
  <c r="F21" i="23"/>
  <c r="H21" i="23" s="1"/>
  <c r="F20" i="23"/>
  <c r="H20" i="23" s="1"/>
  <c r="H19" i="23"/>
  <c r="F19" i="23"/>
  <c r="F18" i="23"/>
  <c r="H18" i="23" s="1"/>
  <c r="F17" i="23"/>
  <c r="H17" i="23" s="1"/>
  <c r="F16" i="23"/>
  <c r="H16" i="23" s="1"/>
  <c r="F15" i="23"/>
  <c r="H15" i="23" s="1"/>
  <c r="F14" i="23"/>
  <c r="H14" i="23" s="1"/>
  <c r="H1" i="23"/>
  <c r="N1" i="150" s="1"/>
  <c r="I25" i="21"/>
  <c r="I21" i="21"/>
  <c r="H19" i="21"/>
  <c r="G19" i="21"/>
  <c r="F19" i="21"/>
  <c r="E19" i="21"/>
  <c r="D19" i="21"/>
  <c r="I18" i="21"/>
  <c r="I17" i="21"/>
  <c r="I16" i="21"/>
  <c r="I1" i="21"/>
  <c r="B60" i="34"/>
  <c r="E54" i="34" s="1"/>
  <c r="G47" i="34"/>
  <c r="G46" i="34"/>
  <c r="G45" i="34"/>
  <c r="G44" i="34"/>
  <c r="G43" i="34"/>
  <c r="F38" i="34"/>
  <c r="D47" i="34" s="1"/>
  <c r="F37" i="34"/>
  <c r="D46" i="34" s="1"/>
  <c r="F36" i="34"/>
  <c r="E45" i="34" s="1"/>
  <c r="F35" i="34"/>
  <c r="F34" i="34"/>
  <c r="E43" i="34" s="1"/>
  <c r="A32" i="34"/>
  <c r="A41" i="34" s="1"/>
  <c r="F29" i="34"/>
  <c r="F28" i="34"/>
  <c r="F27" i="34"/>
  <c r="F26" i="34"/>
  <c r="F25" i="34"/>
  <c r="F24" i="34"/>
  <c r="F23" i="34"/>
  <c r="G1" i="34"/>
  <c r="H30" i="6"/>
  <c r="I30" i="6" s="1"/>
  <c r="L1" i="6"/>
  <c r="E29" i="50"/>
  <c r="E24" i="50"/>
  <c r="O1" i="50"/>
  <c r="H1" i="18"/>
  <c r="E23" i="148"/>
  <c r="C23" i="148"/>
  <c r="B23" i="148"/>
  <c r="A23" i="148"/>
  <c r="E22" i="148"/>
  <c r="C22" i="148"/>
  <c r="B22" i="148"/>
  <c r="A22" i="148"/>
  <c r="O21" i="148"/>
  <c r="M21" i="148"/>
  <c r="L21" i="148"/>
  <c r="K21" i="148"/>
  <c r="J21" i="148"/>
  <c r="I21" i="148"/>
  <c r="H21" i="148"/>
  <c r="E21" i="148"/>
  <c r="C21" i="148"/>
  <c r="B21" i="148"/>
  <c r="A21" i="148"/>
  <c r="O20" i="148"/>
  <c r="M20" i="148"/>
  <c r="L20" i="148"/>
  <c r="K20" i="148"/>
  <c r="J20" i="148"/>
  <c r="I20" i="148"/>
  <c r="H20" i="148"/>
  <c r="E20" i="148"/>
  <c r="C20" i="148"/>
  <c r="B20" i="148"/>
  <c r="A20" i="148"/>
  <c r="O19" i="148"/>
  <c r="M19" i="148"/>
  <c r="L19" i="148"/>
  <c r="K19" i="148"/>
  <c r="J19" i="148"/>
  <c r="I19" i="148"/>
  <c r="H19" i="148"/>
  <c r="E19" i="148"/>
  <c r="C19" i="148"/>
  <c r="B19" i="148"/>
  <c r="A19" i="148"/>
  <c r="O18" i="148"/>
  <c r="M18" i="148"/>
  <c r="L18" i="148"/>
  <c r="K18" i="148"/>
  <c r="J18" i="148"/>
  <c r="I18" i="148"/>
  <c r="H18" i="148"/>
  <c r="E18" i="148"/>
  <c r="C18" i="148"/>
  <c r="B18" i="148"/>
  <c r="A18" i="148"/>
  <c r="O17" i="148"/>
  <c r="M17" i="148"/>
  <c r="L17" i="148"/>
  <c r="K17" i="148"/>
  <c r="J17" i="148"/>
  <c r="I17" i="148"/>
  <c r="H17" i="148"/>
  <c r="E17" i="148"/>
  <c r="C17" i="148"/>
  <c r="B17" i="148"/>
  <c r="A17" i="148"/>
  <c r="O16" i="148"/>
  <c r="M16" i="148"/>
  <c r="L16" i="148"/>
  <c r="K16" i="148"/>
  <c r="J16" i="148"/>
  <c r="I16" i="148"/>
  <c r="H16" i="148"/>
  <c r="E16" i="148"/>
  <c r="C16" i="148"/>
  <c r="B16" i="148"/>
  <c r="A16" i="148"/>
  <c r="O15" i="148"/>
  <c r="M15" i="148"/>
  <c r="L15" i="148"/>
  <c r="K15" i="148"/>
  <c r="J15" i="148"/>
  <c r="I15" i="148"/>
  <c r="H15" i="148"/>
  <c r="E15" i="148"/>
  <c r="C15" i="148"/>
  <c r="B15" i="148"/>
  <c r="A15" i="148"/>
  <c r="M14" i="148"/>
  <c r="L14" i="148"/>
  <c r="K14" i="148"/>
  <c r="J14" i="148"/>
  <c r="I14" i="148"/>
  <c r="H14" i="148"/>
  <c r="E14" i="148"/>
  <c r="C14" i="148"/>
  <c r="B14" i="148"/>
  <c r="A14" i="148"/>
  <c r="O13" i="148"/>
  <c r="M13" i="148"/>
  <c r="L13" i="148"/>
  <c r="K13" i="148"/>
  <c r="J13" i="148"/>
  <c r="I13" i="148"/>
  <c r="H13" i="148"/>
  <c r="E13" i="148"/>
  <c r="C13" i="148"/>
  <c r="B13" i="148"/>
  <c r="A13" i="148"/>
  <c r="O12" i="148"/>
  <c r="M12" i="148"/>
  <c r="L12" i="148"/>
  <c r="K12" i="148"/>
  <c r="J12" i="148"/>
  <c r="I12" i="148"/>
  <c r="H12" i="148"/>
  <c r="E12" i="148"/>
  <c r="C12" i="148"/>
  <c r="B12" i="148"/>
  <c r="A12" i="148"/>
  <c r="O11" i="148"/>
  <c r="M11" i="148"/>
  <c r="L11" i="148"/>
  <c r="K11" i="148"/>
  <c r="J11" i="148"/>
  <c r="I11" i="148"/>
  <c r="H11" i="148"/>
  <c r="E11" i="148"/>
  <c r="C11" i="148"/>
  <c r="B11" i="148"/>
  <c r="A11" i="148"/>
  <c r="O10" i="148"/>
  <c r="M10" i="148"/>
  <c r="L10" i="148"/>
  <c r="K10" i="148"/>
  <c r="J10" i="148"/>
  <c r="I10" i="148"/>
  <c r="H10" i="148"/>
  <c r="E10" i="148"/>
  <c r="C10" i="148"/>
  <c r="B10" i="148"/>
  <c r="A10" i="148"/>
  <c r="O9" i="148"/>
  <c r="M9" i="148"/>
  <c r="L9" i="148"/>
  <c r="K9" i="148"/>
  <c r="J9" i="148"/>
  <c r="I9" i="148"/>
  <c r="H9" i="148"/>
  <c r="E9" i="148"/>
  <c r="C9" i="148"/>
  <c r="B9" i="148"/>
  <c r="A9" i="148"/>
  <c r="M8" i="148"/>
  <c r="L8" i="148"/>
  <c r="K8" i="148"/>
  <c r="J8" i="148"/>
  <c r="I8" i="148"/>
  <c r="H8" i="148"/>
  <c r="E8" i="148"/>
  <c r="C8" i="148"/>
  <c r="B8" i="148"/>
  <c r="A8" i="148"/>
  <c r="L7" i="148"/>
  <c r="K7" i="148"/>
  <c r="J7" i="148"/>
  <c r="I7" i="148"/>
  <c r="H7" i="148"/>
  <c r="E7" i="148"/>
  <c r="C7" i="148"/>
  <c r="B7" i="148"/>
  <c r="A7" i="148"/>
  <c r="O6" i="148"/>
  <c r="M6" i="148"/>
  <c r="L6" i="148"/>
  <c r="K6" i="148"/>
  <c r="J6" i="148"/>
  <c r="I6" i="148"/>
  <c r="H6" i="148"/>
  <c r="E6" i="148"/>
  <c r="C6" i="148"/>
  <c r="B6" i="148"/>
  <c r="A6" i="148"/>
  <c r="O5" i="148"/>
  <c r="M5" i="148"/>
  <c r="L5" i="148"/>
  <c r="K5" i="148"/>
  <c r="J5" i="148"/>
  <c r="I5" i="148"/>
  <c r="H5" i="148"/>
  <c r="E5" i="148"/>
  <c r="C5" i="148"/>
  <c r="B5" i="148"/>
  <c r="A5" i="148"/>
  <c r="O4" i="148"/>
  <c r="M4" i="148"/>
  <c r="L4" i="148"/>
  <c r="K4" i="148"/>
  <c r="J4" i="148"/>
  <c r="I4" i="148"/>
  <c r="H4" i="148"/>
  <c r="E4" i="148"/>
  <c r="C4" i="148"/>
  <c r="B4" i="148"/>
  <c r="A4" i="148"/>
  <c r="O3" i="148"/>
  <c r="M3" i="148"/>
  <c r="L3" i="148"/>
  <c r="K3" i="148"/>
  <c r="J3" i="148"/>
  <c r="I3" i="148"/>
  <c r="H3" i="148"/>
  <c r="E3" i="148"/>
  <c r="C3" i="148"/>
  <c r="B3" i="148"/>
  <c r="A3" i="148"/>
  <c r="O2" i="148"/>
  <c r="M2" i="148"/>
  <c r="L2" i="148"/>
  <c r="K2" i="148"/>
  <c r="J2" i="148"/>
  <c r="I2" i="148"/>
  <c r="H2" i="148"/>
  <c r="E2" i="148"/>
  <c r="C2" i="148"/>
  <c r="B2" i="148"/>
  <c r="A2" i="148"/>
  <c r="P1" i="148"/>
  <c r="N1" i="148"/>
  <c r="I53" i="12"/>
  <c r="N39" i="148" s="1"/>
  <c r="P21" i="148"/>
  <c r="N21" i="148"/>
  <c r="P20" i="148"/>
  <c r="N20" i="148"/>
  <c r="P19" i="148"/>
  <c r="N19" i="148"/>
  <c r="P18" i="148"/>
  <c r="N18" i="148"/>
  <c r="P17" i="148"/>
  <c r="N17" i="148"/>
  <c r="P16" i="148"/>
  <c r="N16" i="148"/>
  <c r="P15" i="148"/>
  <c r="N15" i="148"/>
  <c r="N14" i="148"/>
  <c r="P13" i="148"/>
  <c r="N13" i="148"/>
  <c r="K26" i="12"/>
  <c r="P12" i="148" s="1"/>
  <c r="N12" i="148"/>
  <c r="K25" i="12"/>
  <c r="P11" i="148" s="1"/>
  <c r="N11" i="148"/>
  <c r="K24" i="12"/>
  <c r="P10" i="148" s="1"/>
  <c r="N10" i="148"/>
  <c r="K23" i="12"/>
  <c r="P9" i="148" s="1"/>
  <c r="N9" i="148"/>
  <c r="N8" i="148"/>
  <c r="I21" i="12"/>
  <c r="N7" i="148" s="1"/>
  <c r="K20" i="12"/>
  <c r="P6" i="148" s="1"/>
  <c r="I20" i="12"/>
  <c r="N6" i="148" s="1"/>
  <c r="K19" i="12"/>
  <c r="P5" i="148" s="1"/>
  <c r="I19" i="12"/>
  <c r="N5" i="148" s="1"/>
  <c r="K18" i="12"/>
  <c r="P4" i="148" s="1"/>
  <c r="I18" i="12"/>
  <c r="N4" i="148" s="1"/>
  <c r="K17" i="12"/>
  <c r="P3" i="148" s="1"/>
  <c r="I17" i="12"/>
  <c r="N3" i="148" s="1"/>
  <c r="K16" i="12"/>
  <c r="P2" i="148" s="1"/>
  <c r="I16" i="12"/>
  <c r="N2" i="148" s="1"/>
  <c r="J13" i="12"/>
  <c r="O1" i="148" s="1"/>
  <c r="H13" i="12"/>
  <c r="G13" i="12"/>
  <c r="L1" i="148" s="1"/>
  <c r="F13" i="12"/>
  <c r="K1" i="148" s="1"/>
  <c r="E13" i="12"/>
  <c r="J1" i="148" s="1"/>
  <c r="K1" i="12"/>
  <c r="L29" i="20"/>
  <c r="K29" i="20"/>
  <c r="J29" i="20"/>
  <c r="I29" i="20"/>
  <c r="H29" i="20"/>
  <c r="G29" i="20"/>
  <c r="F29" i="20"/>
  <c r="E29" i="20"/>
  <c r="D29" i="20"/>
  <c r="C29" i="20"/>
  <c r="L28" i="20"/>
  <c r="K28" i="20"/>
  <c r="J28" i="20"/>
  <c r="I28" i="20"/>
  <c r="H28" i="20"/>
  <c r="G28" i="20"/>
  <c r="F28" i="20"/>
  <c r="E28" i="20"/>
  <c r="D28" i="20"/>
  <c r="C28" i="20"/>
  <c r="L27" i="20"/>
  <c r="K27" i="20"/>
  <c r="J27" i="20"/>
  <c r="I27" i="20"/>
  <c r="H27" i="20"/>
  <c r="G27" i="20"/>
  <c r="F27" i="20"/>
  <c r="E27" i="20"/>
  <c r="D27" i="20"/>
  <c r="C27" i="20"/>
  <c r="L25" i="20"/>
  <c r="K25" i="20"/>
  <c r="J25" i="20"/>
  <c r="I25" i="20"/>
  <c r="H25" i="20"/>
  <c r="G25" i="20"/>
  <c r="F25" i="20"/>
  <c r="E25" i="20"/>
  <c r="D25" i="20"/>
  <c r="C25" i="20"/>
  <c r="L24" i="20"/>
  <c r="K24" i="20"/>
  <c r="J24" i="20"/>
  <c r="I24" i="20"/>
  <c r="H24" i="20"/>
  <c r="G24" i="20"/>
  <c r="F24" i="20"/>
  <c r="E24" i="20"/>
  <c r="D24" i="20"/>
  <c r="C24" i="20"/>
  <c r="L23" i="20"/>
  <c r="K23" i="20"/>
  <c r="J23" i="20"/>
  <c r="I23" i="20"/>
  <c r="H23" i="20"/>
  <c r="G23" i="20"/>
  <c r="F23" i="20"/>
  <c r="E23" i="20"/>
  <c r="D23" i="20"/>
  <c r="C23" i="20"/>
  <c r="L21" i="20"/>
  <c r="K21" i="20"/>
  <c r="J21" i="20"/>
  <c r="I21" i="20"/>
  <c r="H21" i="20"/>
  <c r="G21" i="20"/>
  <c r="F21" i="20"/>
  <c r="E21" i="20"/>
  <c r="D21" i="20"/>
  <c r="C21" i="20"/>
  <c r="L18" i="20"/>
  <c r="K18" i="20"/>
  <c r="J18" i="20"/>
  <c r="I18" i="20"/>
  <c r="H18" i="20"/>
  <c r="G18" i="20"/>
  <c r="F18" i="20"/>
  <c r="E18" i="20"/>
  <c r="D18" i="20"/>
  <c r="C18" i="20"/>
  <c r="L13" i="20"/>
  <c r="K13" i="20"/>
  <c r="J13" i="20"/>
  <c r="I13" i="20"/>
  <c r="H13" i="20"/>
  <c r="D13" i="20"/>
  <c r="C13" i="20"/>
  <c r="L1" i="20"/>
  <c r="H28" i="136"/>
  <c r="G28" i="136"/>
  <c r="F28" i="136"/>
  <c r="E28" i="136"/>
  <c r="H27" i="136"/>
  <c r="G27" i="136"/>
  <c r="F27" i="136"/>
  <c r="E27" i="136"/>
  <c r="D21" i="136"/>
  <c r="H18" i="136"/>
  <c r="H29" i="136" s="1"/>
  <c r="G18" i="136"/>
  <c r="G29" i="136" s="1"/>
  <c r="F18" i="136"/>
  <c r="F29" i="136" s="1"/>
  <c r="E18" i="136"/>
  <c r="E29" i="136" s="1"/>
  <c r="J13" i="136"/>
  <c r="E13" i="136"/>
  <c r="D13" i="136"/>
  <c r="J1" i="136"/>
  <c r="E201" i="147"/>
  <c r="C201" i="147"/>
  <c r="B201" i="147"/>
  <c r="A201" i="147"/>
  <c r="E200" i="147"/>
  <c r="C200" i="147"/>
  <c r="B200" i="147"/>
  <c r="A200" i="147"/>
  <c r="E199" i="147"/>
  <c r="C199" i="147"/>
  <c r="B199" i="147"/>
  <c r="A199" i="147"/>
  <c r="E198" i="147"/>
  <c r="C198" i="147"/>
  <c r="B198" i="147"/>
  <c r="A198" i="147"/>
  <c r="E197" i="147"/>
  <c r="C197" i="147"/>
  <c r="B197" i="147"/>
  <c r="A197" i="147"/>
  <c r="E196" i="147"/>
  <c r="C196" i="147"/>
  <c r="B196" i="147"/>
  <c r="A196" i="147"/>
  <c r="I195" i="147"/>
  <c r="E195" i="147"/>
  <c r="C195" i="147"/>
  <c r="B195" i="147"/>
  <c r="A195" i="147"/>
  <c r="I194" i="147"/>
  <c r="E194" i="147"/>
  <c r="C194" i="147"/>
  <c r="B194" i="147"/>
  <c r="A194" i="147"/>
  <c r="E193" i="147"/>
  <c r="C193" i="147"/>
  <c r="B193" i="147"/>
  <c r="A193" i="147"/>
  <c r="E192" i="147"/>
  <c r="C192" i="147"/>
  <c r="B192" i="147"/>
  <c r="A192" i="147"/>
  <c r="E191" i="147"/>
  <c r="C191" i="147"/>
  <c r="B191" i="147"/>
  <c r="A191" i="147"/>
  <c r="E190" i="147"/>
  <c r="C190" i="147"/>
  <c r="B190" i="147"/>
  <c r="A190" i="147"/>
  <c r="E189" i="147"/>
  <c r="C189" i="147"/>
  <c r="B189" i="147"/>
  <c r="A189" i="147"/>
  <c r="E188" i="147"/>
  <c r="C188" i="147"/>
  <c r="B188" i="147"/>
  <c r="A188" i="147"/>
  <c r="I187" i="147"/>
  <c r="E187" i="147"/>
  <c r="C187" i="147"/>
  <c r="B187" i="147"/>
  <c r="A187" i="147"/>
  <c r="I186" i="147"/>
  <c r="E186" i="147"/>
  <c r="C186" i="147"/>
  <c r="B186" i="147"/>
  <c r="A186" i="147"/>
  <c r="E185" i="147"/>
  <c r="C185" i="147"/>
  <c r="B185" i="147"/>
  <c r="A185" i="147"/>
  <c r="E184" i="147"/>
  <c r="C184" i="147"/>
  <c r="B184" i="147"/>
  <c r="A184" i="147"/>
  <c r="E183" i="147"/>
  <c r="C183" i="147"/>
  <c r="B183" i="147"/>
  <c r="A183" i="147"/>
  <c r="E182" i="147"/>
  <c r="C182" i="147"/>
  <c r="B182" i="147"/>
  <c r="A182" i="147"/>
  <c r="E181" i="147"/>
  <c r="C181" i="147"/>
  <c r="B181" i="147"/>
  <c r="A181" i="147"/>
  <c r="E180" i="147"/>
  <c r="C180" i="147"/>
  <c r="B180" i="147"/>
  <c r="A180" i="147"/>
  <c r="I179" i="147"/>
  <c r="E179" i="147"/>
  <c r="C179" i="147"/>
  <c r="B179" i="147"/>
  <c r="A179" i="147"/>
  <c r="I178" i="147"/>
  <c r="E178" i="147"/>
  <c r="C178" i="147"/>
  <c r="B178" i="147"/>
  <c r="A178" i="147"/>
  <c r="E177" i="147"/>
  <c r="C177" i="147"/>
  <c r="B177" i="147"/>
  <c r="A177" i="147"/>
  <c r="E176" i="147"/>
  <c r="C176" i="147"/>
  <c r="B176" i="147"/>
  <c r="A176" i="147"/>
  <c r="I175" i="147"/>
  <c r="E175" i="147"/>
  <c r="C175" i="147"/>
  <c r="B175" i="147"/>
  <c r="A175" i="147"/>
  <c r="I174" i="147"/>
  <c r="E174" i="147"/>
  <c r="C174" i="147"/>
  <c r="B174" i="147"/>
  <c r="A174" i="147"/>
  <c r="I173" i="147"/>
  <c r="E173" i="147"/>
  <c r="C173" i="147"/>
  <c r="B173" i="147"/>
  <c r="A173" i="147"/>
  <c r="I172" i="147"/>
  <c r="E172" i="147"/>
  <c r="C172" i="147"/>
  <c r="B172" i="147"/>
  <c r="A172" i="147"/>
  <c r="I171" i="147"/>
  <c r="E171" i="147"/>
  <c r="C171" i="147"/>
  <c r="B171" i="147"/>
  <c r="A171" i="147"/>
  <c r="I170" i="147"/>
  <c r="E170" i="147"/>
  <c r="C170" i="147"/>
  <c r="B170" i="147"/>
  <c r="A170" i="147"/>
  <c r="E169" i="147"/>
  <c r="C169" i="147"/>
  <c r="B169" i="147"/>
  <c r="A169" i="147"/>
  <c r="E168" i="147"/>
  <c r="C168" i="147"/>
  <c r="B168" i="147"/>
  <c r="A168" i="147"/>
  <c r="I167" i="147"/>
  <c r="E167" i="147"/>
  <c r="C167" i="147"/>
  <c r="B167" i="147"/>
  <c r="A167" i="147"/>
  <c r="I166" i="147"/>
  <c r="E166" i="147"/>
  <c r="C166" i="147"/>
  <c r="B166" i="147"/>
  <c r="A166" i="147"/>
  <c r="I165" i="147"/>
  <c r="E165" i="147"/>
  <c r="C165" i="147"/>
  <c r="B165" i="147"/>
  <c r="A165" i="147"/>
  <c r="I164" i="147"/>
  <c r="E164" i="147"/>
  <c r="C164" i="147"/>
  <c r="B164" i="147"/>
  <c r="A164" i="147"/>
  <c r="I163" i="147"/>
  <c r="E163" i="147"/>
  <c r="C163" i="147"/>
  <c r="B163" i="147"/>
  <c r="A163" i="147"/>
  <c r="I162" i="147"/>
  <c r="E162" i="147"/>
  <c r="C162" i="147"/>
  <c r="B162" i="147"/>
  <c r="A162" i="147"/>
  <c r="E161" i="147"/>
  <c r="C161" i="147"/>
  <c r="B161" i="147"/>
  <c r="A161" i="147"/>
  <c r="E160" i="147"/>
  <c r="C160" i="147"/>
  <c r="B160" i="147"/>
  <c r="A160" i="147"/>
  <c r="E159" i="147"/>
  <c r="C159" i="147"/>
  <c r="B159" i="147"/>
  <c r="A159" i="147"/>
  <c r="E158" i="147"/>
  <c r="C158" i="147"/>
  <c r="B158" i="147"/>
  <c r="A158" i="147"/>
  <c r="E157" i="147"/>
  <c r="C157" i="147"/>
  <c r="B157" i="147"/>
  <c r="A157" i="147"/>
  <c r="E156" i="147"/>
  <c r="C156" i="147"/>
  <c r="B156" i="147"/>
  <c r="A156" i="147"/>
  <c r="I155" i="147"/>
  <c r="E155" i="147"/>
  <c r="C155" i="147"/>
  <c r="B155" i="147"/>
  <c r="A155" i="147"/>
  <c r="I154" i="147"/>
  <c r="E154" i="147"/>
  <c r="C154" i="147"/>
  <c r="B154" i="147"/>
  <c r="A154" i="147"/>
  <c r="E153" i="147"/>
  <c r="C153" i="147"/>
  <c r="B153" i="147"/>
  <c r="A153" i="147"/>
  <c r="E152" i="147"/>
  <c r="C152" i="147"/>
  <c r="B152" i="147"/>
  <c r="A152" i="147"/>
  <c r="I151" i="147"/>
  <c r="E151" i="147"/>
  <c r="C151" i="147"/>
  <c r="B151" i="147"/>
  <c r="A151" i="147"/>
  <c r="I150" i="147"/>
  <c r="E150" i="147"/>
  <c r="C150" i="147"/>
  <c r="B150" i="147"/>
  <c r="A150" i="147"/>
  <c r="I149" i="147"/>
  <c r="E149" i="147"/>
  <c r="C149" i="147"/>
  <c r="B149" i="147"/>
  <c r="A149" i="147"/>
  <c r="I148" i="147"/>
  <c r="E148" i="147"/>
  <c r="C148" i="147"/>
  <c r="B148" i="147"/>
  <c r="A148" i="147"/>
  <c r="I147" i="147"/>
  <c r="E147" i="147"/>
  <c r="C147" i="147"/>
  <c r="B147" i="147"/>
  <c r="A147" i="147"/>
  <c r="I146" i="147"/>
  <c r="E146" i="147"/>
  <c r="C146" i="147"/>
  <c r="B146" i="147"/>
  <c r="A146" i="147"/>
  <c r="E145" i="147"/>
  <c r="C145" i="147"/>
  <c r="B145" i="147"/>
  <c r="A145" i="147"/>
  <c r="E144" i="147"/>
  <c r="C144" i="147"/>
  <c r="B144" i="147"/>
  <c r="A144" i="147"/>
  <c r="E143" i="147"/>
  <c r="C143" i="147"/>
  <c r="B143" i="147"/>
  <c r="A143" i="147"/>
  <c r="E142" i="147"/>
  <c r="C142" i="147"/>
  <c r="B142" i="147"/>
  <c r="A142" i="147"/>
  <c r="E141" i="147"/>
  <c r="C141" i="147"/>
  <c r="B141" i="147"/>
  <c r="A141" i="147"/>
  <c r="E140" i="147"/>
  <c r="C140" i="147"/>
  <c r="B140" i="147"/>
  <c r="A140" i="147"/>
  <c r="I139" i="147"/>
  <c r="E139" i="147"/>
  <c r="C139" i="147"/>
  <c r="B139" i="147"/>
  <c r="A139" i="147"/>
  <c r="I138" i="147"/>
  <c r="E138" i="147"/>
  <c r="C138" i="147"/>
  <c r="B138" i="147"/>
  <c r="A138" i="147"/>
  <c r="E137" i="147"/>
  <c r="C137" i="147"/>
  <c r="B137" i="147"/>
  <c r="A137" i="147"/>
  <c r="E136" i="147"/>
  <c r="C136" i="147"/>
  <c r="B136" i="147"/>
  <c r="A136" i="147"/>
  <c r="E135" i="147"/>
  <c r="C135" i="147"/>
  <c r="B135" i="147"/>
  <c r="A135" i="147"/>
  <c r="E134" i="147"/>
  <c r="C134" i="147"/>
  <c r="B134" i="147"/>
  <c r="A134" i="147"/>
  <c r="E133" i="147"/>
  <c r="C133" i="147"/>
  <c r="B133" i="147"/>
  <c r="A133" i="147"/>
  <c r="E132" i="147"/>
  <c r="C132" i="147"/>
  <c r="B132" i="147"/>
  <c r="A132" i="147"/>
  <c r="I131" i="147"/>
  <c r="E131" i="147"/>
  <c r="C131" i="147"/>
  <c r="B131" i="147"/>
  <c r="A131" i="147"/>
  <c r="I130" i="147"/>
  <c r="E130" i="147"/>
  <c r="C130" i="147"/>
  <c r="B130" i="147"/>
  <c r="A130" i="147"/>
  <c r="E129" i="147"/>
  <c r="C129" i="147"/>
  <c r="B129" i="147"/>
  <c r="A129" i="147"/>
  <c r="E128" i="147"/>
  <c r="C128" i="147"/>
  <c r="B128" i="147"/>
  <c r="A128" i="147"/>
  <c r="E127" i="147"/>
  <c r="C127" i="147"/>
  <c r="B127" i="147"/>
  <c r="A127" i="147"/>
  <c r="E126" i="147"/>
  <c r="C126" i="147"/>
  <c r="B126" i="147"/>
  <c r="A126" i="147"/>
  <c r="E125" i="147"/>
  <c r="C125" i="147"/>
  <c r="B125" i="147"/>
  <c r="A125" i="147"/>
  <c r="E124" i="147"/>
  <c r="C124" i="147"/>
  <c r="B124" i="147"/>
  <c r="A124" i="147"/>
  <c r="I123" i="147"/>
  <c r="E123" i="147"/>
  <c r="C123" i="147"/>
  <c r="B123" i="147"/>
  <c r="A123" i="147"/>
  <c r="I122" i="147"/>
  <c r="E122" i="147"/>
  <c r="C122" i="147"/>
  <c r="B122" i="147"/>
  <c r="A122" i="147"/>
  <c r="E121" i="147"/>
  <c r="C121" i="147"/>
  <c r="B121" i="147"/>
  <c r="A121" i="147"/>
  <c r="E120" i="147"/>
  <c r="C120" i="147"/>
  <c r="B120" i="147"/>
  <c r="A120" i="147"/>
  <c r="E119" i="147"/>
  <c r="C119" i="147"/>
  <c r="B119" i="147"/>
  <c r="A119" i="147"/>
  <c r="E118" i="147"/>
  <c r="C118" i="147"/>
  <c r="B118" i="147"/>
  <c r="A118" i="147"/>
  <c r="E117" i="147"/>
  <c r="C117" i="147"/>
  <c r="B117" i="147"/>
  <c r="A117" i="147"/>
  <c r="E116" i="147"/>
  <c r="C116" i="147"/>
  <c r="B116" i="147"/>
  <c r="A116" i="147"/>
  <c r="I115" i="147"/>
  <c r="E115" i="147"/>
  <c r="C115" i="147"/>
  <c r="B115" i="147"/>
  <c r="A115" i="147"/>
  <c r="I114" i="147"/>
  <c r="E114" i="147"/>
  <c r="C114" i="147"/>
  <c r="B114" i="147"/>
  <c r="A114" i="147"/>
  <c r="E113" i="147"/>
  <c r="C113" i="147"/>
  <c r="B113" i="147"/>
  <c r="A113" i="147"/>
  <c r="E112" i="147"/>
  <c r="C112" i="147"/>
  <c r="B112" i="147"/>
  <c r="A112" i="147"/>
  <c r="E111" i="147"/>
  <c r="C111" i="147"/>
  <c r="B111" i="147"/>
  <c r="A111" i="147"/>
  <c r="E110" i="147"/>
  <c r="C110" i="147"/>
  <c r="B110" i="147"/>
  <c r="A110" i="147"/>
  <c r="E109" i="147"/>
  <c r="C109" i="147"/>
  <c r="B109" i="147"/>
  <c r="A109" i="147"/>
  <c r="E108" i="147"/>
  <c r="C108" i="147"/>
  <c r="B108" i="147"/>
  <c r="A108" i="147"/>
  <c r="I107" i="147"/>
  <c r="E107" i="147"/>
  <c r="C107" i="147"/>
  <c r="B107" i="147"/>
  <c r="A107" i="147"/>
  <c r="I106" i="147"/>
  <c r="E106" i="147"/>
  <c r="C106" i="147"/>
  <c r="B106" i="147"/>
  <c r="A106" i="147"/>
  <c r="E105" i="147"/>
  <c r="C105" i="147"/>
  <c r="B105" i="147"/>
  <c r="A105" i="147"/>
  <c r="E104" i="147"/>
  <c r="C104" i="147"/>
  <c r="B104" i="147"/>
  <c r="A104" i="147"/>
  <c r="E103" i="147"/>
  <c r="C103" i="147"/>
  <c r="B103" i="147"/>
  <c r="A103" i="147"/>
  <c r="E102" i="147"/>
  <c r="C102" i="147"/>
  <c r="B102" i="147"/>
  <c r="A102" i="147"/>
  <c r="E101" i="147"/>
  <c r="C101" i="147"/>
  <c r="B101" i="147"/>
  <c r="A101" i="147"/>
  <c r="E100" i="147"/>
  <c r="C100" i="147"/>
  <c r="B100" i="147"/>
  <c r="A100" i="147"/>
  <c r="I99" i="147"/>
  <c r="E99" i="147"/>
  <c r="C99" i="147"/>
  <c r="B99" i="147"/>
  <c r="A99" i="147"/>
  <c r="I98" i="147"/>
  <c r="E98" i="147"/>
  <c r="C98" i="147"/>
  <c r="B98" i="147"/>
  <c r="A98" i="147"/>
  <c r="E97" i="147"/>
  <c r="C97" i="147"/>
  <c r="B97" i="147"/>
  <c r="A97" i="147"/>
  <c r="E96" i="147"/>
  <c r="C96" i="147"/>
  <c r="B96" i="147"/>
  <c r="A96" i="147"/>
  <c r="E95" i="147"/>
  <c r="C95" i="147"/>
  <c r="B95" i="147"/>
  <c r="A95" i="147"/>
  <c r="E94" i="147"/>
  <c r="C94" i="147"/>
  <c r="B94" i="147"/>
  <c r="A94" i="147"/>
  <c r="E93" i="147"/>
  <c r="C93" i="147"/>
  <c r="B93" i="147"/>
  <c r="A93" i="147"/>
  <c r="E92" i="147"/>
  <c r="C92" i="147"/>
  <c r="B92" i="147"/>
  <c r="A92" i="147"/>
  <c r="I91" i="147"/>
  <c r="E91" i="147"/>
  <c r="C91" i="147"/>
  <c r="B91" i="147"/>
  <c r="A91" i="147"/>
  <c r="I90" i="147"/>
  <c r="E90" i="147"/>
  <c r="C90" i="147"/>
  <c r="B90" i="147"/>
  <c r="A90" i="147"/>
  <c r="E89" i="147"/>
  <c r="C89" i="147"/>
  <c r="B89" i="147"/>
  <c r="A89" i="147"/>
  <c r="E88" i="147"/>
  <c r="C88" i="147"/>
  <c r="B88" i="147"/>
  <c r="A88" i="147"/>
  <c r="I87" i="147"/>
  <c r="E87" i="147"/>
  <c r="C87" i="147"/>
  <c r="B87" i="147"/>
  <c r="A87" i="147"/>
  <c r="I86" i="147"/>
  <c r="E86" i="147"/>
  <c r="C86" i="147"/>
  <c r="B86" i="147"/>
  <c r="A86" i="147"/>
  <c r="I85" i="147"/>
  <c r="E85" i="147"/>
  <c r="C85" i="147"/>
  <c r="B85" i="147"/>
  <c r="A85" i="147"/>
  <c r="I84" i="147"/>
  <c r="E84" i="147"/>
  <c r="C84" i="147"/>
  <c r="B84" i="147"/>
  <c r="A84" i="147"/>
  <c r="I83" i="147"/>
  <c r="E83" i="147"/>
  <c r="C83" i="147"/>
  <c r="B83" i="147"/>
  <c r="A83" i="147"/>
  <c r="I82" i="147"/>
  <c r="E82" i="147"/>
  <c r="C82" i="147"/>
  <c r="B82" i="147"/>
  <c r="A82" i="147"/>
  <c r="E81" i="147"/>
  <c r="C81" i="147"/>
  <c r="B81" i="147"/>
  <c r="A81" i="147"/>
  <c r="E80" i="147"/>
  <c r="C80" i="147"/>
  <c r="B80" i="147"/>
  <c r="A80" i="147"/>
  <c r="I79" i="147"/>
  <c r="E79" i="147"/>
  <c r="C79" i="147"/>
  <c r="B79" i="147"/>
  <c r="A79" i="147"/>
  <c r="I78" i="147"/>
  <c r="E78" i="147"/>
  <c r="C78" i="147"/>
  <c r="B78" i="147"/>
  <c r="A78" i="147"/>
  <c r="I77" i="147"/>
  <c r="E77" i="147"/>
  <c r="C77" i="147"/>
  <c r="B77" i="147"/>
  <c r="A77" i="147"/>
  <c r="I76" i="147"/>
  <c r="E76" i="147"/>
  <c r="C76" i="147"/>
  <c r="B76" i="147"/>
  <c r="A76" i="147"/>
  <c r="I75" i="147"/>
  <c r="E75" i="147"/>
  <c r="C75" i="147"/>
  <c r="B75" i="147"/>
  <c r="A75" i="147"/>
  <c r="I74" i="147"/>
  <c r="E74" i="147"/>
  <c r="C74" i="147"/>
  <c r="B74" i="147"/>
  <c r="A74" i="147"/>
  <c r="E73" i="147"/>
  <c r="C73" i="147"/>
  <c r="B73" i="147"/>
  <c r="A73" i="147"/>
  <c r="E72" i="147"/>
  <c r="C72" i="147"/>
  <c r="B72" i="147"/>
  <c r="A72" i="147"/>
  <c r="I71" i="147"/>
  <c r="E71" i="147"/>
  <c r="C71" i="147"/>
  <c r="B71" i="147"/>
  <c r="A71" i="147"/>
  <c r="I70" i="147"/>
  <c r="E70" i="147"/>
  <c r="C70" i="147"/>
  <c r="B70" i="147"/>
  <c r="A70" i="147"/>
  <c r="I69" i="147"/>
  <c r="E69" i="147"/>
  <c r="C69" i="147"/>
  <c r="B69" i="147"/>
  <c r="A69" i="147"/>
  <c r="I68" i="147"/>
  <c r="E68" i="147"/>
  <c r="C68" i="147"/>
  <c r="B68" i="147"/>
  <c r="A68" i="147"/>
  <c r="I67" i="147"/>
  <c r="E67" i="147"/>
  <c r="C67" i="147"/>
  <c r="B67" i="147"/>
  <c r="A67" i="147"/>
  <c r="I66" i="147"/>
  <c r="E66" i="147"/>
  <c r="C66" i="147"/>
  <c r="B66" i="147"/>
  <c r="A66" i="147"/>
  <c r="E65" i="147"/>
  <c r="C65" i="147"/>
  <c r="B65" i="147"/>
  <c r="A65" i="147"/>
  <c r="E64" i="147"/>
  <c r="C64" i="147"/>
  <c r="B64" i="147"/>
  <c r="A64" i="147"/>
  <c r="I63" i="147"/>
  <c r="E63" i="147"/>
  <c r="C63" i="147"/>
  <c r="B63" i="147"/>
  <c r="A63" i="147"/>
  <c r="I62" i="147"/>
  <c r="E62" i="147"/>
  <c r="C62" i="147"/>
  <c r="B62" i="147"/>
  <c r="A62" i="147"/>
  <c r="I61" i="147"/>
  <c r="E61" i="147"/>
  <c r="C61" i="147"/>
  <c r="B61" i="147"/>
  <c r="A61" i="147"/>
  <c r="I60" i="147"/>
  <c r="E60" i="147"/>
  <c r="C60" i="147"/>
  <c r="B60" i="147"/>
  <c r="A60" i="147"/>
  <c r="I59" i="147"/>
  <c r="E59" i="147"/>
  <c r="C59" i="147"/>
  <c r="B59" i="147"/>
  <c r="A59" i="147"/>
  <c r="I58" i="147"/>
  <c r="E58" i="147"/>
  <c r="C58" i="147"/>
  <c r="B58" i="147"/>
  <c r="A58" i="147"/>
  <c r="E57" i="147"/>
  <c r="C57" i="147"/>
  <c r="B57" i="147"/>
  <c r="A57" i="147"/>
  <c r="E56" i="147"/>
  <c r="C56" i="147"/>
  <c r="B56" i="147"/>
  <c r="A56" i="147"/>
  <c r="I55" i="147"/>
  <c r="E55" i="147"/>
  <c r="C55" i="147"/>
  <c r="B55" i="147"/>
  <c r="A55" i="147"/>
  <c r="I54" i="147"/>
  <c r="E54" i="147"/>
  <c r="C54" i="147"/>
  <c r="B54" i="147"/>
  <c r="A54" i="147"/>
  <c r="I53" i="147"/>
  <c r="E53" i="147"/>
  <c r="C53" i="147"/>
  <c r="B53" i="147"/>
  <c r="A53" i="147"/>
  <c r="I52" i="147"/>
  <c r="E52" i="147"/>
  <c r="C52" i="147"/>
  <c r="B52" i="147"/>
  <c r="A52" i="147"/>
  <c r="I51" i="147"/>
  <c r="E51" i="147"/>
  <c r="C51" i="147"/>
  <c r="B51" i="147"/>
  <c r="A51" i="147"/>
  <c r="I50" i="147"/>
  <c r="E50" i="147"/>
  <c r="C50" i="147"/>
  <c r="B50" i="147"/>
  <c r="A50" i="147"/>
  <c r="E49" i="147"/>
  <c r="C49" i="147"/>
  <c r="B49" i="147"/>
  <c r="A49" i="147"/>
  <c r="E48" i="147"/>
  <c r="C48" i="147"/>
  <c r="B48" i="147"/>
  <c r="A48" i="147"/>
  <c r="I47" i="147"/>
  <c r="E47" i="147"/>
  <c r="C47" i="147"/>
  <c r="B47" i="147"/>
  <c r="A47" i="147"/>
  <c r="I46" i="147"/>
  <c r="E46" i="147"/>
  <c r="C46" i="147"/>
  <c r="B46" i="147"/>
  <c r="A46" i="147"/>
  <c r="I45" i="147"/>
  <c r="E45" i="147"/>
  <c r="C45" i="147"/>
  <c r="B45" i="147"/>
  <c r="A45" i="147"/>
  <c r="I44" i="147"/>
  <c r="E44" i="147"/>
  <c r="C44" i="147"/>
  <c r="B44" i="147"/>
  <c r="A44" i="147"/>
  <c r="I43" i="147"/>
  <c r="E43" i="147"/>
  <c r="C43" i="147"/>
  <c r="B43" i="147"/>
  <c r="A43" i="147"/>
  <c r="I42" i="147"/>
  <c r="E42" i="147"/>
  <c r="C42" i="147"/>
  <c r="B42" i="147"/>
  <c r="A42" i="147"/>
  <c r="E41" i="147"/>
  <c r="C41" i="147"/>
  <c r="B41" i="147"/>
  <c r="A41" i="147"/>
  <c r="E40" i="147"/>
  <c r="C40" i="147"/>
  <c r="B40" i="147"/>
  <c r="A40" i="147"/>
  <c r="I39" i="147"/>
  <c r="E39" i="147"/>
  <c r="C39" i="147"/>
  <c r="B39" i="147"/>
  <c r="A39" i="147"/>
  <c r="I38" i="147"/>
  <c r="E38" i="147"/>
  <c r="C38" i="147"/>
  <c r="B38" i="147"/>
  <c r="A38" i="147"/>
  <c r="I37" i="147"/>
  <c r="E37" i="147"/>
  <c r="C37" i="147"/>
  <c r="B37" i="147"/>
  <c r="A37" i="147"/>
  <c r="I36" i="147"/>
  <c r="E36" i="147"/>
  <c r="C36" i="147"/>
  <c r="B36" i="147"/>
  <c r="A36" i="147"/>
  <c r="I35" i="147"/>
  <c r="E35" i="147"/>
  <c r="C35" i="147"/>
  <c r="B35" i="147"/>
  <c r="A35" i="147"/>
  <c r="I34" i="147"/>
  <c r="E34" i="147"/>
  <c r="C34" i="147"/>
  <c r="B34" i="147"/>
  <c r="A34" i="147"/>
  <c r="E33" i="147"/>
  <c r="C33" i="147"/>
  <c r="B33" i="147"/>
  <c r="A33" i="147"/>
  <c r="E32" i="147"/>
  <c r="C32" i="147"/>
  <c r="B32" i="147"/>
  <c r="A32" i="147"/>
  <c r="I31" i="147"/>
  <c r="E31" i="147"/>
  <c r="C31" i="147"/>
  <c r="B31" i="147"/>
  <c r="A31" i="147"/>
  <c r="I30" i="147"/>
  <c r="E30" i="147"/>
  <c r="C30" i="147"/>
  <c r="B30" i="147"/>
  <c r="A30" i="147"/>
  <c r="I29" i="147"/>
  <c r="E29" i="147"/>
  <c r="C29" i="147"/>
  <c r="B29" i="147"/>
  <c r="A29" i="147"/>
  <c r="I28" i="147"/>
  <c r="E28" i="147"/>
  <c r="C28" i="147"/>
  <c r="B28" i="147"/>
  <c r="A28" i="147"/>
  <c r="I27" i="147"/>
  <c r="E27" i="147"/>
  <c r="C27" i="147"/>
  <c r="B27" i="147"/>
  <c r="A27" i="147"/>
  <c r="I26" i="147"/>
  <c r="E26" i="147"/>
  <c r="C26" i="147"/>
  <c r="B26" i="147"/>
  <c r="A26" i="147"/>
  <c r="E25" i="147"/>
  <c r="C25" i="147"/>
  <c r="B25" i="147"/>
  <c r="A25" i="147"/>
  <c r="E24" i="147"/>
  <c r="C24" i="147"/>
  <c r="B24" i="147"/>
  <c r="A24" i="147"/>
  <c r="I23" i="147"/>
  <c r="E23" i="147"/>
  <c r="C23" i="147"/>
  <c r="B23" i="147"/>
  <c r="A23" i="147"/>
  <c r="I22" i="147"/>
  <c r="E22" i="147"/>
  <c r="C22" i="147"/>
  <c r="B22" i="147"/>
  <c r="A22" i="147"/>
  <c r="I21" i="147"/>
  <c r="E21" i="147"/>
  <c r="C21" i="147"/>
  <c r="B21" i="147"/>
  <c r="A21" i="147"/>
  <c r="I20" i="147"/>
  <c r="E20" i="147"/>
  <c r="C20" i="147"/>
  <c r="B20" i="147"/>
  <c r="A20" i="147"/>
  <c r="I19" i="147"/>
  <c r="E19" i="147"/>
  <c r="C19" i="147"/>
  <c r="B19" i="147"/>
  <c r="A19" i="147"/>
  <c r="I18" i="147"/>
  <c r="E18" i="147"/>
  <c r="C18" i="147"/>
  <c r="B18" i="147"/>
  <c r="A18" i="147"/>
  <c r="E17" i="147"/>
  <c r="C17" i="147"/>
  <c r="B17" i="147"/>
  <c r="A17" i="147"/>
  <c r="E16" i="147"/>
  <c r="C16" i="147"/>
  <c r="B16" i="147"/>
  <c r="A16" i="147"/>
  <c r="I15" i="147"/>
  <c r="E15" i="147"/>
  <c r="C15" i="147"/>
  <c r="B15" i="147"/>
  <c r="A15" i="147"/>
  <c r="I14" i="147"/>
  <c r="E14" i="147"/>
  <c r="C14" i="147"/>
  <c r="B14" i="147"/>
  <c r="A14" i="147"/>
  <c r="I13" i="147"/>
  <c r="E13" i="147"/>
  <c r="C13" i="147"/>
  <c r="B13" i="147"/>
  <c r="A13" i="147"/>
  <c r="I12" i="147"/>
  <c r="E12" i="147"/>
  <c r="C12" i="147"/>
  <c r="B12" i="147"/>
  <c r="A12" i="147"/>
  <c r="I11" i="147"/>
  <c r="E11" i="147"/>
  <c r="C11" i="147"/>
  <c r="B11" i="147"/>
  <c r="A11" i="147"/>
  <c r="I10" i="147"/>
  <c r="E10" i="147"/>
  <c r="C10" i="147"/>
  <c r="B10" i="147"/>
  <c r="A10" i="147"/>
  <c r="E9" i="147"/>
  <c r="C9" i="147"/>
  <c r="B9" i="147"/>
  <c r="A9" i="147"/>
  <c r="E8" i="147"/>
  <c r="C8" i="147"/>
  <c r="B8" i="147"/>
  <c r="A8" i="147"/>
  <c r="I7" i="147"/>
  <c r="E7" i="147"/>
  <c r="C7" i="147"/>
  <c r="B7" i="147"/>
  <c r="A7" i="147"/>
  <c r="I6" i="147"/>
  <c r="E6" i="147"/>
  <c r="C6" i="147"/>
  <c r="B6" i="147"/>
  <c r="A6" i="147"/>
  <c r="I5" i="147"/>
  <c r="E5" i="147"/>
  <c r="C5" i="147"/>
  <c r="B5" i="147"/>
  <c r="A5" i="147"/>
  <c r="I4" i="147"/>
  <c r="E4" i="147"/>
  <c r="C4" i="147"/>
  <c r="B4" i="147"/>
  <c r="A4" i="147"/>
  <c r="I3" i="147"/>
  <c r="E3" i="147"/>
  <c r="C3" i="147"/>
  <c r="B3" i="147"/>
  <c r="A3" i="147"/>
  <c r="I2" i="147"/>
  <c r="E2" i="147"/>
  <c r="C2" i="147"/>
  <c r="B2" i="147"/>
  <c r="A2" i="147"/>
  <c r="W27" i="5"/>
  <c r="I177" i="147" s="1"/>
  <c r="V27" i="5"/>
  <c r="I169" i="147" s="1"/>
  <c r="T27" i="5"/>
  <c r="I153" i="147" s="1"/>
  <c r="L27" i="5"/>
  <c r="I89" i="147" s="1"/>
  <c r="K27" i="5"/>
  <c r="I81" i="147" s="1"/>
  <c r="J27" i="5"/>
  <c r="I73" i="147" s="1"/>
  <c r="I27" i="5"/>
  <c r="I65" i="147" s="1"/>
  <c r="H27" i="5"/>
  <c r="I57" i="147" s="1"/>
  <c r="G27" i="5"/>
  <c r="I49" i="147" s="1"/>
  <c r="F27" i="5"/>
  <c r="I41" i="147" s="1"/>
  <c r="E27" i="5"/>
  <c r="I33" i="147" s="1"/>
  <c r="D27" i="5"/>
  <c r="I25" i="147" s="1"/>
  <c r="C27" i="5"/>
  <c r="I17" i="147" s="1"/>
  <c r="B27" i="5"/>
  <c r="I9" i="147" s="1"/>
  <c r="W26" i="5"/>
  <c r="I176" i="147" s="1"/>
  <c r="V26" i="5"/>
  <c r="I168" i="147" s="1"/>
  <c r="T26" i="5"/>
  <c r="I152" i="147" s="1"/>
  <c r="L26" i="5"/>
  <c r="I88" i="147" s="1"/>
  <c r="K26" i="5"/>
  <c r="I80" i="147" s="1"/>
  <c r="J26" i="5"/>
  <c r="I72" i="147" s="1"/>
  <c r="I26" i="5"/>
  <c r="I64" i="147" s="1"/>
  <c r="H26" i="5"/>
  <c r="I56" i="147" s="1"/>
  <c r="G26" i="5"/>
  <c r="I48" i="147" s="1"/>
  <c r="F26" i="5"/>
  <c r="I40" i="147" s="1"/>
  <c r="E26" i="5"/>
  <c r="I32" i="147" s="1"/>
  <c r="D26" i="5"/>
  <c r="I24" i="147" s="1"/>
  <c r="C26" i="5"/>
  <c r="I16" i="147" s="1"/>
  <c r="B26" i="5"/>
  <c r="I8" i="147" s="1"/>
  <c r="W24" i="5"/>
  <c r="V24" i="5"/>
  <c r="T24" i="5"/>
  <c r="L24" i="5"/>
  <c r="K24" i="5"/>
  <c r="J24" i="5"/>
  <c r="I24" i="5"/>
  <c r="H24" i="5"/>
  <c r="G24" i="5"/>
  <c r="F24" i="5"/>
  <c r="E24" i="5"/>
  <c r="D24" i="5"/>
  <c r="C24" i="5"/>
  <c r="B24" i="5"/>
  <c r="W20" i="5"/>
  <c r="V20" i="5"/>
  <c r="T20" i="5"/>
  <c r="L20" i="5"/>
  <c r="K20" i="5"/>
  <c r="K28" i="5" s="1"/>
  <c r="J20" i="5"/>
  <c r="J28" i="5" s="1"/>
  <c r="I20" i="5"/>
  <c r="H20" i="5"/>
  <c r="G20" i="5"/>
  <c r="G28" i="5" s="1"/>
  <c r="F20" i="5"/>
  <c r="F28" i="5" s="1"/>
  <c r="E20" i="5"/>
  <c r="D20" i="5"/>
  <c r="C20" i="5"/>
  <c r="C28" i="5" s="1"/>
  <c r="B20" i="5"/>
  <c r="B28" i="5" s="1"/>
  <c r="Z16" i="5"/>
  <c r="Y16" i="5"/>
  <c r="X16" i="5"/>
  <c r="W16" i="5"/>
  <c r="V16" i="5"/>
  <c r="U16" i="5"/>
  <c r="T16" i="5"/>
  <c r="S16" i="5"/>
  <c r="R16" i="5"/>
  <c r="Q16" i="5"/>
  <c r="P16" i="5"/>
  <c r="O16" i="5"/>
  <c r="N16" i="5"/>
  <c r="M16" i="5"/>
  <c r="L16" i="5"/>
  <c r="K16" i="5"/>
  <c r="J16" i="5"/>
  <c r="I16" i="5"/>
  <c r="H16" i="5"/>
  <c r="G16" i="5"/>
  <c r="F16" i="5"/>
  <c r="E16" i="5"/>
  <c r="D16" i="5"/>
  <c r="C16" i="5"/>
  <c r="B16" i="5"/>
  <c r="Z12" i="5"/>
  <c r="Z1" i="5"/>
  <c r="J50" i="105"/>
  <c r="I50" i="105"/>
  <c r="J49" i="105"/>
  <c r="I49" i="105"/>
  <c r="J48" i="105"/>
  <c r="I48" i="105"/>
  <c r="J25" i="105"/>
  <c r="I25" i="105"/>
  <c r="J18" i="105"/>
  <c r="I18" i="105"/>
  <c r="H13" i="105"/>
  <c r="C13" i="105"/>
  <c r="B13" i="105"/>
  <c r="J13" i="105" s="1"/>
  <c r="I1" i="105"/>
  <c r="A40" i="15"/>
  <c r="A15" i="15"/>
  <c r="G13" i="15"/>
  <c r="B13" i="15"/>
  <c r="A11" i="15"/>
  <c r="F1" i="15"/>
  <c r="E86" i="146"/>
  <c r="C86" i="146"/>
  <c r="B86" i="146"/>
  <c r="A86" i="146"/>
  <c r="E85" i="146"/>
  <c r="C85" i="146"/>
  <c r="B85" i="146"/>
  <c r="A85" i="146"/>
  <c r="E84" i="146"/>
  <c r="C84" i="146"/>
  <c r="B84" i="146"/>
  <c r="A84" i="146"/>
  <c r="E83" i="146"/>
  <c r="C83" i="146"/>
  <c r="B83" i="146"/>
  <c r="A83" i="146"/>
  <c r="E82" i="146"/>
  <c r="C82" i="146"/>
  <c r="B82" i="146"/>
  <c r="A82" i="146"/>
  <c r="H81" i="146"/>
  <c r="E81" i="146"/>
  <c r="C81" i="146"/>
  <c r="B81" i="146"/>
  <c r="A81" i="146"/>
  <c r="H80" i="146"/>
  <c r="E80" i="146"/>
  <c r="C80" i="146"/>
  <c r="B80" i="146"/>
  <c r="A80" i="146"/>
  <c r="H79" i="146"/>
  <c r="E79" i="146"/>
  <c r="C79" i="146"/>
  <c r="B79" i="146"/>
  <c r="A79" i="146"/>
  <c r="H78" i="146"/>
  <c r="E78" i="146"/>
  <c r="C78" i="146"/>
  <c r="B78" i="146"/>
  <c r="A78" i="146"/>
  <c r="H77" i="146"/>
  <c r="E77" i="146"/>
  <c r="C77" i="146"/>
  <c r="B77" i="146"/>
  <c r="A77" i="146"/>
  <c r="H76" i="146"/>
  <c r="E76" i="146"/>
  <c r="C76" i="146"/>
  <c r="B76" i="146"/>
  <c r="A76" i="146"/>
  <c r="H75" i="146"/>
  <c r="E75" i="146"/>
  <c r="C75" i="146"/>
  <c r="B75" i="146"/>
  <c r="A75" i="146"/>
  <c r="H74" i="146"/>
  <c r="E74" i="146"/>
  <c r="C74" i="146"/>
  <c r="B74" i="146"/>
  <c r="A74" i="146"/>
  <c r="H73" i="146"/>
  <c r="E73" i="146"/>
  <c r="C73" i="146"/>
  <c r="B73" i="146"/>
  <c r="A73" i="146"/>
  <c r="H72" i="146"/>
  <c r="E72" i="146"/>
  <c r="C72" i="146"/>
  <c r="B72" i="146"/>
  <c r="A72" i="146"/>
  <c r="H71" i="146"/>
  <c r="E71" i="146"/>
  <c r="C71" i="146"/>
  <c r="B71" i="146"/>
  <c r="A71" i="146"/>
  <c r="H70" i="146"/>
  <c r="E70" i="146"/>
  <c r="C70" i="146"/>
  <c r="B70" i="146"/>
  <c r="A70" i="146"/>
  <c r="H69" i="146"/>
  <c r="E69" i="146"/>
  <c r="C69" i="146"/>
  <c r="B69" i="146"/>
  <c r="A69" i="146"/>
  <c r="H68" i="146"/>
  <c r="E68" i="146"/>
  <c r="C68" i="146"/>
  <c r="B68" i="146"/>
  <c r="A68" i="146"/>
  <c r="H67" i="146"/>
  <c r="E67" i="146"/>
  <c r="C67" i="146"/>
  <c r="B67" i="146"/>
  <c r="A67" i="146"/>
  <c r="H66" i="146"/>
  <c r="E66" i="146"/>
  <c r="C66" i="146"/>
  <c r="B66" i="146"/>
  <c r="A66" i="146"/>
  <c r="H65" i="146"/>
  <c r="E65" i="146"/>
  <c r="C65" i="146"/>
  <c r="B65" i="146"/>
  <c r="A65" i="146"/>
  <c r="H64" i="146"/>
  <c r="E64" i="146"/>
  <c r="C64" i="146"/>
  <c r="B64" i="146"/>
  <c r="A64" i="146"/>
  <c r="H63" i="146"/>
  <c r="E63" i="146"/>
  <c r="C63" i="146"/>
  <c r="B63" i="146"/>
  <c r="A63" i="146"/>
  <c r="H62" i="146"/>
  <c r="E62" i="146"/>
  <c r="C62" i="146"/>
  <c r="B62" i="146"/>
  <c r="A62" i="146"/>
  <c r="H61" i="146"/>
  <c r="E61" i="146"/>
  <c r="C61" i="146"/>
  <c r="B61" i="146"/>
  <c r="A61" i="146"/>
  <c r="H60" i="146"/>
  <c r="E60" i="146"/>
  <c r="C60" i="146"/>
  <c r="B60" i="146"/>
  <c r="A60" i="146"/>
  <c r="H59" i="146"/>
  <c r="E59" i="146"/>
  <c r="C59" i="146"/>
  <c r="B59" i="146"/>
  <c r="A59" i="146"/>
  <c r="H58" i="146"/>
  <c r="E58" i="146"/>
  <c r="C58" i="146"/>
  <c r="B58" i="146"/>
  <c r="A58" i="146"/>
  <c r="H57" i="146"/>
  <c r="E57" i="146"/>
  <c r="C57" i="146"/>
  <c r="B57" i="146"/>
  <c r="A57" i="146"/>
  <c r="H56" i="146"/>
  <c r="E56" i="146"/>
  <c r="C56" i="146"/>
  <c r="B56" i="146"/>
  <c r="A56" i="146"/>
  <c r="H55" i="146"/>
  <c r="E55" i="146"/>
  <c r="C55" i="146"/>
  <c r="B55" i="146"/>
  <c r="A55" i="146"/>
  <c r="H54" i="146"/>
  <c r="E54" i="146"/>
  <c r="C54" i="146"/>
  <c r="B54" i="146"/>
  <c r="A54" i="146"/>
  <c r="H53" i="146"/>
  <c r="E53" i="146"/>
  <c r="C53" i="146"/>
  <c r="B53" i="146"/>
  <c r="A53" i="146"/>
  <c r="H52" i="146"/>
  <c r="E52" i="146"/>
  <c r="C52" i="146"/>
  <c r="B52" i="146"/>
  <c r="A52" i="146"/>
  <c r="H51" i="146"/>
  <c r="E51" i="146"/>
  <c r="C51" i="146"/>
  <c r="B51" i="146"/>
  <c r="A51" i="146"/>
  <c r="H50" i="146"/>
  <c r="E50" i="146"/>
  <c r="C50" i="146"/>
  <c r="B50" i="146"/>
  <c r="A50" i="146"/>
  <c r="H49" i="146"/>
  <c r="E49" i="146"/>
  <c r="C49" i="146"/>
  <c r="B49" i="146"/>
  <c r="A49" i="146"/>
  <c r="H48" i="146"/>
  <c r="E48" i="146"/>
  <c r="C48" i="146"/>
  <c r="B48" i="146"/>
  <c r="A48" i="146"/>
  <c r="H47" i="146"/>
  <c r="E47" i="146"/>
  <c r="C47" i="146"/>
  <c r="B47" i="146"/>
  <c r="A47" i="146"/>
  <c r="H46" i="146"/>
  <c r="E46" i="146"/>
  <c r="C46" i="146"/>
  <c r="B46" i="146"/>
  <c r="A46" i="146"/>
  <c r="H45" i="146"/>
  <c r="E45" i="146"/>
  <c r="C45" i="146"/>
  <c r="B45" i="146"/>
  <c r="A45" i="146"/>
  <c r="H44" i="146"/>
  <c r="E44" i="146"/>
  <c r="C44" i="146"/>
  <c r="B44" i="146"/>
  <c r="A44" i="146"/>
  <c r="H43" i="146"/>
  <c r="E43" i="146"/>
  <c r="C43" i="146"/>
  <c r="B43" i="146"/>
  <c r="A43" i="146"/>
  <c r="H42" i="146"/>
  <c r="E42" i="146"/>
  <c r="C42" i="146"/>
  <c r="B42" i="146"/>
  <c r="A42" i="146"/>
  <c r="H41" i="146"/>
  <c r="E41" i="146"/>
  <c r="C41" i="146"/>
  <c r="B41" i="146"/>
  <c r="A41" i="146"/>
  <c r="H40" i="146"/>
  <c r="E40" i="146"/>
  <c r="C40" i="146"/>
  <c r="B40" i="146"/>
  <c r="A40" i="146"/>
  <c r="H39" i="146"/>
  <c r="E39" i="146"/>
  <c r="C39" i="146"/>
  <c r="B39" i="146"/>
  <c r="A39" i="146"/>
  <c r="H38" i="146"/>
  <c r="E38" i="146"/>
  <c r="C38" i="146"/>
  <c r="B38" i="146"/>
  <c r="A38" i="146"/>
  <c r="H37" i="146"/>
  <c r="E37" i="146"/>
  <c r="C37" i="146"/>
  <c r="B37" i="146"/>
  <c r="A37" i="146"/>
  <c r="H36" i="146"/>
  <c r="E36" i="146"/>
  <c r="C36" i="146"/>
  <c r="B36" i="146"/>
  <c r="A36" i="146"/>
  <c r="H35" i="146"/>
  <c r="E35" i="146"/>
  <c r="C35" i="146"/>
  <c r="B35" i="146"/>
  <c r="A35" i="146"/>
  <c r="H34" i="146"/>
  <c r="E34" i="146"/>
  <c r="C34" i="146"/>
  <c r="B34" i="146"/>
  <c r="A34" i="146"/>
  <c r="H33" i="146"/>
  <c r="E33" i="146"/>
  <c r="C33" i="146"/>
  <c r="B33" i="146"/>
  <c r="A33" i="146"/>
  <c r="H32" i="146"/>
  <c r="E32" i="146"/>
  <c r="C32" i="146"/>
  <c r="B32" i="146"/>
  <c r="A32" i="146"/>
  <c r="H31" i="146"/>
  <c r="E31" i="146"/>
  <c r="C31" i="146"/>
  <c r="B31" i="146"/>
  <c r="A31" i="146"/>
  <c r="H30" i="146"/>
  <c r="E30" i="146"/>
  <c r="C30" i="146"/>
  <c r="B30" i="146"/>
  <c r="A30" i="146"/>
  <c r="H29" i="146"/>
  <c r="E29" i="146"/>
  <c r="C29" i="146"/>
  <c r="B29" i="146"/>
  <c r="A29" i="146"/>
  <c r="H28" i="146"/>
  <c r="E28" i="146"/>
  <c r="C28" i="146"/>
  <c r="B28" i="146"/>
  <c r="A28" i="146"/>
  <c r="H27" i="146"/>
  <c r="E27" i="146"/>
  <c r="C27" i="146"/>
  <c r="B27" i="146"/>
  <c r="A27" i="146"/>
  <c r="H26" i="146"/>
  <c r="E26" i="146"/>
  <c r="C26" i="146"/>
  <c r="B26" i="146"/>
  <c r="A26" i="146"/>
  <c r="H25" i="146"/>
  <c r="E25" i="146"/>
  <c r="C25" i="146"/>
  <c r="B25" i="146"/>
  <c r="A25" i="146"/>
  <c r="H24" i="146"/>
  <c r="E24" i="146"/>
  <c r="C24" i="146"/>
  <c r="B24" i="146"/>
  <c r="A24" i="146"/>
  <c r="H23" i="146"/>
  <c r="E23" i="146"/>
  <c r="C23" i="146"/>
  <c r="B23" i="146"/>
  <c r="A23" i="146"/>
  <c r="H22" i="146"/>
  <c r="E22" i="146"/>
  <c r="C22" i="146"/>
  <c r="B22" i="146"/>
  <c r="A22" i="146"/>
  <c r="H21" i="146"/>
  <c r="E21" i="146"/>
  <c r="C21" i="146"/>
  <c r="B21" i="146"/>
  <c r="A21" i="146"/>
  <c r="H20" i="146"/>
  <c r="E20" i="146"/>
  <c r="C20" i="146"/>
  <c r="B20" i="146"/>
  <c r="A20" i="146"/>
  <c r="H19" i="146"/>
  <c r="E19" i="146"/>
  <c r="C19" i="146"/>
  <c r="B19" i="146"/>
  <c r="A19" i="146"/>
  <c r="H18" i="146"/>
  <c r="E18" i="146"/>
  <c r="C18" i="146"/>
  <c r="B18" i="146"/>
  <c r="A18" i="146"/>
  <c r="H17" i="146"/>
  <c r="E17" i="146"/>
  <c r="C17" i="146"/>
  <c r="B17" i="146"/>
  <c r="A17" i="146"/>
  <c r="H16" i="146"/>
  <c r="E16" i="146"/>
  <c r="C16" i="146"/>
  <c r="B16" i="146"/>
  <c r="A16" i="146"/>
  <c r="H15" i="146"/>
  <c r="E15" i="146"/>
  <c r="C15" i="146"/>
  <c r="B15" i="146"/>
  <c r="A15" i="146"/>
  <c r="H14" i="146"/>
  <c r="E14" i="146"/>
  <c r="C14" i="146"/>
  <c r="B14" i="146"/>
  <c r="A14" i="146"/>
  <c r="H13" i="146"/>
  <c r="E13" i="146"/>
  <c r="C13" i="146"/>
  <c r="B13" i="146"/>
  <c r="A13" i="146"/>
  <c r="H12" i="146"/>
  <c r="E12" i="146"/>
  <c r="C12" i="146"/>
  <c r="B12" i="146"/>
  <c r="A12" i="146"/>
  <c r="H11" i="146"/>
  <c r="E11" i="146"/>
  <c r="C11" i="146"/>
  <c r="B11" i="146"/>
  <c r="A11" i="146"/>
  <c r="H10" i="146"/>
  <c r="E10" i="146"/>
  <c r="C10" i="146"/>
  <c r="B10" i="146"/>
  <c r="A10" i="146"/>
  <c r="H9" i="146"/>
  <c r="E9" i="146"/>
  <c r="C9" i="146"/>
  <c r="B9" i="146"/>
  <c r="A9" i="146"/>
  <c r="H8" i="146"/>
  <c r="E8" i="146"/>
  <c r="C8" i="146"/>
  <c r="B8" i="146"/>
  <c r="A8" i="146"/>
  <c r="H7" i="146"/>
  <c r="E7" i="146"/>
  <c r="C7" i="146"/>
  <c r="B7" i="146"/>
  <c r="A7" i="146"/>
  <c r="H6" i="146"/>
  <c r="E6" i="146"/>
  <c r="C6" i="146"/>
  <c r="B6" i="146"/>
  <c r="A6" i="146"/>
  <c r="H5" i="146"/>
  <c r="E5" i="146"/>
  <c r="C5" i="146"/>
  <c r="B5" i="146"/>
  <c r="A5" i="146"/>
  <c r="H4" i="146"/>
  <c r="E4" i="146"/>
  <c r="C4" i="146"/>
  <c r="B4" i="146"/>
  <c r="A4" i="146"/>
  <c r="H3" i="146"/>
  <c r="E3" i="146"/>
  <c r="C3" i="146"/>
  <c r="B3" i="146"/>
  <c r="A3" i="146"/>
  <c r="E2" i="146"/>
  <c r="C2" i="146"/>
  <c r="B2" i="146"/>
  <c r="A2" i="146"/>
  <c r="AR34" i="49"/>
  <c r="AQ34" i="49"/>
  <c r="AO34" i="49"/>
  <c r="AN34" i="49"/>
  <c r="AL34" i="49"/>
  <c r="AK34" i="49"/>
  <c r="AI34" i="49"/>
  <c r="AH34" i="49"/>
  <c r="AF34" i="49"/>
  <c r="AE34" i="49"/>
  <c r="AC34" i="49"/>
  <c r="AB34" i="49"/>
  <c r="Z34" i="49"/>
  <c r="Y34" i="49"/>
  <c r="X34" i="49"/>
  <c r="W34" i="49"/>
  <c r="AR33" i="49"/>
  <c r="AQ33" i="49"/>
  <c r="AO33" i="49"/>
  <c r="AN33" i="49"/>
  <c r="AL33" i="49"/>
  <c r="AK33" i="49"/>
  <c r="AI33" i="49"/>
  <c r="AH33" i="49"/>
  <c r="AF33" i="49"/>
  <c r="AE33" i="49"/>
  <c r="AC33" i="49"/>
  <c r="AB33" i="49"/>
  <c r="Z33" i="49"/>
  <c r="Y33" i="49"/>
  <c r="X33" i="49"/>
  <c r="W33" i="49"/>
  <c r="AR32" i="49"/>
  <c r="AQ32" i="49"/>
  <c r="AO32" i="49"/>
  <c r="AN32" i="49"/>
  <c r="AL32" i="49"/>
  <c r="AK32" i="49"/>
  <c r="AI32" i="49"/>
  <c r="AH32" i="49"/>
  <c r="AF32" i="49"/>
  <c r="AE32" i="49"/>
  <c r="AC32" i="49"/>
  <c r="AB32" i="49"/>
  <c r="Z32" i="49"/>
  <c r="Y32" i="49"/>
  <c r="X32" i="49"/>
  <c r="W32" i="49"/>
  <c r="AR31" i="49"/>
  <c r="AQ31" i="49"/>
  <c r="AO31" i="49"/>
  <c r="AN31" i="49"/>
  <c r="AL31" i="49"/>
  <c r="AK31" i="49"/>
  <c r="AI31" i="49"/>
  <c r="AH31" i="49"/>
  <c r="AF31" i="49"/>
  <c r="AE31" i="49"/>
  <c r="AC31" i="49"/>
  <c r="AB31" i="49"/>
  <c r="Z31" i="49"/>
  <c r="Y31" i="49"/>
  <c r="X31" i="49"/>
  <c r="W31" i="49"/>
  <c r="AS35" i="49"/>
  <c r="AR30" i="49"/>
  <c r="AQ30" i="49"/>
  <c r="AO30" i="49"/>
  <c r="AN30" i="49"/>
  <c r="AL30" i="49"/>
  <c r="AK30" i="49"/>
  <c r="AK35" i="49" s="1"/>
  <c r="AI30" i="49"/>
  <c r="AH30" i="49"/>
  <c r="AG35" i="49"/>
  <c r="AF30" i="49"/>
  <c r="AE30" i="49"/>
  <c r="AC30" i="49"/>
  <c r="AB30" i="49"/>
  <c r="Z30" i="49"/>
  <c r="Y30" i="49"/>
  <c r="X30" i="49"/>
  <c r="W30" i="49"/>
  <c r="AU29" i="49"/>
  <c r="X29" i="49"/>
  <c r="W29" i="49"/>
  <c r="Q22" i="49"/>
  <c r="AS18" i="49" s="1"/>
  <c r="AS20" i="49" s="1"/>
  <c r="P22" i="49"/>
  <c r="AR18" i="49" s="1"/>
  <c r="AR20" i="49" s="1"/>
  <c r="O22" i="49"/>
  <c r="AP18" i="49" s="1"/>
  <c r="N22" i="49"/>
  <c r="AO18" i="49" s="1"/>
  <c r="AO20" i="49" s="1"/>
  <c r="M22" i="49"/>
  <c r="AM18" i="49" s="1"/>
  <c r="AM20" i="49" s="1"/>
  <c r="L22" i="49"/>
  <c r="AL18" i="49" s="1"/>
  <c r="AL20" i="49" s="1"/>
  <c r="K22" i="49"/>
  <c r="AJ18" i="49" s="1"/>
  <c r="J22" i="49"/>
  <c r="AI18" i="49" s="1"/>
  <c r="AI20" i="49" s="1"/>
  <c r="I22" i="49"/>
  <c r="H22" i="49"/>
  <c r="AF18" i="49" s="1"/>
  <c r="AF20" i="49" s="1"/>
  <c r="G22" i="49"/>
  <c r="F22" i="49"/>
  <c r="AC18" i="49" s="1"/>
  <c r="AC20" i="49" s="1"/>
  <c r="E22" i="49"/>
  <c r="AA18" i="49" s="1"/>
  <c r="AA20" i="49" s="1"/>
  <c r="D22" i="49"/>
  <c r="C22" i="49"/>
  <c r="X18" i="49" s="1"/>
  <c r="X20" i="49" s="1"/>
  <c r="B22" i="49"/>
  <c r="W18" i="49" s="1"/>
  <c r="AG18" i="49"/>
  <c r="AG20" i="49" s="1"/>
  <c r="AS17" i="49"/>
  <c r="AR17" i="49"/>
  <c r="AP17" i="49"/>
  <c r="AO17" i="49"/>
  <c r="AM17" i="49"/>
  <c r="AL17" i="49"/>
  <c r="AJ17" i="49"/>
  <c r="AI17" i="49"/>
  <c r="AG17" i="49"/>
  <c r="AF17" i="49"/>
  <c r="AD17" i="49"/>
  <c r="AC17" i="49"/>
  <c r="AA17" i="49"/>
  <c r="Z17" i="49"/>
  <c r="X17" i="49"/>
  <c r="W17" i="49"/>
  <c r="AS16" i="49"/>
  <c r="AR16" i="49"/>
  <c r="AP16" i="49"/>
  <c r="AO16" i="49"/>
  <c r="AM16" i="49"/>
  <c r="AL16" i="49"/>
  <c r="AJ16" i="49"/>
  <c r="AI16" i="49"/>
  <c r="AG16" i="49"/>
  <c r="AF16" i="49"/>
  <c r="AD16" i="49"/>
  <c r="AC16" i="49"/>
  <c r="AA16" i="49"/>
  <c r="Z16" i="49"/>
  <c r="X16" i="49"/>
  <c r="W16" i="49"/>
  <c r="Q16" i="49"/>
  <c r="P16" i="49"/>
  <c r="O16" i="49"/>
  <c r="N16" i="49"/>
  <c r="M16" i="49"/>
  <c r="L16" i="49"/>
  <c r="K16" i="49"/>
  <c r="J16" i="49"/>
  <c r="I16" i="49"/>
  <c r="H16" i="49"/>
  <c r="G16" i="49"/>
  <c r="F16" i="49"/>
  <c r="E16" i="49"/>
  <c r="D16" i="49"/>
  <c r="C16" i="49"/>
  <c r="B16" i="49"/>
  <c r="AS15" i="49"/>
  <c r="AR15" i="49"/>
  <c r="AP15" i="49"/>
  <c r="AO15" i="49"/>
  <c r="AM15" i="49"/>
  <c r="AL15" i="49"/>
  <c r="AJ15" i="49"/>
  <c r="AI15" i="49"/>
  <c r="AG15" i="49"/>
  <c r="AF15" i="49"/>
  <c r="AD15" i="49"/>
  <c r="AC15" i="49"/>
  <c r="AA15" i="49"/>
  <c r="Z15" i="49"/>
  <c r="X15" i="49"/>
  <c r="W15" i="49"/>
  <c r="AS14" i="49"/>
  <c r="AR14" i="49"/>
  <c r="AP14" i="49"/>
  <c r="AO14" i="49"/>
  <c r="AM14" i="49"/>
  <c r="AL14" i="49"/>
  <c r="AJ14" i="49"/>
  <c r="AI14" i="49"/>
  <c r="AG14" i="49"/>
  <c r="AF14" i="49"/>
  <c r="AD14" i="49"/>
  <c r="AC14" i="49"/>
  <c r="AA14" i="49"/>
  <c r="Z14" i="49"/>
  <c r="X14" i="49"/>
  <c r="W14" i="49"/>
  <c r="AS13" i="49"/>
  <c r="AR13" i="49"/>
  <c r="AP13" i="49"/>
  <c r="AO13" i="49"/>
  <c r="AM13" i="49"/>
  <c r="AL13" i="49"/>
  <c r="AJ13" i="49"/>
  <c r="AI13" i="49"/>
  <c r="AG13" i="49"/>
  <c r="AF13" i="49"/>
  <c r="AD13" i="49"/>
  <c r="AC13" i="49"/>
  <c r="AA13" i="49"/>
  <c r="Z13" i="49"/>
  <c r="X13" i="49"/>
  <c r="W13" i="49"/>
  <c r="S12" i="49"/>
  <c r="V26" i="49"/>
  <c r="S1" i="49"/>
  <c r="M487" i="133"/>
  <c r="L487" i="133"/>
  <c r="K487" i="133"/>
  <c r="Q487" i="133" s="1"/>
  <c r="G487" i="133"/>
  <c r="M486" i="133"/>
  <c r="G486" i="133"/>
  <c r="M485" i="133"/>
  <c r="G485" i="133"/>
  <c r="M484" i="133"/>
  <c r="L484" i="133"/>
  <c r="G484" i="133"/>
  <c r="M483" i="133"/>
  <c r="L483" i="133"/>
  <c r="G483" i="133"/>
  <c r="M482" i="133"/>
  <c r="L482" i="133"/>
  <c r="G482" i="133"/>
  <c r="S481" i="133"/>
  <c r="M481" i="133"/>
  <c r="L481" i="133"/>
  <c r="G481" i="133"/>
  <c r="U479" i="133"/>
  <c r="I479" i="133"/>
  <c r="O479" i="133" s="1"/>
  <c r="O478" i="133"/>
  <c r="I478" i="133"/>
  <c r="S477" i="133"/>
  <c r="R477" i="133"/>
  <c r="D477" i="133"/>
  <c r="D476" i="133" s="1"/>
  <c r="S476" i="133"/>
  <c r="S486" i="133" s="1"/>
  <c r="R476" i="133"/>
  <c r="S475" i="133"/>
  <c r="S485" i="133" s="1"/>
  <c r="R475" i="133"/>
  <c r="S474" i="133"/>
  <c r="S484" i="133" s="1"/>
  <c r="R474" i="133"/>
  <c r="R484" i="133" s="1"/>
  <c r="S473" i="133"/>
  <c r="S483" i="133" s="1"/>
  <c r="R473" i="133"/>
  <c r="R483" i="133" s="1"/>
  <c r="S472" i="133"/>
  <c r="S482" i="133" s="1"/>
  <c r="R472" i="133"/>
  <c r="R482" i="133" s="1"/>
  <c r="S471" i="133"/>
  <c r="S487" i="133" s="1"/>
  <c r="R471" i="133"/>
  <c r="R481" i="133" s="1"/>
  <c r="S470" i="133"/>
  <c r="R470" i="133"/>
  <c r="O470" i="133"/>
  <c r="U470" i="133" s="1"/>
  <c r="D470" i="133"/>
  <c r="Q469" i="133"/>
  <c r="K469" i="133"/>
  <c r="M466" i="133"/>
  <c r="L466" i="133"/>
  <c r="K466" i="133"/>
  <c r="Q466" i="133" s="1"/>
  <c r="G466" i="133"/>
  <c r="M465" i="133"/>
  <c r="G465" i="133"/>
  <c r="M464" i="133"/>
  <c r="G464" i="133"/>
  <c r="M463" i="133"/>
  <c r="L463" i="133"/>
  <c r="G463" i="133"/>
  <c r="M462" i="133"/>
  <c r="L462" i="133"/>
  <c r="G462" i="133"/>
  <c r="M461" i="133"/>
  <c r="L461" i="133"/>
  <c r="G461" i="133"/>
  <c r="M460" i="133"/>
  <c r="L460" i="133"/>
  <c r="G460" i="133"/>
  <c r="O458" i="133"/>
  <c r="U458" i="133" s="1"/>
  <c r="O457" i="133"/>
  <c r="O466" i="133" s="1"/>
  <c r="I457" i="133"/>
  <c r="S456" i="133"/>
  <c r="R456" i="133"/>
  <c r="D456" i="133"/>
  <c r="S455" i="133"/>
  <c r="S465" i="133" s="1"/>
  <c r="R455" i="133"/>
  <c r="S454" i="133"/>
  <c r="S464" i="133" s="1"/>
  <c r="R454" i="133"/>
  <c r="S453" i="133"/>
  <c r="S463" i="133" s="1"/>
  <c r="R453" i="133"/>
  <c r="R463" i="133" s="1"/>
  <c r="S452" i="133"/>
  <c r="S462" i="133" s="1"/>
  <c r="R452" i="133"/>
  <c r="R462" i="133" s="1"/>
  <c r="S451" i="133"/>
  <c r="S461" i="133" s="1"/>
  <c r="R451" i="133"/>
  <c r="R461" i="133" s="1"/>
  <c r="S450" i="133"/>
  <c r="R450" i="133"/>
  <c r="R466" i="133" s="1"/>
  <c r="U449" i="133"/>
  <c r="S449" i="133"/>
  <c r="R449" i="133"/>
  <c r="D449" i="133"/>
  <c r="Q448" i="133"/>
  <c r="M444" i="133"/>
  <c r="L444" i="133"/>
  <c r="K444" i="133"/>
  <c r="Q444" i="133" s="1"/>
  <c r="G444" i="133"/>
  <c r="M443" i="133"/>
  <c r="G443" i="133"/>
  <c r="M442" i="133"/>
  <c r="G442" i="133"/>
  <c r="M441" i="133"/>
  <c r="L441" i="133"/>
  <c r="G441" i="133"/>
  <c r="M440" i="133"/>
  <c r="L440" i="133"/>
  <c r="G440" i="133"/>
  <c r="M439" i="133"/>
  <c r="L439" i="133"/>
  <c r="G439" i="133"/>
  <c r="M438" i="133"/>
  <c r="L438" i="133"/>
  <c r="G438" i="133"/>
  <c r="I436" i="133"/>
  <c r="O436" i="133" s="1"/>
  <c r="U436" i="133" s="1"/>
  <c r="O435" i="133"/>
  <c r="I435" i="133"/>
  <c r="S434" i="133"/>
  <c r="R434" i="133"/>
  <c r="D434" i="133"/>
  <c r="S433" i="133"/>
  <c r="S443" i="133" s="1"/>
  <c r="R433" i="133"/>
  <c r="S432" i="133"/>
  <c r="S442" i="133" s="1"/>
  <c r="R432" i="133"/>
  <c r="S431" i="133"/>
  <c r="S441" i="133" s="1"/>
  <c r="R431" i="133"/>
  <c r="R441" i="133" s="1"/>
  <c r="S430" i="133"/>
  <c r="S440" i="133" s="1"/>
  <c r="R430" i="133"/>
  <c r="R440" i="133" s="1"/>
  <c r="S429" i="133"/>
  <c r="S439" i="133" s="1"/>
  <c r="R429" i="133"/>
  <c r="R439" i="133" s="1"/>
  <c r="S428" i="133"/>
  <c r="R428" i="133"/>
  <c r="R444" i="133" s="1"/>
  <c r="S427" i="133"/>
  <c r="R427" i="133"/>
  <c r="O427" i="133"/>
  <c r="U427" i="133" s="1"/>
  <c r="D427" i="133"/>
  <c r="Q426" i="133"/>
  <c r="K426" i="133"/>
  <c r="M423" i="133"/>
  <c r="L423" i="133"/>
  <c r="K423" i="133"/>
  <c r="Q423" i="133" s="1"/>
  <c r="G423" i="133"/>
  <c r="M422" i="133"/>
  <c r="G422" i="133"/>
  <c r="M421" i="133"/>
  <c r="G421" i="133"/>
  <c r="M420" i="133"/>
  <c r="L420" i="133"/>
  <c r="G420" i="133"/>
  <c r="M419" i="133"/>
  <c r="L419" i="133"/>
  <c r="G419" i="133"/>
  <c r="M418" i="133"/>
  <c r="L418" i="133"/>
  <c r="G418" i="133"/>
  <c r="M417" i="133"/>
  <c r="L417" i="133"/>
  <c r="G417" i="133"/>
  <c r="O415" i="133"/>
  <c r="U415" i="133" s="1"/>
  <c r="O414" i="133"/>
  <c r="O422" i="133" s="1"/>
  <c r="I414" i="133"/>
  <c r="I422" i="133" s="1"/>
  <c r="S413" i="133"/>
  <c r="R413" i="133"/>
  <c r="D413" i="133"/>
  <c r="S412" i="133"/>
  <c r="S422" i="133" s="1"/>
  <c r="R412" i="133"/>
  <c r="S411" i="133"/>
  <c r="S421" i="133" s="1"/>
  <c r="R411" i="133"/>
  <c r="S410" i="133"/>
  <c r="S420" i="133" s="1"/>
  <c r="R410" i="133"/>
  <c r="R420" i="133" s="1"/>
  <c r="S409" i="133"/>
  <c r="S419" i="133" s="1"/>
  <c r="R409" i="133"/>
  <c r="R419" i="133" s="1"/>
  <c r="S408" i="133"/>
  <c r="S418" i="133" s="1"/>
  <c r="R408" i="133"/>
  <c r="R418" i="133" s="1"/>
  <c r="S407" i="133"/>
  <c r="S423" i="133" s="1"/>
  <c r="R407" i="133"/>
  <c r="R423" i="133" s="1"/>
  <c r="U406" i="133"/>
  <c r="S406" i="133"/>
  <c r="R406" i="133"/>
  <c r="D406" i="133"/>
  <c r="Q405" i="133"/>
  <c r="M401" i="133"/>
  <c r="L401" i="133"/>
  <c r="K401" i="133"/>
  <c r="Q401" i="133" s="1"/>
  <c r="G401" i="133"/>
  <c r="M400" i="133"/>
  <c r="G400" i="133"/>
  <c r="M399" i="133"/>
  <c r="G399" i="133"/>
  <c r="M398" i="133"/>
  <c r="L398" i="133"/>
  <c r="G398" i="133"/>
  <c r="M397" i="133"/>
  <c r="L397" i="133"/>
  <c r="G397" i="133"/>
  <c r="M396" i="133"/>
  <c r="L396" i="133"/>
  <c r="G396" i="133"/>
  <c r="M395" i="133"/>
  <c r="L395" i="133"/>
  <c r="G395" i="133"/>
  <c r="I393" i="133"/>
  <c r="O393" i="133" s="1"/>
  <c r="U393" i="133" s="1"/>
  <c r="O392" i="133"/>
  <c r="I392" i="133"/>
  <c r="S391" i="133"/>
  <c r="R391" i="133"/>
  <c r="D391" i="133"/>
  <c r="S390" i="133"/>
  <c r="S400" i="133" s="1"/>
  <c r="R390" i="133"/>
  <c r="S389" i="133"/>
  <c r="S399" i="133" s="1"/>
  <c r="R389" i="133"/>
  <c r="S388" i="133"/>
  <c r="S398" i="133" s="1"/>
  <c r="R388" i="133"/>
  <c r="R398" i="133" s="1"/>
  <c r="S387" i="133"/>
  <c r="S397" i="133" s="1"/>
  <c r="R387" i="133"/>
  <c r="R397" i="133" s="1"/>
  <c r="S386" i="133"/>
  <c r="S396" i="133" s="1"/>
  <c r="R386" i="133"/>
  <c r="R396" i="133" s="1"/>
  <c r="S385" i="133"/>
  <c r="S401" i="133" s="1"/>
  <c r="R385" i="133"/>
  <c r="R395" i="133" s="1"/>
  <c r="S384" i="133"/>
  <c r="R384" i="133"/>
  <c r="O384" i="133"/>
  <c r="U384" i="133" s="1"/>
  <c r="D384" i="133"/>
  <c r="Q383" i="133"/>
  <c r="K383" i="133"/>
  <c r="M380" i="133"/>
  <c r="L380" i="133"/>
  <c r="K380" i="133"/>
  <c r="Q380" i="133" s="1"/>
  <c r="G380" i="133"/>
  <c r="M379" i="133"/>
  <c r="G379" i="133"/>
  <c r="M378" i="133"/>
  <c r="G378" i="133"/>
  <c r="M377" i="133"/>
  <c r="L377" i="133"/>
  <c r="G377" i="133"/>
  <c r="M376" i="133"/>
  <c r="L376" i="133"/>
  <c r="G376" i="133"/>
  <c r="M375" i="133"/>
  <c r="L375" i="133"/>
  <c r="G375" i="133"/>
  <c r="M374" i="133"/>
  <c r="L374" i="133"/>
  <c r="G374" i="133"/>
  <c r="O372" i="133"/>
  <c r="U372" i="133" s="1"/>
  <c r="O371" i="133"/>
  <c r="O380" i="133" s="1"/>
  <c r="I371" i="133"/>
  <c r="I380" i="133" s="1"/>
  <c r="S370" i="133"/>
  <c r="R370" i="133"/>
  <c r="D370" i="133"/>
  <c r="D369" i="133" s="1"/>
  <c r="S369" i="133"/>
  <c r="S379" i="133" s="1"/>
  <c r="R369" i="133"/>
  <c r="S368" i="133"/>
  <c r="S378" i="133" s="1"/>
  <c r="R368" i="133"/>
  <c r="S367" i="133"/>
  <c r="S377" i="133" s="1"/>
  <c r="R367" i="133"/>
  <c r="R377" i="133" s="1"/>
  <c r="S366" i="133"/>
  <c r="S376" i="133" s="1"/>
  <c r="R366" i="133"/>
  <c r="R376" i="133" s="1"/>
  <c r="S365" i="133"/>
  <c r="S375" i="133" s="1"/>
  <c r="R365" i="133"/>
  <c r="R375" i="133" s="1"/>
  <c r="S364" i="133"/>
  <c r="R364" i="133"/>
  <c r="U363" i="133"/>
  <c r="S363" i="133"/>
  <c r="R363" i="133"/>
  <c r="D363" i="133"/>
  <c r="Q362" i="133"/>
  <c r="M358" i="133"/>
  <c r="L358" i="133"/>
  <c r="K358" i="133"/>
  <c r="Q358" i="133" s="1"/>
  <c r="G358" i="133"/>
  <c r="M357" i="133"/>
  <c r="G357" i="133"/>
  <c r="M356" i="133"/>
  <c r="G356" i="133"/>
  <c r="M355" i="133"/>
  <c r="L355" i="133"/>
  <c r="G355" i="133"/>
  <c r="M354" i="133"/>
  <c r="L354" i="133"/>
  <c r="G354" i="133"/>
  <c r="M353" i="133"/>
  <c r="L353" i="133"/>
  <c r="G353" i="133"/>
  <c r="M352" i="133"/>
  <c r="L352" i="133"/>
  <c r="G352" i="133"/>
  <c r="I350" i="133"/>
  <c r="O350" i="133" s="1"/>
  <c r="U350" i="133" s="1"/>
  <c r="O349" i="133"/>
  <c r="O358" i="133" s="1"/>
  <c r="I349" i="133"/>
  <c r="I358" i="133" s="1"/>
  <c r="S348" i="133"/>
  <c r="R348" i="133"/>
  <c r="D348" i="133"/>
  <c r="D347" i="133" s="1"/>
  <c r="S347" i="133"/>
  <c r="S357" i="133" s="1"/>
  <c r="R347" i="133"/>
  <c r="S346" i="133"/>
  <c r="S356" i="133" s="1"/>
  <c r="R346" i="133"/>
  <c r="S345" i="133"/>
  <c r="S355" i="133" s="1"/>
  <c r="R345" i="133"/>
  <c r="R355" i="133" s="1"/>
  <c r="S344" i="133"/>
  <c r="S354" i="133" s="1"/>
  <c r="R344" i="133"/>
  <c r="R354" i="133" s="1"/>
  <c r="S343" i="133"/>
  <c r="S353" i="133" s="1"/>
  <c r="R343" i="133"/>
  <c r="R353" i="133" s="1"/>
  <c r="S342" i="133"/>
  <c r="R342" i="133"/>
  <c r="R352" i="133" s="1"/>
  <c r="S341" i="133"/>
  <c r="R341" i="133"/>
  <c r="O341" i="133"/>
  <c r="U341" i="133" s="1"/>
  <c r="D341" i="133"/>
  <c r="Q340" i="133"/>
  <c r="K340" i="133"/>
  <c r="M337" i="133"/>
  <c r="L337" i="133"/>
  <c r="K337" i="133"/>
  <c r="Q337" i="133" s="1"/>
  <c r="G337" i="133"/>
  <c r="M336" i="133"/>
  <c r="G336" i="133"/>
  <c r="M335" i="133"/>
  <c r="G335" i="133"/>
  <c r="M334" i="133"/>
  <c r="L334" i="133"/>
  <c r="G334" i="133"/>
  <c r="M333" i="133"/>
  <c r="L333" i="133"/>
  <c r="G333" i="133"/>
  <c r="M332" i="133"/>
  <c r="L332" i="133"/>
  <c r="G332" i="133"/>
  <c r="M331" i="133"/>
  <c r="L331" i="133"/>
  <c r="G331" i="133"/>
  <c r="O329" i="133"/>
  <c r="U329" i="133" s="1"/>
  <c r="O328" i="133"/>
  <c r="I328" i="133"/>
  <c r="I337" i="133" s="1"/>
  <c r="S327" i="133"/>
  <c r="R327" i="133"/>
  <c r="D327" i="133"/>
  <c r="D326" i="133" s="1"/>
  <c r="S326" i="133"/>
  <c r="S336" i="133" s="1"/>
  <c r="R326" i="133"/>
  <c r="S325" i="133"/>
  <c r="S335" i="133" s="1"/>
  <c r="R325" i="133"/>
  <c r="S324" i="133"/>
  <c r="S334" i="133" s="1"/>
  <c r="R324" i="133"/>
  <c r="R334" i="133" s="1"/>
  <c r="S323" i="133"/>
  <c r="S333" i="133" s="1"/>
  <c r="R323" i="133"/>
  <c r="R333" i="133" s="1"/>
  <c r="S322" i="133"/>
  <c r="S332" i="133" s="1"/>
  <c r="R322" i="133"/>
  <c r="R332" i="133" s="1"/>
  <c r="S321" i="133"/>
  <c r="R321" i="133"/>
  <c r="U320" i="133"/>
  <c r="S320" i="133"/>
  <c r="R320" i="133"/>
  <c r="D320" i="133"/>
  <c r="Q319" i="133"/>
  <c r="K315" i="133"/>
  <c r="Q315" i="133" s="1"/>
  <c r="G315" i="133"/>
  <c r="G314" i="133"/>
  <c r="G313" i="133"/>
  <c r="G312" i="133"/>
  <c r="G311" i="133"/>
  <c r="G310" i="133"/>
  <c r="G309" i="133"/>
  <c r="I307" i="133"/>
  <c r="O307" i="133" s="1"/>
  <c r="U307" i="133" s="1"/>
  <c r="O306" i="133"/>
  <c r="I306" i="133"/>
  <c r="I314" i="133" s="1"/>
  <c r="D305" i="133"/>
  <c r="D314" i="133" s="1"/>
  <c r="K314" i="133" s="1"/>
  <c r="Q314" i="133" s="1"/>
  <c r="S304" i="133"/>
  <c r="S314" i="133" s="1"/>
  <c r="R304" i="133"/>
  <c r="S303" i="133"/>
  <c r="S313" i="133" s="1"/>
  <c r="R303" i="133"/>
  <c r="S302" i="133"/>
  <c r="S312" i="133" s="1"/>
  <c r="R302" i="133"/>
  <c r="R312" i="133" s="1"/>
  <c r="S301" i="133"/>
  <c r="S311" i="133" s="1"/>
  <c r="R301" i="133"/>
  <c r="R311" i="133" s="1"/>
  <c r="S300" i="133"/>
  <c r="S310" i="133" s="1"/>
  <c r="R300" i="133"/>
  <c r="R310" i="133" s="1"/>
  <c r="S299" i="133"/>
  <c r="S315" i="133" s="1"/>
  <c r="R299" i="133"/>
  <c r="S298" i="133"/>
  <c r="R298" i="133"/>
  <c r="O298" i="133"/>
  <c r="U298" i="133" s="1"/>
  <c r="D298" i="133"/>
  <c r="Q297" i="133"/>
  <c r="K297" i="133"/>
  <c r="K294" i="133"/>
  <c r="Q294" i="133" s="1"/>
  <c r="O286" i="133"/>
  <c r="U286" i="133" s="1"/>
  <c r="O285" i="133"/>
  <c r="O294" i="133" s="1"/>
  <c r="I285" i="133"/>
  <c r="I294" i="133" s="1"/>
  <c r="D284" i="133"/>
  <c r="D283" i="133" s="1"/>
  <c r="U277" i="133"/>
  <c r="S277" i="133"/>
  <c r="R277" i="133"/>
  <c r="D277" i="133"/>
  <c r="Q276" i="133"/>
  <c r="B274" i="133"/>
  <c r="B317" i="133" s="1"/>
  <c r="B360" i="133" s="1"/>
  <c r="B403" i="133" s="1"/>
  <c r="B446" i="133" s="1"/>
  <c r="M272" i="133"/>
  <c r="L272" i="133"/>
  <c r="K272" i="133"/>
  <c r="Q272" i="133" s="1"/>
  <c r="M271" i="133"/>
  <c r="M270" i="133"/>
  <c r="M269" i="133"/>
  <c r="L269" i="133"/>
  <c r="G269" i="133"/>
  <c r="M268" i="133"/>
  <c r="L268" i="133"/>
  <c r="G268" i="133"/>
  <c r="M267" i="133"/>
  <c r="L267" i="133"/>
  <c r="G267" i="133"/>
  <c r="M266" i="133"/>
  <c r="L266" i="133"/>
  <c r="G266" i="133"/>
  <c r="I264" i="133"/>
  <c r="O264" i="133" s="1"/>
  <c r="U264" i="133" s="1"/>
  <c r="O263" i="133"/>
  <c r="O272" i="133" s="1"/>
  <c r="I263" i="133"/>
  <c r="D262" i="133"/>
  <c r="D271" i="133" s="1"/>
  <c r="K271" i="133" s="1"/>
  <c r="Q271" i="133" s="1"/>
  <c r="S260" i="133"/>
  <c r="S270" i="133" s="1"/>
  <c r="R260" i="133"/>
  <c r="S259" i="133"/>
  <c r="S269" i="133" s="1"/>
  <c r="R259" i="133"/>
  <c r="R269" i="133" s="1"/>
  <c r="S258" i="133"/>
  <c r="S268" i="133" s="1"/>
  <c r="R258" i="133"/>
  <c r="R268" i="133" s="1"/>
  <c r="S257" i="133"/>
  <c r="S267" i="133" s="1"/>
  <c r="R257" i="133"/>
  <c r="R267" i="133" s="1"/>
  <c r="S256" i="133"/>
  <c r="S272" i="133" s="1"/>
  <c r="R256" i="133"/>
  <c r="S255" i="133"/>
  <c r="R255" i="133"/>
  <c r="O255" i="133"/>
  <c r="U255" i="133" s="1"/>
  <c r="D255" i="133"/>
  <c r="Q254" i="133"/>
  <c r="K254" i="133"/>
  <c r="K251" i="133"/>
  <c r="Q251" i="133" s="1"/>
  <c r="O243" i="133"/>
  <c r="U243" i="133" s="1"/>
  <c r="O242" i="133"/>
  <c r="O251" i="133" s="1"/>
  <c r="I242" i="133"/>
  <c r="I251" i="133" s="1"/>
  <c r="D241" i="133"/>
  <c r="U234" i="133"/>
  <c r="S234" i="133"/>
  <c r="R234" i="133"/>
  <c r="D234" i="133"/>
  <c r="Q233" i="133"/>
  <c r="K229" i="133"/>
  <c r="Q229" i="133" s="1"/>
  <c r="G226" i="133"/>
  <c r="G225" i="133"/>
  <c r="G224" i="133"/>
  <c r="G223" i="133"/>
  <c r="I221" i="133"/>
  <c r="O221" i="133" s="1"/>
  <c r="U221" i="133" s="1"/>
  <c r="O220" i="133"/>
  <c r="I220" i="133"/>
  <c r="D219" i="133"/>
  <c r="D228" i="133" s="1"/>
  <c r="K228" i="133" s="1"/>
  <c r="Q228" i="133" s="1"/>
  <c r="S212" i="133"/>
  <c r="R212" i="133"/>
  <c r="O212" i="133"/>
  <c r="U212" i="133" s="1"/>
  <c r="D212" i="133"/>
  <c r="Q211" i="133"/>
  <c r="K211" i="133"/>
  <c r="K208" i="133"/>
  <c r="Q208" i="133" s="1"/>
  <c r="O200" i="133"/>
  <c r="U200" i="133" s="1"/>
  <c r="O199" i="133"/>
  <c r="O208" i="133" s="1"/>
  <c r="I199" i="133"/>
  <c r="D198" i="133"/>
  <c r="U191" i="133"/>
  <c r="S191" i="133"/>
  <c r="R191" i="133"/>
  <c r="D191" i="133"/>
  <c r="Q190" i="133"/>
  <c r="K186" i="133"/>
  <c r="Q186" i="133" s="1"/>
  <c r="G183" i="133"/>
  <c r="G182" i="133"/>
  <c r="G181" i="133"/>
  <c r="G180" i="133"/>
  <c r="I178" i="133"/>
  <c r="O178" i="133" s="1"/>
  <c r="U178" i="133" s="1"/>
  <c r="O177" i="133"/>
  <c r="O185" i="133" s="1"/>
  <c r="I177" i="133"/>
  <c r="I186" i="133" s="1"/>
  <c r="D176" i="133"/>
  <c r="D185" i="133" s="1"/>
  <c r="K185" i="133" s="1"/>
  <c r="Q185" i="133" s="1"/>
  <c r="S169" i="133"/>
  <c r="R169" i="133"/>
  <c r="O169" i="133"/>
  <c r="U169" i="133" s="1"/>
  <c r="D169" i="133"/>
  <c r="Q168" i="133"/>
  <c r="K168" i="133"/>
  <c r="K165" i="133"/>
  <c r="Q165" i="133" s="1"/>
  <c r="O157" i="133"/>
  <c r="U157" i="133" s="1"/>
  <c r="O156" i="133"/>
  <c r="O164" i="133" s="1"/>
  <c r="I156" i="133"/>
  <c r="D155" i="133"/>
  <c r="D164" i="133" s="1"/>
  <c r="K164" i="133" s="1"/>
  <c r="Q164" i="133" s="1"/>
  <c r="U148" i="133"/>
  <c r="S148" i="133"/>
  <c r="R148" i="133"/>
  <c r="D148" i="133"/>
  <c r="Q147" i="133"/>
  <c r="M143" i="133"/>
  <c r="L143" i="133"/>
  <c r="K143" i="133"/>
  <c r="Q143" i="133" s="1"/>
  <c r="M142" i="133"/>
  <c r="M141" i="133"/>
  <c r="M140" i="133"/>
  <c r="L140" i="133"/>
  <c r="G140" i="133"/>
  <c r="M139" i="133"/>
  <c r="L139" i="133"/>
  <c r="G139" i="133"/>
  <c r="M138" i="133"/>
  <c r="L138" i="133"/>
  <c r="G138" i="133"/>
  <c r="M137" i="133"/>
  <c r="L137" i="133"/>
  <c r="G137" i="133"/>
  <c r="I135" i="133"/>
  <c r="O135" i="133" s="1"/>
  <c r="U135" i="133" s="1"/>
  <c r="O134" i="133"/>
  <c r="O143" i="133" s="1"/>
  <c r="I134" i="133"/>
  <c r="D133" i="133"/>
  <c r="S131" i="133"/>
  <c r="S141" i="133" s="1"/>
  <c r="R131" i="133"/>
  <c r="S130" i="133"/>
  <c r="S140" i="133" s="1"/>
  <c r="R130" i="133"/>
  <c r="R140" i="133" s="1"/>
  <c r="S129" i="133"/>
  <c r="S139" i="133" s="1"/>
  <c r="R129" i="133"/>
  <c r="R139" i="133" s="1"/>
  <c r="S128" i="133"/>
  <c r="S138" i="133" s="1"/>
  <c r="R128" i="133"/>
  <c r="R138" i="133" s="1"/>
  <c r="S127" i="133"/>
  <c r="S137" i="133" s="1"/>
  <c r="R127" i="133"/>
  <c r="R143" i="133" s="1"/>
  <c r="S126" i="133"/>
  <c r="R126" i="133"/>
  <c r="O126" i="133"/>
  <c r="U126" i="133" s="1"/>
  <c r="D126" i="133"/>
  <c r="Q125" i="133"/>
  <c r="K125" i="133"/>
  <c r="K122" i="133"/>
  <c r="Q122" i="133" s="1"/>
  <c r="O114" i="133"/>
  <c r="U114" i="133" s="1"/>
  <c r="O113" i="133"/>
  <c r="I113" i="133"/>
  <c r="D112" i="133"/>
  <c r="D111" i="133" s="1"/>
  <c r="H111" i="133" s="1"/>
  <c r="N111" i="133" s="1"/>
  <c r="N132" i="133" s="1"/>
  <c r="T132" i="133" s="1"/>
  <c r="U132" i="133" s="1"/>
  <c r="U105" i="133"/>
  <c r="S105" i="133"/>
  <c r="R105" i="133"/>
  <c r="D105" i="133"/>
  <c r="Q104" i="133"/>
  <c r="M100" i="133"/>
  <c r="L100" i="133"/>
  <c r="K100" i="133"/>
  <c r="Q100" i="133" s="1"/>
  <c r="M99" i="133"/>
  <c r="M98" i="133"/>
  <c r="M97" i="133"/>
  <c r="L97" i="133"/>
  <c r="G97" i="133"/>
  <c r="M96" i="133"/>
  <c r="L96" i="133"/>
  <c r="G96" i="133"/>
  <c r="M95" i="133"/>
  <c r="L95" i="133"/>
  <c r="G95" i="133"/>
  <c r="M94" i="133"/>
  <c r="L94" i="133"/>
  <c r="G94" i="133"/>
  <c r="I92" i="133"/>
  <c r="O92" i="133" s="1"/>
  <c r="U92" i="133" s="1"/>
  <c r="O91" i="133"/>
  <c r="O99" i="133" s="1"/>
  <c r="I91" i="133"/>
  <c r="D90" i="133"/>
  <c r="H90" i="133" s="1"/>
  <c r="S88" i="133"/>
  <c r="S98" i="133" s="1"/>
  <c r="R88" i="133"/>
  <c r="S87" i="133"/>
  <c r="S97" i="133" s="1"/>
  <c r="R87" i="133"/>
  <c r="R97" i="133" s="1"/>
  <c r="S86" i="133"/>
  <c r="S96" i="133" s="1"/>
  <c r="R86" i="133"/>
  <c r="R96" i="133" s="1"/>
  <c r="F86" i="133"/>
  <c r="S85" i="133"/>
  <c r="S95" i="133" s="1"/>
  <c r="R85" i="133"/>
  <c r="R95" i="133" s="1"/>
  <c r="S84" i="133"/>
  <c r="S100" i="133" s="1"/>
  <c r="R84" i="133"/>
  <c r="R94" i="133" s="1"/>
  <c r="S83" i="133"/>
  <c r="R83" i="133"/>
  <c r="O83" i="133"/>
  <c r="U83" i="133" s="1"/>
  <c r="D83" i="133"/>
  <c r="Q82" i="133"/>
  <c r="K82" i="133"/>
  <c r="K79" i="133"/>
  <c r="Q79" i="133" s="1"/>
  <c r="O71" i="133"/>
  <c r="U71" i="133" s="1"/>
  <c r="O70" i="133"/>
  <c r="I70" i="133"/>
  <c r="F69" i="133"/>
  <c r="F112" i="133" s="1"/>
  <c r="D69" i="133"/>
  <c r="H69" i="133" s="1"/>
  <c r="N69" i="133" s="1"/>
  <c r="F68" i="133"/>
  <c r="F111" i="133" s="1"/>
  <c r="K111" i="133" s="1"/>
  <c r="L120" i="133" s="1"/>
  <c r="F67" i="133"/>
  <c r="F110" i="133" s="1"/>
  <c r="F66" i="133"/>
  <c r="F65" i="133"/>
  <c r="F108" i="133" s="1"/>
  <c r="F151" i="133" s="1"/>
  <c r="F64" i="133"/>
  <c r="F107" i="133" s="1"/>
  <c r="F150" i="133" s="1"/>
  <c r="F63" i="133"/>
  <c r="F106" i="133" s="1"/>
  <c r="U62" i="133"/>
  <c r="S62" i="133"/>
  <c r="R62" i="133"/>
  <c r="D62" i="133"/>
  <c r="Q61" i="133"/>
  <c r="K55" i="133"/>
  <c r="L54" i="133"/>
  <c r="L53" i="133"/>
  <c r="O46" i="133"/>
  <c r="D45" i="133"/>
  <c r="D54" i="133" s="1"/>
  <c r="K54" i="133" s="1"/>
  <c r="D38" i="133"/>
  <c r="U1" i="133"/>
  <c r="D37" i="132"/>
  <c r="D36" i="132" s="1"/>
  <c r="D35" i="132" s="1"/>
  <c r="D34" i="132" s="1"/>
  <c r="D33" i="132" s="1"/>
  <c r="D32" i="132" s="1"/>
  <c r="D31" i="132" s="1"/>
  <c r="D30" i="132"/>
  <c r="R1" i="132"/>
  <c r="D64" i="122"/>
  <c r="F64" i="122" s="1"/>
  <c r="C64" i="122"/>
  <c r="E63" i="122"/>
  <c r="E61" i="122"/>
  <c r="E60" i="122"/>
  <c r="E59" i="122"/>
  <c r="E58" i="122"/>
  <c r="E57" i="122"/>
  <c r="A39" i="122"/>
  <c r="A38" i="122"/>
  <c r="A37" i="122"/>
  <c r="K36" i="122"/>
  <c r="A36" i="122"/>
  <c r="A35" i="122"/>
  <c r="A34" i="122"/>
  <c r="H1" i="122"/>
  <c r="A1" i="122"/>
  <c r="J132" i="14"/>
  <c r="I132" i="14"/>
  <c r="H132" i="14"/>
  <c r="G132" i="14"/>
  <c r="F132" i="14"/>
  <c r="E132" i="14"/>
  <c r="D132" i="14"/>
  <c r="C132" i="14"/>
  <c r="L76" i="14"/>
  <c r="K76" i="14"/>
  <c r="J76" i="14"/>
  <c r="I76" i="14"/>
  <c r="H76" i="14"/>
  <c r="G76" i="14"/>
  <c r="F76" i="14"/>
  <c r="E76" i="14"/>
  <c r="D76" i="14"/>
  <c r="C76" i="14"/>
  <c r="L74" i="14"/>
  <c r="K74" i="14"/>
  <c r="J74" i="14"/>
  <c r="J54" i="14"/>
  <c r="H31" i="145" s="1"/>
  <c r="I54" i="14"/>
  <c r="H27" i="145" s="1"/>
  <c r="H54" i="14"/>
  <c r="H23" i="145" s="1"/>
  <c r="F54" i="14"/>
  <c r="H15" i="145" s="1"/>
  <c r="E54" i="14"/>
  <c r="H11" i="145" s="1"/>
  <c r="D54" i="14"/>
  <c r="H7" i="145" s="1"/>
  <c r="C54" i="14"/>
  <c r="H3" i="145" s="1"/>
  <c r="J53" i="14"/>
  <c r="H30" i="145" s="1"/>
  <c r="I53" i="14"/>
  <c r="H26" i="145" s="1"/>
  <c r="H53" i="14"/>
  <c r="F53" i="14"/>
  <c r="H14" i="145" s="1"/>
  <c r="E53" i="14"/>
  <c r="D53" i="14"/>
  <c r="C53" i="14"/>
  <c r="L13" i="14"/>
  <c r="L75" i="14" s="1"/>
  <c r="L1" i="14"/>
  <c r="E6" i="144"/>
  <c r="C6" i="144"/>
  <c r="B6" i="144"/>
  <c r="A6" i="144"/>
  <c r="E5" i="144"/>
  <c r="C5" i="144"/>
  <c r="B5" i="144"/>
  <c r="A5" i="144"/>
  <c r="E4" i="144"/>
  <c r="C4" i="144"/>
  <c r="B4" i="144"/>
  <c r="A4" i="144"/>
  <c r="E3" i="144"/>
  <c r="C3" i="144"/>
  <c r="B3" i="144"/>
  <c r="A3" i="144"/>
  <c r="E2" i="144"/>
  <c r="C2" i="144"/>
  <c r="B2" i="144"/>
  <c r="A2" i="144"/>
  <c r="O93" i="98"/>
  <c r="N93" i="98"/>
  <c r="M93" i="98"/>
  <c r="L93" i="98"/>
  <c r="K93" i="98"/>
  <c r="J93" i="98"/>
  <c r="O92" i="98"/>
  <c r="N92" i="98"/>
  <c r="M92" i="98"/>
  <c r="L92" i="98"/>
  <c r="K92" i="98"/>
  <c r="J92" i="98"/>
  <c r="V18" i="98"/>
  <c r="W53" i="98" s="1"/>
  <c r="S18" i="98"/>
  <c r="T53" i="98" s="1"/>
  <c r="R1" i="98"/>
  <c r="E6" i="143"/>
  <c r="C6" i="143"/>
  <c r="B6" i="143"/>
  <c r="A6" i="143"/>
  <c r="E5" i="143"/>
  <c r="C5" i="143"/>
  <c r="B5" i="143"/>
  <c r="A5" i="143"/>
  <c r="E4" i="143"/>
  <c r="C4" i="143"/>
  <c r="B4" i="143"/>
  <c r="A4" i="143"/>
  <c r="E3" i="143"/>
  <c r="C3" i="143"/>
  <c r="B3" i="143"/>
  <c r="A3" i="143"/>
  <c r="E2" i="143"/>
  <c r="C2" i="143"/>
  <c r="B2" i="143"/>
  <c r="A2" i="143"/>
  <c r="G93" i="54"/>
  <c r="H93" i="54" s="1"/>
  <c r="I93" i="54" s="1"/>
  <c r="J93" i="54" s="1"/>
  <c r="K93" i="54" s="1"/>
  <c r="L93" i="54" s="1"/>
  <c r="M93" i="54" s="1"/>
  <c r="N93" i="54" s="1"/>
  <c r="O93" i="54" s="1"/>
  <c r="G92" i="54"/>
  <c r="H92" i="54" s="1"/>
  <c r="I92" i="54" s="1"/>
  <c r="J92" i="54" s="1"/>
  <c r="K92" i="54" s="1"/>
  <c r="L92" i="54" s="1"/>
  <c r="M92" i="54" s="1"/>
  <c r="N92" i="54" s="1"/>
  <c r="O92" i="54" s="1"/>
  <c r="G80" i="54"/>
  <c r="G76" i="54"/>
  <c r="K68" i="54"/>
  <c r="J68" i="54" s="1"/>
  <c r="L21" i="54"/>
  <c r="M21" i="54" s="1"/>
  <c r="U17" i="54"/>
  <c r="V52" i="54" s="1"/>
  <c r="R17" i="54"/>
  <c r="S52" i="54" s="1"/>
  <c r="R1" i="54"/>
  <c r="E31" i="142"/>
  <c r="C31" i="142"/>
  <c r="B31" i="142"/>
  <c r="A31" i="142"/>
  <c r="E30" i="142"/>
  <c r="C30" i="142"/>
  <c r="B30" i="142"/>
  <c r="A30" i="142"/>
  <c r="E29" i="142"/>
  <c r="C29" i="142"/>
  <c r="B29" i="142"/>
  <c r="A29" i="142"/>
  <c r="E28" i="142"/>
  <c r="C28" i="142"/>
  <c r="B28" i="142"/>
  <c r="A28" i="142"/>
  <c r="H57" i="142"/>
  <c r="E27" i="142"/>
  <c r="C27" i="142"/>
  <c r="B27" i="142"/>
  <c r="A27" i="142"/>
  <c r="E26" i="142"/>
  <c r="C26" i="142"/>
  <c r="B26" i="142"/>
  <c r="A26" i="142"/>
  <c r="E25" i="142"/>
  <c r="C25" i="142"/>
  <c r="B25" i="142"/>
  <c r="A25" i="142"/>
  <c r="E24" i="142"/>
  <c r="C24" i="142"/>
  <c r="B24" i="142"/>
  <c r="A24" i="142"/>
  <c r="E23" i="142"/>
  <c r="C23" i="142"/>
  <c r="B23" i="142"/>
  <c r="A23" i="142"/>
  <c r="E22" i="142"/>
  <c r="C22" i="142"/>
  <c r="B22" i="142"/>
  <c r="A22" i="142"/>
  <c r="E21" i="142"/>
  <c r="C21" i="142"/>
  <c r="B21" i="142"/>
  <c r="A21" i="142"/>
  <c r="E20" i="142"/>
  <c r="C20" i="142"/>
  <c r="B20" i="142"/>
  <c r="A20" i="142"/>
  <c r="E19" i="142"/>
  <c r="C19" i="142"/>
  <c r="B19" i="142"/>
  <c r="A19" i="142"/>
  <c r="E18" i="142"/>
  <c r="C18" i="142"/>
  <c r="B18" i="142"/>
  <c r="A18" i="142"/>
  <c r="E17" i="142"/>
  <c r="C17" i="142"/>
  <c r="B17" i="142"/>
  <c r="A17" i="142"/>
  <c r="E16" i="142"/>
  <c r="C16" i="142"/>
  <c r="B16" i="142"/>
  <c r="A16" i="142"/>
  <c r="E15" i="142"/>
  <c r="C15" i="142"/>
  <c r="B15" i="142"/>
  <c r="A15" i="142"/>
  <c r="E14" i="142"/>
  <c r="C14" i="142"/>
  <c r="B14" i="142"/>
  <c r="A14" i="142"/>
  <c r="E13" i="142"/>
  <c r="C13" i="142"/>
  <c r="B13" i="142"/>
  <c r="A13" i="142"/>
  <c r="E12" i="142"/>
  <c r="C12" i="142"/>
  <c r="B12" i="142"/>
  <c r="A12" i="142"/>
  <c r="E11" i="142"/>
  <c r="C11" i="142"/>
  <c r="B11" i="142"/>
  <c r="A11" i="142"/>
  <c r="E10" i="142"/>
  <c r="C10" i="142"/>
  <c r="B10" i="142"/>
  <c r="A10" i="142"/>
  <c r="E9" i="142"/>
  <c r="C9" i="142"/>
  <c r="B9" i="142"/>
  <c r="A9" i="142"/>
  <c r="E8" i="142"/>
  <c r="C8" i="142"/>
  <c r="B8" i="142"/>
  <c r="A8" i="142"/>
  <c r="E7" i="142"/>
  <c r="C7" i="142"/>
  <c r="B7" i="142"/>
  <c r="A7" i="142"/>
  <c r="E6" i="142"/>
  <c r="C6" i="142"/>
  <c r="B6" i="142"/>
  <c r="A6" i="142"/>
  <c r="E5" i="142"/>
  <c r="C5" i="142"/>
  <c r="B5" i="142"/>
  <c r="A5" i="142"/>
  <c r="E4" i="142"/>
  <c r="C4" i="142"/>
  <c r="B4" i="142"/>
  <c r="A4" i="142"/>
  <c r="E3" i="142"/>
  <c r="C3" i="142"/>
  <c r="B3" i="142"/>
  <c r="A3" i="142"/>
  <c r="H17" i="142"/>
  <c r="E2" i="142"/>
  <c r="C2" i="142"/>
  <c r="B2" i="142"/>
  <c r="A2" i="142"/>
  <c r="L101" i="55"/>
  <c r="AE22" i="98" s="1"/>
  <c r="AF22" i="98" s="1"/>
  <c r="K101" i="55"/>
  <c r="AB22" i="98" s="1"/>
  <c r="AC22" i="98" s="1"/>
  <c r="J101" i="55"/>
  <c r="H55" i="142" s="1"/>
  <c r="I101" i="55"/>
  <c r="V22" i="98" s="1"/>
  <c r="W22" i="98" s="1"/>
  <c r="H101" i="55"/>
  <c r="S22" i="98" s="1"/>
  <c r="T22" i="98" s="1"/>
  <c r="G101" i="55"/>
  <c r="H46" i="142" s="1"/>
  <c r="F101" i="55"/>
  <c r="H43" i="142" s="1"/>
  <c r="E101" i="55"/>
  <c r="D101" i="55"/>
  <c r="L100" i="55"/>
  <c r="AE23" i="98" s="1"/>
  <c r="AF23" i="98" s="1"/>
  <c r="K100" i="55"/>
  <c r="AB23" i="98" s="1"/>
  <c r="AC23" i="98" s="1"/>
  <c r="J100" i="55"/>
  <c r="H54" i="142" s="1"/>
  <c r="I100" i="55"/>
  <c r="H51" i="142" s="1"/>
  <c r="H100" i="55"/>
  <c r="S23" i="98" s="1"/>
  <c r="T23" i="98" s="1"/>
  <c r="G100" i="55"/>
  <c r="H45" i="142" s="1"/>
  <c r="F100" i="55"/>
  <c r="H42" i="142" s="1"/>
  <c r="E100" i="55"/>
  <c r="H39" i="142" s="1"/>
  <c r="D100" i="55"/>
  <c r="L99" i="55"/>
  <c r="H59" i="142" s="1"/>
  <c r="K99" i="55"/>
  <c r="H56" i="142" s="1"/>
  <c r="J99" i="55"/>
  <c r="M72" i="98" s="1"/>
  <c r="M88" i="98" s="1"/>
  <c r="M90" i="98" s="1"/>
  <c r="I99" i="55"/>
  <c r="H50" i="142" s="1"/>
  <c r="H99" i="55"/>
  <c r="H47" i="142" s="1"/>
  <c r="G99" i="55"/>
  <c r="H44" i="142" s="1"/>
  <c r="F99" i="55"/>
  <c r="E99" i="55"/>
  <c r="D99" i="55"/>
  <c r="H68" i="55"/>
  <c r="G68" i="55" s="1"/>
  <c r="F68" i="55" s="1"/>
  <c r="E68" i="55" s="1"/>
  <c r="D68" i="55" s="1"/>
  <c r="C68" i="55" s="1"/>
  <c r="L64" i="55"/>
  <c r="AD21" i="54" s="1"/>
  <c r="AE21" i="54" s="1"/>
  <c r="K64" i="55"/>
  <c r="J64" i="55"/>
  <c r="X21" i="54" s="1"/>
  <c r="Y21" i="54" s="1"/>
  <c r="I64" i="55"/>
  <c r="U21" i="54" s="1"/>
  <c r="V21" i="54" s="1"/>
  <c r="H64" i="55"/>
  <c r="H19" i="142" s="1"/>
  <c r="G64" i="55"/>
  <c r="F64" i="55"/>
  <c r="H13" i="142" s="1"/>
  <c r="E64" i="55"/>
  <c r="H10" i="142" s="1"/>
  <c r="D64" i="55"/>
  <c r="L63" i="55"/>
  <c r="H30" i="142" s="1"/>
  <c r="K63" i="55"/>
  <c r="AA22" i="54" s="1"/>
  <c r="AB22" i="54" s="1"/>
  <c r="J63" i="55"/>
  <c r="H24" i="142" s="1"/>
  <c r="I63" i="55"/>
  <c r="H21" i="142" s="1"/>
  <c r="H63" i="55"/>
  <c r="R22" i="54" s="1"/>
  <c r="T22" i="54" s="1"/>
  <c r="G63" i="55"/>
  <c r="F63" i="55"/>
  <c r="H12" i="142" s="1"/>
  <c r="E63" i="55"/>
  <c r="H9" i="142" s="1"/>
  <c r="D63" i="55"/>
  <c r="L62" i="55"/>
  <c r="O72" i="54" s="1"/>
  <c r="O77" i="54" s="1"/>
  <c r="K62" i="55"/>
  <c r="N72" i="54" s="1"/>
  <c r="N77" i="54" s="1"/>
  <c r="J62" i="55"/>
  <c r="M72" i="54" s="1"/>
  <c r="M88" i="54" s="1"/>
  <c r="M90" i="54" s="1"/>
  <c r="I62" i="55"/>
  <c r="H62" i="55"/>
  <c r="K72" i="54" s="1"/>
  <c r="K77" i="54" s="1"/>
  <c r="R37" i="54" s="1"/>
  <c r="S37" i="54" s="1"/>
  <c r="S56" i="54" s="1"/>
  <c r="G62" i="55"/>
  <c r="H14" i="142" s="1"/>
  <c r="F62" i="55"/>
  <c r="H11" i="142" s="1"/>
  <c r="E62" i="55"/>
  <c r="D62" i="55"/>
  <c r="H5" i="142" s="1"/>
  <c r="H31" i="55"/>
  <c r="G31" i="55" s="1"/>
  <c r="F31" i="55" s="1"/>
  <c r="E31" i="55" s="1"/>
  <c r="D31" i="55" s="1"/>
  <c r="C31" i="55" s="1"/>
  <c r="L1" i="55"/>
  <c r="C31" i="119"/>
  <c r="D28" i="119" s="1"/>
  <c r="D31" i="119" s="1"/>
  <c r="E28" i="119" s="1"/>
  <c r="E31" i="119" s="1"/>
  <c r="F28" i="119" s="1"/>
  <c r="F31" i="119" s="1"/>
  <c r="G28" i="119" s="1"/>
  <c r="G31" i="119" s="1"/>
  <c r="C25" i="119"/>
  <c r="D22" i="119"/>
  <c r="D25" i="119" s="1"/>
  <c r="K1" i="119"/>
  <c r="C31" i="75"/>
  <c r="D28" i="75"/>
  <c r="D31" i="75" s="1"/>
  <c r="E28" i="75" s="1"/>
  <c r="E31" i="75" s="1"/>
  <c r="F28" i="75" s="1"/>
  <c r="F31" i="75" s="1"/>
  <c r="G28" i="75" s="1"/>
  <c r="G31" i="75" s="1"/>
  <c r="H28" i="75" s="1"/>
  <c r="H31" i="75" s="1"/>
  <c r="C25" i="75"/>
  <c r="D22" i="75" s="1"/>
  <c r="D25" i="75" s="1"/>
  <c r="L1" i="75"/>
  <c r="B31" i="118"/>
  <c r="C28" i="118" s="1"/>
  <c r="C31" i="118" s="1"/>
  <c r="D28" i="118" s="1"/>
  <c r="D31" i="118" s="1"/>
  <c r="E28" i="118" s="1"/>
  <c r="E31" i="118" s="1"/>
  <c r="B25" i="118"/>
  <c r="C22" i="118" s="1"/>
  <c r="C25" i="118" s="1"/>
  <c r="D22" i="118"/>
  <c r="D25" i="118" s="1"/>
  <c r="F17" i="118"/>
  <c r="E17" i="118"/>
  <c r="D17" i="118"/>
  <c r="C17" i="118"/>
  <c r="I1" i="118"/>
  <c r="F47" i="71"/>
  <c r="E47" i="71"/>
  <c r="D47" i="71"/>
  <c r="C47" i="71"/>
  <c r="B47" i="71"/>
  <c r="F32" i="71"/>
  <c r="D32" i="71" s="1"/>
  <c r="F27" i="71"/>
  <c r="E27" i="71"/>
  <c r="D27" i="71"/>
  <c r="C27" i="71"/>
  <c r="B27" i="71"/>
  <c r="F15" i="71"/>
  <c r="B15" i="71" s="1"/>
  <c r="G1" i="71"/>
  <c r="R61" i="138"/>
  <c r="I61" i="138"/>
  <c r="G61" i="138"/>
  <c r="F61" i="138"/>
  <c r="D61" i="138"/>
  <c r="C61" i="138"/>
  <c r="P60" i="138"/>
  <c r="Q60" i="138" s="1"/>
  <c r="S60" i="138" s="1"/>
  <c r="O60" i="138"/>
  <c r="N60" i="138"/>
  <c r="M60" i="138"/>
  <c r="K60" i="138"/>
  <c r="H60" i="138"/>
  <c r="E60" i="138"/>
  <c r="P59" i="138"/>
  <c r="O59" i="138"/>
  <c r="N59" i="138"/>
  <c r="M59" i="138"/>
  <c r="K59" i="138"/>
  <c r="H59" i="138"/>
  <c r="E59" i="138"/>
  <c r="P58" i="138"/>
  <c r="O58" i="138"/>
  <c r="N58" i="138"/>
  <c r="M58" i="138"/>
  <c r="K58" i="138"/>
  <c r="H58" i="138"/>
  <c r="E58" i="138"/>
  <c r="P57" i="138"/>
  <c r="O57" i="138"/>
  <c r="N57" i="138"/>
  <c r="M57" i="138"/>
  <c r="K57" i="138"/>
  <c r="H57" i="138"/>
  <c r="E57" i="138"/>
  <c r="P56" i="138"/>
  <c r="O56" i="138"/>
  <c r="N56" i="138"/>
  <c r="M56" i="138"/>
  <c r="K56" i="138"/>
  <c r="H56" i="138"/>
  <c r="E56" i="138"/>
  <c r="P55" i="138"/>
  <c r="O55" i="138"/>
  <c r="N55" i="138"/>
  <c r="M55" i="138"/>
  <c r="K55" i="138"/>
  <c r="H55" i="138"/>
  <c r="E55" i="138"/>
  <c r="P54" i="138"/>
  <c r="O54" i="138"/>
  <c r="N54" i="138"/>
  <c r="Q54" i="138" s="1"/>
  <c r="S54" i="138" s="1"/>
  <c r="M54" i="138"/>
  <c r="K54" i="138"/>
  <c r="H54" i="138"/>
  <c r="E54" i="138"/>
  <c r="P53" i="138"/>
  <c r="O53" i="138"/>
  <c r="N53" i="138"/>
  <c r="M53" i="138"/>
  <c r="K53" i="138"/>
  <c r="H53" i="138"/>
  <c r="E53" i="138"/>
  <c r="P52" i="138"/>
  <c r="O52" i="138"/>
  <c r="N52" i="138"/>
  <c r="M52" i="138"/>
  <c r="K52" i="138"/>
  <c r="H52" i="138"/>
  <c r="E52" i="138"/>
  <c r="P51" i="138"/>
  <c r="O51" i="138"/>
  <c r="Q51" i="138" s="1"/>
  <c r="S51" i="138" s="1"/>
  <c r="N51" i="138"/>
  <c r="M51" i="138"/>
  <c r="K51" i="138"/>
  <c r="H51" i="138"/>
  <c r="E51" i="138"/>
  <c r="P50" i="138"/>
  <c r="O50" i="138"/>
  <c r="N50" i="138"/>
  <c r="M50" i="138"/>
  <c r="K50" i="138"/>
  <c r="H50" i="138"/>
  <c r="E50" i="138"/>
  <c r="P49" i="138"/>
  <c r="O49" i="138"/>
  <c r="N49" i="138"/>
  <c r="M49" i="138"/>
  <c r="K49" i="138"/>
  <c r="H49" i="138"/>
  <c r="E49" i="138"/>
  <c r="P48" i="138"/>
  <c r="O48" i="138"/>
  <c r="N48" i="138"/>
  <c r="M48" i="138"/>
  <c r="K48" i="138"/>
  <c r="H48" i="138"/>
  <c r="E48" i="138"/>
  <c r="P47" i="138"/>
  <c r="Q47" i="138" s="1"/>
  <c r="S47" i="138" s="1"/>
  <c r="O47" i="138"/>
  <c r="N47" i="138"/>
  <c r="M47" i="138"/>
  <c r="K47" i="138"/>
  <c r="H47" i="138"/>
  <c r="E47" i="138"/>
  <c r="P46" i="138"/>
  <c r="O46" i="138"/>
  <c r="N46" i="138"/>
  <c r="M46" i="138"/>
  <c r="K46" i="138"/>
  <c r="H46" i="138"/>
  <c r="E46" i="138"/>
  <c r="P45" i="138"/>
  <c r="O45" i="138"/>
  <c r="N45" i="138"/>
  <c r="M45" i="138"/>
  <c r="K45" i="138"/>
  <c r="H45" i="138"/>
  <c r="E45" i="138"/>
  <c r="P44" i="138"/>
  <c r="O44" i="138"/>
  <c r="N44" i="138"/>
  <c r="M44" i="138"/>
  <c r="K44" i="138"/>
  <c r="H44" i="138"/>
  <c r="E44" i="138"/>
  <c r="P43" i="138"/>
  <c r="O43" i="138"/>
  <c r="N43" i="138"/>
  <c r="M43" i="138"/>
  <c r="K43" i="138"/>
  <c r="H43" i="138"/>
  <c r="E43" i="138"/>
  <c r="P42" i="138"/>
  <c r="O42" i="138"/>
  <c r="N42" i="138"/>
  <c r="M42" i="138"/>
  <c r="K42" i="138"/>
  <c r="H42" i="138"/>
  <c r="E42" i="138"/>
  <c r="P41" i="138"/>
  <c r="O41" i="138"/>
  <c r="N41" i="138"/>
  <c r="M41" i="138"/>
  <c r="K41" i="138"/>
  <c r="H41" i="138"/>
  <c r="E41" i="138"/>
  <c r="P40" i="138"/>
  <c r="O40" i="138"/>
  <c r="N40" i="138"/>
  <c r="M40" i="138"/>
  <c r="K40" i="138"/>
  <c r="H40" i="138"/>
  <c r="E40" i="138"/>
  <c r="P39" i="138"/>
  <c r="O39" i="138"/>
  <c r="N39" i="138"/>
  <c r="M39" i="138"/>
  <c r="K39" i="138"/>
  <c r="H39" i="138"/>
  <c r="E39" i="138"/>
  <c r="P38" i="138"/>
  <c r="O38" i="138"/>
  <c r="N38" i="138"/>
  <c r="M38" i="138"/>
  <c r="K38" i="138"/>
  <c r="H38" i="138"/>
  <c r="E38" i="138"/>
  <c r="P37" i="138"/>
  <c r="O37" i="138"/>
  <c r="N37" i="138"/>
  <c r="M37" i="138"/>
  <c r="K37" i="138"/>
  <c r="H37" i="138"/>
  <c r="E37" i="138"/>
  <c r="P36" i="138"/>
  <c r="O36" i="138"/>
  <c r="N36" i="138"/>
  <c r="Q36" i="138" s="1"/>
  <c r="S36" i="138" s="1"/>
  <c r="M36" i="138"/>
  <c r="K36" i="138"/>
  <c r="H36" i="138"/>
  <c r="E36" i="138"/>
  <c r="P35" i="138"/>
  <c r="O35" i="138"/>
  <c r="N35" i="138"/>
  <c r="M35" i="138"/>
  <c r="K35" i="138"/>
  <c r="H35" i="138"/>
  <c r="E35" i="138"/>
  <c r="P34" i="138"/>
  <c r="O34" i="138"/>
  <c r="N34" i="138"/>
  <c r="M34" i="138"/>
  <c r="K34" i="138"/>
  <c r="H34" i="138"/>
  <c r="E34" i="138"/>
  <c r="P33" i="138"/>
  <c r="O33" i="138"/>
  <c r="N33" i="138"/>
  <c r="M33" i="138"/>
  <c r="K33" i="138"/>
  <c r="H33" i="138"/>
  <c r="E33" i="138"/>
  <c r="P32" i="138"/>
  <c r="O32" i="138"/>
  <c r="N32" i="138"/>
  <c r="Q32" i="138" s="1"/>
  <c r="S32" i="138" s="1"/>
  <c r="M32" i="138"/>
  <c r="K32" i="138"/>
  <c r="H32" i="138"/>
  <c r="E32" i="138"/>
  <c r="P31" i="138"/>
  <c r="O31" i="138"/>
  <c r="N31" i="138"/>
  <c r="Q31" i="138" s="1"/>
  <c r="S31" i="138" s="1"/>
  <c r="M31" i="138"/>
  <c r="K31" i="138"/>
  <c r="H31" i="138"/>
  <c r="E31" i="138"/>
  <c r="P30" i="138"/>
  <c r="O30" i="138"/>
  <c r="N30" i="138"/>
  <c r="M30" i="138"/>
  <c r="K30" i="138"/>
  <c r="H30" i="138"/>
  <c r="E30" i="138"/>
  <c r="P29" i="138"/>
  <c r="O29" i="138"/>
  <c r="Q29" i="138" s="1"/>
  <c r="S29" i="138" s="1"/>
  <c r="N29" i="138"/>
  <c r="M29" i="138"/>
  <c r="K29" i="138"/>
  <c r="H29" i="138"/>
  <c r="E29" i="138"/>
  <c r="P28" i="138"/>
  <c r="O28" i="138"/>
  <c r="N28" i="138"/>
  <c r="M28" i="138"/>
  <c r="K28" i="138"/>
  <c r="H28" i="138"/>
  <c r="E28" i="138"/>
  <c r="P27" i="138"/>
  <c r="O27" i="138"/>
  <c r="N27" i="138"/>
  <c r="Q27" i="138" s="1"/>
  <c r="S27" i="138" s="1"/>
  <c r="M27" i="138"/>
  <c r="K27" i="138"/>
  <c r="H27" i="138"/>
  <c r="E27" i="138"/>
  <c r="P26" i="138"/>
  <c r="O26" i="138"/>
  <c r="N26" i="138"/>
  <c r="M26" i="138"/>
  <c r="K26" i="138"/>
  <c r="H26" i="138"/>
  <c r="E26" i="138"/>
  <c r="P25" i="138"/>
  <c r="O25" i="138"/>
  <c r="N25" i="138"/>
  <c r="M25" i="138"/>
  <c r="K25" i="138"/>
  <c r="H25" i="138"/>
  <c r="E25" i="138"/>
  <c r="P24" i="138"/>
  <c r="O24" i="138"/>
  <c r="N24" i="138"/>
  <c r="M24" i="138"/>
  <c r="K24" i="138"/>
  <c r="H24" i="138"/>
  <c r="E24" i="138"/>
  <c r="P23" i="138"/>
  <c r="O23" i="138"/>
  <c r="N23" i="138"/>
  <c r="M23" i="138"/>
  <c r="K23" i="138"/>
  <c r="H23" i="138"/>
  <c r="E23" i="138"/>
  <c r="G90" i="100"/>
  <c r="M1" i="100"/>
  <c r="C1" i="110"/>
  <c r="E113" i="140"/>
  <c r="C113" i="140"/>
  <c r="B113" i="140"/>
  <c r="A113" i="140"/>
  <c r="E112" i="140"/>
  <c r="C112" i="140"/>
  <c r="B112" i="140"/>
  <c r="A112" i="140"/>
  <c r="E111" i="140"/>
  <c r="C111" i="140"/>
  <c r="B111" i="140"/>
  <c r="A111" i="140"/>
  <c r="E110" i="140"/>
  <c r="C110" i="140"/>
  <c r="B110" i="140"/>
  <c r="A110" i="140"/>
  <c r="E109" i="140"/>
  <c r="C109" i="140"/>
  <c r="B109" i="140"/>
  <c r="A109" i="140"/>
  <c r="E108" i="140"/>
  <c r="C108" i="140"/>
  <c r="B108" i="140"/>
  <c r="A108" i="140"/>
  <c r="E107" i="140"/>
  <c r="C107" i="140"/>
  <c r="B107" i="140"/>
  <c r="A107" i="140"/>
  <c r="E106" i="140"/>
  <c r="C106" i="140"/>
  <c r="B106" i="140"/>
  <c r="A106" i="140"/>
  <c r="E105" i="140"/>
  <c r="C105" i="140"/>
  <c r="B105" i="140"/>
  <c r="A105" i="140"/>
  <c r="E104" i="140"/>
  <c r="C104" i="140"/>
  <c r="B104" i="140"/>
  <c r="A104" i="140"/>
  <c r="E103" i="140"/>
  <c r="C103" i="140"/>
  <c r="B103" i="140"/>
  <c r="A103" i="140"/>
  <c r="E102" i="140"/>
  <c r="C102" i="140"/>
  <c r="B102" i="140"/>
  <c r="A102" i="140"/>
  <c r="E101" i="140"/>
  <c r="C101" i="140"/>
  <c r="B101" i="140"/>
  <c r="A101" i="140"/>
  <c r="E100" i="140"/>
  <c r="C100" i="140"/>
  <c r="B100" i="140"/>
  <c r="A100" i="140"/>
  <c r="E99" i="140"/>
  <c r="C99" i="140"/>
  <c r="B99" i="140"/>
  <c r="A99" i="140"/>
  <c r="E98" i="140"/>
  <c r="C98" i="140"/>
  <c r="B98" i="140"/>
  <c r="A98" i="140"/>
  <c r="E97" i="140"/>
  <c r="C97" i="140"/>
  <c r="B97" i="140"/>
  <c r="A97" i="140"/>
  <c r="E96" i="140"/>
  <c r="C96" i="140"/>
  <c r="B96" i="140"/>
  <c r="A96" i="140"/>
  <c r="E95" i="140"/>
  <c r="C95" i="140"/>
  <c r="B95" i="140"/>
  <c r="A95" i="140"/>
  <c r="E94" i="140"/>
  <c r="C94" i="140"/>
  <c r="B94" i="140"/>
  <c r="A94" i="140"/>
  <c r="E93" i="140"/>
  <c r="C93" i="140"/>
  <c r="B93" i="140"/>
  <c r="A93" i="140"/>
  <c r="E92" i="140"/>
  <c r="C92" i="140"/>
  <c r="B92" i="140"/>
  <c r="A92" i="140"/>
  <c r="E91" i="140"/>
  <c r="C91" i="140"/>
  <c r="B91" i="140"/>
  <c r="A91" i="140"/>
  <c r="E90" i="140"/>
  <c r="C90" i="140"/>
  <c r="B90" i="140"/>
  <c r="A90" i="140"/>
  <c r="E89" i="140"/>
  <c r="C89" i="140"/>
  <c r="B89" i="140"/>
  <c r="A89" i="140"/>
  <c r="E88" i="140"/>
  <c r="C88" i="140"/>
  <c r="B88" i="140"/>
  <c r="A88" i="140"/>
  <c r="E87" i="140"/>
  <c r="C87" i="140"/>
  <c r="B87" i="140"/>
  <c r="A87" i="140"/>
  <c r="E86" i="140"/>
  <c r="C86" i="140"/>
  <c r="B86" i="140"/>
  <c r="A86" i="140"/>
  <c r="E85" i="140"/>
  <c r="C85" i="140"/>
  <c r="B85" i="140"/>
  <c r="A85" i="140"/>
  <c r="E84" i="140"/>
  <c r="C84" i="140"/>
  <c r="B84" i="140"/>
  <c r="A84" i="140"/>
  <c r="E83" i="140"/>
  <c r="C83" i="140"/>
  <c r="B83" i="140"/>
  <c r="A83" i="140"/>
  <c r="E82" i="140"/>
  <c r="C82" i="140"/>
  <c r="B82" i="140"/>
  <c r="A82" i="140"/>
  <c r="E81" i="140"/>
  <c r="C81" i="140"/>
  <c r="B81" i="140"/>
  <c r="A81" i="140"/>
  <c r="E80" i="140"/>
  <c r="C80" i="140"/>
  <c r="B80" i="140"/>
  <c r="A80" i="140"/>
  <c r="E79" i="140"/>
  <c r="C79" i="140"/>
  <c r="B79" i="140"/>
  <c r="A79" i="140"/>
  <c r="E78" i="140"/>
  <c r="C78" i="140"/>
  <c r="B78" i="140"/>
  <c r="A78" i="140"/>
  <c r="E77" i="140"/>
  <c r="C77" i="140"/>
  <c r="B77" i="140"/>
  <c r="A77" i="140"/>
  <c r="E76" i="140"/>
  <c r="C76" i="140"/>
  <c r="B76" i="140"/>
  <c r="A76" i="140"/>
  <c r="E75" i="140"/>
  <c r="C75" i="140"/>
  <c r="B75" i="140"/>
  <c r="A75" i="140"/>
  <c r="E74" i="140"/>
  <c r="C74" i="140"/>
  <c r="B74" i="140"/>
  <c r="A74" i="140"/>
  <c r="H73" i="140"/>
  <c r="E73" i="140"/>
  <c r="C73" i="140"/>
  <c r="B73" i="140"/>
  <c r="A73" i="140"/>
  <c r="E72" i="140"/>
  <c r="C72" i="140"/>
  <c r="B72" i="140"/>
  <c r="A72" i="140"/>
  <c r="H71" i="140"/>
  <c r="E71" i="140"/>
  <c r="C71" i="140"/>
  <c r="B71" i="140"/>
  <c r="A71" i="140"/>
  <c r="E70" i="140"/>
  <c r="C70" i="140"/>
  <c r="B70" i="140"/>
  <c r="A70" i="140"/>
  <c r="H69" i="140"/>
  <c r="E69" i="140"/>
  <c r="C69" i="140"/>
  <c r="B69" i="140"/>
  <c r="A69" i="140"/>
  <c r="H68" i="140"/>
  <c r="E68" i="140"/>
  <c r="C68" i="140"/>
  <c r="B68" i="140"/>
  <c r="A68" i="140"/>
  <c r="H67" i="140"/>
  <c r="E67" i="140"/>
  <c r="C67" i="140"/>
  <c r="B67" i="140"/>
  <c r="A67" i="140"/>
  <c r="H66" i="140"/>
  <c r="E66" i="140"/>
  <c r="C66" i="140"/>
  <c r="B66" i="140"/>
  <c r="A66" i="140"/>
  <c r="I65" i="140"/>
  <c r="H65" i="140"/>
  <c r="E65" i="140"/>
  <c r="C65" i="140"/>
  <c r="B65" i="140"/>
  <c r="A65" i="140"/>
  <c r="E64" i="140"/>
  <c r="C64" i="140"/>
  <c r="B64" i="140"/>
  <c r="A64" i="140"/>
  <c r="H63" i="140"/>
  <c r="E63" i="140"/>
  <c r="C63" i="140"/>
  <c r="B63" i="140"/>
  <c r="A63" i="140"/>
  <c r="E62" i="140"/>
  <c r="C62" i="140"/>
  <c r="B62" i="140"/>
  <c r="A62" i="140"/>
  <c r="E61" i="140"/>
  <c r="C61" i="140"/>
  <c r="B61" i="140"/>
  <c r="A61" i="140"/>
  <c r="E60" i="140"/>
  <c r="C60" i="140"/>
  <c r="B60" i="140"/>
  <c r="A60" i="140"/>
  <c r="E59" i="140"/>
  <c r="C59" i="140"/>
  <c r="B59" i="140"/>
  <c r="A59" i="140"/>
  <c r="E58" i="140"/>
  <c r="C58" i="140"/>
  <c r="B58" i="140"/>
  <c r="A58" i="140"/>
  <c r="I57" i="140"/>
  <c r="H57" i="140"/>
  <c r="E57" i="140"/>
  <c r="C57" i="140"/>
  <c r="B57" i="140"/>
  <c r="A57" i="140"/>
  <c r="E56" i="140"/>
  <c r="C56" i="140"/>
  <c r="B56" i="140"/>
  <c r="A56" i="140"/>
  <c r="H55" i="140"/>
  <c r="E55" i="140"/>
  <c r="C55" i="140"/>
  <c r="B55" i="140"/>
  <c r="A55" i="140"/>
  <c r="E54" i="140"/>
  <c r="C54" i="140"/>
  <c r="B54" i="140"/>
  <c r="A54" i="140"/>
  <c r="E53" i="140"/>
  <c r="C53" i="140"/>
  <c r="B53" i="140"/>
  <c r="A53" i="140"/>
  <c r="E52" i="140"/>
  <c r="C52" i="140"/>
  <c r="B52" i="140"/>
  <c r="A52" i="140"/>
  <c r="E51" i="140"/>
  <c r="C51" i="140"/>
  <c r="B51" i="140"/>
  <c r="A51" i="140"/>
  <c r="E50" i="140"/>
  <c r="C50" i="140"/>
  <c r="B50" i="140"/>
  <c r="A50" i="140"/>
  <c r="I49" i="140"/>
  <c r="H49" i="140"/>
  <c r="E49" i="140"/>
  <c r="C49" i="140"/>
  <c r="B49" i="140"/>
  <c r="A49" i="140"/>
  <c r="E48" i="140"/>
  <c r="C48" i="140"/>
  <c r="B48" i="140"/>
  <c r="A48" i="140"/>
  <c r="H47" i="140"/>
  <c r="E47" i="140"/>
  <c r="C47" i="140"/>
  <c r="B47" i="140"/>
  <c r="A47" i="140"/>
  <c r="E46" i="140"/>
  <c r="C46" i="140"/>
  <c r="B46" i="140"/>
  <c r="A46" i="140"/>
  <c r="E45" i="140"/>
  <c r="C45" i="140"/>
  <c r="B45" i="140"/>
  <c r="A45" i="140"/>
  <c r="E44" i="140"/>
  <c r="C44" i="140"/>
  <c r="B44" i="140"/>
  <c r="A44" i="140"/>
  <c r="E43" i="140"/>
  <c r="C43" i="140"/>
  <c r="B43" i="140"/>
  <c r="A43" i="140"/>
  <c r="E42" i="140"/>
  <c r="C42" i="140"/>
  <c r="B42" i="140"/>
  <c r="A42" i="140"/>
  <c r="I41" i="140"/>
  <c r="H41" i="140"/>
  <c r="E41" i="140"/>
  <c r="C41" i="140"/>
  <c r="B41" i="140"/>
  <c r="A41" i="140"/>
  <c r="E40" i="140"/>
  <c r="C40" i="140"/>
  <c r="B40" i="140"/>
  <c r="A40" i="140"/>
  <c r="H39" i="140"/>
  <c r="E39" i="140"/>
  <c r="C39" i="140"/>
  <c r="B39" i="140"/>
  <c r="A39" i="140"/>
  <c r="E38" i="140"/>
  <c r="C38" i="140"/>
  <c r="B38" i="140"/>
  <c r="A38" i="140"/>
  <c r="E37" i="140"/>
  <c r="C37" i="140"/>
  <c r="B37" i="140"/>
  <c r="A37" i="140"/>
  <c r="E36" i="140"/>
  <c r="C36" i="140"/>
  <c r="B36" i="140"/>
  <c r="A36" i="140"/>
  <c r="E35" i="140"/>
  <c r="C35" i="140"/>
  <c r="B35" i="140"/>
  <c r="A35" i="140"/>
  <c r="E34" i="140"/>
  <c r="C34" i="140"/>
  <c r="B34" i="140"/>
  <c r="A34" i="140"/>
  <c r="I33" i="140"/>
  <c r="H33" i="140"/>
  <c r="E33" i="140"/>
  <c r="C33" i="140"/>
  <c r="B33" i="140"/>
  <c r="A33" i="140"/>
  <c r="I32" i="140"/>
  <c r="H32" i="140"/>
  <c r="E32" i="140"/>
  <c r="C32" i="140"/>
  <c r="B32" i="140"/>
  <c r="A32" i="140"/>
  <c r="I31" i="140"/>
  <c r="H31" i="140"/>
  <c r="E31" i="140"/>
  <c r="C31" i="140"/>
  <c r="B31" i="140"/>
  <c r="A31" i="140"/>
  <c r="E30" i="140"/>
  <c r="C30" i="140"/>
  <c r="B30" i="140"/>
  <c r="A30" i="140"/>
  <c r="I29" i="140"/>
  <c r="H29" i="140"/>
  <c r="E29" i="140"/>
  <c r="C29" i="140"/>
  <c r="B29" i="140"/>
  <c r="A29" i="140"/>
  <c r="I28" i="140"/>
  <c r="H28" i="140"/>
  <c r="E28" i="140"/>
  <c r="C28" i="140"/>
  <c r="B28" i="140"/>
  <c r="A28" i="140"/>
  <c r="I27" i="140"/>
  <c r="H27" i="140"/>
  <c r="E27" i="140"/>
  <c r="C27" i="140"/>
  <c r="B27" i="140"/>
  <c r="A27" i="140"/>
  <c r="I26" i="140"/>
  <c r="H26" i="140"/>
  <c r="E26" i="140"/>
  <c r="C26" i="140"/>
  <c r="B26" i="140"/>
  <c r="A26" i="140"/>
  <c r="I25" i="140"/>
  <c r="H25" i="140"/>
  <c r="E25" i="140"/>
  <c r="C25" i="140"/>
  <c r="B25" i="140"/>
  <c r="A25" i="140"/>
  <c r="I24" i="140"/>
  <c r="H24" i="140"/>
  <c r="E24" i="140"/>
  <c r="C24" i="140"/>
  <c r="B24" i="140"/>
  <c r="A24" i="140"/>
  <c r="I23" i="140"/>
  <c r="H23" i="140"/>
  <c r="E23" i="140"/>
  <c r="C23" i="140"/>
  <c r="B23" i="140"/>
  <c r="A23" i="140"/>
  <c r="E22" i="140"/>
  <c r="C22" i="140"/>
  <c r="B22" i="140"/>
  <c r="A22" i="140"/>
  <c r="I21" i="140"/>
  <c r="H21" i="140"/>
  <c r="E21" i="140"/>
  <c r="C21" i="140"/>
  <c r="B21" i="140"/>
  <c r="A21" i="140"/>
  <c r="I20" i="140"/>
  <c r="H20" i="140"/>
  <c r="E20" i="140"/>
  <c r="C20" i="140"/>
  <c r="B20" i="140"/>
  <c r="A20" i="140"/>
  <c r="I19" i="140"/>
  <c r="H19" i="140"/>
  <c r="E19" i="140"/>
  <c r="C19" i="140"/>
  <c r="B19" i="140"/>
  <c r="A19" i="140"/>
  <c r="I18" i="140"/>
  <c r="H18" i="140"/>
  <c r="E18" i="140"/>
  <c r="C18" i="140"/>
  <c r="B18" i="140"/>
  <c r="A18" i="140"/>
  <c r="I17" i="140"/>
  <c r="H17" i="140"/>
  <c r="E17" i="140"/>
  <c r="C17" i="140"/>
  <c r="B17" i="140"/>
  <c r="A17" i="140"/>
  <c r="I16" i="140"/>
  <c r="H16" i="140"/>
  <c r="E16" i="140"/>
  <c r="C16" i="140"/>
  <c r="B16" i="140"/>
  <c r="A16" i="140"/>
  <c r="I15" i="140"/>
  <c r="H15" i="140"/>
  <c r="E15" i="140"/>
  <c r="C15" i="140"/>
  <c r="B15" i="140"/>
  <c r="A15" i="140"/>
  <c r="E14" i="140"/>
  <c r="C14" i="140"/>
  <c r="B14" i="140"/>
  <c r="A14" i="140"/>
  <c r="I13" i="140"/>
  <c r="H13" i="140"/>
  <c r="E13" i="140"/>
  <c r="C13" i="140"/>
  <c r="B13" i="140"/>
  <c r="A13" i="140"/>
  <c r="I12" i="140"/>
  <c r="H12" i="140"/>
  <c r="E12" i="140"/>
  <c r="C12" i="140"/>
  <c r="B12" i="140"/>
  <c r="A12" i="140"/>
  <c r="I11" i="140"/>
  <c r="H11" i="140"/>
  <c r="E11" i="140"/>
  <c r="C11" i="140"/>
  <c r="B11" i="140"/>
  <c r="A11" i="140"/>
  <c r="I10" i="140"/>
  <c r="H10" i="140"/>
  <c r="E10" i="140"/>
  <c r="C10" i="140"/>
  <c r="B10" i="140"/>
  <c r="A10" i="140"/>
  <c r="I9" i="140"/>
  <c r="H9" i="140"/>
  <c r="E9" i="140"/>
  <c r="C9" i="140"/>
  <c r="B9" i="140"/>
  <c r="A9" i="140"/>
  <c r="I8" i="140"/>
  <c r="H8" i="140"/>
  <c r="E8" i="140"/>
  <c r="C8" i="140"/>
  <c r="B8" i="140"/>
  <c r="A8" i="140"/>
  <c r="I7" i="140"/>
  <c r="H7" i="140"/>
  <c r="E7" i="140"/>
  <c r="C7" i="140"/>
  <c r="B7" i="140"/>
  <c r="A7" i="140"/>
  <c r="E6" i="140"/>
  <c r="C6" i="140"/>
  <c r="B6" i="140"/>
  <c r="A6" i="140"/>
  <c r="I5" i="140"/>
  <c r="H5" i="140"/>
  <c r="E5" i="140"/>
  <c r="C5" i="140"/>
  <c r="B5" i="140"/>
  <c r="A5" i="140"/>
  <c r="I4" i="140"/>
  <c r="H4" i="140"/>
  <c r="E4" i="140"/>
  <c r="C4" i="140"/>
  <c r="B4" i="140"/>
  <c r="A4" i="140"/>
  <c r="I3" i="140"/>
  <c r="H3" i="140"/>
  <c r="E3" i="140"/>
  <c r="C3" i="140"/>
  <c r="B3" i="140"/>
  <c r="A3" i="140"/>
  <c r="I2" i="140"/>
  <c r="H2" i="140"/>
  <c r="E2" i="140"/>
  <c r="C2" i="140"/>
  <c r="B2" i="140"/>
  <c r="A2" i="140"/>
  <c r="Y24" i="102"/>
  <c r="V24" i="102"/>
  <c r="S24" i="102"/>
  <c r="P24" i="102"/>
  <c r="M24" i="102"/>
  <c r="J24" i="102"/>
  <c r="G24" i="102"/>
  <c r="D24" i="102"/>
  <c r="M23" i="102"/>
  <c r="J23" i="102"/>
  <c r="G23" i="102"/>
  <c r="D23" i="102"/>
  <c r="M22" i="102"/>
  <c r="J22" i="102"/>
  <c r="G22" i="102"/>
  <c r="D22" i="102"/>
  <c r="Z21" i="102"/>
  <c r="L21" i="102"/>
  <c r="I30" i="140" s="1"/>
  <c r="K21" i="102"/>
  <c r="H30" i="140" s="1"/>
  <c r="I21" i="102"/>
  <c r="I22" i="140" s="1"/>
  <c r="H21" i="102"/>
  <c r="H22" i="140" s="1"/>
  <c r="F21" i="102"/>
  <c r="I14" i="140" s="1"/>
  <c r="E21" i="102"/>
  <c r="H14" i="140" s="1"/>
  <c r="C21" i="102"/>
  <c r="B21" i="102"/>
  <c r="H6" i="140" s="1"/>
  <c r="M20" i="102"/>
  <c r="J20" i="102"/>
  <c r="G20" i="102"/>
  <c r="D20" i="102"/>
  <c r="M19" i="102"/>
  <c r="J19" i="102"/>
  <c r="G19" i="102"/>
  <c r="D19" i="102"/>
  <c r="M18" i="102"/>
  <c r="J18" i="102"/>
  <c r="G18" i="102"/>
  <c r="D18" i="102"/>
  <c r="M17" i="102"/>
  <c r="J17" i="102"/>
  <c r="G17" i="102"/>
  <c r="D17" i="102"/>
  <c r="A12" i="102"/>
  <c r="AC14" i="102" s="1"/>
  <c r="Z14" i="102" s="1"/>
  <c r="W14" i="102" s="1"/>
  <c r="T14" i="102" s="1"/>
  <c r="Q14" i="102" s="1"/>
  <c r="N14" i="102" s="1"/>
  <c r="K14" i="102" s="1"/>
  <c r="H14" i="102" s="1"/>
  <c r="E14" i="102" s="1"/>
  <c r="B14" i="102" s="1"/>
  <c r="AG1" i="102"/>
  <c r="G13" i="11"/>
  <c r="H1" i="11"/>
  <c r="B18" i="135"/>
  <c r="H1" i="135"/>
  <c r="O74" i="32"/>
  <c r="N74" i="32"/>
  <c r="O73" i="32"/>
  <c r="N73" i="32"/>
  <c r="O72" i="32"/>
  <c r="N72" i="32"/>
  <c r="O71" i="32"/>
  <c r="N71" i="32"/>
  <c r="O70" i="32"/>
  <c r="N70" i="32"/>
  <c r="O69" i="32"/>
  <c r="N69" i="32"/>
  <c r="O68" i="32"/>
  <c r="N68" i="32"/>
  <c r="O67" i="32"/>
  <c r="N67" i="32"/>
  <c r="O66" i="32"/>
  <c r="N66" i="32"/>
  <c r="O65" i="32"/>
  <c r="N65" i="32"/>
  <c r="O64" i="32"/>
  <c r="N64" i="32"/>
  <c r="O63" i="32"/>
  <c r="N63" i="32"/>
  <c r="O62" i="32"/>
  <c r="N62" i="32"/>
  <c r="O61" i="32"/>
  <c r="N61" i="32"/>
  <c r="O60" i="32"/>
  <c r="N60" i="32"/>
  <c r="O59" i="32"/>
  <c r="N59" i="32"/>
  <c r="O58" i="32"/>
  <c r="N58" i="32"/>
  <c r="O57" i="32"/>
  <c r="N57" i="32"/>
  <c r="O56" i="32"/>
  <c r="N56" i="32"/>
  <c r="O55" i="32"/>
  <c r="N55" i="32"/>
  <c r="A46" i="32"/>
  <c r="E26" i="32"/>
  <c r="Q28" i="138" l="1"/>
  <c r="S28" i="138" s="1"/>
  <c r="Q45" i="138"/>
  <c r="S45" i="138" s="1"/>
  <c r="Q59" i="138"/>
  <c r="S59" i="138" s="1"/>
  <c r="AD22" i="54"/>
  <c r="AF22" i="54" s="1"/>
  <c r="AF23" i="54" s="1"/>
  <c r="E64" i="122"/>
  <c r="K69" i="133"/>
  <c r="K90" i="133" s="1"/>
  <c r="R401" i="133"/>
  <c r="G21" i="102"/>
  <c r="Q24" i="138"/>
  <c r="S24" i="138" s="1"/>
  <c r="Q26" i="138"/>
  <c r="S26" i="138" s="1"/>
  <c r="Q43" i="138"/>
  <c r="S43" i="138" s="1"/>
  <c r="Q57" i="138"/>
  <c r="S57" i="138" s="1"/>
  <c r="P22" i="98"/>
  <c r="Q22" i="98" s="1"/>
  <c r="S395" i="133"/>
  <c r="Q38" i="138"/>
  <c r="S38" i="138" s="1"/>
  <c r="Q40" i="138"/>
  <c r="S40" i="138" s="1"/>
  <c r="Q42" i="138"/>
  <c r="S42" i="138" s="1"/>
  <c r="Q55" i="138"/>
  <c r="S55" i="138" s="1"/>
  <c r="H48" i="142"/>
  <c r="Y35" i="49"/>
  <c r="G49" i="34"/>
  <c r="E47" i="34"/>
  <c r="H31" i="142"/>
  <c r="H53" i="142"/>
  <c r="H61" i="142"/>
  <c r="U22" i="54"/>
  <c r="V22" i="54" s="1"/>
  <c r="V36" i="54" s="1"/>
  <c r="I72" i="54"/>
  <c r="I88" i="54" s="1"/>
  <c r="I90" i="54" s="1"/>
  <c r="J23" i="98"/>
  <c r="L23" i="98" s="1"/>
  <c r="Q52" i="138"/>
  <c r="S52" i="138" s="1"/>
  <c r="H23" i="142"/>
  <c r="R21" i="54"/>
  <c r="S21" i="54" s="1"/>
  <c r="E46" i="34"/>
  <c r="Q30" i="138"/>
  <c r="S30" i="138" s="1"/>
  <c r="Q35" i="138"/>
  <c r="S35" i="138" s="1"/>
  <c r="Q37" i="138"/>
  <c r="S37" i="138" s="1"/>
  <c r="Q41" i="138"/>
  <c r="S41" i="138" s="1"/>
  <c r="Q44" i="138"/>
  <c r="S44" i="138" s="1"/>
  <c r="Q46" i="138"/>
  <c r="S46" i="138" s="1"/>
  <c r="Q56" i="138"/>
  <c r="S56" i="138" s="1"/>
  <c r="Q58" i="138"/>
  <c r="S58" i="138" s="1"/>
  <c r="C33" i="118"/>
  <c r="H18" i="142"/>
  <c r="H26" i="142"/>
  <c r="H49" i="142"/>
  <c r="H58" i="142"/>
  <c r="K72" i="98"/>
  <c r="K88" i="98" s="1"/>
  <c r="K90" i="98" s="1"/>
  <c r="F154" i="133"/>
  <c r="I250" i="133"/>
  <c r="I423" i="133"/>
  <c r="O423" i="133"/>
  <c r="R438" i="133"/>
  <c r="R487" i="133"/>
  <c r="B44" i="34"/>
  <c r="C44" i="34" s="1"/>
  <c r="D45" i="34"/>
  <c r="N29" i="80"/>
  <c r="Q33" i="138"/>
  <c r="S33" i="138" s="1"/>
  <c r="Q49" i="138"/>
  <c r="S49" i="138" s="1"/>
  <c r="V23" i="98"/>
  <c r="X23" i="98" s="1"/>
  <c r="F20" i="81"/>
  <c r="E61" i="138"/>
  <c r="N61" i="138"/>
  <c r="Q34" i="138"/>
  <c r="S34" i="138" s="1"/>
  <c r="Q39" i="138"/>
  <c r="S39" i="138" s="1"/>
  <c r="Q48" i="138"/>
  <c r="S48" i="138" s="1"/>
  <c r="Q50" i="138"/>
  <c r="S50" i="138" s="1"/>
  <c r="Q53" i="138"/>
  <c r="S53" i="138" s="1"/>
  <c r="H27" i="142"/>
  <c r="H52" i="142"/>
  <c r="H60" i="142"/>
  <c r="I22" i="54"/>
  <c r="J22" i="54" s="1"/>
  <c r="G72" i="54"/>
  <c r="G77" i="54" s="1"/>
  <c r="F37" i="54" s="1"/>
  <c r="L72" i="98"/>
  <c r="L88" i="98" s="1"/>
  <c r="L90" i="98" s="1"/>
  <c r="F89" i="133"/>
  <c r="F128" i="133"/>
  <c r="I185" i="133"/>
  <c r="O207" i="133"/>
  <c r="I315" i="133"/>
  <c r="R358" i="133"/>
  <c r="AC35" i="49"/>
  <c r="E28" i="5"/>
  <c r="I28" i="5"/>
  <c r="D43" i="34"/>
  <c r="F22" i="81"/>
  <c r="V28" i="5"/>
  <c r="D33" i="119"/>
  <c r="E22" i="119"/>
  <c r="E25" i="119" s="1"/>
  <c r="E57" i="14"/>
  <c r="H10" i="145"/>
  <c r="S417" i="133"/>
  <c r="D44" i="34"/>
  <c r="E44" i="34"/>
  <c r="D21" i="102"/>
  <c r="H61" i="138"/>
  <c r="Q25" i="138"/>
  <c r="S25" i="138" s="1"/>
  <c r="O61" i="138"/>
  <c r="D33" i="118"/>
  <c r="E22" i="118"/>
  <c r="E25" i="118" s="1"/>
  <c r="E33" i="118" s="1"/>
  <c r="D33" i="75"/>
  <c r="E22" i="75"/>
  <c r="E25" i="75" s="1"/>
  <c r="O229" i="133"/>
  <c r="O228" i="133"/>
  <c r="D118" i="147"/>
  <c r="D87" i="146"/>
  <c r="D91" i="146"/>
  <c r="D88" i="146"/>
  <c r="D89" i="146"/>
  <c r="D90" i="146"/>
  <c r="Q23" i="138"/>
  <c r="P61" i="138"/>
  <c r="C33" i="75"/>
  <c r="S331" i="133"/>
  <c r="S337" i="133"/>
  <c r="J22" i="98"/>
  <c r="K22" i="98" s="1"/>
  <c r="H40" i="142"/>
  <c r="H22" i="142"/>
  <c r="X22" i="54"/>
  <c r="Y22" i="54" s="1"/>
  <c r="Y36" i="54" s="1"/>
  <c r="Y23" i="98"/>
  <c r="AA23" i="98" s="1"/>
  <c r="AA24" i="98" s="1"/>
  <c r="I379" i="133"/>
  <c r="S460" i="133"/>
  <c r="S466" i="133"/>
  <c r="B47" i="34"/>
  <c r="B45" i="34"/>
  <c r="B43" i="34"/>
  <c r="D28" i="54"/>
  <c r="D32" i="54" s="1"/>
  <c r="D29" i="54"/>
  <c r="D33" i="54" s="1"/>
  <c r="D55" i="54" s="1"/>
  <c r="D58" i="54" s="1"/>
  <c r="D62" i="54" s="1"/>
  <c r="D64" i="54" s="1"/>
  <c r="D65" i="54" s="1"/>
  <c r="D38" i="54" s="1"/>
  <c r="D27" i="54"/>
  <c r="D31" i="54" s="1"/>
  <c r="B33" i="118"/>
  <c r="H15" i="142"/>
  <c r="O22" i="54"/>
  <c r="P22" i="54" s="1"/>
  <c r="G72" i="98"/>
  <c r="H35" i="142"/>
  <c r="H29" i="142"/>
  <c r="L22" i="54"/>
  <c r="N22" i="54" s="1"/>
  <c r="N23" i="54" s="1"/>
  <c r="J72" i="54"/>
  <c r="J77" i="54" s="1"/>
  <c r="O37" i="54" s="1"/>
  <c r="P37" i="54" s="1"/>
  <c r="P56" i="54" s="1"/>
  <c r="Y22" i="98"/>
  <c r="Z22" i="98" s="1"/>
  <c r="M23" i="98"/>
  <c r="O23" i="98" s="1"/>
  <c r="O24" i="98" s="1"/>
  <c r="N72" i="98"/>
  <c r="N88" i="98" s="1"/>
  <c r="N90" i="98" s="1"/>
  <c r="C57" i="14"/>
  <c r="H2" i="145"/>
  <c r="F85" i="133"/>
  <c r="O315" i="133"/>
  <c r="O314" i="133"/>
  <c r="B46" i="34"/>
  <c r="F35" i="81"/>
  <c r="E28" i="54"/>
  <c r="E32" i="54" s="1"/>
  <c r="E29" i="54"/>
  <c r="E33" i="54" s="1"/>
  <c r="E55" i="54" s="1"/>
  <c r="E58" i="54" s="1"/>
  <c r="E62" i="54" s="1"/>
  <c r="E64" i="54" s="1"/>
  <c r="E65" i="54" s="1"/>
  <c r="E38" i="54" s="1"/>
  <c r="E27" i="54"/>
  <c r="E31" i="54" s="1"/>
  <c r="C33" i="119"/>
  <c r="H8" i="142"/>
  <c r="H72" i="54"/>
  <c r="H88" i="54" s="1"/>
  <c r="H90" i="54" s="1"/>
  <c r="L72" i="54"/>
  <c r="L88" i="54" s="1"/>
  <c r="L90" i="54" s="1"/>
  <c r="H20" i="142"/>
  <c r="H6" i="142"/>
  <c r="F22" i="54"/>
  <c r="H16" i="142"/>
  <c r="O21" i="54"/>
  <c r="P21" i="54" s="1"/>
  <c r="AA21" i="54"/>
  <c r="AB21" i="54" s="1"/>
  <c r="AB23" i="54" s="1"/>
  <c r="H28" i="142"/>
  <c r="H72" i="98"/>
  <c r="H38" i="142"/>
  <c r="H36" i="142"/>
  <c r="G23" i="98"/>
  <c r="H23" i="98" s="1"/>
  <c r="H25" i="142"/>
  <c r="I21" i="54"/>
  <c r="J21" i="54" s="1"/>
  <c r="M22" i="98"/>
  <c r="N22" i="98" s="1"/>
  <c r="P23" i="98"/>
  <c r="R23" i="98" s="1"/>
  <c r="R37" i="98" s="1"/>
  <c r="J72" i="98"/>
  <c r="J88" i="98" s="1"/>
  <c r="J90" i="98" s="1"/>
  <c r="O72" i="98"/>
  <c r="O77" i="98" s="1"/>
  <c r="D57" i="14"/>
  <c r="H6" i="145"/>
  <c r="F87" i="133"/>
  <c r="K66" i="133"/>
  <c r="K87" i="133" s="1"/>
  <c r="Q87" i="133" s="1"/>
  <c r="F129" i="133"/>
  <c r="O271" i="133"/>
  <c r="I293" i="133"/>
  <c r="I336" i="133"/>
  <c r="G88" i="146"/>
  <c r="G87" i="146"/>
  <c r="G89" i="146"/>
  <c r="G90" i="146"/>
  <c r="G91" i="146"/>
  <c r="H7" i="142"/>
  <c r="F21" i="54"/>
  <c r="G21" i="54" s="1"/>
  <c r="I72" i="98"/>
  <c r="H41" i="142"/>
  <c r="H37" i="142"/>
  <c r="G22" i="98"/>
  <c r="H22" i="98" s="1"/>
  <c r="H24" i="98" s="1"/>
  <c r="D28" i="5"/>
  <c r="H28" i="5"/>
  <c r="L28" i="5"/>
  <c r="T28" i="5"/>
  <c r="W28" i="5"/>
  <c r="H70" i="140"/>
  <c r="Z23" i="102"/>
  <c r="H72" i="140" s="1"/>
  <c r="S143" i="133"/>
  <c r="F194" i="133"/>
  <c r="K151" i="133"/>
  <c r="F172" i="133"/>
  <c r="F149" i="133"/>
  <c r="F127" i="133"/>
  <c r="K106" i="133"/>
  <c r="F155" i="133"/>
  <c r="F133" i="133"/>
  <c r="K112" i="133"/>
  <c r="F171" i="133"/>
  <c r="F193" i="133"/>
  <c r="K150" i="133"/>
  <c r="F153" i="133"/>
  <c r="F131" i="133"/>
  <c r="K110" i="133"/>
  <c r="L99" i="133"/>
  <c r="Q90" i="133"/>
  <c r="R99" i="133" s="1"/>
  <c r="O100" i="133"/>
  <c r="F175" i="133"/>
  <c r="F197" i="133"/>
  <c r="I487" i="133"/>
  <c r="I486" i="133"/>
  <c r="K63" i="133"/>
  <c r="Q66" i="133"/>
  <c r="K67" i="133"/>
  <c r="Q69" i="133"/>
  <c r="R78" i="133" s="1"/>
  <c r="K154" i="133"/>
  <c r="K65" i="133"/>
  <c r="L78" i="133"/>
  <c r="F84" i="133"/>
  <c r="F88" i="133"/>
  <c r="K107" i="133"/>
  <c r="K108" i="133"/>
  <c r="F109" i="133"/>
  <c r="K132" i="133"/>
  <c r="S380" i="133"/>
  <c r="S374" i="133"/>
  <c r="O444" i="133"/>
  <c r="O443" i="133"/>
  <c r="R331" i="133"/>
  <c r="R337" i="133"/>
  <c r="D378" i="133"/>
  <c r="K378" i="133" s="1"/>
  <c r="Q378" i="133" s="1"/>
  <c r="H369" i="133"/>
  <c r="N369" i="133" s="1"/>
  <c r="T369" i="133" s="1"/>
  <c r="U369" i="133" s="1"/>
  <c r="K64" i="133"/>
  <c r="K68" i="133"/>
  <c r="F90" i="133"/>
  <c r="Q111" i="133"/>
  <c r="R120" i="133" s="1"/>
  <c r="F132" i="133"/>
  <c r="O142" i="133"/>
  <c r="O165" i="133"/>
  <c r="S438" i="133"/>
  <c r="S444" i="133"/>
  <c r="I465" i="133"/>
  <c r="I466" i="133"/>
  <c r="O465" i="133"/>
  <c r="O186" i="133"/>
  <c r="R272" i="133"/>
  <c r="R266" i="133"/>
  <c r="O337" i="133"/>
  <c r="O336" i="133"/>
  <c r="I401" i="133"/>
  <c r="I400" i="133"/>
  <c r="R315" i="133"/>
  <c r="R309" i="133"/>
  <c r="R374" i="133"/>
  <c r="R380" i="133"/>
  <c r="O401" i="133"/>
  <c r="O400" i="133"/>
  <c r="O487" i="133"/>
  <c r="O486" i="133"/>
  <c r="O250" i="133"/>
  <c r="S266" i="133"/>
  <c r="O293" i="133"/>
  <c r="S309" i="133"/>
  <c r="S358" i="133"/>
  <c r="S352" i="133"/>
  <c r="I357" i="133"/>
  <c r="D400" i="133"/>
  <c r="K400" i="133" s="1"/>
  <c r="Q400" i="133" s="1"/>
  <c r="H391" i="133"/>
  <c r="D390" i="133"/>
  <c r="H390" i="133" s="1"/>
  <c r="I444" i="133"/>
  <c r="I443" i="133"/>
  <c r="O357" i="133"/>
  <c r="O379" i="133"/>
  <c r="R417" i="133"/>
  <c r="R460" i="133"/>
  <c r="R137" i="133"/>
  <c r="R100" i="133"/>
  <c r="S94" i="133"/>
  <c r="I19" i="21"/>
  <c r="C91" i="122"/>
  <c r="C93" i="122" s="1"/>
  <c r="C96" i="122" s="1"/>
  <c r="H57" i="14"/>
  <c r="H22" i="145"/>
  <c r="E49" i="71"/>
  <c r="F49" i="71"/>
  <c r="C49" i="71"/>
  <c r="D49" i="71"/>
  <c r="B49" i="71"/>
  <c r="L90" i="100"/>
  <c r="L93" i="100" s="1"/>
  <c r="G93" i="100"/>
  <c r="J21" i="102"/>
  <c r="D368" i="133"/>
  <c r="D367" i="133" s="1"/>
  <c r="D366" i="133" s="1"/>
  <c r="B32" i="71"/>
  <c r="E32" i="71"/>
  <c r="D357" i="133"/>
  <c r="K357" i="133" s="1"/>
  <c r="Q357" i="133" s="1"/>
  <c r="D44" i="133"/>
  <c r="D43" i="133" s="1"/>
  <c r="D175" i="133"/>
  <c r="H175" i="133" s="1"/>
  <c r="H176" i="133"/>
  <c r="D304" i="133"/>
  <c r="D313" i="133" s="1"/>
  <c r="K313" i="133" s="1"/>
  <c r="Q313" i="133" s="1"/>
  <c r="H348" i="133"/>
  <c r="F13" i="11"/>
  <c r="D4" i="140"/>
  <c r="D10" i="140"/>
  <c r="D20" i="140"/>
  <c r="D28" i="140"/>
  <c r="D35" i="140"/>
  <c r="D44" i="140"/>
  <c r="D52" i="140"/>
  <c r="D59" i="140"/>
  <c r="D66" i="140"/>
  <c r="D75" i="140"/>
  <c r="D84" i="140"/>
  <c r="D90" i="140"/>
  <c r="D101" i="140"/>
  <c r="D107" i="140"/>
  <c r="C32" i="71"/>
  <c r="D3" i="142"/>
  <c r="D11" i="142"/>
  <c r="D19" i="142"/>
  <c r="D27" i="142"/>
  <c r="D110" i="133"/>
  <c r="D119" i="133" s="1"/>
  <c r="K119" i="133" s="1"/>
  <c r="Q119" i="133" s="1"/>
  <c r="D261" i="133"/>
  <c r="H305" i="133"/>
  <c r="D13" i="140"/>
  <c r="D21" i="140"/>
  <c r="D23" i="140"/>
  <c r="D38" i="140"/>
  <c r="D45" i="140"/>
  <c r="D47" i="140"/>
  <c r="D62" i="140"/>
  <c r="D69" i="140"/>
  <c r="D71" i="140"/>
  <c r="D77" i="140"/>
  <c r="D86" i="140"/>
  <c r="D92" i="140"/>
  <c r="D95" i="140"/>
  <c r="D109" i="140"/>
  <c r="D5" i="142"/>
  <c r="D13" i="142"/>
  <c r="D21" i="142"/>
  <c r="D29" i="142"/>
  <c r="D6" i="143"/>
  <c r="D5" i="144"/>
  <c r="D78" i="133"/>
  <c r="K78" i="133" s="1"/>
  <c r="Q78" i="133" s="1"/>
  <c r="D121" i="133"/>
  <c r="K121" i="133" s="1"/>
  <c r="Q121" i="133" s="1"/>
  <c r="H14" i="21"/>
  <c r="D3" i="140"/>
  <c r="D9" i="140"/>
  <c r="D17" i="140"/>
  <c r="D27" i="140"/>
  <c r="D34" i="140"/>
  <c r="D41" i="140"/>
  <c r="D51" i="140"/>
  <c r="D58" i="140"/>
  <c r="D65" i="140"/>
  <c r="D82" i="140"/>
  <c r="D88" i="140"/>
  <c r="D99" i="140"/>
  <c r="D105" i="140"/>
  <c r="D9" i="142"/>
  <c r="D17" i="142"/>
  <c r="D25" i="142"/>
  <c r="D68" i="133"/>
  <c r="D77" i="133" s="1"/>
  <c r="K77" i="133" s="1"/>
  <c r="Q77" i="133" s="1"/>
  <c r="H112" i="133"/>
  <c r="N112" i="133" s="1"/>
  <c r="N133" i="133" s="1"/>
  <c r="T133" i="133" s="1"/>
  <c r="U133" i="133" s="1"/>
  <c r="H262" i="133"/>
  <c r="D18" i="147"/>
  <c r="D2" i="140"/>
  <c r="D14" i="140"/>
  <c r="D16" i="140"/>
  <c r="D24" i="140"/>
  <c r="D31" i="140"/>
  <c r="D40" i="140"/>
  <c r="D48" i="140"/>
  <c r="D55" i="140"/>
  <c r="D70" i="140"/>
  <c r="D72" i="140"/>
  <c r="D80" i="140"/>
  <c r="D94" i="140"/>
  <c r="D97" i="140"/>
  <c r="D103" i="140"/>
  <c r="D112" i="140"/>
  <c r="D7" i="142"/>
  <c r="D15" i="142"/>
  <c r="D23" i="142"/>
  <c r="D31" i="142"/>
  <c r="O17" i="54"/>
  <c r="P52" i="54" s="1"/>
  <c r="D2" i="143"/>
  <c r="D99" i="133"/>
  <c r="K99" i="133" s="1"/>
  <c r="Q99" i="133" s="1"/>
  <c r="H370" i="133"/>
  <c r="N370" i="133" s="1"/>
  <c r="N391" i="133" s="1"/>
  <c r="T391" i="133" s="1"/>
  <c r="U391" i="133" s="1"/>
  <c r="D379" i="133"/>
  <c r="K379" i="133" s="1"/>
  <c r="Q379" i="133" s="1"/>
  <c r="D86" i="147"/>
  <c r="D376" i="133"/>
  <c r="K376" i="133" s="1"/>
  <c r="Q376" i="133" s="1"/>
  <c r="D142" i="133"/>
  <c r="K142" i="133" s="1"/>
  <c r="Q142" i="133" s="1"/>
  <c r="H133" i="133"/>
  <c r="D132" i="133"/>
  <c r="H347" i="133"/>
  <c r="D356" i="133"/>
  <c r="K356" i="133" s="1"/>
  <c r="Q356" i="133" s="1"/>
  <c r="E15" i="71"/>
  <c r="D15" i="71"/>
  <c r="C15" i="71"/>
  <c r="D120" i="133"/>
  <c r="K120" i="133" s="1"/>
  <c r="Q120" i="133" s="1"/>
  <c r="D346" i="133"/>
  <c r="D207" i="133"/>
  <c r="K207" i="133" s="1"/>
  <c r="Q207" i="133" s="1"/>
  <c r="H198" i="133"/>
  <c r="N198" i="133" s="1"/>
  <c r="T198" i="133" s="1"/>
  <c r="U198" i="133" s="1"/>
  <c r="D197" i="133"/>
  <c r="D6" i="140"/>
  <c r="D8" i="140"/>
  <c r="D12" i="140"/>
  <c r="D15" i="140"/>
  <c r="D19" i="140"/>
  <c r="D26" i="140"/>
  <c r="D30" i="140"/>
  <c r="D33" i="140"/>
  <c r="D37" i="140"/>
  <c r="D39" i="140"/>
  <c r="D43" i="140"/>
  <c r="D50" i="140"/>
  <c r="D54" i="140"/>
  <c r="D57" i="140"/>
  <c r="D61" i="140"/>
  <c r="D64" i="140"/>
  <c r="D68" i="140"/>
  <c r="D74" i="140"/>
  <c r="D76" i="140"/>
  <c r="D78" i="140"/>
  <c r="D87" i="140"/>
  <c r="D89" i="140"/>
  <c r="D91" i="140"/>
  <c r="D93" i="140"/>
  <c r="D104" i="140"/>
  <c r="D106" i="140"/>
  <c r="D108" i="140"/>
  <c r="D110" i="140"/>
  <c r="D3" i="143"/>
  <c r="D2" i="144"/>
  <c r="D6" i="144"/>
  <c r="D250" i="133"/>
  <c r="K250" i="133" s="1"/>
  <c r="Q250" i="133" s="1"/>
  <c r="H241" i="133"/>
  <c r="N241" i="133" s="1"/>
  <c r="T241" i="133" s="1"/>
  <c r="U241" i="133" s="1"/>
  <c r="D293" i="133"/>
  <c r="K293" i="133" s="1"/>
  <c r="Q293" i="133" s="1"/>
  <c r="H284" i="133"/>
  <c r="N284" i="133" s="1"/>
  <c r="T284" i="133" s="1"/>
  <c r="U284" i="133" s="1"/>
  <c r="D336" i="133"/>
  <c r="K336" i="133" s="1"/>
  <c r="Q336" i="133" s="1"/>
  <c r="H327" i="133"/>
  <c r="N327" i="133" s="1"/>
  <c r="T327" i="133" s="1"/>
  <c r="U327" i="133" s="1"/>
  <c r="D443" i="133"/>
  <c r="K443" i="133" s="1"/>
  <c r="Q443" i="133" s="1"/>
  <c r="H434" i="133"/>
  <c r="D433" i="133"/>
  <c r="D2" i="146"/>
  <c r="D26" i="147"/>
  <c r="C2" i="149"/>
  <c r="D35" i="148"/>
  <c r="D39" i="148"/>
  <c r="D24" i="148"/>
  <c r="D28" i="148"/>
  <c r="D32" i="148"/>
  <c r="D34" i="148"/>
  <c r="D36" i="148"/>
  <c r="D40" i="148"/>
  <c r="D25" i="148"/>
  <c r="D29" i="148"/>
  <c r="D27" i="148"/>
  <c r="D31" i="148"/>
  <c r="D33" i="148"/>
  <c r="D37" i="148"/>
  <c r="D26" i="148"/>
  <c r="D30" i="148"/>
  <c r="D38" i="148"/>
  <c r="D10" i="143"/>
  <c r="D7" i="143"/>
  <c r="D11" i="143"/>
  <c r="D8" i="143"/>
  <c r="D9" i="143"/>
  <c r="D8" i="144"/>
  <c r="D9" i="144"/>
  <c r="D32" i="142"/>
  <c r="D34" i="142"/>
  <c r="D35" i="142"/>
  <c r="D36" i="142"/>
  <c r="D37" i="142"/>
  <c r="D38" i="142"/>
  <c r="D39" i="142"/>
  <c r="D40" i="142"/>
  <c r="D41" i="142"/>
  <c r="D42" i="142"/>
  <c r="D44" i="142"/>
  <c r="D45" i="142"/>
  <c r="D47" i="142"/>
  <c r="D49" i="142"/>
  <c r="D50" i="142"/>
  <c r="D52" i="142"/>
  <c r="D54" i="142"/>
  <c r="D56" i="142"/>
  <c r="D58" i="142"/>
  <c r="D60" i="142"/>
  <c r="D33" i="142"/>
  <c r="D43" i="142"/>
  <c r="D46" i="142"/>
  <c r="D48" i="142"/>
  <c r="D51" i="142"/>
  <c r="D53" i="142"/>
  <c r="D55" i="142"/>
  <c r="D57" i="142"/>
  <c r="D59" i="142"/>
  <c r="D61" i="142"/>
  <c r="D11" i="144"/>
  <c r="D10" i="144"/>
  <c r="D7" i="144"/>
  <c r="D4" i="145"/>
  <c r="D8" i="145"/>
  <c r="D12" i="145"/>
  <c r="D16" i="145"/>
  <c r="D20" i="145"/>
  <c r="D24" i="145"/>
  <c r="D28" i="145"/>
  <c r="D32" i="145"/>
  <c r="D36" i="145"/>
  <c r="D40" i="145"/>
  <c r="D19" i="145"/>
  <c r="D5" i="145"/>
  <c r="D9" i="145"/>
  <c r="D13" i="145"/>
  <c r="D17" i="145"/>
  <c r="D21" i="145"/>
  <c r="D25" i="145"/>
  <c r="D29" i="145"/>
  <c r="D33" i="145"/>
  <c r="D37" i="145"/>
  <c r="D41" i="145"/>
  <c r="D3" i="145"/>
  <c r="D15" i="145"/>
  <c r="D27" i="145"/>
  <c r="D31" i="145"/>
  <c r="D35" i="145"/>
  <c r="D6" i="145"/>
  <c r="D10" i="145"/>
  <c r="D14" i="145"/>
  <c r="D18" i="145"/>
  <c r="D22" i="145"/>
  <c r="D26" i="145"/>
  <c r="D30" i="145"/>
  <c r="D34" i="145"/>
  <c r="D38" i="145"/>
  <c r="D7" i="145"/>
  <c r="D11" i="145"/>
  <c r="D23" i="145"/>
  <c r="D39" i="145"/>
  <c r="D2" i="145"/>
  <c r="G14" i="21"/>
  <c r="D22" i="148"/>
  <c r="D21" i="148"/>
  <c r="D20" i="148"/>
  <c r="D19" i="148"/>
  <c r="D18" i="148"/>
  <c r="D17" i="148"/>
  <c r="D16" i="148"/>
  <c r="D15" i="148"/>
  <c r="D14" i="148"/>
  <c r="D13" i="148"/>
  <c r="D12" i="148"/>
  <c r="D11" i="148"/>
  <c r="D10" i="148"/>
  <c r="D9" i="148"/>
  <c r="D8" i="148"/>
  <c r="D7" i="148"/>
  <c r="D6" i="148"/>
  <c r="D5" i="148"/>
  <c r="D4" i="148"/>
  <c r="D3" i="148"/>
  <c r="D2" i="148"/>
  <c r="F14" i="21"/>
  <c r="I13" i="136"/>
  <c r="E14" i="21"/>
  <c r="G13" i="20"/>
  <c r="H13" i="136"/>
  <c r="D201" i="147"/>
  <c r="D199" i="147"/>
  <c r="D197" i="147"/>
  <c r="D195" i="147"/>
  <c r="D193" i="147"/>
  <c r="D191" i="147"/>
  <c r="D189" i="147"/>
  <c r="D187" i="147"/>
  <c r="D185" i="147"/>
  <c r="D183" i="147"/>
  <c r="D181" i="147"/>
  <c r="D179" i="147"/>
  <c r="D177" i="147"/>
  <c r="D175" i="147"/>
  <c r="D173" i="147"/>
  <c r="D171" i="147"/>
  <c r="D169" i="147"/>
  <c r="D167" i="147"/>
  <c r="D165" i="147"/>
  <c r="D163" i="147"/>
  <c r="D161" i="147"/>
  <c r="D159" i="147"/>
  <c r="D157" i="147"/>
  <c r="D155" i="147"/>
  <c r="D153" i="147"/>
  <c r="D151" i="147"/>
  <c r="D149" i="147"/>
  <c r="D147" i="147"/>
  <c r="D145" i="147"/>
  <c r="D143" i="147"/>
  <c r="D141" i="147"/>
  <c r="D139" i="147"/>
  <c r="D137" i="147"/>
  <c r="D135" i="147"/>
  <c r="D133" i="147"/>
  <c r="D131" i="147"/>
  <c r="D129" i="147"/>
  <c r="D127" i="147"/>
  <c r="D125" i="147"/>
  <c r="D123" i="147"/>
  <c r="D121" i="147"/>
  <c r="D119" i="147"/>
  <c r="D117" i="147"/>
  <c r="D115" i="147"/>
  <c r="D113" i="147"/>
  <c r="D111" i="147"/>
  <c r="D109" i="147"/>
  <c r="D107" i="147"/>
  <c r="D105" i="147"/>
  <c r="D103" i="147"/>
  <c r="D101" i="147"/>
  <c r="D99" i="147"/>
  <c r="D97" i="147"/>
  <c r="D95" i="147"/>
  <c r="D93" i="147"/>
  <c r="D91" i="147"/>
  <c r="D89" i="147"/>
  <c r="D87" i="147"/>
  <c r="D85" i="147"/>
  <c r="D83" i="147"/>
  <c r="D81" i="147"/>
  <c r="D79" i="147"/>
  <c r="D77" i="147"/>
  <c r="D75" i="147"/>
  <c r="D73" i="147"/>
  <c r="D71" i="147"/>
  <c r="D69" i="147"/>
  <c r="D67" i="147"/>
  <c r="D65" i="147"/>
  <c r="D63" i="147"/>
  <c r="D61" i="147"/>
  <c r="D59" i="147"/>
  <c r="D57" i="147"/>
  <c r="D55" i="147"/>
  <c r="D53" i="147"/>
  <c r="D51" i="147"/>
  <c r="D49" i="147"/>
  <c r="D47" i="147"/>
  <c r="D45" i="147"/>
  <c r="D43" i="147"/>
  <c r="D41" i="147"/>
  <c r="D39" i="147"/>
  <c r="D14" i="21"/>
  <c r="D23" i="148"/>
  <c r="G13" i="136"/>
  <c r="D200" i="147"/>
  <c r="D192" i="147"/>
  <c r="D184" i="147"/>
  <c r="D176" i="147"/>
  <c r="D168" i="147"/>
  <c r="D160" i="147"/>
  <c r="D152" i="147"/>
  <c r="D144" i="147"/>
  <c r="D136" i="147"/>
  <c r="D128" i="147"/>
  <c r="D120" i="147"/>
  <c r="D112" i="147"/>
  <c r="D104" i="147"/>
  <c r="D96" i="147"/>
  <c r="D88" i="147"/>
  <c r="D80" i="147"/>
  <c r="D72" i="147"/>
  <c r="D64" i="147"/>
  <c r="D56" i="147"/>
  <c r="D48" i="147"/>
  <c r="D40" i="147"/>
  <c r="U12" i="5"/>
  <c r="E13" i="105"/>
  <c r="E13" i="15"/>
  <c r="D86" i="146"/>
  <c r="D84" i="146"/>
  <c r="D82" i="146"/>
  <c r="D80" i="146"/>
  <c r="D78" i="146"/>
  <c r="D76" i="146"/>
  <c r="D74" i="146"/>
  <c r="D72" i="146"/>
  <c r="D70" i="146"/>
  <c r="D68" i="146"/>
  <c r="D66" i="146"/>
  <c r="D64" i="146"/>
  <c r="D62" i="146"/>
  <c r="D60" i="146"/>
  <c r="D58" i="146"/>
  <c r="D56" i="146"/>
  <c r="D54" i="146"/>
  <c r="D52" i="146"/>
  <c r="D50" i="146"/>
  <c r="D48" i="146"/>
  <c r="D46" i="146"/>
  <c r="D44" i="146"/>
  <c r="D42" i="146"/>
  <c r="D40" i="146"/>
  <c r="D38" i="146"/>
  <c r="D36" i="146"/>
  <c r="D34" i="146"/>
  <c r="D32" i="146"/>
  <c r="D30" i="146"/>
  <c r="D28" i="146"/>
  <c r="D26" i="146"/>
  <c r="D24" i="146"/>
  <c r="D22" i="146"/>
  <c r="D20" i="146"/>
  <c r="D18" i="146"/>
  <c r="D16" i="146"/>
  <c r="D14" i="146"/>
  <c r="D12" i="146"/>
  <c r="D10" i="146"/>
  <c r="D8" i="146"/>
  <c r="D6" i="146"/>
  <c r="D4" i="146"/>
  <c r="AT29" i="49"/>
  <c r="R12" i="49"/>
  <c r="F13" i="136"/>
  <c r="D194" i="147"/>
  <c r="D186" i="147"/>
  <c r="D178" i="147"/>
  <c r="D170" i="147"/>
  <c r="D162" i="147"/>
  <c r="D154" i="147"/>
  <c r="D146" i="147"/>
  <c r="D138" i="147"/>
  <c r="D130" i="147"/>
  <c r="D122" i="147"/>
  <c r="D114" i="147"/>
  <c r="D106" i="147"/>
  <c r="D98" i="147"/>
  <c r="D90" i="147"/>
  <c r="D82" i="147"/>
  <c r="D74" i="147"/>
  <c r="D66" i="147"/>
  <c r="D58" i="147"/>
  <c r="D50" i="147"/>
  <c r="D42" i="147"/>
  <c r="D37" i="147"/>
  <c r="D35" i="147"/>
  <c r="D33" i="147"/>
  <c r="D31" i="147"/>
  <c r="D29" i="147"/>
  <c r="D27" i="147"/>
  <c r="D25" i="147"/>
  <c r="D23" i="147"/>
  <c r="D21" i="147"/>
  <c r="D19" i="147"/>
  <c r="D17" i="147"/>
  <c r="D15" i="147"/>
  <c r="D13" i="147"/>
  <c r="D11" i="147"/>
  <c r="D9" i="147"/>
  <c r="D7" i="147"/>
  <c r="D5" i="147"/>
  <c r="D3" i="147"/>
  <c r="D13" i="105"/>
  <c r="D13" i="15"/>
  <c r="AS29" i="49"/>
  <c r="F13" i="20"/>
  <c r="D196" i="147"/>
  <c r="D188" i="147"/>
  <c r="D180" i="147"/>
  <c r="D172" i="147"/>
  <c r="D164" i="147"/>
  <c r="D156" i="147"/>
  <c r="D148" i="147"/>
  <c r="D140" i="147"/>
  <c r="D132" i="147"/>
  <c r="D124" i="147"/>
  <c r="D116" i="147"/>
  <c r="D108" i="147"/>
  <c r="D100" i="147"/>
  <c r="D92" i="147"/>
  <c r="D84" i="147"/>
  <c r="D76" i="147"/>
  <c r="D68" i="147"/>
  <c r="D60" i="147"/>
  <c r="D52" i="147"/>
  <c r="D44" i="147"/>
  <c r="Y12" i="5"/>
  <c r="G13" i="105"/>
  <c r="C13" i="15"/>
  <c r="D85" i="146"/>
  <c r="D83" i="146"/>
  <c r="D81" i="146"/>
  <c r="D79" i="146"/>
  <c r="D77" i="146"/>
  <c r="D75" i="146"/>
  <c r="D73" i="146"/>
  <c r="D71" i="146"/>
  <c r="D69" i="146"/>
  <c r="D67" i="146"/>
  <c r="D65" i="146"/>
  <c r="D63" i="146"/>
  <c r="D61" i="146"/>
  <c r="D59" i="146"/>
  <c r="D57" i="146"/>
  <c r="D55" i="146"/>
  <c r="D53" i="146"/>
  <c r="D51" i="146"/>
  <c r="D49" i="146"/>
  <c r="D47" i="146"/>
  <c r="D45" i="146"/>
  <c r="D43" i="146"/>
  <c r="D41" i="146"/>
  <c r="D39" i="146"/>
  <c r="D37" i="146"/>
  <c r="D35" i="146"/>
  <c r="D33" i="146"/>
  <c r="D31" i="146"/>
  <c r="D29" i="146"/>
  <c r="D27" i="146"/>
  <c r="D25" i="146"/>
  <c r="D23" i="146"/>
  <c r="D21" i="146"/>
  <c r="D19" i="146"/>
  <c r="D17" i="146"/>
  <c r="D15" i="146"/>
  <c r="D13" i="146"/>
  <c r="D11" i="146"/>
  <c r="D9" i="146"/>
  <c r="D7" i="146"/>
  <c r="D5" i="146"/>
  <c r="D3" i="146"/>
  <c r="AP29" i="49"/>
  <c r="E13" i="20"/>
  <c r="D174" i="147"/>
  <c r="D142" i="147"/>
  <c r="D110" i="147"/>
  <c r="D78" i="147"/>
  <c r="D46" i="147"/>
  <c r="D36" i="147"/>
  <c r="D28" i="147"/>
  <c r="D20" i="147"/>
  <c r="D12" i="147"/>
  <c r="D4" i="147"/>
  <c r="D198" i="147"/>
  <c r="D166" i="147"/>
  <c r="D134" i="147"/>
  <c r="D102" i="147"/>
  <c r="D70" i="147"/>
  <c r="D38" i="147"/>
  <c r="D30" i="147"/>
  <c r="D22" i="147"/>
  <c r="D14" i="147"/>
  <c r="D6" i="147"/>
  <c r="F13" i="15"/>
  <c r="D190" i="147"/>
  <c r="D158" i="147"/>
  <c r="D126" i="147"/>
  <c r="D94" i="147"/>
  <c r="D62" i="147"/>
  <c r="D32" i="147"/>
  <c r="D24" i="147"/>
  <c r="D16" i="147"/>
  <c r="D8" i="147"/>
  <c r="X12" i="5"/>
  <c r="E13" i="11"/>
  <c r="D13" i="11" s="1"/>
  <c r="C13" i="11" s="1"/>
  <c r="B13" i="11" s="1"/>
  <c r="D5" i="140"/>
  <c r="D7" i="140"/>
  <c r="D11" i="140"/>
  <c r="D18" i="140"/>
  <c r="D22" i="140"/>
  <c r="D25" i="140"/>
  <c r="D29" i="140"/>
  <c r="D32" i="140"/>
  <c r="D36" i="140"/>
  <c r="D42" i="140"/>
  <c r="D46" i="140"/>
  <c r="D49" i="140"/>
  <c r="D53" i="140"/>
  <c r="D56" i="140"/>
  <c r="D60" i="140"/>
  <c r="D63" i="140"/>
  <c r="D67" i="140"/>
  <c r="D73" i="140"/>
  <c r="D79" i="140"/>
  <c r="D81" i="140"/>
  <c r="D83" i="140"/>
  <c r="D85" i="140"/>
  <c r="D96" i="140"/>
  <c r="D98" i="140"/>
  <c r="D100" i="140"/>
  <c r="D102" i="140"/>
  <c r="D111" i="140"/>
  <c r="D113" i="140"/>
  <c r="D2" i="142"/>
  <c r="D4" i="142"/>
  <c r="D6" i="142"/>
  <c r="D8" i="142"/>
  <c r="D10" i="142"/>
  <c r="D12" i="142"/>
  <c r="D14" i="142"/>
  <c r="D16" i="142"/>
  <c r="D18" i="142"/>
  <c r="D20" i="142"/>
  <c r="D22" i="142"/>
  <c r="D24" i="142"/>
  <c r="D26" i="142"/>
  <c r="D28" i="142"/>
  <c r="D30" i="142"/>
  <c r="D4" i="143"/>
  <c r="D3" i="144"/>
  <c r="D89" i="133"/>
  <c r="D154" i="133"/>
  <c r="D240" i="133"/>
  <c r="D412" i="133"/>
  <c r="H413" i="133"/>
  <c r="N413" i="133" s="1"/>
  <c r="T413" i="133" s="1"/>
  <c r="U413" i="133" s="1"/>
  <c r="D455" i="133"/>
  <c r="H456" i="133"/>
  <c r="N456" i="133" s="1"/>
  <c r="N477" i="133" s="1"/>
  <c r="T477" i="133" s="1"/>
  <c r="U477" i="133" s="1"/>
  <c r="D465" i="133"/>
  <c r="K465" i="133" s="1"/>
  <c r="Q465" i="133" s="1"/>
  <c r="D485" i="133"/>
  <c r="K485" i="133" s="1"/>
  <c r="Q485" i="133" s="1"/>
  <c r="H476" i="133"/>
  <c r="D475" i="133"/>
  <c r="D2" i="147"/>
  <c r="D34" i="147"/>
  <c r="D150" i="147"/>
  <c r="D5" i="143"/>
  <c r="P18" i="98"/>
  <c r="Q53" i="98" s="1"/>
  <c r="D4" i="144"/>
  <c r="K13" i="14"/>
  <c r="K75" i="14" s="1"/>
  <c r="N45" i="133"/>
  <c r="H155" i="133"/>
  <c r="N155" i="133" s="1"/>
  <c r="T155" i="133" s="1"/>
  <c r="U155" i="133" s="1"/>
  <c r="D218" i="133"/>
  <c r="H219" i="133"/>
  <c r="H283" i="133"/>
  <c r="N283" i="133" s="1"/>
  <c r="N304" i="133" s="1"/>
  <c r="T304" i="133" s="1"/>
  <c r="U304" i="133" s="1"/>
  <c r="D292" i="133"/>
  <c r="K292" i="133" s="1"/>
  <c r="Q292" i="133" s="1"/>
  <c r="D282" i="133"/>
  <c r="H326" i="133"/>
  <c r="N326" i="133" s="1"/>
  <c r="T326" i="133" s="1"/>
  <c r="U326" i="133" s="1"/>
  <c r="D335" i="133"/>
  <c r="K335" i="133" s="1"/>
  <c r="Q335" i="133" s="1"/>
  <c r="D325" i="133"/>
  <c r="D422" i="133"/>
  <c r="K422" i="133" s="1"/>
  <c r="Q422" i="133" s="1"/>
  <c r="F13" i="105"/>
  <c r="I13" i="105" s="1"/>
  <c r="D10" i="147"/>
  <c r="D54" i="147"/>
  <c r="D182" i="147"/>
  <c r="D486" i="133"/>
  <c r="K486" i="133" s="1"/>
  <c r="Q486" i="133" s="1"/>
  <c r="H477" i="133"/>
  <c r="I6" i="140"/>
  <c r="AD14" i="102"/>
  <c r="AE14" i="102" s="1"/>
  <c r="AF14" i="102" s="1"/>
  <c r="AG14" i="102" s="1"/>
  <c r="M21" i="102"/>
  <c r="C25" i="49"/>
  <c r="O25" i="49"/>
  <c r="X35" i="49"/>
  <c r="AB35" i="49"/>
  <c r="AC36" i="49" s="1"/>
  <c r="AF35" i="49"/>
  <c r="L25" i="49"/>
  <c r="I25" i="49"/>
  <c r="AA21" i="49"/>
  <c r="AA22" i="49" s="1"/>
  <c r="Y18" i="49"/>
  <c r="Y20" i="49" s="1"/>
  <c r="AS26" i="49"/>
  <c r="AO35" i="49"/>
  <c r="AN17" i="49"/>
  <c r="AK14" i="49"/>
  <c r="K17" i="49"/>
  <c r="AH16" i="49"/>
  <c r="AK16" i="49"/>
  <c r="AQ14" i="49"/>
  <c r="AB15" i="49"/>
  <c r="AH15" i="49"/>
  <c r="AE15" i="49"/>
  <c r="AT16" i="49"/>
  <c r="Y17" i="49"/>
  <c r="AK13" i="49"/>
  <c r="AN15" i="49"/>
  <c r="E17" i="49"/>
  <c r="AB16" i="49"/>
  <c r="AQ16" i="49"/>
  <c r="AB17" i="49"/>
  <c r="C23" i="49"/>
  <c r="I23" i="49"/>
  <c r="O23" i="49"/>
  <c r="D25" i="49"/>
  <c r="G25" i="49"/>
  <c r="AB13" i="49"/>
  <c r="AQ13" i="49"/>
  <c r="Y15" i="49"/>
  <c r="AT15" i="49"/>
  <c r="G17" i="49"/>
  <c r="N25" i="49"/>
  <c r="Q25" i="49"/>
  <c r="Y16" i="49"/>
  <c r="AE16" i="49"/>
  <c r="AN16" i="49"/>
  <c r="AE17" i="49"/>
  <c r="AK17" i="49"/>
  <c r="AQ18" i="49"/>
  <c r="AQ20" i="49" s="1"/>
  <c r="AH13" i="49"/>
  <c r="Y14" i="49"/>
  <c r="AE14" i="49"/>
  <c r="AK15" i="49"/>
  <c r="J25" i="49"/>
  <c r="P25" i="49"/>
  <c r="Z35" i="49"/>
  <c r="AD35" i="49"/>
  <c r="AG36" i="49" s="1"/>
  <c r="AH35" i="49"/>
  <c r="AH17" i="49"/>
  <c r="AT17" i="49"/>
  <c r="AD18" i="49"/>
  <c r="AD20" i="49" s="1"/>
  <c r="AD21" i="49" s="1"/>
  <c r="AD22" i="49" s="1"/>
  <c r="AK18" i="49"/>
  <c r="AK20" i="49" s="1"/>
  <c r="B25" i="49"/>
  <c r="H25" i="49"/>
  <c r="K25" i="49"/>
  <c r="Q23" i="49"/>
  <c r="W35" i="49"/>
  <c r="AA35" i="49"/>
  <c r="AE35" i="49"/>
  <c r="AF36" i="49" s="1"/>
  <c r="AI35" i="49"/>
  <c r="Y13" i="49"/>
  <c r="AE13" i="49"/>
  <c r="AN13" i="49"/>
  <c r="AB14" i="49"/>
  <c r="AH14" i="49"/>
  <c r="AT14" i="49"/>
  <c r="AQ15" i="49"/>
  <c r="AQ17" i="49"/>
  <c r="Z18" i="49"/>
  <c r="AB18" i="49" s="1"/>
  <c r="AB20" i="49" s="1"/>
  <c r="AJ20" i="49"/>
  <c r="AJ21" i="49" s="1"/>
  <c r="AJ22" i="49" s="1"/>
  <c r="AP20" i="49"/>
  <c r="AP21" i="49" s="1"/>
  <c r="AP22" i="49" s="1"/>
  <c r="M23" i="49"/>
  <c r="M25" i="49"/>
  <c r="F25" i="49"/>
  <c r="C17" i="49"/>
  <c r="Q17" i="49"/>
  <c r="AH18" i="49"/>
  <c r="AH20" i="49" s="1"/>
  <c r="AN18" i="49"/>
  <c r="AN20" i="49" s="1"/>
  <c r="AT18" i="49"/>
  <c r="AT20" i="49" s="1"/>
  <c r="W20" i="49"/>
  <c r="E23" i="49"/>
  <c r="G23" i="49"/>
  <c r="K23" i="49"/>
  <c r="AL35" i="49"/>
  <c r="AL36" i="49" s="1"/>
  <c r="AP35" i="49"/>
  <c r="I17" i="49"/>
  <c r="E25" i="49"/>
  <c r="AM35" i="49"/>
  <c r="AQ35" i="49"/>
  <c r="AT13" i="49"/>
  <c r="AN14" i="49"/>
  <c r="AN35" i="49"/>
  <c r="AR35" i="49"/>
  <c r="N90" i="133"/>
  <c r="T90" i="133" s="1"/>
  <c r="U90" i="133" s="1"/>
  <c r="T69" i="133"/>
  <c r="U69" i="133" s="1"/>
  <c r="T111" i="133"/>
  <c r="U111" i="133" s="1"/>
  <c r="M17" i="49"/>
  <c r="O17" i="49"/>
  <c r="AJ35" i="49"/>
  <c r="AJ36" i="49" s="1"/>
  <c r="M1" i="148"/>
  <c r="Y18" i="98"/>
  <c r="AD23" i="98"/>
  <c r="AD37" i="98" s="1"/>
  <c r="AF24" i="98"/>
  <c r="L68" i="54"/>
  <c r="L85" i="54" s="1"/>
  <c r="K85" i="54"/>
  <c r="J85" i="54"/>
  <c r="I68" i="54"/>
  <c r="X17" i="54"/>
  <c r="T37" i="54"/>
  <c r="T56" i="54" s="1"/>
  <c r="N88" i="54"/>
  <c r="N90" i="54" s="1"/>
  <c r="W22" i="54"/>
  <c r="W36" i="54" s="1"/>
  <c r="AE22" i="54"/>
  <c r="AE23" i="54" s="1"/>
  <c r="AC37" i="98"/>
  <c r="AF37" i="98"/>
  <c r="T37" i="98"/>
  <c r="T24" i="98"/>
  <c r="M22" i="54"/>
  <c r="M23" i="54" s="1"/>
  <c r="H77" i="54"/>
  <c r="I37" i="54" s="1"/>
  <c r="J37" i="54" s="1"/>
  <c r="J56" i="54" s="1"/>
  <c r="S22" i="54"/>
  <c r="AG23" i="98"/>
  <c r="M77" i="98"/>
  <c r="M77" i="54"/>
  <c r="U23" i="98"/>
  <c r="I31" i="55"/>
  <c r="J31" i="55" s="1"/>
  <c r="K31" i="55" s="1"/>
  <c r="L31" i="55" s="1"/>
  <c r="I68" i="55"/>
  <c r="J68" i="55" s="1"/>
  <c r="K68" i="55" s="1"/>
  <c r="L68" i="55" s="1"/>
  <c r="T23" i="54"/>
  <c r="T36" i="54"/>
  <c r="AC22" i="54"/>
  <c r="V23" i="54"/>
  <c r="AF36" i="54"/>
  <c r="K88" i="54"/>
  <c r="K90" i="54" s="1"/>
  <c r="W23" i="98"/>
  <c r="W24" i="98" s="1"/>
  <c r="K23" i="98"/>
  <c r="O88" i="54"/>
  <c r="O90" i="54" s="1"/>
  <c r="AC24" i="98"/>
  <c r="AD24" i="98"/>
  <c r="J77" i="98"/>
  <c r="N77" i="98"/>
  <c r="I57" i="14"/>
  <c r="F57" i="14"/>
  <c r="J57" i="14"/>
  <c r="N23" i="98" l="1"/>
  <c r="AE36" i="54"/>
  <c r="O88" i="98"/>
  <c r="O90" i="98" s="1"/>
  <c r="L77" i="54"/>
  <c r="G73" i="54"/>
  <c r="H71" i="54" s="1"/>
  <c r="I77" i="54"/>
  <c r="L37" i="54" s="1"/>
  <c r="N37" i="54" s="1"/>
  <c r="N56" i="54" s="1"/>
  <c r="Z22" i="54"/>
  <c r="Z23" i="54" s="1"/>
  <c r="H37" i="98"/>
  <c r="D34" i="54"/>
  <c r="D40" i="54" s="1"/>
  <c r="F44" i="34"/>
  <c r="J36" i="54"/>
  <c r="G88" i="54"/>
  <c r="G89" i="54" s="1"/>
  <c r="Y23" i="54"/>
  <c r="S23" i="54"/>
  <c r="G78" i="54"/>
  <c r="H75" i="54" s="1"/>
  <c r="I26" i="49"/>
  <c r="Z36" i="49"/>
  <c r="P36" i="54"/>
  <c r="K77" i="98"/>
  <c r="J23" i="54"/>
  <c r="K22" i="54"/>
  <c r="K36" i="54" s="1"/>
  <c r="N37" i="98"/>
  <c r="Q22" i="54"/>
  <c r="O37" i="98"/>
  <c r="Q37" i="54"/>
  <c r="Q56" i="54" s="1"/>
  <c r="L77" i="98"/>
  <c r="Q23" i="98"/>
  <c r="Q37" i="98" s="1"/>
  <c r="AB36" i="54"/>
  <c r="I77" i="98"/>
  <c r="I88" i="98"/>
  <c r="I90" i="98" s="1"/>
  <c r="H22" i="54"/>
  <c r="G22" i="54"/>
  <c r="G23" i="54" s="1"/>
  <c r="G77" i="98"/>
  <c r="G78" i="98" s="1"/>
  <c r="H75" i="98" s="1"/>
  <c r="G88" i="98"/>
  <c r="G73" i="98"/>
  <c r="C45" i="34"/>
  <c r="F45" i="34" s="1"/>
  <c r="R24" i="98"/>
  <c r="I23" i="98"/>
  <c r="I24" i="98" s="1"/>
  <c r="N36" i="54"/>
  <c r="M36" i="54"/>
  <c r="J88" i="54"/>
  <c r="J90" i="54" s="1"/>
  <c r="N390" i="133"/>
  <c r="T390" i="133" s="1"/>
  <c r="U390" i="133" s="1"/>
  <c r="Z23" i="98"/>
  <c r="Z37" i="98" s="1"/>
  <c r="K37" i="98"/>
  <c r="W23" i="54"/>
  <c r="P23" i="54"/>
  <c r="D389" i="133"/>
  <c r="D388" i="133" s="1"/>
  <c r="D53" i="133"/>
  <c r="K53" i="133" s="1"/>
  <c r="H77" i="98"/>
  <c r="H88" i="98"/>
  <c r="H90" i="98" s="1"/>
  <c r="E34" i="54"/>
  <c r="E40" i="54" s="1"/>
  <c r="E43" i="54" s="1"/>
  <c r="C46" i="34"/>
  <c r="F46" i="34" s="1"/>
  <c r="C43" i="34"/>
  <c r="F43" i="34" s="1"/>
  <c r="Q61" i="138"/>
  <c r="S23" i="138"/>
  <c r="S61" i="138" s="1"/>
  <c r="F22" i="75"/>
  <c r="F25" i="75" s="1"/>
  <c r="E33" i="75"/>
  <c r="M18" i="98"/>
  <c r="J18" i="98" s="1"/>
  <c r="C47" i="34"/>
  <c r="F47" i="34" s="1"/>
  <c r="F22" i="119"/>
  <c r="F25" i="119" s="1"/>
  <c r="E33" i="119"/>
  <c r="AA37" i="98"/>
  <c r="M26" i="49"/>
  <c r="C26" i="49"/>
  <c r="F38" i="118"/>
  <c r="F37" i="118"/>
  <c r="F39" i="118" s="1"/>
  <c r="Q64" i="133"/>
  <c r="K85" i="133"/>
  <c r="Q85" i="133" s="1"/>
  <c r="F240" i="133"/>
  <c r="K197" i="133"/>
  <c r="F218" i="133"/>
  <c r="Q107" i="133"/>
  <c r="K128" i="133"/>
  <c r="Q128" i="133" s="1"/>
  <c r="Q110" i="133"/>
  <c r="K131" i="133"/>
  <c r="Q131" i="133" s="1"/>
  <c r="K193" i="133"/>
  <c r="F236" i="133"/>
  <c r="F214" i="133"/>
  <c r="D399" i="133"/>
  <c r="K399" i="133" s="1"/>
  <c r="Q399" i="133" s="1"/>
  <c r="N44" i="133"/>
  <c r="H367" i="133"/>
  <c r="N367" i="133" s="1"/>
  <c r="T367" i="133" s="1"/>
  <c r="U367" i="133" s="1"/>
  <c r="D377" i="133"/>
  <c r="K377" i="133" s="1"/>
  <c r="Q377" i="133" s="1"/>
  <c r="L141" i="133"/>
  <c r="Q132" i="133"/>
  <c r="R141" i="133" s="1"/>
  <c r="Q67" i="133"/>
  <c r="K88" i="133"/>
  <c r="Q88" i="133" s="1"/>
  <c r="K127" i="133"/>
  <c r="Q127" i="133" s="1"/>
  <c r="Q106" i="133"/>
  <c r="Q151" i="133"/>
  <c r="K172" i="133"/>
  <c r="Q172" i="133" s="1"/>
  <c r="H110" i="133"/>
  <c r="N110" i="133" s="1"/>
  <c r="N131" i="133" s="1"/>
  <c r="T131" i="133" s="1"/>
  <c r="U131" i="133" s="1"/>
  <c r="K129" i="133"/>
  <c r="Q129" i="133" s="1"/>
  <c r="Q108" i="133"/>
  <c r="Q63" i="133"/>
  <c r="K84" i="133"/>
  <c r="Q84" i="133" s="1"/>
  <c r="Q150" i="133"/>
  <c r="K171" i="133"/>
  <c r="Q171" i="133" s="1"/>
  <c r="F170" i="133"/>
  <c r="K149" i="133"/>
  <c r="F192" i="133"/>
  <c r="K155" i="133"/>
  <c r="F198" i="133"/>
  <c r="F176" i="133"/>
  <c r="D184" i="133"/>
  <c r="K184" i="133" s="1"/>
  <c r="Q184" i="133" s="1"/>
  <c r="H368" i="133"/>
  <c r="N368" i="133" s="1"/>
  <c r="N389" i="133" s="1"/>
  <c r="T389" i="133" s="1"/>
  <c r="U389" i="133" s="1"/>
  <c r="L77" i="133"/>
  <c r="Q68" i="133"/>
  <c r="R77" i="133" s="1"/>
  <c r="K89" i="133"/>
  <c r="F152" i="133"/>
  <c r="F130" i="133"/>
  <c r="K109" i="133"/>
  <c r="K86" i="133"/>
  <c r="Q86" i="133" s="1"/>
  <c r="Q65" i="133"/>
  <c r="Q154" i="133"/>
  <c r="R163" i="133" s="1"/>
  <c r="L163" i="133"/>
  <c r="K175" i="133"/>
  <c r="F174" i="133"/>
  <c r="F196" i="133"/>
  <c r="K153" i="133"/>
  <c r="K133" i="133"/>
  <c r="L121" i="133"/>
  <c r="Q112" i="133"/>
  <c r="R121" i="133" s="1"/>
  <c r="F237" i="133"/>
  <c r="F215" i="133"/>
  <c r="K194" i="133"/>
  <c r="B91" i="122"/>
  <c r="O26" i="49"/>
  <c r="N348" i="133"/>
  <c r="T348" i="133" s="1"/>
  <c r="U348" i="133" s="1"/>
  <c r="M90" i="100"/>
  <c r="M93" i="100" s="1"/>
  <c r="N434" i="133"/>
  <c r="T434" i="133" s="1"/>
  <c r="U434" i="133" s="1"/>
  <c r="N262" i="133"/>
  <c r="T262" i="133" s="1"/>
  <c r="U262" i="133" s="1"/>
  <c r="T370" i="133"/>
  <c r="U370" i="133" s="1"/>
  <c r="L17" i="54"/>
  <c r="I17" i="54" s="1"/>
  <c r="F17" i="54" s="1"/>
  <c r="N388" i="133"/>
  <c r="T388" i="133" s="1"/>
  <c r="U388" i="133" s="1"/>
  <c r="N305" i="133"/>
  <c r="T305" i="133" s="1"/>
  <c r="U305" i="133" s="1"/>
  <c r="D109" i="133"/>
  <c r="H109" i="133" s="1"/>
  <c r="N109" i="133" s="1"/>
  <c r="D174" i="133"/>
  <c r="H174" i="133" s="1"/>
  <c r="H68" i="133"/>
  <c r="N68" i="133" s="1"/>
  <c r="T68" i="133" s="1"/>
  <c r="U68" i="133" s="1"/>
  <c r="H304" i="133"/>
  <c r="T456" i="133"/>
  <c r="U456" i="133" s="1"/>
  <c r="N176" i="133"/>
  <c r="T176" i="133" s="1"/>
  <c r="U176" i="133" s="1"/>
  <c r="D303" i="133"/>
  <c r="D67" i="133"/>
  <c r="J13" i="14"/>
  <c r="N347" i="133"/>
  <c r="T347" i="133" s="1"/>
  <c r="U347" i="133" s="1"/>
  <c r="T368" i="133"/>
  <c r="U368" i="133" s="1"/>
  <c r="N219" i="133"/>
  <c r="T219" i="133" s="1"/>
  <c r="U219" i="133" s="1"/>
  <c r="T112" i="133"/>
  <c r="U112" i="133" s="1"/>
  <c r="D270" i="133"/>
  <c r="K270" i="133" s="1"/>
  <c r="Q270" i="133" s="1"/>
  <c r="H261" i="133"/>
  <c r="D260" i="133"/>
  <c r="D324" i="133"/>
  <c r="D334" i="133"/>
  <c r="K334" i="133" s="1"/>
  <c r="Q334" i="133" s="1"/>
  <c r="H325" i="133"/>
  <c r="N325" i="133" s="1"/>
  <c r="D88" i="133"/>
  <c r="D98" i="133"/>
  <c r="K98" i="133" s="1"/>
  <c r="Q98" i="133" s="1"/>
  <c r="H89" i="133"/>
  <c r="H346" i="133"/>
  <c r="D355" i="133"/>
  <c r="K355" i="133" s="1"/>
  <c r="Q355" i="133" s="1"/>
  <c r="D345" i="133"/>
  <c r="H366" i="133"/>
  <c r="N366" i="133" s="1"/>
  <c r="D375" i="133"/>
  <c r="K375" i="133" s="1"/>
  <c r="Q375" i="133" s="1"/>
  <c r="D365" i="133"/>
  <c r="D442" i="133"/>
  <c r="K442" i="133" s="1"/>
  <c r="Q442" i="133" s="1"/>
  <c r="H433" i="133"/>
  <c r="D432" i="133"/>
  <c r="H412" i="133"/>
  <c r="N412" i="133" s="1"/>
  <c r="D411" i="133"/>
  <c r="D421" i="133"/>
  <c r="K421" i="133" s="1"/>
  <c r="Q421" i="133" s="1"/>
  <c r="D484" i="133"/>
  <c r="K484" i="133" s="1"/>
  <c r="Q484" i="133" s="1"/>
  <c r="D474" i="133"/>
  <c r="H475" i="133"/>
  <c r="D249" i="133"/>
  <c r="K249" i="133" s="1"/>
  <c r="Q249" i="133" s="1"/>
  <c r="D239" i="133"/>
  <c r="H240" i="133"/>
  <c r="N240" i="133" s="1"/>
  <c r="H197" i="133"/>
  <c r="N197" i="133" s="1"/>
  <c r="D206" i="133"/>
  <c r="K206" i="133" s="1"/>
  <c r="Q206" i="133" s="1"/>
  <c r="D196" i="133"/>
  <c r="D52" i="133"/>
  <c r="K52" i="133" s="1"/>
  <c r="N43" i="133"/>
  <c r="D42" i="133"/>
  <c r="D108" i="133"/>
  <c r="D118" i="133"/>
  <c r="K118" i="133" s="1"/>
  <c r="Q118" i="133" s="1"/>
  <c r="G83" i="146"/>
  <c r="G82" i="146"/>
  <c r="G86" i="146"/>
  <c r="G84" i="146"/>
  <c r="G85" i="146"/>
  <c r="T283" i="133"/>
  <c r="U283" i="133" s="1"/>
  <c r="D281" i="133"/>
  <c r="D291" i="133"/>
  <c r="K291" i="133" s="1"/>
  <c r="Q291" i="133" s="1"/>
  <c r="H282" i="133"/>
  <c r="N282" i="133" s="1"/>
  <c r="D227" i="133"/>
  <c r="K227" i="133" s="1"/>
  <c r="Q227" i="133" s="1"/>
  <c r="H218" i="133"/>
  <c r="D217" i="133"/>
  <c r="D464" i="133"/>
  <c r="K464" i="133" s="1"/>
  <c r="Q464" i="133" s="1"/>
  <c r="D454" i="133"/>
  <c r="H455" i="133"/>
  <c r="N455" i="133" s="1"/>
  <c r="D163" i="133"/>
  <c r="K163" i="133" s="1"/>
  <c r="Q163" i="133" s="1"/>
  <c r="D153" i="133"/>
  <c r="H154" i="133"/>
  <c r="N154" i="133" s="1"/>
  <c r="D141" i="133"/>
  <c r="K141" i="133" s="1"/>
  <c r="Q141" i="133" s="1"/>
  <c r="H132" i="133"/>
  <c r="D131" i="133"/>
  <c r="D173" i="133"/>
  <c r="X36" i="49"/>
  <c r="AO36" i="49"/>
  <c r="AM21" i="49"/>
  <c r="AM22" i="49" s="1"/>
  <c r="AS21" i="49"/>
  <c r="AS22" i="49" s="1"/>
  <c r="AG21" i="49"/>
  <c r="AG22" i="49" s="1"/>
  <c r="AI36" i="49"/>
  <c r="Q26" i="49"/>
  <c r="G26" i="49"/>
  <c r="AM36" i="49"/>
  <c r="AE18" i="49"/>
  <c r="AE20" i="49" s="1"/>
  <c r="AD36" i="49"/>
  <c r="K26" i="49"/>
  <c r="E26" i="49"/>
  <c r="AA36" i="49"/>
  <c r="AP36" i="49"/>
  <c r="Z20" i="49"/>
  <c r="AS36" i="49"/>
  <c r="AR36" i="49"/>
  <c r="M68" i="54"/>
  <c r="M85" i="54" s="1"/>
  <c r="AB18" i="98"/>
  <c r="Z53" i="98"/>
  <c r="M37" i="54"/>
  <c r="M56" i="54" s="1"/>
  <c r="H80" i="54"/>
  <c r="G37" i="54"/>
  <c r="G56" i="54" s="1"/>
  <c r="H37" i="54"/>
  <c r="H56" i="54" s="1"/>
  <c r="AA17" i="54"/>
  <c r="Y52" i="54"/>
  <c r="K23" i="54"/>
  <c r="I85" i="54"/>
  <c r="H68" i="54"/>
  <c r="H73" i="54"/>
  <c r="I71" i="54" s="1"/>
  <c r="H76" i="54"/>
  <c r="K37" i="54"/>
  <c r="K56" i="54" s="1"/>
  <c r="S36" i="54"/>
  <c r="K24" i="98"/>
  <c r="U24" i="98"/>
  <c r="U37" i="98"/>
  <c r="AG24" i="98"/>
  <c r="AG37" i="98"/>
  <c r="W37" i="98"/>
  <c r="L37" i="98"/>
  <c r="L24" i="98"/>
  <c r="X37" i="98"/>
  <c r="X24" i="98"/>
  <c r="N24" i="98"/>
  <c r="G90" i="54"/>
  <c r="AC36" i="54"/>
  <c r="AC23" i="54"/>
  <c r="I13" i="14"/>
  <c r="J75" i="14"/>
  <c r="N53" i="98" l="1"/>
  <c r="Q24" i="98"/>
  <c r="G81" i="54"/>
  <c r="G82" i="54" s="1"/>
  <c r="F20" i="54" s="1"/>
  <c r="H20" i="54" s="1"/>
  <c r="H78" i="54"/>
  <c r="I75" i="54" s="1"/>
  <c r="I80" i="54" s="1"/>
  <c r="Z36" i="54"/>
  <c r="D183" i="133"/>
  <c r="K183" i="133" s="1"/>
  <c r="Q183" i="133" s="1"/>
  <c r="G38" i="98"/>
  <c r="I38" i="98" s="1"/>
  <c r="I57" i="98" s="1"/>
  <c r="D398" i="133"/>
  <c r="K398" i="133" s="1"/>
  <c r="Q398" i="133" s="1"/>
  <c r="T110" i="133"/>
  <c r="U110" i="133" s="1"/>
  <c r="Q36" i="54"/>
  <c r="Q23" i="54"/>
  <c r="F49" i="34"/>
  <c r="Z24" i="98"/>
  <c r="F33" i="75"/>
  <c r="G22" i="75"/>
  <c r="G25" i="75" s="1"/>
  <c r="G81" i="98"/>
  <c r="G82" i="98" s="1"/>
  <c r="G21" i="98" s="1"/>
  <c r="I21" i="98" s="1"/>
  <c r="I25" i="98" s="1"/>
  <c r="H71" i="98"/>
  <c r="I37" i="98"/>
  <c r="H389" i="133"/>
  <c r="G36" i="54"/>
  <c r="G90" i="98"/>
  <c r="G89" i="98"/>
  <c r="H2" i="143"/>
  <c r="E45" i="54"/>
  <c r="H36" i="54"/>
  <c r="H23" i="54"/>
  <c r="G22" i="119"/>
  <c r="G25" i="119" s="1"/>
  <c r="G33" i="119" s="1"/>
  <c r="F33" i="119"/>
  <c r="H67" i="133"/>
  <c r="N67" i="133" s="1"/>
  <c r="T67" i="133" s="1"/>
  <c r="U67" i="133" s="1"/>
  <c r="F280" i="133"/>
  <c r="F258" i="133"/>
  <c r="K237" i="133"/>
  <c r="K130" i="133"/>
  <c r="Q130" i="133" s="1"/>
  <c r="Q109" i="133"/>
  <c r="K214" i="133"/>
  <c r="Q214" i="133" s="1"/>
  <c r="Q193" i="133"/>
  <c r="F239" i="133"/>
  <c r="K196" i="133"/>
  <c r="F217" i="133"/>
  <c r="F219" i="133"/>
  <c r="K198" i="133"/>
  <c r="F241" i="133"/>
  <c r="D76" i="133"/>
  <c r="K76" i="133" s="1"/>
  <c r="Q76" i="133" s="1"/>
  <c r="K215" i="133"/>
  <c r="Q215" i="133" s="1"/>
  <c r="Q194" i="133"/>
  <c r="K152" i="133"/>
  <c r="F195" i="133"/>
  <c r="F173" i="133"/>
  <c r="K176" i="133"/>
  <c r="Q155" i="133"/>
  <c r="R164" i="133" s="1"/>
  <c r="L164" i="133"/>
  <c r="L206" i="133"/>
  <c r="K218" i="133"/>
  <c r="Q197" i="133"/>
  <c r="R206" i="133" s="1"/>
  <c r="K174" i="133"/>
  <c r="Q174" i="133" s="1"/>
  <c r="Q153" i="133"/>
  <c r="K170" i="133"/>
  <c r="Q170" i="133" s="1"/>
  <c r="Q149" i="133"/>
  <c r="L142" i="133"/>
  <c r="Q133" i="133"/>
  <c r="R142" i="133" s="1"/>
  <c r="L184" i="133"/>
  <c r="Q175" i="133"/>
  <c r="R184" i="133" s="1"/>
  <c r="Q89" i="133"/>
  <c r="R98" i="133" s="1"/>
  <c r="L98" i="133"/>
  <c r="K192" i="133"/>
  <c r="F235" i="133"/>
  <c r="F213" i="133"/>
  <c r="F279" i="133"/>
  <c r="F257" i="133"/>
  <c r="K236" i="133"/>
  <c r="F283" i="133"/>
  <c r="F261" i="133"/>
  <c r="K240" i="133"/>
  <c r="E96" i="122"/>
  <c r="B93" i="122"/>
  <c r="D66" i="133"/>
  <c r="H66" i="133" s="1"/>
  <c r="N66" i="133" s="1"/>
  <c r="M52" i="54"/>
  <c r="N89" i="133"/>
  <c r="T89" i="133" s="1"/>
  <c r="U89" i="133" s="1"/>
  <c r="D312" i="133"/>
  <c r="K312" i="133" s="1"/>
  <c r="Q312" i="133" s="1"/>
  <c r="H303" i="133"/>
  <c r="D302" i="133"/>
  <c r="D269" i="133"/>
  <c r="K269" i="133" s="1"/>
  <c r="Q269" i="133" s="1"/>
  <c r="H260" i="133"/>
  <c r="D259" i="133"/>
  <c r="T455" i="133"/>
  <c r="U455" i="133" s="1"/>
  <c r="N476" i="133"/>
  <c r="T476" i="133" s="1"/>
  <c r="U476" i="133" s="1"/>
  <c r="D290" i="133"/>
  <c r="K290" i="133" s="1"/>
  <c r="Q290" i="133" s="1"/>
  <c r="D280" i="133"/>
  <c r="H281" i="133"/>
  <c r="N281" i="133" s="1"/>
  <c r="D107" i="133"/>
  <c r="H108" i="133"/>
  <c r="N108" i="133" s="1"/>
  <c r="D117" i="133"/>
  <c r="K117" i="133" s="1"/>
  <c r="Q117" i="133" s="1"/>
  <c r="N88" i="133"/>
  <c r="T88" i="133" s="1"/>
  <c r="U88" i="133" s="1"/>
  <c r="D195" i="133"/>
  <c r="D205" i="133"/>
  <c r="K205" i="133" s="1"/>
  <c r="Q205" i="133" s="1"/>
  <c r="H196" i="133"/>
  <c r="N196" i="133" s="1"/>
  <c r="D248" i="133"/>
  <c r="K248" i="133" s="1"/>
  <c r="Q248" i="133" s="1"/>
  <c r="H239" i="133"/>
  <c r="N239" i="133" s="1"/>
  <c r="D238" i="133"/>
  <c r="D397" i="133"/>
  <c r="K397" i="133" s="1"/>
  <c r="Q397" i="133" s="1"/>
  <c r="D387" i="133"/>
  <c r="H388" i="133"/>
  <c r="H345" i="133"/>
  <c r="D344" i="133"/>
  <c r="D354" i="133"/>
  <c r="K354" i="133" s="1"/>
  <c r="Q354" i="133" s="1"/>
  <c r="H88" i="133"/>
  <c r="D87" i="133"/>
  <c r="D97" i="133"/>
  <c r="K97" i="133" s="1"/>
  <c r="Q97" i="133" s="1"/>
  <c r="N68" i="54"/>
  <c r="O68" i="54" s="1"/>
  <c r="O85" i="54" s="1"/>
  <c r="N175" i="133"/>
  <c r="T175" i="133" s="1"/>
  <c r="U175" i="133" s="1"/>
  <c r="T154" i="133"/>
  <c r="U154" i="133" s="1"/>
  <c r="D463" i="133"/>
  <c r="K463" i="133" s="1"/>
  <c r="Q463" i="133" s="1"/>
  <c r="H454" i="133"/>
  <c r="N454" i="133" s="1"/>
  <c r="D453" i="133"/>
  <c r="N130" i="133"/>
  <c r="T130" i="133" s="1"/>
  <c r="U130" i="133" s="1"/>
  <c r="T109" i="133"/>
  <c r="U109" i="133" s="1"/>
  <c r="D51" i="133"/>
  <c r="K51" i="133" s="1"/>
  <c r="D41" i="133"/>
  <c r="N42" i="133"/>
  <c r="H365" i="133"/>
  <c r="N365" i="133" s="1"/>
  <c r="D364" i="133"/>
  <c r="D374" i="133"/>
  <c r="K374" i="133" s="1"/>
  <c r="Q374" i="133" s="1"/>
  <c r="N346" i="133"/>
  <c r="T346" i="133" s="1"/>
  <c r="U346" i="133" s="1"/>
  <c r="T325" i="133"/>
  <c r="U325" i="133" s="1"/>
  <c r="D140" i="133"/>
  <c r="K140" i="133" s="1"/>
  <c r="Q140" i="133" s="1"/>
  <c r="D130" i="133"/>
  <c r="H131" i="133"/>
  <c r="D162" i="133"/>
  <c r="K162" i="133" s="1"/>
  <c r="Q162" i="133" s="1"/>
  <c r="H153" i="133"/>
  <c r="N153" i="133" s="1"/>
  <c r="D152" i="133"/>
  <c r="N303" i="133"/>
  <c r="T303" i="133" s="1"/>
  <c r="U303" i="133" s="1"/>
  <c r="T282" i="133"/>
  <c r="U282" i="133" s="1"/>
  <c r="N218" i="133"/>
  <c r="T218" i="133" s="1"/>
  <c r="U218" i="133" s="1"/>
  <c r="T197" i="133"/>
  <c r="U197" i="133" s="1"/>
  <c r="D420" i="133"/>
  <c r="K420" i="133" s="1"/>
  <c r="Q420" i="133" s="1"/>
  <c r="D410" i="133"/>
  <c r="H411" i="133"/>
  <c r="N411" i="133" s="1"/>
  <c r="D441" i="133"/>
  <c r="K441" i="133" s="1"/>
  <c r="Q441" i="133" s="1"/>
  <c r="D431" i="133"/>
  <c r="H432" i="133"/>
  <c r="D172" i="133"/>
  <c r="D182" i="133"/>
  <c r="K182" i="133" s="1"/>
  <c r="Q182" i="133" s="1"/>
  <c r="H173" i="133"/>
  <c r="D226" i="133"/>
  <c r="K226" i="133" s="1"/>
  <c r="Q226" i="133" s="1"/>
  <c r="H217" i="133"/>
  <c r="D216" i="133"/>
  <c r="N261" i="133"/>
  <c r="T261" i="133" s="1"/>
  <c r="U261" i="133" s="1"/>
  <c r="T240" i="133"/>
  <c r="U240" i="133" s="1"/>
  <c r="D483" i="133"/>
  <c r="K483" i="133" s="1"/>
  <c r="Q483" i="133" s="1"/>
  <c r="D473" i="133"/>
  <c r="H474" i="133"/>
  <c r="T412" i="133"/>
  <c r="U412" i="133" s="1"/>
  <c r="N433" i="133"/>
  <c r="T433" i="133" s="1"/>
  <c r="U433" i="133" s="1"/>
  <c r="N387" i="133"/>
  <c r="T387" i="133" s="1"/>
  <c r="U387" i="133" s="1"/>
  <c r="T366" i="133"/>
  <c r="U366" i="133" s="1"/>
  <c r="D333" i="133"/>
  <c r="K333" i="133" s="1"/>
  <c r="Q333" i="133" s="1"/>
  <c r="D323" i="133"/>
  <c r="H324" i="133"/>
  <c r="N324" i="133" s="1"/>
  <c r="G18" i="98"/>
  <c r="K53" i="98"/>
  <c r="AE18" i="98"/>
  <c r="AF53" i="98" s="1"/>
  <c r="AC53" i="98"/>
  <c r="D52" i="54"/>
  <c r="C17" i="54"/>
  <c r="G20" i="54"/>
  <c r="G24" i="54" s="1"/>
  <c r="J52" i="54"/>
  <c r="G52" i="54"/>
  <c r="G68" i="54"/>
  <c r="H85" i="54"/>
  <c r="N85" i="54"/>
  <c r="AD17" i="54"/>
  <c r="AE52" i="54" s="1"/>
  <c r="AB52" i="54"/>
  <c r="H21" i="98"/>
  <c r="H25" i="98" s="1"/>
  <c r="I73" i="54"/>
  <c r="I76" i="54"/>
  <c r="G91" i="54"/>
  <c r="G94" i="54" s="1"/>
  <c r="H13" i="14"/>
  <c r="H12" i="14"/>
  <c r="H74" i="14" s="1"/>
  <c r="I12" i="14"/>
  <c r="I74" i="14" s="1"/>
  <c r="I75" i="14"/>
  <c r="I78" i="54" l="1"/>
  <c r="J75" i="54" s="1"/>
  <c r="H81" i="54"/>
  <c r="H82" i="54" s="1"/>
  <c r="I20" i="54" s="1"/>
  <c r="K20" i="54" s="1"/>
  <c r="K24" i="54" s="1"/>
  <c r="K29" i="54" s="1"/>
  <c r="K33" i="54" s="1"/>
  <c r="K55" i="54" s="1"/>
  <c r="D65" i="133"/>
  <c r="D74" i="133" s="1"/>
  <c r="K74" i="133" s="1"/>
  <c r="Q74" i="133" s="1"/>
  <c r="H38" i="98"/>
  <c r="H57" i="98" s="1"/>
  <c r="D75" i="133"/>
  <c r="K75" i="133" s="1"/>
  <c r="Q75" i="133" s="1"/>
  <c r="H38" i="119"/>
  <c r="H37" i="119"/>
  <c r="G33" i="75"/>
  <c r="H22" i="75"/>
  <c r="H25" i="75" s="1"/>
  <c r="H33" i="75" s="1"/>
  <c r="H24" i="54"/>
  <c r="H29" i="54" s="1"/>
  <c r="H33" i="54" s="1"/>
  <c r="H55" i="54" s="1"/>
  <c r="G91" i="98"/>
  <c r="G94" i="98" s="1"/>
  <c r="H58" i="98" s="1"/>
  <c r="H73" i="98"/>
  <c r="H76" i="98"/>
  <c r="H78" i="98" s="1"/>
  <c r="I75" i="98" s="1"/>
  <c r="H80" i="98"/>
  <c r="K241" i="133"/>
  <c r="F262" i="133"/>
  <c r="F284" i="133"/>
  <c r="L249" i="133"/>
  <c r="K261" i="133"/>
  <c r="Q240" i="133"/>
  <c r="R249" i="133" s="1"/>
  <c r="F216" i="133"/>
  <c r="F238" i="133"/>
  <c r="K195" i="133"/>
  <c r="L207" i="133"/>
  <c r="Q198" i="133"/>
  <c r="R207" i="133" s="1"/>
  <c r="K219" i="133"/>
  <c r="K239" i="133"/>
  <c r="F282" i="133"/>
  <c r="F260" i="133"/>
  <c r="F322" i="133"/>
  <c r="F300" i="133"/>
  <c r="K279" i="133"/>
  <c r="K173" i="133"/>
  <c r="Q173" i="133" s="1"/>
  <c r="Q152" i="133"/>
  <c r="Q237" i="133"/>
  <c r="K258" i="133"/>
  <c r="Q258" i="133" s="1"/>
  <c r="K257" i="133"/>
  <c r="Q257" i="133" s="1"/>
  <c r="Q236" i="133"/>
  <c r="F278" i="133"/>
  <c r="F256" i="133"/>
  <c r="K235" i="133"/>
  <c r="Q196" i="133"/>
  <c r="K217" i="133"/>
  <c r="Q217" i="133" s="1"/>
  <c r="F323" i="133"/>
  <c r="K280" i="133"/>
  <c r="F301" i="133"/>
  <c r="Q192" i="133"/>
  <c r="K213" i="133"/>
  <c r="Q213" i="133" s="1"/>
  <c r="F304" i="133"/>
  <c r="F326" i="133"/>
  <c r="K283" i="133"/>
  <c r="Q218" i="133"/>
  <c r="R227" i="133" s="1"/>
  <c r="L227" i="133"/>
  <c r="Q176" i="133"/>
  <c r="R185" i="133" s="1"/>
  <c r="L185" i="133"/>
  <c r="B96" i="122"/>
  <c r="D301" i="133"/>
  <c r="H302" i="133"/>
  <c r="D311" i="133"/>
  <c r="K311" i="133" s="1"/>
  <c r="Q311" i="133" s="1"/>
  <c r="D258" i="133"/>
  <c r="H259" i="133"/>
  <c r="D268" i="133"/>
  <c r="K268" i="133" s="1"/>
  <c r="Q268" i="133" s="1"/>
  <c r="H87" i="133"/>
  <c r="D86" i="133"/>
  <c r="D96" i="133"/>
  <c r="K96" i="133" s="1"/>
  <c r="Q96" i="133" s="1"/>
  <c r="D247" i="133"/>
  <c r="K247" i="133" s="1"/>
  <c r="Q247" i="133" s="1"/>
  <c r="H238" i="133"/>
  <c r="N238" i="133" s="1"/>
  <c r="D237" i="133"/>
  <c r="D289" i="133"/>
  <c r="K289" i="133" s="1"/>
  <c r="Q289" i="133" s="1"/>
  <c r="H280" i="133"/>
  <c r="N280" i="133" s="1"/>
  <c r="D279" i="133"/>
  <c r="D482" i="133"/>
  <c r="K482" i="133" s="1"/>
  <c r="Q482" i="133" s="1"/>
  <c r="H473" i="133"/>
  <c r="D472" i="133"/>
  <c r="D181" i="133"/>
  <c r="K181" i="133" s="1"/>
  <c r="Q181" i="133" s="1"/>
  <c r="H172" i="133"/>
  <c r="D171" i="133"/>
  <c r="T153" i="133"/>
  <c r="U153" i="133" s="1"/>
  <c r="N174" i="133"/>
  <c r="T174" i="133" s="1"/>
  <c r="U174" i="133" s="1"/>
  <c r="T365" i="133"/>
  <c r="U365" i="133" s="1"/>
  <c r="N386" i="133"/>
  <c r="T386" i="133" s="1"/>
  <c r="U386" i="133" s="1"/>
  <c r="D332" i="133"/>
  <c r="K332" i="133" s="1"/>
  <c r="Q332" i="133" s="1"/>
  <c r="H323" i="133"/>
  <c r="N323" i="133" s="1"/>
  <c r="D322" i="133"/>
  <c r="H410" i="133"/>
  <c r="N410" i="133" s="1"/>
  <c r="D409" i="133"/>
  <c r="D419" i="133"/>
  <c r="K419" i="133" s="1"/>
  <c r="Q419" i="133" s="1"/>
  <c r="D50" i="133"/>
  <c r="K50" i="133" s="1"/>
  <c r="N41" i="133"/>
  <c r="D40" i="133"/>
  <c r="H453" i="133"/>
  <c r="N453" i="133" s="1"/>
  <c r="D452" i="133"/>
  <c r="D462" i="133"/>
  <c r="K462" i="133" s="1"/>
  <c r="Q462" i="133" s="1"/>
  <c r="T239" i="133"/>
  <c r="U239" i="133" s="1"/>
  <c r="N260" i="133"/>
  <c r="T260" i="133" s="1"/>
  <c r="U260" i="133" s="1"/>
  <c r="D204" i="133"/>
  <c r="K204" i="133" s="1"/>
  <c r="Q204" i="133" s="1"/>
  <c r="H195" i="133"/>
  <c r="N195" i="133" s="1"/>
  <c r="D194" i="133"/>
  <c r="T108" i="133"/>
  <c r="U108" i="133" s="1"/>
  <c r="N129" i="133"/>
  <c r="T129" i="133" s="1"/>
  <c r="U129" i="133" s="1"/>
  <c r="T324" i="133"/>
  <c r="U324" i="133" s="1"/>
  <c r="N345" i="133"/>
  <c r="T345" i="133" s="1"/>
  <c r="U345" i="133" s="1"/>
  <c r="N432" i="133"/>
  <c r="T432" i="133" s="1"/>
  <c r="U432" i="133" s="1"/>
  <c r="T411" i="133"/>
  <c r="U411" i="133" s="1"/>
  <c r="D64" i="133"/>
  <c r="D440" i="133"/>
  <c r="K440" i="133" s="1"/>
  <c r="Q440" i="133" s="1"/>
  <c r="H431" i="133"/>
  <c r="D430" i="133"/>
  <c r="T454" i="133"/>
  <c r="U454" i="133" s="1"/>
  <c r="N475" i="133"/>
  <c r="T475" i="133" s="1"/>
  <c r="U475" i="133" s="1"/>
  <c r="D396" i="133"/>
  <c r="K396" i="133" s="1"/>
  <c r="Q396" i="133" s="1"/>
  <c r="H387" i="133"/>
  <c r="D386" i="133"/>
  <c r="H107" i="133"/>
  <c r="N107" i="133" s="1"/>
  <c r="D116" i="133"/>
  <c r="K116" i="133" s="1"/>
  <c r="Q116" i="133" s="1"/>
  <c r="D106" i="133"/>
  <c r="T66" i="133"/>
  <c r="U66" i="133" s="1"/>
  <c r="N87" i="133"/>
  <c r="T87" i="133" s="1"/>
  <c r="U87" i="133" s="1"/>
  <c r="D225" i="133"/>
  <c r="K225" i="133" s="1"/>
  <c r="Q225" i="133" s="1"/>
  <c r="H216" i="133"/>
  <c r="D215" i="133"/>
  <c r="D161" i="133"/>
  <c r="K161" i="133" s="1"/>
  <c r="Q161" i="133" s="1"/>
  <c r="H152" i="133"/>
  <c r="N152" i="133" s="1"/>
  <c r="D151" i="133"/>
  <c r="D139" i="133"/>
  <c r="K139" i="133" s="1"/>
  <c r="Q139" i="133" s="1"/>
  <c r="H130" i="133"/>
  <c r="D129" i="133"/>
  <c r="D373" i="133"/>
  <c r="K373" i="133" s="1"/>
  <c r="Q373" i="133" s="1"/>
  <c r="H364" i="133"/>
  <c r="N364" i="133" s="1"/>
  <c r="D343" i="133"/>
  <c r="D353" i="133"/>
  <c r="K353" i="133" s="1"/>
  <c r="Q353" i="133" s="1"/>
  <c r="H344" i="133"/>
  <c r="T196" i="133"/>
  <c r="U196" i="133" s="1"/>
  <c r="N217" i="133"/>
  <c r="T217" i="133" s="1"/>
  <c r="U217" i="133" s="1"/>
  <c r="N302" i="133"/>
  <c r="T302" i="133" s="1"/>
  <c r="U302" i="133" s="1"/>
  <c r="T281" i="133"/>
  <c r="U281" i="133" s="1"/>
  <c r="H53" i="98"/>
  <c r="D18" i="98"/>
  <c r="G85" i="54"/>
  <c r="F68" i="54"/>
  <c r="F85" i="54" s="1"/>
  <c r="H28" i="54"/>
  <c r="H32" i="54" s="1"/>
  <c r="H27" i="54"/>
  <c r="H31" i="54" s="1"/>
  <c r="J20" i="54"/>
  <c r="J24" i="54" s="1"/>
  <c r="J28" i="54" s="1"/>
  <c r="J32" i="54" s="1"/>
  <c r="G27" i="54"/>
  <c r="G31" i="54" s="1"/>
  <c r="G29" i="54"/>
  <c r="G33" i="54" s="1"/>
  <c r="G55" i="54" s="1"/>
  <c r="G28" i="54"/>
  <c r="G32" i="54" s="1"/>
  <c r="H57" i="54"/>
  <c r="G57" i="54"/>
  <c r="K28" i="54"/>
  <c r="K32" i="54" s="1"/>
  <c r="K27" i="54"/>
  <c r="K31" i="54" s="1"/>
  <c r="I58" i="98"/>
  <c r="H29" i="98"/>
  <c r="H33" i="98" s="1"/>
  <c r="H28" i="98"/>
  <c r="H32" i="98" s="1"/>
  <c r="H30" i="98"/>
  <c r="H34" i="98" s="1"/>
  <c r="H56" i="98" s="1"/>
  <c r="G95" i="54"/>
  <c r="H87" i="54" s="1"/>
  <c r="H89" i="54" s="1"/>
  <c r="J71" i="54"/>
  <c r="I81" i="54"/>
  <c r="I82" i="54" s="1"/>
  <c r="L20" i="54" s="1"/>
  <c r="I30" i="98"/>
  <c r="I34" i="98" s="1"/>
  <c r="I56" i="98" s="1"/>
  <c r="I28" i="98"/>
  <c r="I32" i="98" s="1"/>
  <c r="I29" i="98"/>
  <c r="I33" i="98" s="1"/>
  <c r="G13" i="14"/>
  <c r="G12" i="14"/>
  <c r="G74" i="14" s="1"/>
  <c r="H75" i="14"/>
  <c r="H65" i="133" l="1"/>
  <c r="N65" i="133" s="1"/>
  <c r="G95" i="98"/>
  <c r="H87" i="98" s="1"/>
  <c r="H89" i="98" s="1"/>
  <c r="H91" i="98" s="1"/>
  <c r="H94" i="98" s="1"/>
  <c r="H95" i="98" s="1"/>
  <c r="I87" i="98" s="1"/>
  <c r="I89" i="98" s="1"/>
  <c r="I91" i="98" s="1"/>
  <c r="I94" i="98" s="1"/>
  <c r="I95" i="98" s="1"/>
  <c r="H81" i="98"/>
  <c r="H82" i="98" s="1"/>
  <c r="J21" i="98" s="1"/>
  <c r="K21" i="98" s="1"/>
  <c r="K25" i="98" s="1"/>
  <c r="I71" i="98"/>
  <c r="I38" i="75"/>
  <c r="I37" i="75"/>
  <c r="J38" i="98"/>
  <c r="K38" i="98" s="1"/>
  <c r="K57" i="98" s="1"/>
  <c r="H39" i="119"/>
  <c r="F365" i="133"/>
  <c r="F343" i="133"/>
  <c r="K322" i="133"/>
  <c r="L228" i="133"/>
  <c r="Q219" i="133"/>
  <c r="R228" i="133" s="1"/>
  <c r="F281" i="133"/>
  <c r="K238" i="133"/>
  <c r="F259" i="133"/>
  <c r="Q280" i="133"/>
  <c r="K301" i="133"/>
  <c r="Q301" i="133" s="1"/>
  <c r="K256" i="133"/>
  <c r="Q256" i="133" s="1"/>
  <c r="Q235" i="133"/>
  <c r="F327" i="133"/>
  <c r="K284" i="133"/>
  <c r="F305" i="133"/>
  <c r="F366" i="133"/>
  <c r="F344" i="133"/>
  <c r="K323" i="133"/>
  <c r="Q279" i="133"/>
  <c r="K300" i="133"/>
  <c r="Q300" i="133" s="1"/>
  <c r="K282" i="133"/>
  <c r="F325" i="133"/>
  <c r="F303" i="133"/>
  <c r="F369" i="133"/>
  <c r="F347" i="133"/>
  <c r="K326" i="133"/>
  <c r="L292" i="133"/>
  <c r="K304" i="133"/>
  <c r="Q283" i="133"/>
  <c r="R292" i="133" s="1"/>
  <c r="K278" i="133"/>
  <c r="F321" i="133"/>
  <c r="F299" i="133"/>
  <c r="K260" i="133"/>
  <c r="Q260" i="133" s="1"/>
  <c r="Q239" i="133"/>
  <c r="Q195" i="133"/>
  <c r="K216" i="133"/>
  <c r="Q216" i="133" s="1"/>
  <c r="L270" i="133"/>
  <c r="Q261" i="133"/>
  <c r="R270" i="133" s="1"/>
  <c r="Q241" i="133"/>
  <c r="R250" i="133" s="1"/>
  <c r="K262" i="133"/>
  <c r="L250" i="133"/>
  <c r="D310" i="133"/>
  <c r="K310" i="133" s="1"/>
  <c r="Q310" i="133" s="1"/>
  <c r="H301" i="133"/>
  <c r="D300" i="133"/>
  <c r="D267" i="133"/>
  <c r="K267" i="133" s="1"/>
  <c r="Q267" i="133" s="1"/>
  <c r="D257" i="133"/>
  <c r="H258" i="133"/>
  <c r="H343" i="133"/>
  <c r="D352" i="133"/>
  <c r="K352" i="133" s="1"/>
  <c r="Q352" i="133" s="1"/>
  <c r="D342" i="133"/>
  <c r="D224" i="133"/>
  <c r="K224" i="133" s="1"/>
  <c r="Q224" i="133" s="1"/>
  <c r="D214" i="133"/>
  <c r="H215" i="133"/>
  <c r="T453" i="133"/>
  <c r="U453" i="133" s="1"/>
  <c r="N474" i="133"/>
  <c r="T474" i="133" s="1"/>
  <c r="U474" i="133" s="1"/>
  <c r="D481" i="133"/>
  <c r="K481" i="133" s="1"/>
  <c r="Q481" i="133" s="1"/>
  <c r="H472" i="133"/>
  <c r="D471" i="133"/>
  <c r="D160" i="133"/>
  <c r="K160" i="133" s="1"/>
  <c r="Q160" i="133" s="1"/>
  <c r="H151" i="133"/>
  <c r="N151" i="133" s="1"/>
  <c r="D150" i="133"/>
  <c r="H106" i="133"/>
  <c r="N106" i="133" s="1"/>
  <c r="D115" i="133"/>
  <c r="K115" i="133" s="1"/>
  <c r="Q115" i="133" s="1"/>
  <c r="D439" i="133"/>
  <c r="K439" i="133" s="1"/>
  <c r="Q439" i="133" s="1"/>
  <c r="H430" i="133"/>
  <c r="D429" i="133"/>
  <c r="T65" i="133"/>
  <c r="U65" i="133" s="1"/>
  <c r="N86" i="133"/>
  <c r="T86" i="133" s="1"/>
  <c r="U86" i="133" s="1"/>
  <c r="D203" i="133"/>
  <c r="K203" i="133" s="1"/>
  <c r="Q203" i="133" s="1"/>
  <c r="H194" i="133"/>
  <c r="N194" i="133" s="1"/>
  <c r="D193" i="133"/>
  <c r="D49" i="133"/>
  <c r="K49" i="133" s="1"/>
  <c r="D39" i="133"/>
  <c r="N40" i="133"/>
  <c r="D408" i="133"/>
  <c r="D418" i="133"/>
  <c r="K418" i="133" s="1"/>
  <c r="Q418" i="133" s="1"/>
  <c r="H409" i="133"/>
  <c r="N409" i="133" s="1"/>
  <c r="D180" i="133"/>
  <c r="K180" i="133" s="1"/>
  <c r="Q180" i="133" s="1"/>
  <c r="H171" i="133"/>
  <c r="D170" i="133"/>
  <c r="T364" i="133"/>
  <c r="U364" i="133" s="1"/>
  <c r="U371" i="133" s="1"/>
  <c r="N385" i="133"/>
  <c r="T385" i="133" s="1"/>
  <c r="U385" i="133" s="1"/>
  <c r="U392" i="133" s="1"/>
  <c r="D395" i="133"/>
  <c r="K395" i="133" s="1"/>
  <c r="Q395" i="133" s="1"/>
  <c r="H386" i="133"/>
  <c r="D385" i="133"/>
  <c r="H64" i="133"/>
  <c r="N64" i="133" s="1"/>
  <c r="D73" i="133"/>
  <c r="K73" i="133" s="1"/>
  <c r="Q73" i="133" s="1"/>
  <c r="D63" i="133"/>
  <c r="T323" i="133"/>
  <c r="U323" i="133" s="1"/>
  <c r="N344" i="133"/>
  <c r="T344" i="133" s="1"/>
  <c r="U344" i="133" s="1"/>
  <c r="N301" i="133"/>
  <c r="T301" i="133" s="1"/>
  <c r="U301" i="133" s="1"/>
  <c r="T280" i="133"/>
  <c r="U280" i="133" s="1"/>
  <c r="D138" i="133"/>
  <c r="K138" i="133" s="1"/>
  <c r="Q138" i="133" s="1"/>
  <c r="H129" i="133"/>
  <c r="D128" i="133"/>
  <c r="T152" i="133"/>
  <c r="U152" i="133" s="1"/>
  <c r="N173" i="133"/>
  <c r="T173" i="133" s="1"/>
  <c r="U173" i="133" s="1"/>
  <c r="N216" i="133"/>
  <c r="T216" i="133" s="1"/>
  <c r="U216" i="133" s="1"/>
  <c r="T195" i="133"/>
  <c r="U195" i="133" s="1"/>
  <c r="T410" i="133"/>
  <c r="U410" i="133" s="1"/>
  <c r="N431" i="133"/>
  <c r="T431" i="133" s="1"/>
  <c r="U431" i="133" s="1"/>
  <c r="D246" i="133"/>
  <c r="K246" i="133" s="1"/>
  <c r="Q246" i="133" s="1"/>
  <c r="H237" i="133"/>
  <c r="N237" i="133" s="1"/>
  <c r="D236" i="133"/>
  <c r="H86" i="133"/>
  <c r="D85" i="133"/>
  <c r="D95" i="133"/>
  <c r="K95" i="133" s="1"/>
  <c r="Q95" i="133" s="1"/>
  <c r="T107" i="133"/>
  <c r="U107" i="133" s="1"/>
  <c r="N128" i="133"/>
  <c r="T128" i="133" s="1"/>
  <c r="U128" i="133" s="1"/>
  <c r="D451" i="133"/>
  <c r="D461" i="133"/>
  <c r="K461" i="133" s="1"/>
  <c r="Q461" i="133" s="1"/>
  <c r="H452" i="133"/>
  <c r="N452" i="133" s="1"/>
  <c r="H322" i="133"/>
  <c r="N322" i="133" s="1"/>
  <c r="D331" i="133"/>
  <c r="K331" i="133" s="1"/>
  <c r="Q331" i="133" s="1"/>
  <c r="D321" i="133"/>
  <c r="H279" i="133"/>
  <c r="N279" i="133" s="1"/>
  <c r="D288" i="133"/>
  <c r="K288" i="133" s="1"/>
  <c r="Q288" i="133" s="1"/>
  <c r="D278" i="133"/>
  <c r="N259" i="133"/>
  <c r="T259" i="133" s="1"/>
  <c r="U259" i="133" s="1"/>
  <c r="T238" i="133"/>
  <c r="U238" i="133" s="1"/>
  <c r="I59" i="98"/>
  <c r="I63" i="98" s="1"/>
  <c r="I65" i="98" s="1"/>
  <c r="I66" i="98" s="1"/>
  <c r="I39" i="98" s="1"/>
  <c r="G58" i="54"/>
  <c r="G62" i="54" s="1"/>
  <c r="G64" i="54" s="1"/>
  <c r="G65" i="54" s="1"/>
  <c r="G38" i="54" s="1"/>
  <c r="J27" i="54"/>
  <c r="J31" i="54" s="1"/>
  <c r="J29" i="54"/>
  <c r="J33" i="54" s="1"/>
  <c r="J55" i="54" s="1"/>
  <c r="H58" i="54"/>
  <c r="H62" i="54" s="1"/>
  <c r="H64" i="54" s="1"/>
  <c r="H65" i="54" s="1"/>
  <c r="H38" i="54" s="1"/>
  <c r="G34" i="54"/>
  <c r="G40" i="54" s="1"/>
  <c r="H34" i="54"/>
  <c r="M20" i="54"/>
  <c r="M24" i="54" s="1"/>
  <c r="N20" i="54"/>
  <c r="N24" i="54" s="1"/>
  <c r="H91" i="54"/>
  <c r="H94" i="54" s="1"/>
  <c r="L21" i="98"/>
  <c r="L25" i="98" s="1"/>
  <c r="I35" i="98"/>
  <c r="J73" i="54"/>
  <c r="J80" i="54"/>
  <c r="J76" i="54"/>
  <c r="J78" i="54" s="1"/>
  <c r="K75" i="54" s="1"/>
  <c r="H59" i="98"/>
  <c r="H63" i="98" s="1"/>
  <c r="H65" i="98" s="1"/>
  <c r="H66" i="98" s="1"/>
  <c r="H39" i="98" s="1"/>
  <c r="K34" i="54"/>
  <c r="H35" i="98"/>
  <c r="F13" i="14"/>
  <c r="F12" i="14"/>
  <c r="F74" i="14" s="1"/>
  <c r="G75" i="14"/>
  <c r="L38" i="98" l="1"/>
  <c r="L57" i="98" s="1"/>
  <c r="I39" i="75"/>
  <c r="I73" i="98"/>
  <c r="J71" i="98" s="1"/>
  <c r="I76" i="98"/>
  <c r="I78" i="98" s="1"/>
  <c r="J75" i="98" s="1"/>
  <c r="I80" i="98"/>
  <c r="K299" i="133"/>
  <c r="Q299" i="133" s="1"/>
  <c r="Q278" i="133"/>
  <c r="F346" i="133"/>
  <c r="K325" i="133"/>
  <c r="F368" i="133"/>
  <c r="F364" i="133"/>
  <c r="K321" i="133"/>
  <c r="F342" i="133"/>
  <c r="Q238" i="133"/>
  <c r="K259" i="133"/>
  <c r="Q259" i="133" s="1"/>
  <c r="K343" i="133"/>
  <c r="Q343" i="133" s="1"/>
  <c r="Q322" i="133"/>
  <c r="L335" i="133"/>
  <c r="K347" i="133"/>
  <c r="Q326" i="133"/>
  <c r="R335" i="133" s="1"/>
  <c r="K344" i="133"/>
  <c r="Q344" i="133" s="1"/>
  <c r="Q323" i="133"/>
  <c r="Q284" i="133"/>
  <c r="R293" i="133" s="1"/>
  <c r="K305" i="133"/>
  <c r="L293" i="133"/>
  <c r="K281" i="133"/>
  <c r="F324" i="133"/>
  <c r="F302" i="133"/>
  <c r="K303" i="133"/>
  <c r="Q303" i="133" s="1"/>
  <c r="Q282" i="133"/>
  <c r="K327" i="133"/>
  <c r="F348" i="133"/>
  <c r="F370" i="133"/>
  <c r="F386" i="133"/>
  <c r="K365" i="133"/>
  <c r="F408" i="133"/>
  <c r="Q262" i="133"/>
  <c r="R271" i="133" s="1"/>
  <c r="L271" i="133"/>
  <c r="L313" i="133"/>
  <c r="Q304" i="133"/>
  <c r="R313" i="133" s="1"/>
  <c r="F390" i="133"/>
  <c r="F412" i="133"/>
  <c r="K369" i="133"/>
  <c r="F409" i="133"/>
  <c r="K366" i="133"/>
  <c r="F387" i="133"/>
  <c r="D309" i="133"/>
  <c r="K309" i="133" s="1"/>
  <c r="Q309" i="133" s="1"/>
  <c r="H300" i="133"/>
  <c r="D299" i="133"/>
  <c r="D266" i="133"/>
  <c r="K266" i="133" s="1"/>
  <c r="Q266" i="133" s="1"/>
  <c r="H257" i="133"/>
  <c r="D256" i="133"/>
  <c r="D330" i="133"/>
  <c r="K330" i="133" s="1"/>
  <c r="Q330" i="133" s="1"/>
  <c r="H321" i="133"/>
  <c r="N321" i="133" s="1"/>
  <c r="D137" i="133"/>
  <c r="K137" i="133" s="1"/>
  <c r="Q137" i="133" s="1"/>
  <c r="H128" i="133"/>
  <c r="D127" i="133"/>
  <c r="D394" i="133"/>
  <c r="K394" i="133" s="1"/>
  <c r="Q394" i="133" s="1"/>
  <c r="H385" i="133"/>
  <c r="U380" i="133"/>
  <c r="U379" i="133"/>
  <c r="N430" i="133"/>
  <c r="T430" i="133" s="1"/>
  <c r="U430" i="133" s="1"/>
  <c r="T409" i="133"/>
  <c r="U409" i="133" s="1"/>
  <c r="N39" i="133"/>
  <c r="D48" i="133"/>
  <c r="K48" i="133" s="1"/>
  <c r="D159" i="133"/>
  <c r="K159" i="133" s="1"/>
  <c r="Q159" i="133" s="1"/>
  <c r="D149" i="133"/>
  <c r="H150" i="133"/>
  <c r="N150" i="133" s="1"/>
  <c r="D287" i="133"/>
  <c r="K287" i="133" s="1"/>
  <c r="Q287" i="133" s="1"/>
  <c r="H278" i="133"/>
  <c r="N278" i="133" s="1"/>
  <c r="H63" i="133"/>
  <c r="N63" i="133" s="1"/>
  <c r="D72" i="133"/>
  <c r="K72" i="133" s="1"/>
  <c r="Q72" i="133" s="1"/>
  <c r="D179" i="133"/>
  <c r="K179" i="133" s="1"/>
  <c r="Q179" i="133" s="1"/>
  <c r="H170" i="133"/>
  <c r="T151" i="133"/>
  <c r="U151" i="133" s="1"/>
  <c r="N172" i="133"/>
  <c r="T172" i="133" s="1"/>
  <c r="U172" i="133" s="1"/>
  <c r="H471" i="133"/>
  <c r="D480" i="133"/>
  <c r="K480" i="133" s="1"/>
  <c r="Q480" i="133" s="1"/>
  <c r="D351" i="133"/>
  <c r="K351" i="133" s="1"/>
  <c r="Q351" i="133" s="1"/>
  <c r="H342" i="133"/>
  <c r="T237" i="133"/>
  <c r="U237" i="133" s="1"/>
  <c r="N258" i="133"/>
  <c r="T258" i="133" s="1"/>
  <c r="U258" i="133" s="1"/>
  <c r="D460" i="133"/>
  <c r="K460" i="133" s="1"/>
  <c r="Q460" i="133" s="1"/>
  <c r="H451" i="133"/>
  <c r="N451" i="133" s="1"/>
  <c r="D450" i="133"/>
  <c r="D84" i="133"/>
  <c r="D94" i="133"/>
  <c r="K94" i="133" s="1"/>
  <c r="Q94" i="133" s="1"/>
  <c r="H85" i="133"/>
  <c r="T322" i="133"/>
  <c r="U322" i="133" s="1"/>
  <c r="N343" i="133"/>
  <c r="T343" i="133" s="1"/>
  <c r="U343" i="133" s="1"/>
  <c r="D407" i="133"/>
  <c r="H408" i="133"/>
  <c r="N408" i="133" s="1"/>
  <c r="D417" i="133"/>
  <c r="K417" i="133" s="1"/>
  <c r="Q417" i="133" s="1"/>
  <c r="H193" i="133"/>
  <c r="N193" i="133" s="1"/>
  <c r="D202" i="133"/>
  <c r="K202" i="133" s="1"/>
  <c r="Q202" i="133" s="1"/>
  <c r="D192" i="133"/>
  <c r="N300" i="133"/>
  <c r="T300" i="133" s="1"/>
  <c r="U300" i="133" s="1"/>
  <c r="T279" i="133"/>
  <c r="U279" i="133" s="1"/>
  <c r="N473" i="133"/>
  <c r="T473" i="133" s="1"/>
  <c r="U473" i="133" s="1"/>
  <c r="T452" i="133"/>
  <c r="U452" i="133" s="1"/>
  <c r="D245" i="133"/>
  <c r="K245" i="133" s="1"/>
  <c r="Q245" i="133" s="1"/>
  <c r="D235" i="133"/>
  <c r="H236" i="133"/>
  <c r="N236" i="133" s="1"/>
  <c r="T64" i="133"/>
  <c r="U64" i="133" s="1"/>
  <c r="N85" i="133"/>
  <c r="T85" i="133" s="1"/>
  <c r="U85" i="133" s="1"/>
  <c r="U400" i="133"/>
  <c r="U401" i="133"/>
  <c r="N215" i="133"/>
  <c r="T215" i="133" s="1"/>
  <c r="U215" i="133" s="1"/>
  <c r="T194" i="133"/>
  <c r="U194" i="133" s="1"/>
  <c r="D438" i="133"/>
  <c r="K438" i="133" s="1"/>
  <c r="Q438" i="133" s="1"/>
  <c r="H429" i="133"/>
  <c r="D428" i="133"/>
  <c r="T106" i="133"/>
  <c r="U106" i="133" s="1"/>
  <c r="U113" i="133" s="1"/>
  <c r="N127" i="133"/>
  <c r="T127" i="133" s="1"/>
  <c r="U127" i="133" s="1"/>
  <c r="U134" i="133" s="1"/>
  <c r="D223" i="133"/>
  <c r="K223" i="133" s="1"/>
  <c r="Q223" i="133" s="1"/>
  <c r="H214" i="133"/>
  <c r="D213" i="133"/>
  <c r="I41" i="98"/>
  <c r="I44" i="98" s="1"/>
  <c r="I46" i="98" s="1"/>
  <c r="J34" i="54"/>
  <c r="H40" i="54"/>
  <c r="H43" i="54" s="1"/>
  <c r="H41" i="98"/>
  <c r="L58" i="98"/>
  <c r="K58" i="98"/>
  <c r="K71" i="54"/>
  <c r="J81" i="54"/>
  <c r="J82" i="54" s="1"/>
  <c r="O20" i="54" s="1"/>
  <c r="L29" i="98"/>
  <c r="L33" i="98" s="1"/>
  <c r="L28" i="98"/>
  <c r="L32" i="98" s="1"/>
  <c r="L30" i="98"/>
  <c r="L34" i="98" s="1"/>
  <c r="L56" i="98" s="1"/>
  <c r="K57" i="54"/>
  <c r="K58" i="54" s="1"/>
  <c r="K62" i="54" s="1"/>
  <c r="K64" i="54" s="1"/>
  <c r="K65" i="54" s="1"/>
  <c r="K38" i="54" s="1"/>
  <c r="K40" i="54" s="1"/>
  <c r="K43" i="54" s="1"/>
  <c r="J57" i="54"/>
  <c r="J58" i="54" s="1"/>
  <c r="J62" i="54" s="1"/>
  <c r="J64" i="54" s="1"/>
  <c r="J65" i="54" s="1"/>
  <c r="J38" i="54" s="1"/>
  <c r="J40" i="54" s="1"/>
  <c r="N29" i="54"/>
  <c r="N33" i="54" s="1"/>
  <c r="N55" i="54" s="1"/>
  <c r="N27" i="54"/>
  <c r="N31" i="54" s="1"/>
  <c r="N28" i="54"/>
  <c r="N32" i="54" s="1"/>
  <c r="K30" i="98"/>
  <c r="K34" i="98" s="1"/>
  <c r="K56" i="98" s="1"/>
  <c r="K28" i="98"/>
  <c r="K32" i="98" s="1"/>
  <c r="K29" i="98"/>
  <c r="K33" i="98" s="1"/>
  <c r="H95" i="54"/>
  <c r="I87" i="54" s="1"/>
  <c r="I89" i="54" s="1"/>
  <c r="M29" i="54"/>
  <c r="M33" i="54" s="1"/>
  <c r="M55" i="54" s="1"/>
  <c r="M27" i="54"/>
  <c r="M31" i="54" s="1"/>
  <c r="M28" i="54"/>
  <c r="M32" i="54" s="1"/>
  <c r="E13" i="14"/>
  <c r="E12" i="14"/>
  <c r="E74" i="14" s="1"/>
  <c r="F75" i="14"/>
  <c r="M38" i="98" l="1"/>
  <c r="I81" i="98"/>
  <c r="I82" i="98" s="1"/>
  <c r="M21" i="98" s="1"/>
  <c r="K348" i="133"/>
  <c r="Q327" i="133"/>
  <c r="R336" i="133" s="1"/>
  <c r="L336" i="133"/>
  <c r="K346" i="133"/>
  <c r="Q346" i="133" s="1"/>
  <c r="Q325" i="133"/>
  <c r="K342" i="133"/>
  <c r="Q342" i="133" s="1"/>
  <c r="Q321" i="133"/>
  <c r="L378" i="133"/>
  <c r="K390" i="133"/>
  <c r="Q369" i="133"/>
  <c r="R378" i="133" s="1"/>
  <c r="F391" i="133"/>
  <c r="K370" i="133"/>
  <c r="F413" i="133"/>
  <c r="F345" i="133"/>
  <c r="K324" i="133"/>
  <c r="F367" i="133"/>
  <c r="L356" i="133"/>
  <c r="Q347" i="133"/>
  <c r="R356" i="133" s="1"/>
  <c r="F385" i="133"/>
  <c r="K364" i="133"/>
  <c r="F407" i="133"/>
  <c r="K387" i="133"/>
  <c r="Q387" i="133" s="1"/>
  <c r="Q366" i="133"/>
  <c r="Q365" i="133"/>
  <c r="K386" i="133"/>
  <c r="Q386" i="133" s="1"/>
  <c r="F452" i="133"/>
  <c r="F430" i="133"/>
  <c r="K409" i="133"/>
  <c r="Q305" i="133"/>
  <c r="R314" i="133" s="1"/>
  <c r="L314" i="133"/>
  <c r="K412" i="133"/>
  <c r="F433" i="133"/>
  <c r="F455" i="133"/>
  <c r="K408" i="133"/>
  <c r="F451" i="133"/>
  <c r="F429" i="133"/>
  <c r="Q281" i="133"/>
  <c r="K302" i="133"/>
  <c r="Q302" i="133" s="1"/>
  <c r="F389" i="133"/>
  <c r="K368" i="133"/>
  <c r="F411" i="133"/>
  <c r="D308" i="133"/>
  <c r="K308" i="133" s="1"/>
  <c r="Q308" i="133" s="1"/>
  <c r="H299" i="133"/>
  <c r="D265" i="133"/>
  <c r="K265" i="133" s="1"/>
  <c r="Q265" i="133" s="1"/>
  <c r="H256" i="133"/>
  <c r="H428" i="133"/>
  <c r="D437" i="133"/>
  <c r="K437" i="133" s="1"/>
  <c r="Q437" i="133" s="1"/>
  <c r="D201" i="133"/>
  <c r="K201" i="133" s="1"/>
  <c r="Q201" i="133" s="1"/>
  <c r="H192" i="133"/>
  <c r="N192" i="133" s="1"/>
  <c r="T408" i="133"/>
  <c r="U408" i="133" s="1"/>
  <c r="N429" i="133"/>
  <c r="T429" i="133" s="1"/>
  <c r="U429" i="133" s="1"/>
  <c r="T451" i="133"/>
  <c r="U451" i="133" s="1"/>
  <c r="N472" i="133"/>
  <c r="T472" i="133" s="1"/>
  <c r="U472" i="133" s="1"/>
  <c r="N171" i="133"/>
  <c r="T171" i="133" s="1"/>
  <c r="U171" i="133" s="1"/>
  <c r="T150" i="133"/>
  <c r="U150" i="133" s="1"/>
  <c r="T236" i="133"/>
  <c r="U236" i="133" s="1"/>
  <c r="N257" i="133"/>
  <c r="T257" i="133" s="1"/>
  <c r="U257" i="133" s="1"/>
  <c r="D416" i="133"/>
  <c r="K416" i="133" s="1"/>
  <c r="Q416" i="133" s="1"/>
  <c r="H407" i="133"/>
  <c r="N407" i="133" s="1"/>
  <c r="T63" i="133"/>
  <c r="U63" i="133" s="1"/>
  <c r="U70" i="133" s="1"/>
  <c r="N84" i="133"/>
  <c r="T84" i="133" s="1"/>
  <c r="U84" i="133" s="1"/>
  <c r="U91" i="133" s="1"/>
  <c r="H149" i="133"/>
  <c r="N149" i="133" s="1"/>
  <c r="D158" i="133"/>
  <c r="K158" i="133" s="1"/>
  <c r="Q158" i="133" s="1"/>
  <c r="U143" i="133"/>
  <c r="U142" i="133"/>
  <c r="D244" i="133"/>
  <c r="K244" i="133" s="1"/>
  <c r="Q244" i="133" s="1"/>
  <c r="H235" i="133"/>
  <c r="N235" i="133" s="1"/>
  <c r="N214" i="133"/>
  <c r="T214" i="133" s="1"/>
  <c r="U214" i="133" s="1"/>
  <c r="T193" i="133"/>
  <c r="U193" i="133" s="1"/>
  <c r="D93" i="133"/>
  <c r="K93" i="133" s="1"/>
  <c r="Q93" i="133" s="1"/>
  <c r="H84" i="133"/>
  <c r="N299" i="133"/>
  <c r="T299" i="133" s="1"/>
  <c r="U299" i="133" s="1"/>
  <c r="U306" i="133" s="1"/>
  <c r="T278" i="133"/>
  <c r="U278" i="133" s="1"/>
  <c r="U285" i="133" s="1"/>
  <c r="N342" i="133"/>
  <c r="T342" i="133" s="1"/>
  <c r="U342" i="133" s="1"/>
  <c r="U349" i="133" s="1"/>
  <c r="T321" i="133"/>
  <c r="U321" i="133" s="1"/>
  <c r="U328" i="133" s="1"/>
  <c r="H213" i="133"/>
  <c r="D222" i="133"/>
  <c r="K222" i="133" s="1"/>
  <c r="Q222" i="133" s="1"/>
  <c r="D459" i="133"/>
  <c r="K459" i="133" s="1"/>
  <c r="Q459" i="133" s="1"/>
  <c r="H450" i="133"/>
  <c r="N450" i="133" s="1"/>
  <c r="H127" i="133"/>
  <c r="D136" i="133"/>
  <c r="K136" i="133" s="1"/>
  <c r="Q136" i="133" s="1"/>
  <c r="H3" i="144"/>
  <c r="K45" i="54"/>
  <c r="H4" i="143"/>
  <c r="H45" i="54"/>
  <c r="H3" i="143"/>
  <c r="K59" i="98"/>
  <c r="K63" i="98" s="1"/>
  <c r="K65" i="98" s="1"/>
  <c r="K66" i="98" s="1"/>
  <c r="K39" i="98" s="1"/>
  <c r="L59" i="98"/>
  <c r="L63" i="98" s="1"/>
  <c r="L65" i="98" s="1"/>
  <c r="L66" i="98" s="1"/>
  <c r="L39" i="98" s="1"/>
  <c r="L35" i="98"/>
  <c r="N34" i="54"/>
  <c r="Q20" i="54"/>
  <c r="Q24" i="54" s="1"/>
  <c r="P20" i="54"/>
  <c r="P24" i="54" s="1"/>
  <c r="O21" i="98"/>
  <c r="O25" i="98" s="1"/>
  <c r="N21" i="98"/>
  <c r="N25" i="98" s="1"/>
  <c r="J80" i="98"/>
  <c r="J76" i="98"/>
  <c r="J78" i="98" s="1"/>
  <c r="J73" i="98"/>
  <c r="M34" i="54"/>
  <c r="J87" i="98"/>
  <c r="J89" i="98" s="1"/>
  <c r="K35" i="98"/>
  <c r="I91" i="54"/>
  <c r="I94" i="54" s="1"/>
  <c r="I95" i="54" s="1"/>
  <c r="J87" i="54" s="1"/>
  <c r="J89" i="54" s="1"/>
  <c r="N38" i="98"/>
  <c r="N57" i="98" s="1"/>
  <c r="O38" i="98"/>
  <c r="O57" i="98" s="1"/>
  <c r="K76" i="54"/>
  <c r="K78" i="54" s="1"/>
  <c r="L75" i="54" s="1"/>
  <c r="K80" i="54"/>
  <c r="K73" i="54"/>
  <c r="D13" i="14"/>
  <c r="D12" i="14"/>
  <c r="D74" i="14" s="1"/>
  <c r="E75" i="14"/>
  <c r="K429" i="133" l="1"/>
  <c r="Q429" i="133" s="1"/>
  <c r="Q408" i="133"/>
  <c r="Q324" i="133"/>
  <c r="K345" i="133"/>
  <c r="Q345" i="133" s="1"/>
  <c r="K455" i="133"/>
  <c r="F476" i="133"/>
  <c r="K451" i="133"/>
  <c r="F472" i="133"/>
  <c r="K433" i="133"/>
  <c r="Q412" i="133"/>
  <c r="R421" i="133" s="1"/>
  <c r="L421" i="133"/>
  <c r="K430" i="133"/>
  <c r="Q430" i="133" s="1"/>
  <c r="Q409" i="133"/>
  <c r="K385" i="133"/>
  <c r="Q385" i="133" s="1"/>
  <c r="Q364" i="133"/>
  <c r="F410" i="133"/>
  <c r="K367" i="133"/>
  <c r="F388" i="133"/>
  <c r="Q370" i="133"/>
  <c r="R379" i="133" s="1"/>
  <c r="K391" i="133"/>
  <c r="L379" i="133"/>
  <c r="F432" i="133"/>
  <c r="K411" i="133"/>
  <c r="F454" i="133"/>
  <c r="F473" i="133"/>
  <c r="K452" i="133"/>
  <c r="Q348" i="133"/>
  <c r="R357" i="133" s="1"/>
  <c r="L357" i="133"/>
  <c r="K389" i="133"/>
  <c r="Q389" i="133" s="1"/>
  <c r="Q368" i="133"/>
  <c r="F450" i="133"/>
  <c r="F428" i="133"/>
  <c r="K407" i="133"/>
  <c r="F456" i="133"/>
  <c r="F434" i="133"/>
  <c r="K413" i="133"/>
  <c r="L399" i="133"/>
  <c r="Q390" i="133"/>
  <c r="R399" i="133" s="1"/>
  <c r="N471" i="133"/>
  <c r="T471" i="133" s="1"/>
  <c r="U471" i="133" s="1"/>
  <c r="U478" i="133" s="1"/>
  <c r="T450" i="133"/>
  <c r="U450" i="133" s="1"/>
  <c r="U457" i="133" s="1"/>
  <c r="U294" i="133"/>
  <c r="U293" i="133"/>
  <c r="U100" i="133"/>
  <c r="U99" i="133"/>
  <c r="T192" i="133"/>
  <c r="U192" i="133" s="1"/>
  <c r="U199" i="133" s="1"/>
  <c r="N213" i="133"/>
  <c r="T213" i="133" s="1"/>
  <c r="U213" i="133" s="1"/>
  <c r="U220" i="133" s="1"/>
  <c r="U314" i="133"/>
  <c r="U315" i="133"/>
  <c r="U337" i="133"/>
  <c r="U336" i="133"/>
  <c r="T235" i="133"/>
  <c r="U235" i="133" s="1"/>
  <c r="U242" i="133" s="1"/>
  <c r="N256" i="133"/>
  <c r="T256" i="133" s="1"/>
  <c r="U256" i="133" s="1"/>
  <c r="U263" i="133" s="1"/>
  <c r="N428" i="133"/>
  <c r="T428" i="133" s="1"/>
  <c r="U428" i="133" s="1"/>
  <c r="U435" i="133" s="1"/>
  <c r="T407" i="133"/>
  <c r="U407" i="133" s="1"/>
  <c r="U414" i="133" s="1"/>
  <c r="U357" i="133"/>
  <c r="U358" i="133"/>
  <c r="T149" i="133"/>
  <c r="U149" i="133" s="1"/>
  <c r="U156" i="133" s="1"/>
  <c r="N170" i="133"/>
  <c r="T170" i="133" s="1"/>
  <c r="U170" i="133" s="1"/>
  <c r="U177" i="133" s="1"/>
  <c r="L41" i="98"/>
  <c r="L44" i="98" s="1"/>
  <c r="L46" i="98" s="1"/>
  <c r="K41" i="98"/>
  <c r="K75" i="98"/>
  <c r="P38" i="98"/>
  <c r="J91" i="98"/>
  <c r="J94" i="98" s="1"/>
  <c r="J95" i="98" s="1"/>
  <c r="K87" i="98" s="1"/>
  <c r="K89" i="98" s="1"/>
  <c r="K71" i="98"/>
  <c r="J81" i="98"/>
  <c r="K80" i="98" s="1"/>
  <c r="O30" i="98"/>
  <c r="O34" i="98" s="1"/>
  <c r="O56" i="98" s="1"/>
  <c r="O28" i="98"/>
  <c r="O32" i="98" s="1"/>
  <c r="O29" i="98"/>
  <c r="O33" i="98" s="1"/>
  <c r="K81" i="54"/>
  <c r="L80" i="54" s="1"/>
  <c r="L71" i="54"/>
  <c r="P28" i="54"/>
  <c r="P32" i="54" s="1"/>
  <c r="P29" i="54"/>
  <c r="P33" i="54" s="1"/>
  <c r="P55" i="54" s="1"/>
  <c r="P27" i="54"/>
  <c r="P31" i="54" s="1"/>
  <c r="J91" i="54"/>
  <c r="J94" i="54" s="1"/>
  <c r="N57" i="54"/>
  <c r="N58" i="54" s="1"/>
  <c r="N62" i="54" s="1"/>
  <c r="N64" i="54" s="1"/>
  <c r="N65" i="54" s="1"/>
  <c r="N38" i="54" s="1"/>
  <c r="N40" i="54" s="1"/>
  <c r="N43" i="54" s="1"/>
  <c r="M57" i="54"/>
  <c r="M58" i="54" s="1"/>
  <c r="M62" i="54" s="1"/>
  <c r="M64" i="54" s="1"/>
  <c r="M65" i="54" s="1"/>
  <c r="M38" i="54" s="1"/>
  <c r="M40" i="54" s="1"/>
  <c r="O58" i="98"/>
  <c r="N58" i="98"/>
  <c r="N29" i="98"/>
  <c r="N33" i="98" s="1"/>
  <c r="N30" i="98"/>
  <c r="N34" i="98" s="1"/>
  <c r="N56" i="98" s="1"/>
  <c r="N28" i="98"/>
  <c r="N32" i="98" s="1"/>
  <c r="Q28" i="54"/>
  <c r="Q32" i="54" s="1"/>
  <c r="Q29" i="54"/>
  <c r="Q33" i="54" s="1"/>
  <c r="Q55" i="54" s="1"/>
  <c r="Q27" i="54"/>
  <c r="Q31" i="54" s="1"/>
  <c r="C13" i="14"/>
  <c r="C75" i="14" s="1"/>
  <c r="C12" i="14"/>
  <c r="C74" i="14" s="1"/>
  <c r="D75" i="14"/>
  <c r="L400" i="133" l="1"/>
  <c r="Q391" i="133"/>
  <c r="R400" i="133" s="1"/>
  <c r="K472" i="133"/>
  <c r="Q472" i="133" s="1"/>
  <c r="Q451" i="133"/>
  <c r="F477" i="133"/>
  <c r="K456" i="133"/>
  <c r="K473" i="133"/>
  <c r="Q473" i="133" s="1"/>
  <c r="Q452" i="133"/>
  <c r="L422" i="133"/>
  <c r="K434" i="133"/>
  <c r="Q413" i="133"/>
  <c r="R422" i="133" s="1"/>
  <c r="F475" i="133"/>
  <c r="K454" i="133"/>
  <c r="F453" i="133"/>
  <c r="F431" i="133"/>
  <c r="K410" i="133"/>
  <c r="F471" i="133"/>
  <c r="K450" i="133"/>
  <c r="Q411" i="133"/>
  <c r="K432" i="133"/>
  <c r="Q432" i="133" s="1"/>
  <c r="Q407" i="133"/>
  <c r="K428" i="133"/>
  <c r="Q428" i="133" s="1"/>
  <c r="K388" i="133"/>
  <c r="Q388" i="133" s="1"/>
  <c r="Q367" i="133"/>
  <c r="L442" i="133"/>
  <c r="Q433" i="133"/>
  <c r="R442" i="133" s="1"/>
  <c r="K476" i="133"/>
  <c r="Q455" i="133"/>
  <c r="R464" i="133" s="1"/>
  <c r="L464" i="133"/>
  <c r="U165" i="133"/>
  <c r="U164" i="133"/>
  <c r="U444" i="133"/>
  <c r="U443" i="133"/>
  <c r="U487" i="133"/>
  <c r="U486" i="133"/>
  <c r="U272" i="133"/>
  <c r="U271" i="133"/>
  <c r="U229" i="133"/>
  <c r="U228" i="133"/>
  <c r="U251" i="133"/>
  <c r="U250" i="133"/>
  <c r="U207" i="133"/>
  <c r="U208" i="133"/>
  <c r="U185" i="133"/>
  <c r="U186" i="133"/>
  <c r="U422" i="133"/>
  <c r="U423" i="133"/>
  <c r="U465" i="133"/>
  <c r="U466" i="133"/>
  <c r="J82" i="98"/>
  <c r="H4" i="144"/>
  <c r="N45" i="54"/>
  <c r="H5" i="143"/>
  <c r="K82" i="54"/>
  <c r="R20" i="54" s="1"/>
  <c r="S20" i="54" s="1"/>
  <c r="S24" i="54" s="1"/>
  <c r="P34" i="54"/>
  <c r="O59" i="98"/>
  <c r="O63" i="98" s="1"/>
  <c r="O65" i="98" s="1"/>
  <c r="O66" i="98" s="1"/>
  <c r="O39" i="98" s="1"/>
  <c r="N35" i="98"/>
  <c r="K91" i="98"/>
  <c r="K94" i="98" s="1"/>
  <c r="R58" i="98"/>
  <c r="Q58" i="98"/>
  <c r="Q34" i="54"/>
  <c r="N59" i="98"/>
  <c r="N63" i="98" s="1"/>
  <c r="N65" i="98" s="1"/>
  <c r="N66" i="98" s="1"/>
  <c r="N39" i="98" s="1"/>
  <c r="Q57" i="54"/>
  <c r="Q58" i="54" s="1"/>
  <c r="Q62" i="54" s="1"/>
  <c r="Q64" i="54" s="1"/>
  <c r="Q65" i="54" s="1"/>
  <c r="Q38" i="54" s="1"/>
  <c r="P57" i="54"/>
  <c r="P58" i="54" s="1"/>
  <c r="P62" i="54" s="1"/>
  <c r="P64" i="54" s="1"/>
  <c r="P65" i="54" s="1"/>
  <c r="P38" i="54" s="1"/>
  <c r="R38" i="98"/>
  <c r="R57" i="98" s="1"/>
  <c r="Q38" i="98"/>
  <c r="Q57" i="98" s="1"/>
  <c r="L76" i="54"/>
  <c r="L73" i="54"/>
  <c r="J95" i="54"/>
  <c r="K87" i="54" s="1"/>
  <c r="K89" i="54" s="1"/>
  <c r="O35" i="98"/>
  <c r="K76" i="98"/>
  <c r="S38" i="98" s="1"/>
  <c r="K73" i="98"/>
  <c r="L485" i="133" l="1"/>
  <c r="Q476" i="133"/>
  <c r="R485" i="133" s="1"/>
  <c r="Q450" i="133"/>
  <c r="K471" i="133"/>
  <c r="Q471" i="133" s="1"/>
  <c r="F474" i="133"/>
  <c r="K453" i="133"/>
  <c r="L443" i="133"/>
  <c r="Q434" i="133"/>
  <c r="R443" i="133" s="1"/>
  <c r="L465" i="133"/>
  <c r="Q456" i="133"/>
  <c r="R465" i="133" s="1"/>
  <c r="K477" i="133"/>
  <c r="K431" i="133"/>
  <c r="Q431" i="133" s="1"/>
  <c r="Q410" i="133"/>
  <c r="Q454" i="133"/>
  <c r="K475" i="133"/>
  <c r="Q475" i="133" s="1"/>
  <c r="O41" i="98"/>
  <c r="O44" i="98" s="1"/>
  <c r="O46" i="98" s="1"/>
  <c r="P21" i="98"/>
  <c r="D21" i="98"/>
  <c r="P40" i="54"/>
  <c r="T20" i="54"/>
  <c r="T24" i="54" s="1"/>
  <c r="T29" i="54" s="1"/>
  <c r="T33" i="54" s="1"/>
  <c r="T55" i="54" s="1"/>
  <c r="K78" i="98"/>
  <c r="L75" i="98" s="1"/>
  <c r="N41" i="98"/>
  <c r="M71" i="54"/>
  <c r="L71" i="98"/>
  <c r="Q40" i="54"/>
  <c r="Q43" i="54" s="1"/>
  <c r="U58" i="98"/>
  <c r="T58" i="98"/>
  <c r="U37" i="54"/>
  <c r="L78" i="54"/>
  <c r="M75" i="54" s="1"/>
  <c r="T38" i="98"/>
  <c r="T57" i="98" s="1"/>
  <c r="U38" i="98"/>
  <c r="U57" i="98" s="1"/>
  <c r="K91" i="54"/>
  <c r="K94" i="54" s="1"/>
  <c r="S29" i="54"/>
  <c r="S33" i="54" s="1"/>
  <c r="S55" i="54" s="1"/>
  <c r="S27" i="54"/>
  <c r="S31" i="54" s="1"/>
  <c r="S28" i="54"/>
  <c r="S32" i="54" s="1"/>
  <c r="K95" i="98"/>
  <c r="L87" i="98" s="1"/>
  <c r="L89" i="98" s="1"/>
  <c r="H5" i="144" l="1"/>
  <c r="L486" i="133"/>
  <c r="Q477" i="133"/>
  <c r="R486" i="133" s="1"/>
  <c r="K474" i="133"/>
  <c r="Q474" i="133" s="1"/>
  <c r="Q453" i="133"/>
  <c r="F21" i="98"/>
  <c r="F25" i="98" s="1"/>
  <c r="E21" i="98"/>
  <c r="E25" i="98" s="1"/>
  <c r="K81" i="98"/>
  <c r="K82" i="98" s="1"/>
  <c r="S21" i="98" s="1"/>
  <c r="Q21" i="98"/>
  <c r="Q25" i="98" s="1"/>
  <c r="R21" i="98"/>
  <c r="R25" i="98" s="1"/>
  <c r="T28" i="54"/>
  <c r="T32" i="54" s="1"/>
  <c r="T27" i="54"/>
  <c r="T31" i="54" s="1"/>
  <c r="T34" i="54" s="1"/>
  <c r="Q45" i="54"/>
  <c r="H6" i="143"/>
  <c r="L76" i="98"/>
  <c r="L73" i="98"/>
  <c r="M71" i="98" s="1"/>
  <c r="T57" i="54"/>
  <c r="T58" i="54" s="1"/>
  <c r="T62" i="54" s="1"/>
  <c r="T64" i="54" s="1"/>
  <c r="T65" i="54" s="1"/>
  <c r="T38" i="54" s="1"/>
  <c r="S57" i="54"/>
  <c r="S58" i="54" s="1"/>
  <c r="S62" i="54" s="1"/>
  <c r="S64" i="54" s="1"/>
  <c r="S65" i="54" s="1"/>
  <c r="S38" i="54" s="1"/>
  <c r="K95" i="54"/>
  <c r="L87" i="54" s="1"/>
  <c r="L89" i="54" s="1"/>
  <c r="W37" i="54"/>
  <c r="W56" i="54" s="1"/>
  <c r="V37" i="54"/>
  <c r="V56" i="54" s="1"/>
  <c r="M73" i="54"/>
  <c r="M76" i="54"/>
  <c r="X37" i="54" s="1"/>
  <c r="L91" i="98"/>
  <c r="L94" i="98" s="1"/>
  <c r="S34" i="54"/>
  <c r="L81" i="54"/>
  <c r="L80" i="98" l="1"/>
  <c r="E30" i="98"/>
  <c r="E34" i="98" s="1"/>
  <c r="E56" i="98" s="1"/>
  <c r="E59" i="98" s="1"/>
  <c r="E63" i="98" s="1"/>
  <c r="E65" i="98" s="1"/>
  <c r="E66" i="98" s="1"/>
  <c r="E39" i="98" s="1"/>
  <c r="E28" i="98"/>
  <c r="E32" i="98" s="1"/>
  <c r="E29" i="98"/>
  <c r="E33" i="98" s="1"/>
  <c r="Q29" i="98"/>
  <c r="Q33" i="98" s="1"/>
  <c r="Q30" i="98"/>
  <c r="Q34" i="98" s="1"/>
  <c r="Q56" i="98" s="1"/>
  <c r="Q59" i="98" s="1"/>
  <c r="Q63" i="98" s="1"/>
  <c r="Q65" i="98" s="1"/>
  <c r="Q66" i="98" s="1"/>
  <c r="Q39" i="98" s="1"/>
  <c r="Q28" i="98"/>
  <c r="Q32" i="98" s="1"/>
  <c r="R29" i="98"/>
  <c r="R33" i="98" s="1"/>
  <c r="R30" i="98"/>
  <c r="R34" i="98" s="1"/>
  <c r="R56" i="98" s="1"/>
  <c r="R59" i="98" s="1"/>
  <c r="R63" i="98" s="1"/>
  <c r="R65" i="98" s="1"/>
  <c r="R66" i="98" s="1"/>
  <c r="R39" i="98" s="1"/>
  <c r="R28" i="98"/>
  <c r="R32" i="98" s="1"/>
  <c r="F30" i="98"/>
  <c r="F34" i="98" s="1"/>
  <c r="F56" i="98" s="1"/>
  <c r="F59" i="98" s="1"/>
  <c r="F63" i="98" s="1"/>
  <c r="F65" i="98" s="1"/>
  <c r="F66" i="98" s="1"/>
  <c r="F39" i="98" s="1"/>
  <c r="F28" i="98"/>
  <c r="F32" i="98" s="1"/>
  <c r="F29" i="98"/>
  <c r="F33" i="98" s="1"/>
  <c r="Z37" i="54"/>
  <c r="Z56" i="54" s="1"/>
  <c r="Y37" i="54"/>
  <c r="Y56" i="54" s="1"/>
  <c r="S40" i="54"/>
  <c r="N71" i="54"/>
  <c r="L91" i="54"/>
  <c r="L94" i="54" s="1"/>
  <c r="L95" i="54" s="1"/>
  <c r="M87" i="54" s="1"/>
  <c r="M89" i="54" s="1"/>
  <c r="U21" i="98"/>
  <c r="U25" i="98" s="1"/>
  <c r="T21" i="98"/>
  <c r="T25" i="98" s="1"/>
  <c r="V38" i="98"/>
  <c r="L78" i="98"/>
  <c r="M75" i="98" s="1"/>
  <c r="X58" i="98"/>
  <c r="W58" i="98"/>
  <c r="T40" i="54"/>
  <c r="T43" i="54" s="1"/>
  <c r="M78" i="54"/>
  <c r="N75" i="54" s="1"/>
  <c r="M80" i="54"/>
  <c r="L82" i="54"/>
  <c r="U20" i="54" s="1"/>
  <c r="L95" i="98"/>
  <c r="M87" i="98" s="1"/>
  <c r="M89" i="98" s="1"/>
  <c r="E35" i="98" l="1"/>
  <c r="R35" i="98"/>
  <c r="R41" i="98" s="1"/>
  <c r="R44" i="98" s="1"/>
  <c r="H6" i="144" s="1"/>
  <c r="F35" i="98"/>
  <c r="F41" i="98" s="1"/>
  <c r="F44" i="98" s="1"/>
  <c r="Q35" i="98"/>
  <c r="Q41" i="98" s="1"/>
  <c r="E41" i="98"/>
  <c r="W20" i="54"/>
  <c r="W24" i="54" s="1"/>
  <c r="V20" i="54"/>
  <c r="V24" i="54" s="1"/>
  <c r="H7" i="143"/>
  <c r="T45" i="54"/>
  <c r="X38" i="98"/>
  <c r="X57" i="98" s="1"/>
  <c r="W38" i="98"/>
  <c r="W57" i="98" s="1"/>
  <c r="M91" i="54"/>
  <c r="M94" i="54" s="1"/>
  <c r="M95" i="54" s="1"/>
  <c r="N87" i="54" s="1"/>
  <c r="N89" i="54" s="1"/>
  <c r="M76" i="98"/>
  <c r="Y38" i="98" s="1"/>
  <c r="M73" i="98"/>
  <c r="T29" i="98"/>
  <c r="T33" i="98" s="1"/>
  <c r="T28" i="98"/>
  <c r="T32" i="98" s="1"/>
  <c r="T30" i="98"/>
  <c r="T34" i="98" s="1"/>
  <c r="T56" i="98" s="1"/>
  <c r="T59" i="98" s="1"/>
  <c r="T63" i="98" s="1"/>
  <c r="T65" i="98" s="1"/>
  <c r="T66" i="98" s="1"/>
  <c r="T39" i="98" s="1"/>
  <c r="M81" i="54"/>
  <c r="N80" i="54" s="1"/>
  <c r="L81" i="98"/>
  <c r="U30" i="98"/>
  <c r="U34" i="98" s="1"/>
  <c r="U56" i="98" s="1"/>
  <c r="U59" i="98" s="1"/>
  <c r="U63" i="98" s="1"/>
  <c r="U65" i="98" s="1"/>
  <c r="U66" i="98" s="1"/>
  <c r="U39" i="98" s="1"/>
  <c r="U28" i="98"/>
  <c r="U32" i="98" s="1"/>
  <c r="U29" i="98"/>
  <c r="U33" i="98" s="1"/>
  <c r="N76" i="54"/>
  <c r="AA37" i="54" s="1"/>
  <c r="N73" i="54"/>
  <c r="M91" i="98"/>
  <c r="M94" i="98" s="1"/>
  <c r="W57" i="54"/>
  <c r="V57" i="54"/>
  <c r="R46" i="98" l="1"/>
  <c r="F46" i="98"/>
  <c r="H2" i="144"/>
  <c r="T35" i="98"/>
  <c r="T41" i="98" s="1"/>
  <c r="M78" i="98"/>
  <c r="N75" i="98" s="1"/>
  <c r="N78" i="54"/>
  <c r="O75" i="54" s="1"/>
  <c r="N91" i="54"/>
  <c r="N94" i="54" s="1"/>
  <c r="N95" i="54" s="1"/>
  <c r="O87" i="54" s="1"/>
  <c r="O89" i="54" s="1"/>
  <c r="AC37" i="54"/>
  <c r="AC56" i="54" s="1"/>
  <c r="AB37" i="54"/>
  <c r="AB56" i="54" s="1"/>
  <c r="M80" i="98"/>
  <c r="L82" i="98"/>
  <c r="V21" i="98" s="1"/>
  <c r="AA58" i="98"/>
  <c r="Z58" i="98"/>
  <c r="M82" i="54"/>
  <c r="X20" i="54" s="1"/>
  <c r="Z57" i="54"/>
  <c r="Y57" i="54"/>
  <c r="M95" i="98"/>
  <c r="N87" i="98" s="1"/>
  <c r="N89" i="98" s="1"/>
  <c r="U35" i="98"/>
  <c r="U41" i="98" s="1"/>
  <c r="U44" i="98" s="1"/>
  <c r="N71" i="98"/>
  <c r="V28" i="54"/>
  <c r="V32" i="54" s="1"/>
  <c r="V29" i="54"/>
  <c r="V33" i="54" s="1"/>
  <c r="V55" i="54" s="1"/>
  <c r="V58" i="54" s="1"/>
  <c r="V62" i="54" s="1"/>
  <c r="V64" i="54" s="1"/>
  <c r="V65" i="54" s="1"/>
  <c r="V38" i="54" s="1"/>
  <c r="V27" i="54"/>
  <c r="V31" i="54" s="1"/>
  <c r="O71" i="54"/>
  <c r="Z38" i="98"/>
  <c r="Z57" i="98" s="1"/>
  <c r="AA38" i="98"/>
  <c r="AA57" i="98" s="1"/>
  <c r="W28" i="54"/>
  <c r="W32" i="54" s="1"/>
  <c r="W29" i="54"/>
  <c r="W33" i="54" s="1"/>
  <c r="W55" i="54" s="1"/>
  <c r="W58" i="54" s="1"/>
  <c r="W62" i="54" s="1"/>
  <c r="W64" i="54" s="1"/>
  <c r="W65" i="54" s="1"/>
  <c r="W38" i="54" s="1"/>
  <c r="W27" i="54"/>
  <c r="W31" i="54" s="1"/>
  <c r="M81" i="98" l="1"/>
  <c r="N80" i="98" s="1"/>
  <c r="V34" i="54"/>
  <c r="W34" i="54"/>
  <c r="W40" i="54" s="1"/>
  <c r="W43" i="54" s="1"/>
  <c r="N81" i="54"/>
  <c r="O80" i="54" s="1"/>
  <c r="H7" i="144"/>
  <c r="U46" i="98"/>
  <c r="N91" i="98"/>
  <c r="N94" i="98" s="1"/>
  <c r="Y20" i="54"/>
  <c r="Y24" i="54" s="1"/>
  <c r="Z20" i="54"/>
  <c r="Z24" i="54" s="1"/>
  <c r="X21" i="98"/>
  <c r="X25" i="98" s="1"/>
  <c r="W21" i="98"/>
  <c r="W25" i="98" s="1"/>
  <c r="O76" i="54"/>
  <c r="O73" i="54"/>
  <c r="N76" i="98"/>
  <c r="N73" i="98"/>
  <c r="N82" i="54"/>
  <c r="AA20" i="54" s="1"/>
  <c r="M82" i="98"/>
  <c r="Y21" i="98" s="1"/>
  <c r="AC57" i="54"/>
  <c r="AB57" i="54"/>
  <c r="V40" i="54"/>
  <c r="O91" i="54"/>
  <c r="O94" i="54" s="1"/>
  <c r="AA21" i="98" l="1"/>
  <c r="AA25" i="98" s="1"/>
  <c r="Z21" i="98"/>
  <c r="Z25" i="98" s="1"/>
  <c r="W30" i="98"/>
  <c r="W34" i="98" s="1"/>
  <c r="W56" i="98" s="1"/>
  <c r="W59" i="98" s="1"/>
  <c r="W63" i="98" s="1"/>
  <c r="W65" i="98" s="1"/>
  <c r="W66" i="98" s="1"/>
  <c r="W39" i="98" s="1"/>
  <c r="W28" i="98"/>
  <c r="W32" i="98" s="1"/>
  <c r="W29" i="98"/>
  <c r="W33" i="98" s="1"/>
  <c r="AD58" i="98"/>
  <c r="AC58" i="98"/>
  <c r="AC20" i="54"/>
  <c r="AC24" i="54" s="1"/>
  <c r="AB20" i="54"/>
  <c r="AB24" i="54" s="1"/>
  <c r="AD37" i="54"/>
  <c r="O78" i="54"/>
  <c r="O81" i="54" s="1"/>
  <c r="O82" i="54" s="1"/>
  <c r="AD20" i="54" s="1"/>
  <c r="X29" i="98"/>
  <c r="X33" i="98" s="1"/>
  <c r="X28" i="98"/>
  <c r="X32" i="98" s="1"/>
  <c r="X30" i="98"/>
  <c r="X34" i="98" s="1"/>
  <c r="X56" i="98" s="1"/>
  <c r="X59" i="98" s="1"/>
  <c r="X63" i="98" s="1"/>
  <c r="X65" i="98" s="1"/>
  <c r="X66" i="98" s="1"/>
  <c r="X39" i="98" s="1"/>
  <c r="N95" i="98"/>
  <c r="O87" i="98" s="1"/>
  <c r="O89" i="98" s="1"/>
  <c r="O71" i="98"/>
  <c r="Z29" i="54"/>
  <c r="Z33" i="54" s="1"/>
  <c r="Z55" i="54" s="1"/>
  <c r="Z58" i="54" s="1"/>
  <c r="Z62" i="54" s="1"/>
  <c r="Z64" i="54" s="1"/>
  <c r="Z65" i="54" s="1"/>
  <c r="Z38" i="54" s="1"/>
  <c r="Z27" i="54"/>
  <c r="Z31" i="54" s="1"/>
  <c r="Z28" i="54"/>
  <c r="Z32" i="54" s="1"/>
  <c r="AF57" i="54"/>
  <c r="AE57" i="54"/>
  <c r="O95" i="54"/>
  <c r="AB38" i="98"/>
  <c r="N78" i="98"/>
  <c r="O75" i="98" s="1"/>
  <c r="W45" i="54"/>
  <c r="H8" i="143"/>
  <c r="Y29" i="54"/>
  <c r="Y33" i="54" s="1"/>
  <c r="Y55" i="54" s="1"/>
  <c r="Y58" i="54" s="1"/>
  <c r="Y62" i="54" s="1"/>
  <c r="Y64" i="54" s="1"/>
  <c r="Y65" i="54" s="1"/>
  <c r="Y38" i="54" s="1"/>
  <c r="Y27" i="54"/>
  <c r="Y31" i="54" s="1"/>
  <c r="Y28" i="54"/>
  <c r="Y32" i="54" s="1"/>
  <c r="W35" i="98" l="1"/>
  <c r="W41" i="98" s="1"/>
  <c r="Z34" i="54"/>
  <c r="Z40" i="54" s="1"/>
  <c r="Z43" i="54" s="1"/>
  <c r="H9" i="143" s="1"/>
  <c r="AE20" i="54"/>
  <c r="AE24" i="54" s="1"/>
  <c r="AF20" i="54"/>
  <c r="AF24" i="54" s="1"/>
  <c r="O91" i="98"/>
  <c r="O94" i="98" s="1"/>
  <c r="AE37" i="54"/>
  <c r="AE56" i="54" s="1"/>
  <c r="AF37" i="54"/>
  <c r="AF56" i="54" s="1"/>
  <c r="Y34" i="54"/>
  <c r="Y40" i="54" s="1"/>
  <c r="N81" i="98"/>
  <c r="X35" i="98"/>
  <c r="X41" i="98" s="1"/>
  <c r="X44" i="98" s="1"/>
  <c r="AB28" i="54"/>
  <c r="AB32" i="54" s="1"/>
  <c r="AB27" i="54"/>
  <c r="AB31" i="54" s="1"/>
  <c r="AB29" i="54"/>
  <c r="AB33" i="54" s="1"/>
  <c r="AB55" i="54" s="1"/>
  <c r="AB58" i="54" s="1"/>
  <c r="AB62" i="54" s="1"/>
  <c r="AB64" i="54" s="1"/>
  <c r="AB65" i="54" s="1"/>
  <c r="AB38" i="54" s="1"/>
  <c r="Z29" i="98"/>
  <c r="Z33" i="98" s="1"/>
  <c r="Z30" i="98"/>
  <c r="Z34" i="98" s="1"/>
  <c r="Z56" i="98" s="1"/>
  <c r="Z59" i="98" s="1"/>
  <c r="Z63" i="98" s="1"/>
  <c r="Z65" i="98" s="1"/>
  <c r="Z66" i="98" s="1"/>
  <c r="Z39" i="98" s="1"/>
  <c r="Z28" i="98"/>
  <c r="Z32" i="98" s="1"/>
  <c r="AD38" i="98"/>
  <c r="AD57" i="98" s="1"/>
  <c r="AC38" i="98"/>
  <c r="AC57" i="98" s="1"/>
  <c r="O76" i="98"/>
  <c r="AE38" i="98" s="1"/>
  <c r="O73" i="98"/>
  <c r="AC28" i="54"/>
  <c r="AC32" i="54" s="1"/>
  <c r="AC29" i="54"/>
  <c r="AC33" i="54" s="1"/>
  <c r="AC55" i="54" s="1"/>
  <c r="AC58" i="54" s="1"/>
  <c r="AC62" i="54" s="1"/>
  <c r="AC64" i="54" s="1"/>
  <c r="AC65" i="54" s="1"/>
  <c r="AC38" i="54" s="1"/>
  <c r="AC27" i="54"/>
  <c r="AC31" i="54" s="1"/>
  <c r="AA30" i="98"/>
  <c r="AA34" i="98" s="1"/>
  <c r="AA56" i="98" s="1"/>
  <c r="AA59" i="98" s="1"/>
  <c r="AA63" i="98" s="1"/>
  <c r="AA65" i="98" s="1"/>
  <c r="AA66" i="98" s="1"/>
  <c r="AA39" i="98" s="1"/>
  <c r="AA28" i="98"/>
  <c r="AA32" i="98" s="1"/>
  <c r="AA29" i="98"/>
  <c r="AA33" i="98" s="1"/>
  <c r="Z45" i="54" l="1"/>
  <c r="AC34" i="54"/>
  <c r="AC40" i="54" s="1"/>
  <c r="AC43" i="54" s="1"/>
  <c r="AA35" i="98"/>
  <c r="AA41" i="98" s="1"/>
  <c r="AA44" i="98" s="1"/>
  <c r="H9" i="144" s="1"/>
  <c r="Z35" i="98"/>
  <c r="Z41" i="98" s="1"/>
  <c r="AB34" i="54"/>
  <c r="AB40" i="54" s="1"/>
  <c r="X46" i="98"/>
  <c r="H8" i="144"/>
  <c r="O80" i="98"/>
  <c r="N82" i="98"/>
  <c r="AB21" i="98" s="1"/>
  <c r="O78" i="98"/>
  <c r="O81" i="98" s="1"/>
  <c r="AG58" i="98"/>
  <c r="AF58" i="98"/>
  <c r="AF29" i="54"/>
  <c r="AF33" i="54" s="1"/>
  <c r="AF55" i="54" s="1"/>
  <c r="AF58" i="54" s="1"/>
  <c r="AF62" i="54" s="1"/>
  <c r="AF64" i="54" s="1"/>
  <c r="AF65" i="54" s="1"/>
  <c r="AF38" i="54" s="1"/>
  <c r="AF27" i="54"/>
  <c r="AF31" i="54" s="1"/>
  <c r="AF28" i="54"/>
  <c r="AF32" i="54" s="1"/>
  <c r="AG38" i="98"/>
  <c r="AG57" i="98" s="1"/>
  <c r="AF38" i="98"/>
  <c r="AF57" i="98" s="1"/>
  <c r="O95" i="98"/>
  <c r="AE29" i="54"/>
  <c r="AE33" i="54" s="1"/>
  <c r="AE55" i="54" s="1"/>
  <c r="AE58" i="54" s="1"/>
  <c r="AE62" i="54" s="1"/>
  <c r="AE64" i="54" s="1"/>
  <c r="AE65" i="54" s="1"/>
  <c r="AE38" i="54" s="1"/>
  <c r="AE27" i="54"/>
  <c r="AE31" i="54" s="1"/>
  <c r="AE28" i="54"/>
  <c r="AE32" i="54" s="1"/>
  <c r="AA46" i="98" l="1"/>
  <c r="AE34" i="54"/>
  <c r="AE40" i="54" s="1"/>
  <c r="AF34" i="54"/>
  <c r="AF40" i="54" s="1"/>
  <c r="AF43" i="54" s="1"/>
  <c r="H10" i="143"/>
  <c r="AC45" i="54"/>
  <c r="AC21" i="98"/>
  <c r="AC25" i="98" s="1"/>
  <c r="AD21" i="98"/>
  <c r="AD25" i="98" s="1"/>
  <c r="O82" i="98"/>
  <c r="AE21" i="98" s="1"/>
  <c r="AG21" i="98" l="1"/>
  <c r="AG25" i="98" s="1"/>
  <c r="AF21" i="98"/>
  <c r="AF25" i="98" s="1"/>
  <c r="AD29" i="98"/>
  <c r="AD33" i="98" s="1"/>
  <c r="AD30" i="98"/>
  <c r="AD34" i="98" s="1"/>
  <c r="AD56" i="98" s="1"/>
  <c r="AD59" i="98" s="1"/>
  <c r="AD63" i="98" s="1"/>
  <c r="AD65" i="98" s="1"/>
  <c r="AD66" i="98" s="1"/>
  <c r="AD39" i="98" s="1"/>
  <c r="AD28" i="98"/>
  <c r="AD32" i="98" s="1"/>
  <c r="AC30" i="98"/>
  <c r="AC34" i="98" s="1"/>
  <c r="AC56" i="98" s="1"/>
  <c r="AC59" i="98" s="1"/>
  <c r="AC63" i="98" s="1"/>
  <c r="AC65" i="98" s="1"/>
  <c r="AC66" i="98" s="1"/>
  <c r="AC39" i="98" s="1"/>
  <c r="AC28" i="98"/>
  <c r="AC32" i="98" s="1"/>
  <c r="AC29" i="98"/>
  <c r="AC33" i="98" s="1"/>
  <c r="H11" i="143"/>
  <c r="AF45" i="54"/>
  <c r="AC35" i="98" l="1"/>
  <c r="AC41" i="98" s="1"/>
  <c r="AF29" i="98"/>
  <c r="AF33" i="98" s="1"/>
  <c r="AF28" i="98"/>
  <c r="AF32" i="98" s="1"/>
  <c r="AF30" i="98"/>
  <c r="AF34" i="98" s="1"/>
  <c r="AF56" i="98" s="1"/>
  <c r="AF59" i="98" s="1"/>
  <c r="AF63" i="98" s="1"/>
  <c r="AF65" i="98" s="1"/>
  <c r="AF66" i="98" s="1"/>
  <c r="AF39" i="98" s="1"/>
  <c r="AD35" i="98"/>
  <c r="AD41" i="98" s="1"/>
  <c r="AD44" i="98" s="1"/>
  <c r="AG30" i="98"/>
  <c r="AG34" i="98" s="1"/>
  <c r="AG56" i="98" s="1"/>
  <c r="AG59" i="98" s="1"/>
  <c r="AG63" i="98" s="1"/>
  <c r="AG65" i="98" s="1"/>
  <c r="AG66" i="98" s="1"/>
  <c r="AG39" i="98" s="1"/>
  <c r="AG28" i="98"/>
  <c r="AG32" i="98" s="1"/>
  <c r="AG29" i="98"/>
  <c r="AG33" i="98" s="1"/>
  <c r="AG35" i="98" l="1"/>
  <c r="AG41" i="98" s="1"/>
  <c r="AG44" i="98" s="1"/>
  <c r="AF35" i="98"/>
  <c r="AF41" i="98" s="1"/>
  <c r="AD46" i="98"/>
  <c r="H10" i="144"/>
  <c r="H11" i="144" l="1"/>
  <c r="AG46" i="98"/>
  <c r="G53" i="150" l="1"/>
  <c r="O51" i="150" l="1"/>
  <c r="O53" i="150" s="1"/>
  <c r="F53" i="150"/>
  <c r="J51" i="150"/>
  <c r="J53" i="150" s="1"/>
  <c r="G53" i="14" l="1"/>
  <c r="G54" i="14"/>
  <c r="H19" i="145" s="1"/>
  <c r="H18" i="145" l="1"/>
  <c r="H21" i="145" l="1"/>
  <c r="H20" i="145" l="1"/>
  <c r="G57" i="14"/>
  <c r="H51" i="140" l="1"/>
  <c r="H52" i="140"/>
  <c r="H53" i="140"/>
  <c r="H43" i="140"/>
  <c r="H44" i="140"/>
  <c r="H45" i="140"/>
  <c r="H35" i="140"/>
  <c r="H36" i="140"/>
  <c r="H37" i="140"/>
  <c r="H61" i="140" l="1"/>
  <c r="H60" i="140"/>
  <c r="H59" i="140"/>
  <c r="H34" i="140"/>
  <c r="N21" i="102"/>
  <c r="H42" i="140"/>
  <c r="Q21" i="102"/>
  <c r="H50" i="140"/>
  <c r="T21" i="102"/>
  <c r="H58" i="140"/>
  <c r="W21" i="102"/>
  <c r="W23" i="102" s="1"/>
  <c r="H64" i="140" s="1"/>
  <c r="H46" i="140" l="1"/>
  <c r="Q23" i="102"/>
  <c r="H48" i="140" s="1"/>
  <c r="H54" i="140"/>
  <c r="T23" i="102"/>
  <c r="H56" i="140" s="1"/>
  <c r="H38" i="140"/>
  <c r="N23" i="102"/>
  <c r="H40" i="140" s="1"/>
  <c r="H62" i="140"/>
  <c r="O27" i="148" l="1"/>
  <c r="O14" i="148"/>
  <c r="K41" i="12"/>
  <c r="J53" i="12"/>
  <c r="C57" i="12" l="1"/>
  <c r="O39" i="148"/>
  <c r="K53" i="12"/>
  <c r="P39" i="148" s="1"/>
  <c r="P14" i="148"/>
  <c r="P27" i="148"/>
  <c r="E2" i="149" l="1"/>
  <c r="C58" i="12"/>
  <c r="F2" i="149" s="1"/>
  <c r="B19" i="105" l="1"/>
  <c r="B55" i="105"/>
  <c r="B35" i="105"/>
  <c r="B56" i="105" l="1"/>
  <c r="D28" i="136"/>
  <c r="D24" i="136"/>
  <c r="B40" i="15"/>
  <c r="C15" i="15" s="1"/>
  <c r="C40" i="15" s="1"/>
  <c r="D15" i="15" s="1"/>
  <c r="D40" i="15" s="1"/>
  <c r="E15" i="15" s="1"/>
  <c r="E40" i="15" s="1"/>
  <c r="F15" i="15" s="1"/>
  <c r="I52" i="50" l="1"/>
  <c r="I56" i="50"/>
  <c r="I51" i="50"/>
  <c r="I57" i="50"/>
  <c r="O57" i="50" s="1"/>
  <c r="D27" i="136"/>
  <c r="D18" i="136"/>
  <c r="D23" i="136"/>
  <c r="I53" i="50" l="1"/>
  <c r="D29" i="136"/>
  <c r="D25" i="136"/>
  <c r="I58" i="50"/>
  <c r="H36" i="122" l="1"/>
  <c r="H34" i="122"/>
  <c r="B40" i="122"/>
  <c r="D89" i="122"/>
  <c r="E40" i="122"/>
  <c r="F40" i="122"/>
  <c r="D91" i="122" l="1"/>
  <c r="H89" i="122"/>
  <c r="H35" i="122"/>
  <c r="H40" i="122" s="1"/>
  <c r="G40" i="122"/>
  <c r="C40" i="122"/>
  <c r="D40" i="122"/>
  <c r="G27" i="122" l="1"/>
  <c r="H26" i="122"/>
  <c r="H28" i="122"/>
  <c r="F30" i="122"/>
  <c r="F29" i="122"/>
  <c r="E29" i="122"/>
  <c r="G29" i="122"/>
  <c r="G30" i="122"/>
  <c r="H30" i="122"/>
  <c r="H29" i="122"/>
  <c r="G31" i="122"/>
  <c r="H31" i="122"/>
  <c r="G26" i="122"/>
  <c r="F28" i="122"/>
  <c r="G28" i="122"/>
  <c r="B26" i="122"/>
  <c r="B32" i="122" s="1"/>
  <c r="C26" i="122"/>
  <c r="F26" i="122"/>
  <c r="E26" i="122"/>
  <c r="D28" i="122"/>
  <c r="D26" i="122"/>
  <c r="E28" i="122"/>
  <c r="G41" i="122"/>
  <c r="D93" i="122"/>
  <c r="H91" i="122"/>
  <c r="F27" i="122"/>
  <c r="C27" i="122"/>
  <c r="E27" i="122"/>
  <c r="H27" i="122"/>
  <c r="D27" i="122"/>
  <c r="H32" i="122" l="1"/>
  <c r="G32" i="122"/>
  <c r="D32" i="122"/>
  <c r="C32" i="122"/>
  <c r="D96" i="122"/>
  <c r="H96" i="122" s="1"/>
  <c r="H93" i="122"/>
  <c r="E32" i="122"/>
  <c r="F32" i="122"/>
  <c r="G144" i="100" l="1"/>
  <c r="F202" i="100"/>
  <c r="F205" i="100" s="1"/>
  <c r="M144" i="100" l="1"/>
  <c r="M202" i="100" s="1"/>
  <c r="M205" i="100" s="1"/>
  <c r="G202" i="100"/>
  <c r="G205" i="100" s="1"/>
  <c r="L329" i="100" l="1"/>
  <c r="L393" i="100" s="1"/>
  <c r="L396" i="100" s="1"/>
  <c r="K393" i="100"/>
  <c r="K396" i="100" s="1"/>
  <c r="F393" i="100"/>
  <c r="F396" i="100" s="1"/>
  <c r="G329" i="100"/>
  <c r="M329" i="100" l="1"/>
  <c r="L424" i="100"/>
  <c r="I488" i="100"/>
  <c r="I491" i="100" s="1"/>
  <c r="G240" i="100" l="1"/>
  <c r="D298" i="100"/>
  <c r="D301" i="100" s="1"/>
  <c r="L520" i="100"/>
  <c r="D393" i="100" l="1"/>
  <c r="D396" i="100" s="1"/>
  <c r="G335" i="100"/>
  <c r="G424" i="100"/>
  <c r="M240" i="100"/>
  <c r="M298" i="100" s="1"/>
  <c r="M301" i="100" s="1"/>
  <c r="G298" i="100"/>
  <c r="G301" i="100" s="1"/>
  <c r="M424" i="100" l="1"/>
  <c r="M335" i="100"/>
  <c r="M393" i="100" s="1"/>
  <c r="M396" i="100" s="1"/>
  <c r="G393" i="100"/>
  <c r="G396" i="100" s="1"/>
  <c r="D488" i="100" l="1"/>
  <c r="D491" i="100" s="1"/>
  <c r="O52" i="50" l="1"/>
  <c r="K58" i="50" l="1"/>
  <c r="O56" i="50"/>
  <c r="O58" i="50" s="1"/>
  <c r="O51" i="50"/>
  <c r="O53" i="50" s="1"/>
  <c r="K53" i="50"/>
  <c r="O60" i="50" l="1"/>
  <c r="K60" i="50"/>
  <c r="K29" i="50" l="1"/>
  <c r="L462" i="100" l="1"/>
  <c r="L457" i="100"/>
  <c r="L454" i="100"/>
  <c r="L453" i="100"/>
  <c r="L452" i="100"/>
  <c r="L450" i="100"/>
  <c r="L447" i="100"/>
  <c r="L445" i="100"/>
  <c r="L442" i="100"/>
  <c r="L440" i="100"/>
  <c r="M440" i="100" s="1"/>
  <c r="L439" i="100"/>
  <c r="M439" i="100" s="1"/>
  <c r="L438" i="100"/>
  <c r="M438" i="100" s="1"/>
  <c r="L437" i="100"/>
  <c r="L436" i="100"/>
  <c r="L435" i="100"/>
  <c r="L434" i="100"/>
  <c r="L433" i="100"/>
  <c r="M433" i="100" s="1"/>
  <c r="L431" i="100"/>
  <c r="M431" i="100" s="1"/>
  <c r="L429" i="100"/>
  <c r="L428" i="100"/>
  <c r="L423" i="100"/>
  <c r="L422" i="100"/>
  <c r="L419" i="100"/>
  <c r="G582" i="100"/>
  <c r="G485" i="100"/>
  <c r="G482" i="100"/>
  <c r="G481" i="100"/>
  <c r="G480" i="100"/>
  <c r="G479" i="100"/>
  <c r="G478" i="100"/>
  <c r="G477" i="100"/>
  <c r="G476" i="100"/>
  <c r="G475" i="100"/>
  <c r="G462" i="100"/>
  <c r="G457" i="100"/>
  <c r="G454" i="100"/>
  <c r="G453" i="100"/>
  <c r="G452" i="100"/>
  <c r="G450" i="100"/>
  <c r="G447" i="100"/>
  <c r="G445" i="100"/>
  <c r="G441" i="100"/>
  <c r="M441" i="100" s="1"/>
  <c r="G437" i="100"/>
  <c r="G436" i="100"/>
  <c r="G435" i="100"/>
  <c r="G434" i="100"/>
  <c r="G429" i="100"/>
  <c r="G428" i="100"/>
  <c r="G425" i="100"/>
  <c r="M425" i="100" s="1"/>
  <c r="G423" i="100"/>
  <c r="G422" i="100"/>
  <c r="G419" i="100"/>
  <c r="I191" i="147"/>
  <c r="M419" i="100" l="1"/>
  <c r="M447" i="100"/>
  <c r="M454" i="100"/>
  <c r="M423" i="100"/>
  <c r="M452" i="100"/>
  <c r="M462" i="100"/>
  <c r="M450" i="100"/>
  <c r="M435" i="100"/>
  <c r="M445" i="100"/>
  <c r="M453" i="100"/>
  <c r="M434" i="100"/>
  <c r="M436" i="100"/>
  <c r="M429" i="100"/>
  <c r="I189" i="147"/>
  <c r="Y27" i="5"/>
  <c r="I193" i="147" s="1"/>
  <c r="M428" i="100"/>
  <c r="G442" i="100"/>
  <c r="M442" i="100" s="1"/>
  <c r="M457" i="100"/>
  <c r="L521" i="100"/>
  <c r="Y24" i="5"/>
  <c r="I190" i="147"/>
  <c r="O8" i="148"/>
  <c r="K22" i="12"/>
  <c r="P8" i="148" s="1"/>
  <c r="M437" i="100"/>
  <c r="I199" i="147"/>
  <c r="I143" i="147"/>
  <c r="G417" i="100"/>
  <c r="Y26" i="5"/>
  <c r="I192" i="147" s="1"/>
  <c r="I188" i="147"/>
  <c r="Y20" i="5"/>
  <c r="M422" i="100"/>
  <c r="E584" i="100"/>
  <c r="E587" i="100" s="1"/>
  <c r="L417" i="100"/>
  <c r="E488" i="100" l="1"/>
  <c r="E491" i="100" s="1"/>
  <c r="Y28" i="5"/>
  <c r="I142" i="147"/>
  <c r="S24" i="5"/>
  <c r="S26" i="5"/>
  <c r="I144" i="147" s="1"/>
  <c r="S20" i="5"/>
  <c r="I140" i="147"/>
  <c r="M417" i="100"/>
  <c r="I197" i="147"/>
  <c r="Z27" i="5"/>
  <c r="I201" i="147" s="1"/>
  <c r="Z20" i="5"/>
  <c r="Z26" i="5"/>
  <c r="I200" i="147" s="1"/>
  <c r="I196" i="147"/>
  <c r="I198" i="147"/>
  <c r="Z24" i="5"/>
  <c r="I141" i="147"/>
  <c r="S27" i="5"/>
  <c r="I145" i="147" s="1"/>
  <c r="S28" i="5" l="1"/>
  <c r="Z28" i="5"/>
  <c r="L132" i="14" l="1"/>
  <c r="G581" i="100" l="1"/>
  <c r="G533" i="100" l="1"/>
  <c r="G578" i="100" l="1"/>
  <c r="G572" i="100"/>
  <c r="G517" i="100"/>
  <c r="M517" i="100" s="1"/>
  <c r="G571" i="100"/>
  <c r="G549" i="100"/>
  <c r="G574" i="100"/>
  <c r="G531" i="100"/>
  <c r="G541" i="100"/>
  <c r="G537" i="100"/>
  <c r="M537" i="100" s="1"/>
  <c r="G553" i="100"/>
  <c r="G540" i="100"/>
  <c r="M540" i="100" s="1"/>
  <c r="G524" i="100"/>
  <c r="G525" i="100"/>
  <c r="G521" i="100"/>
  <c r="M521" i="100" s="1"/>
  <c r="G548" i="100"/>
  <c r="G516" i="100"/>
  <c r="M516" i="100" s="1"/>
  <c r="G544" i="100"/>
  <c r="M544" i="100" s="1"/>
  <c r="G530" i="100"/>
  <c r="G532" i="100"/>
  <c r="G552" i="100"/>
  <c r="M552" i="100" s="1"/>
  <c r="G519" i="100"/>
  <c r="G545" i="100"/>
  <c r="M545" i="100" s="1"/>
  <c r="G520" i="100" l="1"/>
  <c r="M520" i="100" s="1"/>
  <c r="G554" i="100"/>
  <c r="M554" i="100" s="1"/>
  <c r="G550" i="100"/>
  <c r="G542" i="100"/>
  <c r="M542" i="100" s="1"/>
  <c r="G576" i="100"/>
  <c r="G515" i="100"/>
  <c r="G551" i="100"/>
  <c r="M551" i="100" s="1"/>
  <c r="G577" i="100"/>
  <c r="G518" i="100"/>
  <c r="G538" i="100"/>
  <c r="G575" i="100"/>
  <c r="G543" i="100"/>
  <c r="G573" i="100"/>
  <c r="G546" i="100"/>
  <c r="G558" i="100"/>
  <c r="G513" i="100" l="1"/>
  <c r="L535" i="100" l="1"/>
  <c r="M535" i="100" s="1"/>
  <c r="L534" i="100"/>
  <c r="M534" i="100" s="1"/>
  <c r="L529" i="100"/>
  <c r="M529" i="100" s="1"/>
  <c r="L536" i="100"/>
  <c r="M536" i="100" s="1"/>
  <c r="L527" i="100"/>
  <c r="M527" i="100" s="1"/>
  <c r="L548" i="100" l="1"/>
  <c r="M548" i="100" s="1"/>
  <c r="L515" i="100"/>
  <c r="M515" i="100" s="1"/>
  <c r="L549" i="100" l="1"/>
  <c r="M549" i="100" s="1"/>
  <c r="L546" i="100"/>
  <c r="M546" i="100" s="1"/>
  <c r="L553" i="100"/>
  <c r="M553" i="100" s="1"/>
  <c r="L550" i="100" l="1"/>
  <c r="M550" i="100" s="1"/>
  <c r="L558" i="100"/>
  <c r="M558" i="100" s="1"/>
  <c r="L513" i="100" l="1"/>
  <c r="L541" i="100"/>
  <c r="M541" i="100" s="1"/>
  <c r="L543" i="100"/>
  <c r="M543" i="100" s="1"/>
  <c r="M513" i="100" l="1"/>
  <c r="L533" i="100" l="1"/>
  <c r="M533" i="100" s="1"/>
  <c r="L524" i="100"/>
  <c r="M524" i="100" s="1"/>
  <c r="L538" i="100"/>
  <c r="M538" i="100" s="1"/>
  <c r="L532" i="100"/>
  <c r="M532" i="100" s="1"/>
  <c r="L530" i="100"/>
  <c r="M530" i="100" s="1"/>
  <c r="L531" i="100"/>
  <c r="M531" i="100" s="1"/>
  <c r="L525" i="100"/>
  <c r="M525" i="100" s="1"/>
  <c r="L518" i="100" l="1"/>
  <c r="M518" i="100" l="1"/>
  <c r="I52" i="105" l="1"/>
  <c r="J52" i="105"/>
  <c r="M7" i="148" l="1"/>
  <c r="H52" i="12"/>
  <c r="I52" i="12" l="1"/>
  <c r="N38" i="148" s="1"/>
  <c r="M38" i="148"/>
  <c r="H54" i="12"/>
  <c r="M40" i="148" l="1"/>
  <c r="I54" i="12"/>
  <c r="N40" i="148" s="1"/>
  <c r="O7" i="148" l="1"/>
  <c r="J52" i="12"/>
  <c r="K21" i="12"/>
  <c r="P7" i="148" s="1"/>
  <c r="J54" i="12" l="1"/>
  <c r="O38" i="148"/>
  <c r="K52" i="12"/>
  <c r="J47" i="105"/>
  <c r="I47" i="105"/>
  <c r="P38" i="148" l="1"/>
  <c r="P22" i="148"/>
  <c r="O40" i="148"/>
  <c r="K54" i="12"/>
  <c r="P40" i="148" s="1"/>
  <c r="G19" i="105" l="1"/>
  <c r="G55" i="105"/>
  <c r="I42" i="105" l="1"/>
  <c r="J42" i="105"/>
  <c r="J17" i="105"/>
  <c r="I17" i="105"/>
  <c r="I21" i="105"/>
  <c r="J21" i="105"/>
  <c r="I30" i="105"/>
  <c r="J30" i="105"/>
  <c r="J28" i="105"/>
  <c r="I28" i="105"/>
  <c r="I54" i="105"/>
  <c r="J54" i="105"/>
  <c r="I43" i="105"/>
  <c r="J43" i="105"/>
  <c r="J27" i="105"/>
  <c r="I27" i="105"/>
  <c r="I26" i="105"/>
  <c r="J26" i="105"/>
  <c r="J40" i="105"/>
  <c r="I40" i="105"/>
  <c r="I23" i="105"/>
  <c r="J23" i="105"/>
  <c r="J51" i="105"/>
  <c r="I51" i="105"/>
  <c r="J33" i="105"/>
  <c r="I33" i="105"/>
  <c r="J31" i="105"/>
  <c r="I31" i="105"/>
  <c r="I37" i="105"/>
  <c r="J37" i="105"/>
  <c r="H55" i="105"/>
  <c r="J22" i="105" l="1"/>
  <c r="I22" i="105"/>
  <c r="J39" i="105"/>
  <c r="J55" i="105" s="1"/>
  <c r="I39" i="105"/>
  <c r="I55" i="105" s="1"/>
  <c r="J16" i="105"/>
  <c r="J19" i="105" s="1"/>
  <c r="I16" i="105"/>
  <c r="I19" i="105" s="1"/>
  <c r="H19" i="105"/>
  <c r="J29" i="105" l="1"/>
  <c r="I29" i="105"/>
  <c r="G35" i="105" l="1"/>
  <c r="G56" i="105" s="1"/>
  <c r="I24" i="105" l="1"/>
  <c r="I35" i="105" s="1"/>
  <c r="J24" i="105"/>
  <c r="J35" i="105" s="1"/>
  <c r="H35" i="105"/>
  <c r="H56" i="105"/>
  <c r="J56" i="105" l="1"/>
  <c r="I56" i="105"/>
  <c r="L519" i="100" l="1"/>
  <c r="M519" i="100" l="1"/>
  <c r="L451" i="100"/>
  <c r="L430" i="100"/>
  <c r="L427" i="100"/>
  <c r="G451" i="100"/>
  <c r="G430" i="100"/>
  <c r="G427" i="100"/>
  <c r="M427" i="100" l="1"/>
  <c r="M430" i="100"/>
  <c r="M451" i="100"/>
  <c r="K488" i="100"/>
  <c r="K491" i="100" s="1"/>
  <c r="L426" i="100"/>
  <c r="F488" i="100"/>
  <c r="F491" i="100" s="1"/>
  <c r="G426" i="100"/>
  <c r="M426" i="100" l="1"/>
  <c r="G488" i="100"/>
  <c r="G491" i="100" s="1"/>
  <c r="L483" i="100" l="1"/>
  <c r="M483" i="100" s="1"/>
  <c r="L486" i="100" l="1"/>
  <c r="M486" i="100" s="1"/>
  <c r="L484" i="100"/>
  <c r="M484" i="100" s="1"/>
  <c r="L473" i="100" l="1"/>
  <c r="M473" i="100" s="1"/>
  <c r="I103" i="147" l="1"/>
  <c r="I95" i="147"/>
  <c r="I111" i="147" l="1"/>
  <c r="I135" i="147"/>
  <c r="I101" i="147"/>
  <c r="N27" i="5"/>
  <c r="I105" i="147" s="1"/>
  <c r="I92" i="147"/>
  <c r="M26" i="5"/>
  <c r="I96" i="147" s="1"/>
  <c r="M20" i="5"/>
  <c r="I102" i="147"/>
  <c r="N24" i="5"/>
  <c r="I94" i="147"/>
  <c r="M24" i="5"/>
  <c r="I100" i="147"/>
  <c r="N20" i="5"/>
  <c r="N26" i="5"/>
  <c r="I104" i="147" s="1"/>
  <c r="I127" i="147"/>
  <c r="I183" i="147"/>
  <c r="M27" i="5"/>
  <c r="I97" i="147" s="1"/>
  <c r="I93" i="147"/>
  <c r="I119" i="147"/>
  <c r="I159" i="147"/>
  <c r="N28" i="5" l="1"/>
  <c r="M28" i="5"/>
  <c r="I181" i="147"/>
  <c r="X27" i="5"/>
  <c r="I185" i="147" s="1"/>
  <c r="P20" i="5"/>
  <c r="I116" i="147"/>
  <c r="P26" i="5"/>
  <c r="I120" i="147" s="1"/>
  <c r="O24" i="5"/>
  <c r="I110" i="147"/>
  <c r="O26" i="5"/>
  <c r="I112" i="147" s="1"/>
  <c r="O20" i="5"/>
  <c r="I108" i="147"/>
  <c r="I118" i="147"/>
  <c r="P24" i="5"/>
  <c r="I109" i="147"/>
  <c r="O27" i="5"/>
  <c r="I113" i="147" s="1"/>
  <c r="I134" i="147"/>
  <c r="R24" i="5"/>
  <c r="R20" i="5"/>
  <c r="R26" i="5"/>
  <c r="I136" i="147" s="1"/>
  <c r="I132" i="147"/>
  <c r="U24" i="5"/>
  <c r="I158" i="147"/>
  <c r="U27" i="5"/>
  <c r="I161" i="147" s="1"/>
  <c r="I157" i="147"/>
  <c r="I182" i="147"/>
  <c r="X24" i="5"/>
  <c r="X20" i="5"/>
  <c r="X26" i="5"/>
  <c r="I184" i="147" s="1"/>
  <c r="I180" i="147"/>
  <c r="Q27" i="5"/>
  <c r="I129" i="147" s="1"/>
  <c r="I125" i="147"/>
  <c r="R27" i="5"/>
  <c r="I137" i="147" s="1"/>
  <c r="I133" i="147"/>
  <c r="U26" i="5"/>
  <c r="I160" i="147" s="1"/>
  <c r="I156" i="147"/>
  <c r="U20" i="5"/>
  <c r="Q26" i="5"/>
  <c r="I128" i="147" s="1"/>
  <c r="Q20" i="5"/>
  <c r="I124" i="147"/>
  <c r="P27" i="5"/>
  <c r="I121" i="147" s="1"/>
  <c r="I117" i="147"/>
  <c r="I126" i="147"/>
  <c r="Q24" i="5"/>
  <c r="O28" i="5" l="1"/>
  <c r="X28" i="5"/>
  <c r="U28" i="5"/>
  <c r="P28" i="5"/>
  <c r="Q28" i="5"/>
  <c r="R28" i="5"/>
  <c r="H91" i="140" l="1"/>
  <c r="H85" i="140"/>
  <c r="H101" i="140"/>
  <c r="H99" i="140"/>
  <c r="H92" i="140"/>
  <c r="H83" i="140"/>
  <c r="H108" i="140"/>
  <c r="H93" i="140"/>
  <c r="H100" i="140"/>
  <c r="H109" i="140"/>
  <c r="H84" i="140"/>
  <c r="H98" i="140" l="1"/>
  <c r="AF21" i="102"/>
  <c r="H106" i="140"/>
  <c r="AE21" i="102"/>
  <c r="H90" i="140"/>
  <c r="H82" i="140"/>
  <c r="AD21" i="102"/>
  <c r="H107" i="140"/>
  <c r="H95" i="140"/>
  <c r="H87" i="140"/>
  <c r="H103" i="140"/>
  <c r="H111" i="140"/>
  <c r="AD23" i="102" l="1"/>
  <c r="H88" i="140" s="1"/>
  <c r="H86" i="140"/>
  <c r="AG21" i="102"/>
  <c r="AF23" i="102"/>
  <c r="H104" i="140" s="1"/>
  <c r="H102" i="140"/>
  <c r="H94" i="140"/>
  <c r="AE23" i="102"/>
  <c r="H96" i="140" s="1"/>
  <c r="AG23" i="102" l="1"/>
  <c r="H112" i="140" s="1"/>
  <c r="H110" i="140"/>
  <c r="K24" i="150" l="1"/>
  <c r="J27" i="150" l="1"/>
  <c r="G523" i="100" l="1"/>
  <c r="G522" i="100" l="1"/>
  <c r="G547" i="100"/>
  <c r="G526" i="100" l="1"/>
  <c r="G584" i="100" s="1"/>
  <c r="G587" i="100" s="1"/>
  <c r="D584" i="100"/>
  <c r="D587" i="100" s="1"/>
  <c r="H22" i="21" l="1"/>
  <c r="H23" i="21" s="1"/>
  <c r="H27" i="21" s="1"/>
  <c r="G22" i="21"/>
  <c r="G23" i="21" s="1"/>
  <c r="G27" i="21" s="1"/>
  <c r="F22" i="21"/>
  <c r="F23" i="21" s="1"/>
  <c r="F27" i="21" s="1"/>
  <c r="E22" i="21"/>
  <c r="E23" i="21" s="1"/>
  <c r="E27" i="21" s="1"/>
  <c r="I20" i="21" l="1"/>
  <c r="I22" i="21" s="1"/>
  <c r="I23" i="21" s="1"/>
  <c r="I27" i="21" s="1"/>
  <c r="D22" i="21"/>
  <c r="D23" i="21" s="1"/>
  <c r="D27" i="21" s="1"/>
  <c r="K30" i="6" l="1"/>
  <c r="K24" i="50" l="1"/>
  <c r="K31" i="50" s="1"/>
  <c r="L569" i="100" l="1"/>
  <c r="M569" i="100" s="1"/>
  <c r="L547" i="100" l="1"/>
  <c r="M547" i="100" s="1"/>
  <c r="L523" i="100" l="1"/>
  <c r="M523" i="100" s="1"/>
  <c r="L526" i="100"/>
  <c r="M526" i="100" s="1"/>
  <c r="L522" i="100" l="1"/>
  <c r="M522" i="100" l="1"/>
  <c r="F35" i="11" l="1"/>
  <c r="G28" i="11" l="1"/>
  <c r="G35" i="11"/>
  <c r="G42" i="11"/>
  <c r="F28" i="11"/>
  <c r="F42" i="11"/>
  <c r="G21" i="11"/>
  <c r="H75" i="140"/>
  <c r="H77" i="140"/>
  <c r="G44" i="11" l="1"/>
  <c r="G46" i="11" s="1"/>
  <c r="I69" i="140"/>
  <c r="AB20" i="102"/>
  <c r="I67" i="140"/>
  <c r="AB18" i="102"/>
  <c r="H74" i="140" l="1"/>
  <c r="AB19" i="102" l="1"/>
  <c r="I68" i="140"/>
  <c r="H79" i="140"/>
  <c r="F21" i="11"/>
  <c r="F44" i="11" s="1"/>
  <c r="F46" i="11" s="1"/>
  <c r="H76" i="140" l="1"/>
  <c r="AC21" i="102"/>
  <c r="AB22" i="102" l="1"/>
  <c r="I71" i="140"/>
  <c r="AC23" i="102"/>
  <c r="H80" i="140" s="1"/>
  <c r="H78" i="140"/>
  <c r="AB17" i="102" l="1"/>
  <c r="I66" i="140"/>
  <c r="AA21" i="102"/>
  <c r="AA23" i="102" l="1"/>
  <c r="I70" i="140"/>
  <c r="AB21" i="102"/>
  <c r="AB23" i="102" l="1"/>
  <c r="I72" i="140"/>
  <c r="B28" i="11" l="1"/>
  <c r="D28" i="11"/>
  <c r="C28" i="11"/>
  <c r="V18" i="102" l="1"/>
  <c r="I51" i="140"/>
  <c r="S18" i="102" l="1"/>
  <c r="I43" i="140"/>
  <c r="P18" i="102"/>
  <c r="I35" i="140"/>
  <c r="D35" i="11" l="1"/>
  <c r="D42" i="11"/>
  <c r="C21" i="11"/>
  <c r="B42" i="11"/>
  <c r="C42" i="11"/>
  <c r="D21" i="11"/>
  <c r="C35" i="11"/>
  <c r="B21" i="11"/>
  <c r="B35" i="11"/>
  <c r="B44" i="11" l="1"/>
  <c r="B46" i="11" s="1"/>
  <c r="C44" i="11"/>
  <c r="C46" i="11" s="1"/>
  <c r="D44" i="11"/>
  <c r="D46" i="11" s="1"/>
  <c r="I52" i="140" l="1"/>
  <c r="V19" i="102"/>
  <c r="I39" i="140"/>
  <c r="P22" i="102"/>
  <c r="I63" i="140"/>
  <c r="Y22" i="102"/>
  <c r="V22" i="102"/>
  <c r="I55" i="140"/>
  <c r="I44" i="140"/>
  <c r="S19" i="102"/>
  <c r="P19" i="102"/>
  <c r="I36" i="140"/>
  <c r="S22" i="102"/>
  <c r="I47" i="140"/>
  <c r="I37" i="140" l="1"/>
  <c r="P20" i="102"/>
  <c r="R21" i="102"/>
  <c r="S17" i="102"/>
  <c r="I42" i="140"/>
  <c r="V17" i="102"/>
  <c r="U21" i="102"/>
  <c r="I50" i="140"/>
  <c r="O21" i="102"/>
  <c r="I34" i="140"/>
  <c r="P17" i="102"/>
  <c r="I53" i="140"/>
  <c r="V20" i="102"/>
  <c r="S20" i="102"/>
  <c r="I45" i="140"/>
  <c r="V21" i="102" l="1"/>
  <c r="U23" i="102"/>
  <c r="I54" i="140"/>
  <c r="R23" i="102"/>
  <c r="I46" i="140"/>
  <c r="S21" i="102"/>
  <c r="O23" i="102"/>
  <c r="I38" i="140"/>
  <c r="P21" i="102"/>
  <c r="I48" i="140" l="1"/>
  <c r="S23" i="102"/>
  <c r="I40" i="140"/>
  <c r="P23" i="102"/>
  <c r="I56" i="140"/>
  <c r="V23" i="102"/>
  <c r="E42" i="11" l="1"/>
  <c r="E35" i="11"/>
  <c r="I60" i="140" l="1"/>
  <c r="Y19" i="102"/>
  <c r="E28" i="11" l="1"/>
  <c r="E21" i="11"/>
  <c r="E44" i="11" s="1"/>
  <c r="E46" i="11" s="1"/>
  <c r="I61" i="140"/>
  <c r="Y20" i="102"/>
  <c r="Y17" i="102" l="1"/>
  <c r="I58" i="140"/>
  <c r="X21" i="102" l="1"/>
  <c r="I59" i="140"/>
  <c r="Y18" i="102"/>
  <c r="I62" i="140" l="1"/>
  <c r="Y21" i="102"/>
  <c r="X23" i="102"/>
  <c r="Y23" i="102" l="1"/>
  <c r="I64" i="140"/>
  <c r="L580" i="100" l="1"/>
  <c r="M580" i="100" s="1"/>
  <c r="L579" i="100" l="1"/>
  <c r="M579" i="100" s="1"/>
  <c r="L582" i="100" l="1"/>
  <c r="M582" i="100" s="1"/>
  <c r="L479" i="100" l="1"/>
  <c r="M479" i="100" s="1"/>
  <c r="L485" i="100" l="1"/>
  <c r="M485" i="100" s="1"/>
  <c r="L477" i="100"/>
  <c r="M477" i="100" s="1"/>
  <c r="L481" i="100"/>
  <c r="M481" i="100" s="1"/>
  <c r="L475" i="100"/>
  <c r="M475" i="100" s="1"/>
  <c r="L476" i="100"/>
  <c r="M476" i="100" s="1"/>
  <c r="L478" i="100"/>
  <c r="M478" i="100" s="1"/>
  <c r="L480" i="100"/>
  <c r="M480" i="100" s="1"/>
  <c r="L469" i="100" l="1"/>
  <c r="M469" i="100" s="1"/>
  <c r="L581" i="100"/>
  <c r="M581" i="100" s="1"/>
  <c r="L575" i="100"/>
  <c r="M575" i="100" s="1"/>
  <c r="L482" i="100"/>
  <c r="M482" i="100" s="1"/>
  <c r="L466" i="100" l="1"/>
  <c r="M466" i="100" s="1"/>
  <c r="L471" i="100"/>
  <c r="M471" i="100" s="1"/>
  <c r="L468" i="100"/>
  <c r="M468" i="100" s="1"/>
  <c r="L467" i="100"/>
  <c r="M467" i="100" s="1"/>
  <c r="L470" i="100"/>
  <c r="M470" i="100" s="1"/>
  <c r="L572" i="100"/>
  <c r="M572" i="100" s="1"/>
  <c r="L571" i="100"/>
  <c r="M571" i="100" s="1"/>
  <c r="L565" i="100"/>
  <c r="M565" i="100" s="1"/>
  <c r="L576" i="100"/>
  <c r="M576" i="100" s="1"/>
  <c r="L577" i="100"/>
  <c r="M577" i="100" s="1"/>
  <c r="L573" i="100"/>
  <c r="M573" i="100" s="1"/>
  <c r="L574" i="100"/>
  <c r="M574" i="100" s="1"/>
  <c r="L465" i="100" l="1"/>
  <c r="J488" i="100"/>
  <c r="J491" i="100" s="1"/>
  <c r="J493" i="100" s="1"/>
  <c r="J584" i="100"/>
  <c r="J587" i="100" s="1"/>
  <c r="J589" i="100" s="1"/>
  <c r="K598" i="100" s="1"/>
  <c r="L472" i="100"/>
  <c r="M472" i="100" s="1"/>
  <c r="L578" i="100"/>
  <c r="M578" i="100" s="1"/>
  <c r="L567" i="100"/>
  <c r="M567" i="100" s="1"/>
  <c r="L563" i="100"/>
  <c r="M563" i="100" s="1"/>
  <c r="L564" i="100"/>
  <c r="M564" i="100" s="1"/>
  <c r="L566" i="100"/>
  <c r="M566" i="100" s="1"/>
  <c r="L562" i="100"/>
  <c r="M562" i="100" s="1"/>
  <c r="L561" i="100" l="1"/>
  <c r="M465" i="100"/>
  <c r="M488" i="100" s="1"/>
  <c r="M491" i="100" s="1"/>
  <c r="L488" i="100"/>
  <c r="L491" i="100" s="1"/>
  <c r="L568" i="100"/>
  <c r="M568" i="100" s="1"/>
  <c r="I584" i="100" l="1"/>
  <c r="I587" i="100" s="1"/>
  <c r="M561" i="100"/>
  <c r="M584" i="100" s="1"/>
  <c r="M587" i="100" s="1"/>
  <c r="L584" i="100"/>
  <c r="L587" i="100" s="1"/>
  <c r="AU31" i="49" l="1"/>
  <c r="H88" i="146"/>
  <c r="AW14" i="49"/>
  <c r="AW16" i="49"/>
  <c r="H90" i="146"/>
  <c r="AU33" i="49"/>
  <c r="AU32" i="49" l="1"/>
  <c r="H89" i="146"/>
  <c r="S22" i="49"/>
  <c r="AW15" i="49"/>
  <c r="AW17" i="49"/>
  <c r="AU34" i="49"/>
  <c r="H91" i="146"/>
  <c r="S24" i="49" l="1"/>
  <c r="AW18" i="49"/>
  <c r="AW20" i="49" s="1"/>
  <c r="J28" i="136"/>
  <c r="AX25" i="49" l="1"/>
  <c r="AS23" i="49"/>
  <c r="AW13" i="49" l="1"/>
  <c r="AU30" i="49"/>
  <c r="AU35" i="49" s="1"/>
  <c r="H87" i="146"/>
  <c r="S16" i="49"/>
  <c r="S18" i="49" l="1"/>
  <c r="S25" i="49"/>
  <c r="H81" i="140"/>
  <c r="J27" i="136" l="1"/>
  <c r="J18" i="136"/>
  <c r="H89" i="140"/>
  <c r="J29" i="136" l="1"/>
  <c r="H97" i="140"/>
  <c r="H105" i="140" l="1"/>
  <c r="H113" i="140" l="1"/>
  <c r="M313" i="133" l="1"/>
  <c r="M312" i="133"/>
  <c r="L312" i="133"/>
  <c r="M311" i="133"/>
  <c r="L311" i="133"/>
  <c r="M310" i="133"/>
  <c r="L310" i="133"/>
  <c r="M293" i="133"/>
  <c r="M292" i="133"/>
  <c r="M291" i="133"/>
  <c r="L291" i="133"/>
  <c r="M290" i="133"/>
  <c r="L290" i="133"/>
  <c r="M289" i="133"/>
  <c r="L289" i="133"/>
  <c r="R284" i="133"/>
  <c r="R217" i="133"/>
  <c r="R174" i="133"/>
  <c r="L51" i="133" l="1"/>
  <c r="M50" i="133"/>
  <c r="M52" i="133"/>
  <c r="M250" i="133"/>
  <c r="L50" i="133"/>
  <c r="L52" i="133"/>
  <c r="M51" i="133"/>
  <c r="G79" i="133"/>
  <c r="G73" i="133"/>
  <c r="G77" i="133"/>
  <c r="G117" i="133"/>
  <c r="R111" i="133"/>
  <c r="G121" i="133"/>
  <c r="G161" i="133"/>
  <c r="R155" i="133"/>
  <c r="I165" i="133"/>
  <c r="I164" i="133"/>
  <c r="M181" i="133"/>
  <c r="S171" i="133"/>
  <c r="M183" i="133"/>
  <c r="S173" i="133"/>
  <c r="G203" i="133"/>
  <c r="G207" i="133"/>
  <c r="R197" i="133"/>
  <c r="R214" i="133"/>
  <c r="L224" i="133"/>
  <c r="L226" i="133"/>
  <c r="R216" i="133"/>
  <c r="R226" i="133" s="1"/>
  <c r="G245" i="133"/>
  <c r="G251" i="133"/>
  <c r="G249" i="133"/>
  <c r="R281" i="133"/>
  <c r="R291" i="133" s="1"/>
  <c r="S281" i="133"/>
  <c r="S291" i="133" s="1"/>
  <c r="G291" i="133"/>
  <c r="L288" i="133"/>
  <c r="L294" i="133"/>
  <c r="M315" i="133"/>
  <c r="M309" i="133"/>
  <c r="G74" i="133"/>
  <c r="G78" i="133"/>
  <c r="R68" i="133"/>
  <c r="G118" i="133"/>
  <c r="I121" i="133"/>
  <c r="I122" i="133"/>
  <c r="R112" i="133"/>
  <c r="G162" i="133"/>
  <c r="R170" i="133"/>
  <c r="L180" i="133"/>
  <c r="L186" i="133"/>
  <c r="L182" i="133"/>
  <c r="R172" i="133"/>
  <c r="G204" i="133"/>
  <c r="R198" i="133"/>
  <c r="I207" i="133"/>
  <c r="I208" i="133"/>
  <c r="M224" i="133"/>
  <c r="S214" i="133"/>
  <c r="S216" i="133"/>
  <c r="M226" i="133"/>
  <c r="G246" i="133"/>
  <c r="R240" i="133"/>
  <c r="S240" i="133"/>
  <c r="G250" i="133"/>
  <c r="G294" i="133"/>
  <c r="S278" i="133"/>
  <c r="G288" i="133"/>
  <c r="R278" i="133"/>
  <c r="R282" i="133"/>
  <c r="S282" i="133"/>
  <c r="S292" i="133" s="1"/>
  <c r="G292" i="133"/>
  <c r="M294" i="133"/>
  <c r="M288" i="133"/>
  <c r="L49" i="133"/>
  <c r="L55" i="133"/>
  <c r="G75" i="133"/>
  <c r="I79" i="133"/>
  <c r="I78" i="133"/>
  <c r="R69" i="133"/>
  <c r="G119" i="133"/>
  <c r="G159" i="133"/>
  <c r="G165" i="133"/>
  <c r="G163" i="133"/>
  <c r="M180" i="133"/>
  <c r="S170" i="133"/>
  <c r="S172" i="133"/>
  <c r="M182" i="133"/>
  <c r="S174" i="133"/>
  <c r="G205" i="133"/>
  <c r="L229" i="133"/>
  <c r="R213" i="133"/>
  <c r="L223" i="133"/>
  <c r="R215" i="133"/>
  <c r="L225" i="133"/>
  <c r="G247" i="133"/>
  <c r="R241" i="133"/>
  <c r="S241" i="133"/>
  <c r="S279" i="133"/>
  <c r="S289" i="133" s="1"/>
  <c r="G289" i="133"/>
  <c r="R279" i="133"/>
  <c r="R289" i="133" s="1"/>
  <c r="R283" i="133"/>
  <c r="G293" i="133"/>
  <c r="S283" i="133"/>
  <c r="S293" i="133" s="1"/>
  <c r="M49" i="133"/>
  <c r="G76" i="133"/>
  <c r="G116" i="133"/>
  <c r="G122" i="133"/>
  <c r="G120" i="133"/>
  <c r="G160" i="133"/>
  <c r="G164" i="133"/>
  <c r="R154" i="133"/>
  <c r="R171" i="133"/>
  <c r="R181" i="133" s="1"/>
  <c r="L181" i="133"/>
  <c r="R173" i="133"/>
  <c r="R183" i="133" s="1"/>
  <c r="L183" i="133"/>
  <c r="G202" i="133"/>
  <c r="G208" i="133"/>
  <c r="G206" i="133"/>
  <c r="S213" i="133"/>
  <c r="M223" i="133"/>
  <c r="S215" i="133"/>
  <c r="M225" i="133"/>
  <c r="S217" i="133"/>
  <c r="G248" i="133"/>
  <c r="G290" i="133"/>
  <c r="S280" i="133"/>
  <c r="S290" i="133" s="1"/>
  <c r="R280" i="133"/>
  <c r="R290" i="133" s="1"/>
  <c r="L309" i="133"/>
  <c r="L315" i="133"/>
  <c r="S225" i="133" l="1"/>
  <c r="R225" i="133"/>
  <c r="S182" i="133"/>
  <c r="S180" i="133"/>
  <c r="S250" i="133"/>
  <c r="R182" i="133"/>
  <c r="R180" i="133"/>
  <c r="R186" i="133"/>
  <c r="S183" i="133"/>
  <c r="S294" i="133"/>
  <c r="S288" i="133"/>
  <c r="R224" i="133"/>
  <c r="R229" i="133"/>
  <c r="R223" i="133"/>
  <c r="S226" i="133"/>
  <c r="S181" i="133"/>
  <c r="S223" i="133"/>
  <c r="R288" i="133"/>
  <c r="R294" i="133"/>
  <c r="S224" i="133"/>
  <c r="L54" i="14" l="1"/>
  <c r="H39" i="145" s="1"/>
  <c r="L53" i="14" l="1"/>
  <c r="H38" i="145" l="1"/>
  <c r="R239" i="133" l="1"/>
  <c r="R67" i="133"/>
  <c r="R110" i="133"/>
  <c r="R153" i="133"/>
  <c r="R196" i="133"/>
  <c r="L246" i="133" l="1"/>
  <c r="R236" i="133"/>
  <c r="R65" i="133"/>
  <c r="L247" i="133"/>
  <c r="R237" i="133"/>
  <c r="L203" i="133"/>
  <c r="R193" i="133"/>
  <c r="L205" i="133"/>
  <c r="R195" i="133"/>
  <c r="R205" i="133" s="1"/>
  <c r="L160" i="133"/>
  <c r="R150" i="133"/>
  <c r="L202" i="133"/>
  <c r="L208" i="133"/>
  <c r="R192" i="133"/>
  <c r="L161" i="133"/>
  <c r="R151" i="133"/>
  <c r="L79" i="133"/>
  <c r="R63" i="133"/>
  <c r="L162" i="133"/>
  <c r="R152" i="133"/>
  <c r="R162" i="133" s="1"/>
  <c r="L117" i="133"/>
  <c r="R107" i="133"/>
  <c r="L251" i="133"/>
  <c r="L245" i="133"/>
  <c r="R235" i="133"/>
  <c r="L248" i="133"/>
  <c r="R238" i="133"/>
  <c r="R248" i="133" s="1"/>
  <c r="L204" i="133"/>
  <c r="R194" i="133"/>
  <c r="R204" i="133" s="1"/>
  <c r="L119" i="133"/>
  <c r="R109" i="133"/>
  <c r="R119" i="133" s="1"/>
  <c r="L116" i="133"/>
  <c r="L122" i="133"/>
  <c r="R106" i="133"/>
  <c r="L165" i="133"/>
  <c r="L159" i="133"/>
  <c r="R149" i="133"/>
  <c r="L118" i="133"/>
  <c r="R108" i="133"/>
  <c r="R118" i="133" s="1"/>
  <c r="L75" i="133"/>
  <c r="S152" i="133"/>
  <c r="R160" i="133" l="1"/>
  <c r="M247" i="133"/>
  <c r="S237" i="133"/>
  <c r="M161" i="133"/>
  <c r="S151" i="133"/>
  <c r="S161" i="133" s="1"/>
  <c r="R203" i="133"/>
  <c r="M246" i="133"/>
  <c r="S236" i="133"/>
  <c r="M205" i="133"/>
  <c r="S195" i="133"/>
  <c r="M249" i="133"/>
  <c r="S239" i="133"/>
  <c r="S249" i="133" s="1"/>
  <c r="R122" i="133"/>
  <c r="R116" i="133"/>
  <c r="R117" i="133"/>
  <c r="R79" i="133"/>
  <c r="R202" i="133"/>
  <c r="R208" i="133"/>
  <c r="S196" i="133"/>
  <c r="M204" i="133"/>
  <c r="S194" i="133"/>
  <c r="M159" i="133"/>
  <c r="S149" i="133"/>
  <c r="L76" i="133"/>
  <c r="R66" i="133"/>
  <c r="R76" i="133" s="1"/>
  <c r="M251" i="133"/>
  <c r="M245" i="133"/>
  <c r="S235" i="133"/>
  <c r="R159" i="133"/>
  <c r="R165" i="133"/>
  <c r="R245" i="133"/>
  <c r="R251" i="133"/>
  <c r="R247" i="133"/>
  <c r="R246" i="133"/>
  <c r="M248" i="133"/>
  <c r="S238" i="133"/>
  <c r="S248" i="133" s="1"/>
  <c r="M160" i="133"/>
  <c r="S150" i="133"/>
  <c r="S160" i="133" s="1"/>
  <c r="M203" i="133"/>
  <c r="S193" i="133"/>
  <c r="M202" i="133"/>
  <c r="S192" i="133"/>
  <c r="L73" i="133"/>
  <c r="L74" i="133"/>
  <c r="R64" i="133"/>
  <c r="R74" i="133" s="1"/>
  <c r="R161" i="133"/>
  <c r="S66" i="133"/>
  <c r="S155" i="133"/>
  <c r="S203" i="133" l="1"/>
  <c r="S204" i="133"/>
  <c r="S246" i="133"/>
  <c r="M117" i="133"/>
  <c r="S107" i="133"/>
  <c r="M118" i="133"/>
  <c r="S108" i="133"/>
  <c r="S245" i="133"/>
  <c r="S251" i="133"/>
  <c r="M116" i="133"/>
  <c r="S106" i="133"/>
  <c r="S202" i="133"/>
  <c r="S165" i="133"/>
  <c r="S159" i="133"/>
  <c r="S205" i="133"/>
  <c r="R75" i="133"/>
  <c r="S247" i="133"/>
  <c r="S109" i="133"/>
  <c r="M165" i="133"/>
  <c r="R73" i="133"/>
  <c r="M75" i="133"/>
  <c r="S65" i="133"/>
  <c r="S75" i="133" s="1"/>
  <c r="M164" i="133"/>
  <c r="S154" i="133"/>
  <c r="S164" i="133" s="1"/>
  <c r="S63" i="133"/>
  <c r="M162" i="133"/>
  <c r="M163" i="133"/>
  <c r="S153" i="133"/>
  <c r="S110" i="133"/>
  <c r="S117" i="133" l="1"/>
  <c r="M74" i="133"/>
  <c r="S64" i="133"/>
  <c r="S74" i="133" s="1"/>
  <c r="M119" i="133"/>
  <c r="S118" i="133"/>
  <c r="M76" i="133"/>
  <c r="S67" i="133"/>
  <c r="S76" i="133" s="1"/>
  <c r="S119" i="133"/>
  <c r="S163" i="133"/>
  <c r="S162" i="133"/>
  <c r="M73" i="133"/>
  <c r="S116" i="133"/>
  <c r="M186" i="133" l="1"/>
  <c r="S73" i="133"/>
  <c r="O79" i="133"/>
  <c r="O78" i="133"/>
  <c r="S69" i="133"/>
  <c r="M79" i="133"/>
  <c r="S198" i="133"/>
  <c r="S208" i="133" s="1"/>
  <c r="M208" i="133"/>
  <c r="M120" i="133"/>
  <c r="M121" i="133"/>
  <c r="S111" i="133"/>
  <c r="M77" i="133"/>
  <c r="M78" i="133"/>
  <c r="S68" i="133"/>
  <c r="M53" i="133"/>
  <c r="M207" i="133"/>
  <c r="S197" i="133"/>
  <c r="M206" i="133"/>
  <c r="O122" i="133"/>
  <c r="O121" i="133"/>
  <c r="S112" i="133"/>
  <c r="M122" i="133"/>
  <c r="M185" i="133"/>
  <c r="M184" i="133"/>
  <c r="M314" i="133"/>
  <c r="S284" i="133"/>
  <c r="M229" i="133"/>
  <c r="U122" i="133" l="1"/>
  <c r="U121" i="133"/>
  <c r="S122" i="133"/>
  <c r="S207" i="133"/>
  <c r="S206" i="133"/>
  <c r="S77" i="133"/>
  <c r="S78" i="133"/>
  <c r="M228" i="133"/>
  <c r="M227" i="133"/>
  <c r="U78" i="133"/>
  <c r="U79" i="133"/>
  <c r="S79" i="133"/>
  <c r="O55" i="133"/>
  <c r="O54" i="133"/>
  <c r="M55" i="133"/>
  <c r="M54" i="133"/>
  <c r="S121" i="133"/>
  <c r="S120" i="133"/>
  <c r="K54" i="14" l="1"/>
  <c r="H35" i="145" s="1"/>
  <c r="K53" i="14"/>
  <c r="H34" i="145" l="1"/>
  <c r="H41" i="145" l="1"/>
  <c r="H21" i="136" l="1"/>
  <c r="H23" i="136"/>
  <c r="H25" i="136"/>
  <c r="H24" i="136"/>
  <c r="E24" i="136"/>
  <c r="E25" i="136"/>
  <c r="E23" i="136"/>
  <c r="E21" i="136"/>
  <c r="F23" i="136"/>
  <c r="F21" i="136"/>
  <c r="F25" i="136"/>
  <c r="F24" i="136"/>
  <c r="G21" i="136"/>
  <c r="G24" i="136"/>
  <c r="G23" i="136"/>
  <c r="G25" i="136"/>
  <c r="G22" i="150" l="1"/>
  <c r="L22" i="150" s="1"/>
  <c r="N22" i="150" s="1"/>
  <c r="M22" i="150"/>
  <c r="M24" i="150"/>
  <c r="G24" i="150"/>
  <c r="L24" i="150" s="1"/>
  <c r="N24" i="150" s="1"/>
  <c r="G18" i="150" l="1"/>
  <c r="L18" i="150" s="1"/>
  <c r="M18" i="150"/>
  <c r="G20" i="150"/>
  <c r="I21" i="136" l="1"/>
  <c r="N18" i="150"/>
  <c r="J25" i="136"/>
  <c r="J23" i="136"/>
  <c r="J21" i="136"/>
  <c r="J24" i="136"/>
  <c r="K20" i="150" l="1"/>
  <c r="I27" i="150"/>
  <c r="G19" i="150"/>
  <c r="L19" i="150" s="1"/>
  <c r="M19" i="150"/>
  <c r="D27" i="150"/>
  <c r="H36" i="145"/>
  <c r="L20" i="150"/>
  <c r="N20" i="150" s="1"/>
  <c r="G27" i="150" l="1"/>
  <c r="J28" i="150" s="1"/>
  <c r="J42" i="150" s="1"/>
  <c r="J43" i="150" s="1"/>
  <c r="D28" i="150"/>
  <c r="K27" i="150"/>
  <c r="M20" i="150"/>
  <c r="N19" i="150"/>
  <c r="L27" i="150"/>
  <c r="L28" i="150" l="1"/>
  <c r="L42" i="150" s="1"/>
  <c r="L43" i="150" s="1"/>
  <c r="I28" i="150"/>
  <c r="N28" i="150" l="1"/>
  <c r="M28" i="150"/>
  <c r="I42" i="150"/>
  <c r="I43" i="150" s="1"/>
  <c r="G43" i="150" s="1"/>
  <c r="G58" i="150" s="1"/>
  <c r="H40" i="145"/>
  <c r="L57" i="14"/>
  <c r="O28" i="150" l="1"/>
  <c r="G65" i="150"/>
  <c r="J65" i="150" s="1"/>
  <c r="J80" i="150" s="1"/>
  <c r="G63" i="150"/>
  <c r="J63" i="150" s="1"/>
  <c r="J78" i="150" s="1"/>
  <c r="G64" i="150"/>
  <c r="G59" i="150"/>
  <c r="G66" i="150"/>
  <c r="J66" i="150" s="1"/>
  <c r="J81" i="150" s="1"/>
  <c r="L58" i="150"/>
  <c r="L59" i="150" s="1"/>
  <c r="L60" i="150" s="1"/>
  <c r="L61" i="150" s="1"/>
  <c r="G60" i="150"/>
  <c r="G62" i="150"/>
  <c r="G61" i="150"/>
  <c r="J61" i="150" s="1"/>
  <c r="J76" i="150" s="1"/>
  <c r="G76" i="150" s="1"/>
  <c r="G78" i="150" l="1"/>
  <c r="L62" i="150"/>
  <c r="L63" i="150" s="1"/>
  <c r="O61" i="150"/>
  <c r="O76" i="150" s="1"/>
  <c r="L76" i="150" s="1"/>
  <c r="J62" i="150" l="1"/>
  <c r="J77" i="150" s="1"/>
  <c r="F77" i="150"/>
  <c r="J64" i="150"/>
  <c r="J79" i="150" s="1"/>
  <c r="F79" i="150"/>
  <c r="L64" i="150"/>
  <c r="L65" i="150" s="1"/>
  <c r="O63" i="150"/>
  <c r="O78" i="150" s="1"/>
  <c r="L78" i="150" s="1"/>
  <c r="G79" i="150" l="1"/>
  <c r="S261" i="133"/>
  <c r="S271" i="133" s="1"/>
  <c r="G270" i="133"/>
  <c r="R261" i="133"/>
  <c r="J60" i="150"/>
  <c r="J75" i="150" s="1"/>
  <c r="F75" i="150"/>
  <c r="G227" i="133"/>
  <c r="S218" i="133"/>
  <c r="S227" i="133" s="1"/>
  <c r="R218" i="133"/>
  <c r="S175" i="133"/>
  <c r="G184" i="133"/>
  <c r="R175" i="133"/>
  <c r="O65" i="150"/>
  <c r="O80" i="150" s="1"/>
  <c r="L66" i="150"/>
  <c r="O66" i="150" s="1"/>
  <c r="O81" i="150" s="1"/>
  <c r="G77" i="150"/>
  <c r="S184" i="133" l="1"/>
  <c r="G75" i="150"/>
  <c r="J59" i="150"/>
  <c r="J74" i="150" s="1"/>
  <c r="F74" i="150"/>
  <c r="K132" i="14"/>
  <c r="G141" i="133" l="1"/>
  <c r="S132" i="133"/>
  <c r="S142" i="133" s="1"/>
  <c r="R132" i="133"/>
  <c r="J58" i="150"/>
  <c r="F67" i="150"/>
  <c r="F73" i="150"/>
  <c r="F82" i="150" s="1"/>
  <c r="G74" i="150"/>
  <c r="K502" i="100"/>
  <c r="J67" i="150" l="1"/>
  <c r="J73" i="150"/>
  <c r="G73" i="150" l="1"/>
  <c r="J82" i="150"/>
  <c r="H37" i="145"/>
  <c r="K57" i="14"/>
  <c r="S89" i="133" l="1"/>
  <c r="S99" i="133" s="1"/>
  <c r="G98" i="133"/>
  <c r="R89" i="133"/>
  <c r="K73" i="150" l="1"/>
  <c r="K67" i="150"/>
  <c r="O58" i="150"/>
  <c r="K74" i="150"/>
  <c r="O59" i="150"/>
  <c r="O74" i="150" s="1"/>
  <c r="O62" i="150"/>
  <c r="O77" i="150" s="1"/>
  <c r="K77" i="150"/>
  <c r="O60" i="150"/>
  <c r="O75" i="150" s="1"/>
  <c r="K75" i="150"/>
  <c r="K79" i="150"/>
  <c r="O64" i="150"/>
  <c r="O79" i="150" s="1"/>
  <c r="L77" i="150" l="1"/>
  <c r="L74" i="150"/>
  <c r="L79" i="150"/>
  <c r="L75" i="150"/>
  <c r="O73" i="150"/>
  <c r="O67" i="150"/>
  <c r="K82" i="150"/>
  <c r="O82" i="150" l="1"/>
  <c r="L73" i="150"/>
  <c r="H83" i="146" l="1"/>
  <c r="AT31" i="49"/>
  <c r="AU14" i="49"/>
  <c r="AV14" i="49" s="1"/>
  <c r="AX14" i="49" s="1"/>
  <c r="AT32" i="49" l="1"/>
  <c r="H84" i="146"/>
  <c r="AU15" i="49"/>
  <c r="AV15" i="49" s="1"/>
  <c r="AX15" i="49" s="1"/>
  <c r="R22" i="49"/>
  <c r="AU17" i="49"/>
  <c r="AV17" i="49" s="1"/>
  <c r="AX17" i="49" s="1"/>
  <c r="H86" i="146"/>
  <c r="AT34" i="49"/>
  <c r="AU16" i="49"/>
  <c r="AV16" i="49" s="1"/>
  <c r="AX16" i="49" s="1"/>
  <c r="AT33" i="49"/>
  <c r="H85" i="146"/>
  <c r="I28" i="136" l="1"/>
  <c r="I24" i="136"/>
  <c r="R23" i="49"/>
  <c r="S23" i="49"/>
  <c r="AU18" i="49"/>
  <c r="AU20" i="49" l="1"/>
  <c r="AV18" i="49"/>
  <c r="AX18" i="49" l="1"/>
  <c r="AX20" i="49" s="1"/>
  <c r="AV20" i="49"/>
  <c r="AW21" i="49"/>
  <c r="AW22" i="49" s="1"/>
  <c r="AU21" i="49"/>
  <c r="AU22" i="49" s="1"/>
  <c r="AS24" i="49" l="1"/>
  <c r="R16" i="49" l="1"/>
  <c r="AT30" i="49"/>
  <c r="AT35" i="49" s="1"/>
  <c r="H82" i="146"/>
  <c r="AU13" i="49"/>
  <c r="AV13" i="49" s="1"/>
  <c r="AX13" i="49" s="1"/>
  <c r="AU36" i="49" l="1"/>
  <c r="AT36" i="49"/>
  <c r="S17" i="49"/>
  <c r="R17" i="49"/>
  <c r="R25" i="49"/>
  <c r="I73" i="140" l="1"/>
  <c r="AB24" i="102"/>
  <c r="I27" i="136"/>
  <c r="I18" i="136"/>
  <c r="I23" i="136"/>
  <c r="S26" i="49"/>
  <c r="R26" i="49"/>
  <c r="I29" i="136" l="1"/>
  <c r="I25" i="136"/>
  <c r="F40" i="15"/>
  <c r="G15" i="15" s="1"/>
  <c r="G40" i="15" l="1"/>
  <c r="I23" i="50" l="1"/>
  <c r="O23" i="50" s="1"/>
  <c r="I22" i="50"/>
  <c r="I27" i="50"/>
  <c r="I28" i="50"/>
  <c r="O28" i="50" s="1"/>
  <c r="I29" i="50" l="1"/>
  <c r="O27" i="50"/>
  <c r="O29" i="50" s="1"/>
  <c r="O22" i="50"/>
  <c r="O24" i="50" s="1"/>
  <c r="O31" i="50" s="1"/>
  <c r="I24" i="50"/>
  <c r="I100" i="133" l="1"/>
  <c r="S90" i="133"/>
  <c r="G99" i="133"/>
  <c r="I99" i="133"/>
  <c r="G100" i="133"/>
  <c r="R90" i="133"/>
  <c r="S262" i="133" l="1"/>
  <c r="G272" i="133"/>
  <c r="I272" i="133"/>
  <c r="R262" i="133"/>
  <c r="I271" i="133"/>
  <c r="G271" i="133"/>
  <c r="R176" i="133"/>
  <c r="S176" i="133"/>
  <c r="G186" i="133"/>
  <c r="G185" i="133"/>
  <c r="G143" i="133"/>
  <c r="I143" i="133"/>
  <c r="R133" i="133"/>
  <c r="S133" i="133"/>
  <c r="G142" i="133"/>
  <c r="I142" i="133"/>
  <c r="R305" i="133"/>
  <c r="S305" i="133"/>
  <c r="S219" i="133"/>
  <c r="I228" i="133"/>
  <c r="I229" i="133"/>
  <c r="R219" i="133"/>
  <c r="G229" i="133"/>
  <c r="G228" i="133"/>
  <c r="S186" i="133" l="1"/>
  <c r="S185" i="133"/>
  <c r="S229" i="133"/>
  <c r="S228" i="133"/>
</calcChain>
</file>

<file path=xl/sharedStrings.xml><?xml version="1.0" encoding="utf-8"?>
<sst xmlns="http://schemas.openxmlformats.org/spreadsheetml/2006/main" count="5885" uniqueCount="1683">
  <si>
    <t>Total Compensation (Salary, Wages, &amp; Benefits)</t>
  </si>
  <si>
    <t>Employee Costs</t>
  </si>
  <si>
    <t>Depreciation and Amortization Expense</t>
  </si>
  <si>
    <t>Account</t>
  </si>
  <si>
    <t>Years</t>
  </si>
  <si>
    <t>(2)</t>
  </si>
  <si>
    <t>Notes:</t>
  </si>
  <si>
    <t>Proposed</t>
  </si>
  <si>
    <t>Rate</t>
  </si>
  <si>
    <t>Customer Class:</t>
  </si>
  <si>
    <t>Year</t>
  </si>
  <si>
    <t>Gross Asset Value</t>
  </si>
  <si>
    <t>Accumulated Amortization</t>
  </si>
  <si>
    <t>Net Asset</t>
  </si>
  <si>
    <t>Proceeds on Disposition</t>
  </si>
  <si>
    <t>Residual Net Book Value</t>
  </si>
  <si>
    <t>(A)</t>
  </si>
  <si>
    <t>(B)</t>
  </si>
  <si>
    <t>(D)</t>
  </si>
  <si>
    <t>(E)</t>
  </si>
  <si>
    <t>Capital Projects Table</t>
  </si>
  <si>
    <t>Year:</t>
  </si>
  <si>
    <t>USoA #</t>
  </si>
  <si>
    <t>Other Operating Revenue</t>
  </si>
  <si>
    <t>Specific Service Charges</t>
  </si>
  <si>
    <t>Late Payment Charges</t>
  </si>
  <si>
    <t>Retail Services Revenues</t>
  </si>
  <si>
    <t>Appendix 2-M</t>
  </si>
  <si>
    <t>Appendix 2-N</t>
  </si>
  <si>
    <t>Appendix 2-Q</t>
  </si>
  <si>
    <t>(3)</t>
  </si>
  <si>
    <t>(4)</t>
  </si>
  <si>
    <t>(5)</t>
  </si>
  <si>
    <t>(6) = '(3) + (4)</t>
  </si>
  <si>
    <t>Asset Class</t>
  </si>
  <si>
    <t>Distribution Stations</t>
  </si>
  <si>
    <t>(7)</t>
  </si>
  <si>
    <t>(8)</t>
  </si>
  <si>
    <t>(9)</t>
  </si>
  <si>
    <t>(10)</t>
  </si>
  <si>
    <t>(11)</t>
  </si>
  <si>
    <t>Total line length or station capacity in asset class</t>
  </si>
  <si>
    <t>kW or kVa; km</t>
  </si>
  <si>
    <t>kW or kVA; km</t>
  </si>
  <si>
    <t>kW or kVA</t>
  </si>
  <si>
    <t>percent</t>
  </si>
  <si>
    <t>(12)</t>
  </si>
  <si>
    <t>(12a)</t>
  </si>
  <si>
    <t>(13)</t>
  </si>
  <si>
    <t>(14)</t>
  </si>
  <si>
    <t>(15)</t>
  </si>
  <si>
    <t>Return on Assets used to Provide LV services</t>
  </si>
  <si>
    <t>Taxes/PILs</t>
  </si>
  <si>
    <t>Annual amortization on assets used to provide LV services</t>
  </si>
  <si>
    <t>OM&amp;A costs with burden associated with assets used to provide LV services</t>
  </si>
  <si>
    <t>Total annual cost associated with assets used to provide LV services</t>
  </si>
  <si>
    <t>$/kW or $/kVA</t>
  </si>
  <si>
    <t>(17)</t>
  </si>
  <si>
    <t>(18)</t>
  </si>
  <si>
    <t>(19)</t>
  </si>
  <si>
    <t>(21)</t>
  </si>
  <si>
    <t>Capital Structure</t>
  </si>
  <si>
    <t>Long-Term Debt</t>
  </si>
  <si>
    <t>Weighted Average Cost of Capital</t>
  </si>
  <si>
    <t>Short-term Debt</t>
  </si>
  <si>
    <t>Common Equity</t>
  </si>
  <si>
    <t>Tax/PILs Rate</t>
  </si>
  <si>
    <t>Preferred Shares</t>
  </si>
  <si>
    <t>Working Capital Allowance Factor</t>
  </si>
  <si>
    <t>Difference</t>
  </si>
  <si>
    <t>kWh</t>
  </si>
  <si>
    <t>kW</t>
  </si>
  <si>
    <t>Residential</t>
  </si>
  <si>
    <t>GS &lt; 50 kW</t>
  </si>
  <si>
    <t>Streetlighting</t>
  </si>
  <si>
    <r>
      <t xml:space="preserve">Summary of </t>
    </r>
    <r>
      <rPr>
        <b/>
        <u/>
        <sz val="14"/>
        <color indexed="10"/>
        <rFont val="Arial"/>
        <family val="2"/>
      </rPr>
      <t>Recoverable</t>
    </r>
    <r>
      <rPr>
        <b/>
        <sz val="14"/>
        <rFont val="Arial"/>
        <family val="2"/>
      </rPr>
      <t xml:space="preserve"> OM&amp;A Expenses</t>
    </r>
  </si>
  <si>
    <t>If no depreciation expenses were recorded to reduce the net book value of stranded meter costs through accumulated depreciation, the total depreciation expense amount that would have been applicable from the time that the stranded meter costs were transferred to the sub-account of Account 1555 to December 31, 2010 should be provided.  In addition, the following information should be provided:</t>
  </si>
  <si>
    <t>A statement as to whether or not the recording of depreciation expenses continued in order to reduce the net book value through accumulated depreciation.  If so, provision of the total (cumulative) depreciation expense for the period from the time that the meters became stranded to December 31, 2010.</t>
  </si>
  <si>
    <t>The estimated amount of the pooled residual net book value of the removed from service meters, less any net proceeds from sales and contributed capital, at the time when smart meters will have been fully deployed.  If the smart meters have been fully deployed, please provide the actual amount.</t>
  </si>
  <si>
    <t>A description as to how the applicant intends to recover in rates the costs for stranded meters, including the proposed accounting treatment, the proposed disposition period and the associated bill impacts.</t>
  </si>
  <si>
    <t>Forecast</t>
  </si>
  <si>
    <t>USoA Description</t>
  </si>
  <si>
    <r>
      <t>etc.</t>
    </r>
    <r>
      <rPr>
        <vertAlign val="superscript"/>
        <sz val="10"/>
        <rFont val="Arial"/>
        <family val="2"/>
      </rPr>
      <t>1</t>
    </r>
  </si>
  <si>
    <t>1</t>
  </si>
  <si>
    <r>
      <t xml:space="preserve">Operating expenses associated with other resources allocated to regulatory matters </t>
    </r>
    <r>
      <rPr>
        <vertAlign val="superscript"/>
        <sz val="10"/>
        <rFont val="Arial"/>
        <family val="2"/>
      </rPr>
      <t>1</t>
    </r>
  </si>
  <si>
    <t>2</t>
  </si>
  <si>
    <t>3</t>
  </si>
  <si>
    <r>
      <t>Number of Employees (FTEs including Part-Time)</t>
    </r>
    <r>
      <rPr>
        <b/>
        <vertAlign val="superscript"/>
        <sz val="10"/>
        <rFont val="Arial"/>
        <family val="2"/>
      </rPr>
      <t>1</t>
    </r>
  </si>
  <si>
    <t xml:space="preserve">Note: </t>
  </si>
  <si>
    <t>(D ) = (A) - (B) - (C)</t>
  </si>
  <si>
    <t>Billing and Collecting</t>
  </si>
  <si>
    <t>Regulatory Cost Schedule</t>
  </si>
  <si>
    <t xml:space="preserve">Year </t>
  </si>
  <si>
    <t>Reporting Basis</t>
  </si>
  <si>
    <t>CGAAP</t>
  </si>
  <si>
    <t>MIFRS</t>
  </si>
  <si>
    <t>Loss Factors</t>
  </si>
  <si>
    <t>Cost of Service Rate Application Schematic</t>
  </si>
  <si>
    <t>Short-term Investment Interest</t>
  </si>
  <si>
    <t>Bank Deposit Interest</t>
  </si>
  <si>
    <t>Miscellaneous Interest Revenue</t>
  </si>
  <si>
    <t>Account 4405 - Interest and Dividend Income</t>
  </si>
  <si>
    <t>Operations</t>
  </si>
  <si>
    <t>Maintenance</t>
  </si>
  <si>
    <t>Community Relations</t>
  </si>
  <si>
    <t>Note:</t>
  </si>
  <si>
    <t>Appendix 2-G</t>
  </si>
  <si>
    <t>OM&amp;A</t>
  </si>
  <si>
    <t>Regulatory Cost Category</t>
  </si>
  <si>
    <t>USoA Account</t>
  </si>
  <si>
    <t>Annual % Change</t>
  </si>
  <si>
    <t>(C )</t>
  </si>
  <si>
    <t>USoA Account Balance</t>
  </si>
  <si>
    <t>(F)</t>
  </si>
  <si>
    <t>(G)</t>
  </si>
  <si>
    <t>OEB Annual Assessment</t>
  </si>
  <si>
    <t>OEB Section 30 Costs (OEB-initiated)</t>
  </si>
  <si>
    <t>Expert Witness costs for regulatory matters</t>
  </si>
  <si>
    <t>Legal costs for regulatory matters</t>
  </si>
  <si>
    <t>Consultants' costs for regulatory matters</t>
  </si>
  <si>
    <t>Operating expenses associated with staff resources allocated to regulatory matters</t>
  </si>
  <si>
    <t>Other regulatory agency fees or assessments</t>
  </si>
  <si>
    <t>Any other costs for regulatory matters (please define)</t>
  </si>
  <si>
    <t>Intervenor costs</t>
  </si>
  <si>
    <t>Please identify the resources involved.</t>
  </si>
  <si>
    <t>Historical Years</t>
  </si>
  <si>
    <t>5-Year Average</t>
  </si>
  <si>
    <t>Losses Within Distributor's System</t>
  </si>
  <si>
    <t>A(1)</t>
  </si>
  <si>
    <t>"Wholesale" kWh delivered to distributor (higher value)</t>
  </si>
  <si>
    <t>A(2)</t>
  </si>
  <si>
    <t>"Wholesale" kWh delivered to distributor (lower value)</t>
  </si>
  <si>
    <t>B</t>
  </si>
  <si>
    <t>Portion of "Wholesale" kWh delivered to distributor for its Large Use Customer(s)</t>
  </si>
  <si>
    <t>C</t>
  </si>
  <si>
    <t>D</t>
  </si>
  <si>
    <t>"Retail" kWh delivered by distributor</t>
  </si>
  <si>
    <t>E</t>
  </si>
  <si>
    <t>Portion of "Retail" kWh delivered by distributor to its Large Use Customer(s)</t>
  </si>
  <si>
    <t>F</t>
  </si>
  <si>
    <t>G</t>
  </si>
  <si>
    <t>H</t>
  </si>
  <si>
    <t>Losses Upstream of Distributor's System</t>
  </si>
  <si>
    <t>Supply Facilities Loss Factor</t>
  </si>
  <si>
    <t>Total Losses</t>
  </si>
  <si>
    <t>I</t>
  </si>
  <si>
    <r>
      <t xml:space="preserve">Net "Wholesale" kWh delivered to distributor  = </t>
    </r>
    <r>
      <rPr>
        <b/>
        <sz val="10"/>
        <rFont val="Arial"/>
        <family val="2"/>
      </rPr>
      <t>A(2) - B</t>
    </r>
  </si>
  <si>
    <r>
      <t xml:space="preserve">Net "Retail" kWh delivered by distributor = </t>
    </r>
    <r>
      <rPr>
        <b/>
        <sz val="10"/>
        <rFont val="Arial"/>
        <family val="2"/>
      </rPr>
      <t>D - E</t>
    </r>
  </si>
  <si>
    <r>
      <t xml:space="preserve">Loss Factor in Distributor's system = </t>
    </r>
    <r>
      <rPr>
        <b/>
        <sz val="10"/>
        <rFont val="Arial"/>
        <family val="2"/>
      </rPr>
      <t>C / F</t>
    </r>
  </si>
  <si>
    <r>
      <t xml:space="preserve">Total Loss Factor = </t>
    </r>
    <r>
      <rPr>
        <b/>
        <sz val="10"/>
        <rFont val="Arial"/>
        <family val="2"/>
      </rPr>
      <t>G x H</t>
    </r>
  </si>
  <si>
    <t>Administrative and General</t>
  </si>
  <si>
    <t>Simple average of % variance for all years</t>
  </si>
  <si>
    <t>$</t>
  </si>
  <si>
    <t>%</t>
  </si>
  <si>
    <t>Appendix 2-I</t>
  </si>
  <si>
    <t>OM&amp;A cost per customer</t>
  </si>
  <si>
    <t>Appendix 2-L</t>
  </si>
  <si>
    <t>Name of Company</t>
  </si>
  <si>
    <t>From</t>
  </si>
  <si>
    <t>To</t>
  </si>
  <si>
    <t>Service Offered</t>
  </si>
  <si>
    <t>Price for the Service</t>
  </si>
  <si>
    <t>Cost for the Service</t>
  </si>
  <si>
    <t>Stranded Meter Treatment</t>
  </si>
  <si>
    <t>Insert description of additional item(s) and new rows if needed.</t>
  </si>
  <si>
    <t>a)</t>
  </si>
  <si>
    <t>b)</t>
  </si>
  <si>
    <t>c)</t>
  </si>
  <si>
    <t>Some distributors have transferred the cost of stranded meters from Account 1860 - Meters to "Sub-account Stranded Meter Costs of Account 1555", while in some cases distributors have left these costs in Account 1860.  Depending on which treatment the applicant has chosen. please provide the information under either of the two scenarios (A and B below), as applicable.</t>
  </si>
  <si>
    <t>A description of the accounting treatment followed by the applicant on stranded meter costs for financial accounting and reporting purposes.</t>
  </si>
  <si>
    <t>A statement as to whether or not, since transferring the removed stranded meter costs to the sub-account, the recording of depreciation expenses was continued in order to reduce the net book value through accumulated depreciation.  If so, the total depreciation expense amount for the period from the time the costs for the stranded meters were transferred to the sub-account to December 31, 2010 should be provided.</t>
  </si>
  <si>
    <t>If it has been more than three years since the applicant last filed a cost of service application, additional years of historical actuals should be incorporated into the table, as necessary, to go back to the last cost of service application.  If the applicant last filed a cost of service application less than three years ago, a minimum of three years of actual information is required.</t>
  </si>
  <si>
    <t>Whether or not carrying charges were recorded for the stranded meter cost balances in the sub-account, and if so, the total carrying charges recorded to December 31, 2010.</t>
  </si>
  <si>
    <t>The estimated amount of the pooled residual net book value of the removed from service meters, less any net proceeds from sales and contributed capital, at the time when the smart meters will have been fully deployed (e.g., as of December 31, 2010).  If the smart meters have been fully deployed, the actual amount should be provided.</t>
  </si>
  <si>
    <t>(16)</t>
  </si>
  <si>
    <t>(20)</t>
  </si>
  <si>
    <t>If no depreciation expenses were recorded to reduce the net book value of stranded meters through accumulated depreciation, the total (cumulative) depreciation expense amount that would have been applicable for the period from the time that the meters became stranded to December 31, 2010.</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</si>
  <si>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t>
  </si>
  <si>
    <t>Projects</t>
  </si>
  <si>
    <t>Miscellaneous</t>
  </si>
  <si>
    <t>Sub-Total</t>
  </si>
  <si>
    <t>Appendix 2-S</t>
  </si>
  <si>
    <t>The table may need to be customized for a utility's asset categories or for any new asset accounts announced or authorized by the Board.</t>
  </si>
  <si>
    <t>Pale green cells represent input cells.</t>
  </si>
  <si>
    <t>Distribution Station Equipment &lt;50 kV</t>
  </si>
  <si>
    <t>Overhead Conductors &amp; Devices</t>
  </si>
  <si>
    <t>Underground Conduit</t>
  </si>
  <si>
    <t>Underground Conductors &amp; Devices</t>
  </si>
  <si>
    <t>Services (Overhead &amp; Underground)</t>
  </si>
  <si>
    <t>Meters (Smart Meters)</t>
  </si>
  <si>
    <t>Office Furniture &amp; Equipment (10 years)</t>
  </si>
  <si>
    <t>Office Furniture &amp; Equipment (5 years)</t>
  </si>
  <si>
    <t>Computer Equipment - Hardware</t>
  </si>
  <si>
    <t>Computer Equip.-Hardware(Post Mar. 19/07)</t>
  </si>
  <si>
    <t>Computer Equip.-Hardware(Post Mar. 22/04)</t>
  </si>
  <si>
    <t>Power Operated Equipment</t>
  </si>
  <si>
    <t>Communication Equipment (Smart Meters)</t>
  </si>
  <si>
    <t xml:space="preserve">Miscellaneous Equipment </t>
  </si>
  <si>
    <t>Other Operating Revenues</t>
  </si>
  <si>
    <t>Other Income or Deductions</t>
  </si>
  <si>
    <t>Note: Add all applicable accounts listed above to the table and include all relevant information.</t>
  </si>
  <si>
    <t>Account Breakdown Details</t>
  </si>
  <si>
    <r>
      <t xml:space="preserve">For each </t>
    </r>
    <r>
      <rPr>
        <sz val="10"/>
        <rFont val="Arial"/>
        <family val="2"/>
      </rPr>
      <t>"Other Operating Revenue" and "Other Income or Deductions" Account, a detailed breakdown of the account components is required.  See the example below for Account 4405, Interest and Dividend Income.</t>
    </r>
  </si>
  <si>
    <t>General:</t>
  </si>
  <si>
    <t>Contributed Capital (Net of Amortization)</t>
  </si>
  <si>
    <t>(C)</t>
  </si>
  <si>
    <t>(F) = (D) - (E)</t>
  </si>
  <si>
    <t>The amount of the pooled residual net book value of the removed from service stranded meters, less any contributed capital (net of accumulated amortization), and less any net proceeds from sales, which were transferred to this sub-account as of December 31, 2010.</t>
  </si>
  <si>
    <t>The amount of the pooled residual net book value of the removed from service stranded meters, less any contributed capital (net of accumulated amortization), and less any net proceeds from sales, as of December 31, 2010.</t>
  </si>
  <si>
    <t>A description as to how the applicant intends to recover in rates the remaining costs for stranded meters, including the proposed accounting treatment, the proposed disposition period, and the associated bill impacts.</t>
  </si>
  <si>
    <t>If partially embedded, kWh pertains to the sum of the above.</t>
  </si>
  <si>
    <t>These loss factors pertain to secondary-metered customers with demand less than 5,000 kW.</t>
  </si>
  <si>
    <t>Description</t>
  </si>
  <si>
    <t>Opening Balance</t>
  </si>
  <si>
    <t>Additions</t>
  </si>
  <si>
    <t>Appendix 2-K</t>
  </si>
  <si>
    <t>% of Corporate Costs Allocated</t>
  </si>
  <si>
    <t>Corporate Cost Allocation</t>
  </si>
  <si>
    <t>Shared Services</t>
  </si>
  <si>
    <t>Amount Allocated</t>
  </si>
  <si>
    <t>eg: parent company</t>
  </si>
  <si>
    <t>eg: regulated entity</t>
  </si>
  <si>
    <t xml:space="preserve">Cost of Serving Embedded Distributor(s) </t>
  </si>
  <si>
    <t>Proposed Rate Class for Billing Embedded Distributor(s)</t>
  </si>
  <si>
    <t>Host's Distribution Facilities used by Embedded Distributor(s)</t>
  </si>
  <si>
    <t xml:space="preserve">Total OM&amp;A costs asociated with asset class </t>
  </si>
  <si>
    <t xml:space="preserve">Original cost of asset class </t>
  </si>
  <si>
    <t>Accumulated amortization of asset class</t>
  </si>
  <si>
    <t>Annual amortization of asset class</t>
  </si>
  <si>
    <t>Net Book Value of asset class</t>
  </si>
  <si>
    <t>Totals for Host Distributor:</t>
  </si>
  <si>
    <t>Low Voltage Line</t>
  </si>
  <si>
    <t>TS (owned by host)</t>
  </si>
  <si>
    <t xml:space="preserve">add rows if necessary... </t>
  </si>
  <si>
    <t>Line length or capacity required to provide LV service to Embedded Distributor(s)</t>
  </si>
  <si>
    <t>Annual total demand on station/line providing LV services (sum of 12 monthly peaks)</t>
  </si>
  <si>
    <t>Annual billed Embedded Distributor demand on station/line providing LV services</t>
  </si>
  <si>
    <t>Embedded Distributor's share:</t>
  </si>
  <si>
    <t xml:space="preserve">LV Line # 2 (if applicable) </t>
  </si>
  <si>
    <t xml:space="preserve">add rows if necessary </t>
  </si>
  <si>
    <t>Monthly cost associated with the delivery of LV services</t>
  </si>
  <si>
    <t>Closing Balance</t>
  </si>
  <si>
    <t>Cost</t>
  </si>
  <si>
    <t>Accumulated Depreciation</t>
  </si>
  <si>
    <t>N/A</t>
  </si>
  <si>
    <t>Land</t>
  </si>
  <si>
    <t>Buildings</t>
  </si>
  <si>
    <t>Transformer Station Equipment &gt;50 kV</t>
  </si>
  <si>
    <t>Storage Battery Equipment</t>
  </si>
  <si>
    <t>Poles, Towers &amp; Fixtures</t>
  </si>
  <si>
    <t>Line Transformers</t>
  </si>
  <si>
    <t>Meters</t>
  </si>
  <si>
    <t>Buildings &amp; Fixtures</t>
  </si>
  <si>
    <t>If directly connected to the IESO-controlled grid, SFLF = 1.0045.</t>
  </si>
  <si>
    <t>If fully embedded within a host distributor, SFLF = loss factor re losses in transformer at grid interface X loss factor re losses in host distributor's system.  If the host distributor is Hydro One Networks Inc., SFLF = 1.0060 X 1.0278 = 1.0340. If partially embedded, SFLF should be calculated as the weighted average of above.</t>
  </si>
  <si>
    <r>
      <t xml:space="preserve">If directly connected to the IESO-controlled grid, kWh pertains to the virtual meter on the primary or high voltage side of the transformer at the interface with the transmission grid.  This corresponds to the "With Losses" kWh value provided by the IESO's MV-WEB.  It is the </t>
    </r>
    <r>
      <rPr>
        <u/>
        <sz val="10"/>
        <rFont val="Arial"/>
        <family val="2"/>
      </rPr>
      <t>higher</t>
    </r>
    <r>
      <rPr>
        <sz val="10"/>
        <rFont val="Arial"/>
        <family val="2"/>
      </rPr>
      <t xml:space="preserve"> of the two values provided by MV-WEB.</t>
    </r>
  </si>
  <si>
    <r>
      <t xml:space="preserve">If fully embedded within a host distributor, kWh pertains to the virtual meter on the primary or high voltage side of the transformer, at the interface between the host distributor and the transmission grid.  For example, if the host distributor is Hydro One Networks Inc., kWh from the Hydro One Networks' invoice corresponding to "Total kWh w Losses" should be reported.  This corresponds to the </t>
    </r>
    <r>
      <rPr>
        <u/>
        <sz val="10"/>
        <rFont val="Arial"/>
        <family val="2"/>
      </rPr>
      <t>higher</t>
    </r>
    <r>
      <rPr>
        <sz val="10"/>
        <rFont val="Arial"/>
        <family val="2"/>
      </rPr>
      <t xml:space="preserve"> of the two kWh values provided in Hydro One Networks' invoice.</t>
    </r>
  </si>
  <si>
    <r>
      <t xml:space="preserve">If directly connected to the IESO-controlled grid, kWh pertains to a metering installation on the secondary or low voltage side of the transformer at the interface with the transmission grid.  This corresponds to the "Without Losses" kWh value provided by the IESO's MV-WEB.  It is the </t>
    </r>
    <r>
      <rPr>
        <u/>
        <sz val="10"/>
        <rFont val="Arial"/>
        <family val="2"/>
      </rPr>
      <t>lower</t>
    </r>
    <r>
      <rPr>
        <sz val="10"/>
        <rFont val="Arial"/>
        <family val="2"/>
      </rPr>
      <t xml:space="preserve"> of the two kWh values provided by MV-WEB.</t>
    </r>
  </si>
  <si>
    <r>
      <t xml:space="preserve">Additionally, kWh pertaining to distributed generation directly connected to the distributor's own distribution network should be included in </t>
    </r>
    <r>
      <rPr>
        <b/>
        <sz val="10"/>
        <rFont val="Arial"/>
        <family val="2"/>
      </rPr>
      <t>A(2)</t>
    </r>
    <r>
      <rPr>
        <sz val="10"/>
        <rFont val="Arial"/>
        <family val="2"/>
      </rPr>
      <t>.</t>
    </r>
  </si>
  <si>
    <r>
      <t xml:space="preserve">If a Large Use Customer is metered on the secondary or low voltage side of the transformer, the default loss is 1%                         (i.e., </t>
    </r>
    <r>
      <rPr>
        <b/>
        <sz val="10"/>
        <rFont val="Arial"/>
        <family val="2"/>
      </rPr>
      <t>B</t>
    </r>
    <r>
      <rPr>
        <sz val="10"/>
        <rFont val="Arial"/>
        <family val="2"/>
      </rPr>
      <t xml:space="preserve"> = 1.01 X </t>
    </r>
    <r>
      <rPr>
        <b/>
        <sz val="10"/>
        <rFont val="Arial"/>
        <family val="2"/>
      </rPr>
      <t>E</t>
    </r>
    <r>
      <rPr>
        <sz val="10"/>
        <rFont val="Arial"/>
        <family val="2"/>
      </rPr>
      <t>).</t>
    </r>
  </si>
  <si>
    <r>
      <t>G</t>
    </r>
    <r>
      <rPr>
        <sz val="10"/>
        <rFont val="Arial"/>
        <family val="2"/>
      </rPr>
      <t xml:space="preserve"> and </t>
    </r>
    <r>
      <rPr>
        <b/>
        <sz val="10"/>
        <rFont val="Arial"/>
        <family val="2"/>
      </rPr>
      <t>I</t>
    </r>
  </si>
  <si>
    <t>Distributors that wish to propose a different SFLF should provide appropriate justification for any such proposal including supporting</t>
  </si>
  <si>
    <t>calculations and any other relevant material.</t>
  </si>
  <si>
    <t>Transportation Equipment</t>
  </si>
  <si>
    <t>Stores Equipment</t>
  </si>
  <si>
    <t>Tools, Shop &amp; Garage Equipment</t>
  </si>
  <si>
    <t>Measurement &amp; Testing Equipment</t>
  </si>
  <si>
    <t>Communications Equipment</t>
  </si>
  <si>
    <t>Load Management Controls Utility Premises</t>
  </si>
  <si>
    <t>System Supervisor Equipment</t>
  </si>
  <si>
    <t>Miscellaneous Fixed Assets</t>
  </si>
  <si>
    <t>Contributions &amp; Grants</t>
  </si>
  <si>
    <t>Total</t>
  </si>
  <si>
    <t>Transportation</t>
  </si>
  <si>
    <t>Net Depreciation</t>
  </si>
  <si>
    <t>Leasehold Improvements</t>
  </si>
  <si>
    <t>Net Book Value</t>
  </si>
  <si>
    <t>File Number:</t>
  </si>
  <si>
    <t>Exhibit:</t>
  </si>
  <si>
    <t>Tab:</t>
  </si>
  <si>
    <t>Schedule:</t>
  </si>
  <si>
    <t>Page:</t>
  </si>
  <si>
    <t>Date:</t>
  </si>
  <si>
    <t>Cost Rate</t>
  </si>
  <si>
    <t>(%)</t>
  </si>
  <si>
    <t>($)</t>
  </si>
  <si>
    <t>(1)</t>
  </si>
  <si>
    <t>Notes</t>
  </si>
  <si>
    <t>Last Rebasing Year</t>
  </si>
  <si>
    <t>Bridge Year</t>
  </si>
  <si>
    <t>Test Year</t>
  </si>
  <si>
    <t xml:space="preserve">Utility Name   </t>
  </si>
  <si>
    <t>Assigned EB Number</t>
  </si>
  <si>
    <t xml:space="preserve">Phone Number   </t>
  </si>
  <si>
    <t xml:space="preserve">Email Address   </t>
  </si>
  <si>
    <t>Algoma Power Inc.</t>
  </si>
  <si>
    <t>Atikokan Hydro Inc.</t>
  </si>
  <si>
    <t>Attawapiskat Power Corporation</t>
  </si>
  <si>
    <t>Brantford Power Inc.</t>
  </si>
  <si>
    <t>Burlington Hydro Inc.</t>
  </si>
  <si>
    <t>Centre Wellington Hydro Ltd.</t>
  </si>
  <si>
    <t>Chapleau Public Utilities Corporation</t>
  </si>
  <si>
    <t>Cooperative Hydro Embrun Inc.</t>
  </si>
  <si>
    <t>E.L.K. Energy Inc.</t>
  </si>
  <si>
    <t>Enersource Hydro Mississauga Inc.</t>
  </si>
  <si>
    <t>Entegrus Powerlines Inc.</t>
  </si>
  <si>
    <t>ENWIN Utilities Ltd.</t>
  </si>
  <si>
    <t>Espanola Regional Hydro Distribution Corporation</t>
  </si>
  <si>
    <t>Essex Powerlines Corporation</t>
  </si>
  <si>
    <t>Festival Hydro Inc.</t>
  </si>
  <si>
    <t>Fort Albany Power Corporation</t>
  </si>
  <si>
    <t>Fort Frances Power Corporation</t>
  </si>
  <si>
    <t>Greater Sudbury Hydro Inc.</t>
  </si>
  <si>
    <t>Grimsby Power Inc.</t>
  </si>
  <si>
    <t>Guelph Hydro Electric Systems Inc.</t>
  </si>
  <si>
    <t>Halton Hills Hydro Inc.</t>
  </si>
  <si>
    <t>Hydro 2000 Inc.</t>
  </si>
  <si>
    <t>Hydro Hawkesbury Inc.</t>
  </si>
  <si>
    <t>Hydro One Networks Inc.</t>
  </si>
  <si>
    <t>Hydro One Remote Communities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</si>
  <si>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</si>
  <si>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</si>
  <si>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</si>
  <si>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</si>
  <si>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</si>
  <si>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</si>
  <si>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</si>
  <si>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</si>
  <si>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</si>
  <si>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</si>
  <si>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</si>
  <si>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</si>
  <si>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</si>
  <si>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</si>
  <si>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Orangeville Hydro Limited</t>
  </si>
  <si>
    <t>Oshawa PUC Networks Inc.</t>
  </si>
  <si>
    <t>Ottawa River Power Corporation</t>
  </si>
  <si>
    <t>PUC Distribution Inc.</t>
  </si>
  <si>
    <t>Renfrew Hydro Inc.</t>
  </si>
  <si>
    <t>Rideau St. Lawrence Distribution Inc.</t>
  </si>
  <si>
    <t>St. Thomas Energy Inc.</t>
  </si>
  <si>
    <t>Sioux Lookout Hydro Inc.</t>
  </si>
  <si>
    <t>Tillsonburg Hydro Inc.</t>
  </si>
  <si>
    <t>Toronto Hydro-Electric System Limited</t>
  </si>
  <si>
    <t>Veridian Connections Inc.</t>
  </si>
  <si>
    <t>Wasaga Distribution Inc.</t>
  </si>
  <si>
    <t>Waterloo North Hydro Inc.</t>
  </si>
  <si>
    <t>Wellington North Power Inc.</t>
  </si>
  <si>
    <t>West Coast Huron Energy Inc.</t>
  </si>
  <si>
    <t>Westario Power Inc.</t>
  </si>
  <si>
    <t>Whitby Hydro Electric Corporation</t>
  </si>
  <si>
    <t>Pale blue cells represent drop-down lists.  The applicant should select the appropriate item from the drop-down list.</t>
  </si>
  <si>
    <t>Computer Software (Formally known as Account 1925)</t>
  </si>
  <si>
    <t>Depreciation Rate on New Additions</t>
  </si>
  <si>
    <t>Directly</t>
  </si>
  <si>
    <t>Attributable?</t>
  </si>
  <si>
    <t>employee benefits</t>
  </si>
  <si>
    <t>costs of site preparation</t>
  </si>
  <si>
    <t>initial delivery and handling costs</t>
  </si>
  <si>
    <t>costs of testing whether the asset is functioning properly</t>
  </si>
  <si>
    <t>professional fees</t>
  </si>
  <si>
    <t>costs of opening a new facility</t>
  </si>
  <si>
    <t>costs of introducing a new product or service (including costs of advertising and promotional activities)</t>
  </si>
  <si>
    <t>costs of conducting business in a new location or with a new class of customer (including costs of staff training)</t>
  </si>
  <si>
    <t>administration and other general overhead costs</t>
  </si>
  <si>
    <t>One-Time Incremental IFRS Transition Costs</t>
  </si>
  <si>
    <t>The following table should be completed based on the information requested below. An explanation should be provided for any blank entries.  The entries should include one-time incremental IFRS transition costs that are currently included in Account 1508, Other Regulatory Assets, sub-account Deferred IFRS Transition Costs Account, or Account 1508, Other Regulatory Assets, sub-account IFRS Transition Costs Variance Account.</t>
  </si>
  <si>
    <r>
      <t xml:space="preserve">Nature of One-Time Incremental IFRS Transition Costs </t>
    </r>
    <r>
      <rPr>
        <b/>
        <vertAlign val="superscript"/>
        <sz val="10"/>
        <rFont val="Arial"/>
        <family val="2"/>
      </rPr>
      <t>1</t>
    </r>
  </si>
  <si>
    <t>Reasons why the costs recorded meet the criteria of one-time IFRS administrative incremental costs</t>
  </si>
  <si>
    <t>The Deferred IFRS Transition Costs Account and the IFRS Transition Costs Variance Account are exclusively for necessary, incremental transition costs and shall not include ongoing IFRS compliance costs or impacts arising from adopting accounting policy changes that reflect changes in the timing of the recognition of income. The incremental costs in these accounts shall not include costs related to system upgrades, or replacements or changes where IFRS was not the major reason for conversion. In addition, incremental IFRS costs shall not include capital assets or expenditures.</t>
  </si>
  <si>
    <t>Actual</t>
  </si>
  <si>
    <t>PP&amp;E Values under CGAAP</t>
  </si>
  <si>
    <t xml:space="preserve">            Opening net PP&amp;E - Note 1</t>
  </si>
  <si>
    <t xml:space="preserve">            Closing net PP&amp;E (1)</t>
  </si>
  <si>
    <t xml:space="preserve">            Opening net PP&amp;E  - Note 1</t>
  </si>
  <si>
    <t xml:space="preserve">            Closing net PP&amp;E (2)</t>
  </si>
  <si>
    <t>Account 1575 - IFRS-CGAAP Transitional PP&amp;E Amounts</t>
  </si>
  <si>
    <t>WACC</t>
  </si>
  <si>
    <t xml:space="preserve">     * Please note that the calculation should be adjusted once WACC is updated and finalized in the rate application.</t>
  </si>
  <si>
    <r>
      <rPr>
        <b/>
        <sz val="10"/>
        <rFont val="Arial"/>
        <family val="2"/>
      </rPr>
      <t>Less:</t>
    </r>
    <r>
      <rPr>
        <sz val="10"/>
        <rFont val="Arial"/>
        <family val="2"/>
      </rPr>
      <t xml:space="preserve"> </t>
    </r>
    <r>
      <rPr>
        <i/>
        <sz val="10"/>
        <rFont val="Arial"/>
        <family val="2"/>
      </rPr>
      <t>Fully Allocated Depreciation</t>
    </r>
  </si>
  <si>
    <t>Board policy of the "half-year" rule - the applicant must ensure that additions in the year attract a half-year depreciation expense in the first year.  Deviations from this standard practice must be supported in the application.</t>
  </si>
  <si>
    <t>Overhead Expense</t>
  </si>
  <si>
    <t>Appendix 2-EB</t>
  </si>
  <si>
    <t>Appendix 2-EA</t>
  </si>
  <si>
    <t>Appendix 2-H</t>
  </si>
  <si>
    <t>SubTotal</t>
  </si>
  <si>
    <t>%Change (year over year)</t>
  </si>
  <si>
    <t>%Change (Test Year vs 
Last Rebasing Year - Actual)</t>
  </si>
  <si>
    <t xml:space="preserve">Maintenance </t>
  </si>
  <si>
    <t xml:space="preserve">Billing and Collecting </t>
  </si>
  <si>
    <t xml:space="preserve">Community Relations </t>
  </si>
  <si>
    <t xml:space="preserve">Administrative and General </t>
  </si>
  <si>
    <t xml:space="preserve">Variance from previous year </t>
  </si>
  <si>
    <t xml:space="preserve">Percent change (year over year) </t>
  </si>
  <si>
    <t xml:space="preserve">Percent Change:                                                    Test year vs. Most Current Actual </t>
  </si>
  <si>
    <t>Appendix 2-R</t>
  </si>
  <si>
    <t>LV Line category # 2 (if applcable)</t>
  </si>
  <si>
    <t>Land Rights (Formally known as Account 1906)</t>
  </si>
  <si>
    <t>Index</t>
  </si>
  <si>
    <t>LDC Information Sheet</t>
  </si>
  <si>
    <t>Lender</t>
  </si>
  <si>
    <t>Affiliated or Third-Party Debt?</t>
  </si>
  <si>
    <t>Fixed or Variable-Rate?</t>
  </si>
  <si>
    <t>Start Date</t>
  </si>
  <si>
    <t>Add more lines above row 12 if necessary.</t>
  </si>
  <si>
    <t>Debt Instruments</t>
  </si>
  <si>
    <t>Row</t>
  </si>
  <si>
    <t>Principal                         ($)</t>
  </si>
  <si>
    <t>Term              (years)</t>
  </si>
  <si>
    <t>kWh corresponding to D should equal metered or estimated kWh at the customer’s delivery point.</t>
  </si>
  <si>
    <t>Compound Annual Growth Rate for all years</t>
  </si>
  <si>
    <t xml:space="preserve">Embedded Distributor(s)' Responsibility Share </t>
  </si>
  <si>
    <t>Capital Structure and Cost of Capital</t>
  </si>
  <si>
    <t>Line No.</t>
  </si>
  <si>
    <t>Particulars</t>
  </si>
  <si>
    <t>Capitalization Ratio</t>
  </si>
  <si>
    <t>Return</t>
  </si>
  <si>
    <t>Debt</t>
  </si>
  <si>
    <t xml:space="preserve">  Long-term Debt</t>
  </si>
  <si>
    <t xml:space="preserve">  Short-term Debt</t>
  </si>
  <si>
    <t>Total Debt</t>
  </si>
  <si>
    <t>Equity</t>
  </si>
  <si>
    <t xml:space="preserve">  Common Equity</t>
  </si>
  <si>
    <t xml:space="preserve">  Preferred Shares</t>
  </si>
  <si>
    <t>Total Equity</t>
  </si>
  <si>
    <t>4.0% unless an applicant has proposed or been approved for a different amount.</t>
  </si>
  <si>
    <t>Appendix 2-OB</t>
  </si>
  <si>
    <t>Appendix 2-OA</t>
  </si>
  <si>
    <t>Name of Contact and Title</t>
  </si>
  <si>
    <t xml:space="preserve">White cells contain fixed values, automatically generated values or formulae. </t>
  </si>
  <si>
    <t>1   Please provide a breakdown of the major components of each capital project undertaken in each year.  Please ensure that all projects below the materiality threshold are included in the miscellaneous line.  Add more projects as required.</t>
  </si>
  <si>
    <t>Total in Year</t>
  </si>
  <si>
    <t>Net-to-Gross Conversion</t>
  </si>
  <si>
    <t xml:space="preserve">Default Value selection rationale.  </t>
  </si>
  <si>
    <t>Identify the accounting standard used for the test year</t>
  </si>
  <si>
    <t>Are you applying for cost recovery for the test and/or future year(s) for Green Energy initiatives?</t>
  </si>
  <si>
    <t>Appendix 2-BA</t>
  </si>
  <si>
    <t>TUL</t>
  </si>
  <si>
    <t>Current</t>
  </si>
  <si>
    <t>"Gross"</t>
  </si>
  <si>
    <t>"Net"</t>
  </si>
  <si>
    <t>"Net-to-Gross" Conversion Factor</t>
  </si>
  <si>
    <t>('g')</t>
  </si>
  <si>
    <t>2006-2010 CDM programs</t>
  </si>
  <si>
    <t>2011 CDM program</t>
  </si>
  <si>
    <t>2012 CDM program</t>
  </si>
  <si>
    <t>Proposed Loss Factor (TLF)</t>
  </si>
  <si>
    <t xml:space="preserve"> Format: X.XX%</t>
  </si>
  <si>
    <t>Load Management Controls Customer Premises</t>
  </si>
  <si>
    <t>Other Tangible Property</t>
  </si>
  <si>
    <t>Total PP&amp;E</t>
  </si>
  <si>
    <t>Appendix 2-BB</t>
  </si>
  <si>
    <t>Service Life Comparison</t>
  </si>
  <si>
    <t xml:space="preserve">SAIDI </t>
  </si>
  <si>
    <t>SAIFI</t>
  </si>
  <si>
    <t>SAIDI = System Average Interruption Duration Index</t>
  </si>
  <si>
    <t xml:space="preserve">SAIFI = System Average Interruption Frequency Index </t>
  </si>
  <si>
    <t>Appendix 2-EC</t>
  </si>
  <si>
    <t>Appendix 2-FA</t>
  </si>
  <si>
    <t>Account 1576 - Accounting Changes under CGAAP</t>
  </si>
  <si>
    <t>2012 Changes in Accounting Policies under CGAAP</t>
  </si>
  <si>
    <t>PP&amp;E Values under former CGAAP</t>
  </si>
  <si>
    <t>PP&amp;E Values under revised CGAAP (Starts from 2012)</t>
  </si>
  <si>
    <t xml:space="preserve">1  For an applicant that made the capitalization and depreciation expense accounting policy changes on January 1, 2012, the PP&amp;E values as of January 1, 2012 under both former CGAAP and revised CGAAP should be the same. </t>
  </si>
  <si>
    <t>2013 Changes in Accounting Policies under CGAAP</t>
  </si>
  <si>
    <t xml:space="preserve">1  For an applicant that made the capitalization and depreciation expense accounting policy changes on January 1, 2013, the PP&amp;E values as of January 1, 2013 under both former CGAAP and revised CGAAP should be the same. </t>
  </si>
  <si>
    <t>General Instructions to MIFRS Appendices</t>
  </si>
  <si>
    <t>Types of Schedules to File</t>
  </si>
  <si>
    <t>If there were any amounts approved in previous Board approved rates, please state the EB #:</t>
  </si>
  <si>
    <t>Summary of Impacts to Revenue Requirement</t>
  </si>
  <si>
    <t>from Transition to MIFRS</t>
  </si>
  <si>
    <t>Revenue Requirement Component</t>
  </si>
  <si>
    <t xml:space="preserve">Reasons why the revenue requirement </t>
  </si>
  <si>
    <t>Average NBV</t>
  </si>
  <si>
    <t>Working Capital</t>
  </si>
  <si>
    <t>Rate Base</t>
  </si>
  <si>
    <t>Return on Rate Base</t>
  </si>
  <si>
    <t>Depreciation</t>
  </si>
  <si>
    <t>PILs or Income Taxes</t>
  </si>
  <si>
    <t>Less: Revenue Offsets</t>
  </si>
  <si>
    <t>Total Base Revenue Requirement</t>
  </si>
  <si>
    <t>LDC Info</t>
  </si>
  <si>
    <t>Appendix 2-BB Service Life Comp</t>
  </si>
  <si>
    <t>Instruction for App. 2-C MIFRS</t>
  </si>
  <si>
    <t>App.2-CA_CGAAP_DepExp_2011</t>
  </si>
  <si>
    <t>App.2-CB_MIFRS_DepExp_2011</t>
  </si>
  <si>
    <t>App.2-CC_MIFRS_DepExp_2012</t>
  </si>
  <si>
    <t>App.2-CD_MIFRS_DepExp_2013</t>
  </si>
  <si>
    <t>App.2-CE_MIFRS_DepExp_2014</t>
  </si>
  <si>
    <t>App.2-CF_CGAAP_DepExp_2012</t>
  </si>
  <si>
    <t>App.2-CG_MIFRS_DepExp_2012</t>
  </si>
  <si>
    <t>App.2-CH_MIFRS_DepExp_2013</t>
  </si>
  <si>
    <t>App.2-CI_MIFRS_DepExp_2014</t>
  </si>
  <si>
    <t>App.2-CJ_CGAAP_DepExp_2012</t>
  </si>
  <si>
    <t>App.2-CK_CGAAP_DepExp_2013</t>
  </si>
  <si>
    <t>App.2-CL_MIFRS_DepExp_2013</t>
  </si>
  <si>
    <t>App.2-CM_MIFRS_DepExp_2014</t>
  </si>
  <si>
    <t>Instruction for App. 2-C CGAAP</t>
  </si>
  <si>
    <t>App.2-CN_OldCGAAP_DepExp_2012</t>
  </si>
  <si>
    <t>App.2-CO_NewCGAAP_DepExp_2012</t>
  </si>
  <si>
    <t>App.2-CP_NewCGAAP_DepExp_2013</t>
  </si>
  <si>
    <t>App.2-CQ NewCGAAP_DepExp_2014</t>
  </si>
  <si>
    <t>App.2-CR_OldCGAAP_DepExp_2012</t>
  </si>
  <si>
    <t>App.2-CS_OldCGAAP_DepExp_2013</t>
  </si>
  <si>
    <t>App.2-CT_NewCGAAP_DepExp_2013</t>
  </si>
  <si>
    <t>App.2-CU_NewCGAAP_DepExp_2014</t>
  </si>
  <si>
    <t>App.2-DA_Overhead</t>
  </si>
  <si>
    <t>App.2-DB_Overhead</t>
  </si>
  <si>
    <t>App.2-EA_PP&amp;E Deferral Account</t>
  </si>
  <si>
    <t>App.2-EB_PP&amp;E Deferral Account</t>
  </si>
  <si>
    <t>App.2-EC_PP&amp;E Deferral Account</t>
  </si>
  <si>
    <t>App.2-ED_Account 1576 (2012)</t>
  </si>
  <si>
    <t>App.2-EE_Account 1576 (2013)</t>
  </si>
  <si>
    <t>App.2-FA Proposed REG Invest.</t>
  </si>
  <si>
    <t>App.2-G SQI</t>
  </si>
  <si>
    <t>App.2-H_Other_Oper_Rev</t>
  </si>
  <si>
    <t>App.2-I LF_CDM_WF</t>
  </si>
  <si>
    <t>App.2-K_Employee Costs</t>
  </si>
  <si>
    <t>App.2-L_OM&amp;A_per_Cust_FTEE</t>
  </si>
  <si>
    <t>App.2-M_Regulatory_Costs</t>
  </si>
  <si>
    <t>App.2-N_Corp_Cost_Allocation</t>
  </si>
  <si>
    <t>App.2-OA Capital Structure</t>
  </si>
  <si>
    <t>App.2-OB_Debt Instruments</t>
  </si>
  <si>
    <t>App.2-P_Cost_Allocation</t>
  </si>
  <si>
    <t>App.2-Q_Cost of Serv. Emb. Dx</t>
  </si>
  <si>
    <t>App.2-R_Loss Factors</t>
  </si>
  <si>
    <t>App.2-S_Stranded Meters</t>
  </si>
  <si>
    <t>App.2-TA_1592_Tax_Variance</t>
  </si>
  <si>
    <t>App.2-TB_1592_HST-OVAT</t>
  </si>
  <si>
    <t>App.2-U_IFRS Transition Costs</t>
  </si>
  <si>
    <t>App.2-V_Rev_Reconciliation</t>
  </si>
  <si>
    <t>App.2-W_Bill Impacts</t>
  </si>
  <si>
    <t>App.2-YA_MIFRS Summary Impacts</t>
  </si>
  <si>
    <t>App. 2-YB_CGAAP Summary Impacts</t>
  </si>
  <si>
    <t>Sheet19</t>
  </si>
  <si>
    <t>x</t>
  </si>
  <si>
    <t>o</t>
  </si>
  <si>
    <t>n</t>
  </si>
  <si>
    <t>USGAAP</t>
  </si>
  <si>
    <t>App.2-CV_USGAAP_DepExp</t>
  </si>
  <si>
    <r>
      <t xml:space="preserve">Less Other Non Rate-Regulated Utility Assets </t>
    </r>
    <r>
      <rPr>
        <b/>
        <i/>
        <sz val="9"/>
        <rFont val="Arial"/>
        <family val="2"/>
      </rPr>
      <t>(input as negative)</t>
    </r>
  </si>
  <si>
    <r>
      <t xml:space="preserve">Less Socialized Renewable Energy Generation Investments </t>
    </r>
    <r>
      <rPr>
        <b/>
        <sz val="9"/>
        <rFont val="Arial"/>
        <family val="2"/>
      </rPr>
      <t>(input as negative)</t>
    </r>
  </si>
  <si>
    <t xml:space="preserve">Total Recoverable OM&amp;A Expenses </t>
  </si>
  <si>
    <t>Customers/FTEs</t>
  </si>
  <si>
    <t>The method of calculating the number of FTEs must be identified.  See also Appendix 2-K</t>
  </si>
  <si>
    <t>The number of customers and the number of FTEs should correspond to mid-year or average of January 1 and December 31 figures.</t>
  </si>
  <si>
    <t>Incremental operating expenses associated with staff resources allocated to this application.</t>
  </si>
  <si>
    <r>
      <t xml:space="preserve">Incremental operating expenses associated with other resources allocated to this application. </t>
    </r>
    <r>
      <rPr>
        <vertAlign val="superscript"/>
        <sz val="10"/>
        <rFont val="Arial"/>
        <family val="2"/>
      </rPr>
      <t>1</t>
    </r>
  </si>
  <si>
    <t>Consultants' costs</t>
  </si>
  <si>
    <t>Expert Witness costs</t>
  </si>
  <si>
    <t>Legal costs</t>
  </si>
  <si>
    <t>Pricing Methodology</t>
  </si>
  <si>
    <t>Services such as billing, accounting, payroll, etc.  The applicant must identify any costs related to the Board of Directors of the parent company that are allocated to the applicant.</t>
  </si>
  <si>
    <t>Pricing Methodology includes approaches such as cost-base, market-base, tendering, etc.  The applicant must provide evidence demonstrating the pricing methodology used.  The applicant must also provide a description of why that pricing methodology was chosen, whether or not it is in conformity with ARC, and why it is appropriate.</t>
  </si>
  <si>
    <t>The applicant must provide the percentage of the costs allocated to the entity for the service being offered.  The Applicant must also provide a description of the allocator and why it is an appropriate allocator.</t>
  </si>
  <si>
    <t>Additional Comments, if any</t>
  </si>
  <si>
    <t>This table must be completed for all required historical years, the bridge year and the test year.</t>
  </si>
  <si>
    <r>
      <t>Scenario B:</t>
    </r>
    <r>
      <rPr>
        <i/>
        <sz val="10"/>
        <rFont val="Arial"/>
        <family val="2"/>
      </rPr>
      <t xml:space="preserve">  If the stranded meter costs remained recorded in Account 1860, the above table should be completed and the following information should be provided in Exhibit 9:</t>
    </r>
  </si>
  <si>
    <r>
      <t>Scenario A:</t>
    </r>
    <r>
      <rPr>
        <i/>
        <sz val="10"/>
        <rFont val="Arial"/>
        <family val="2"/>
      </rPr>
      <t xml:space="preserve">  If the stranded meter costs were transferred to "Sub-account Stranded Meter Costs" of Account 1555, the above table should be completed and the following information should be provided in Exhibit 9.</t>
    </r>
  </si>
  <si>
    <t>COS Flowchart</t>
  </si>
  <si>
    <t>List of Key References</t>
  </si>
  <si>
    <t>App. 2-Z_Tariff</t>
  </si>
  <si>
    <t>Is CDM adjustment being done on a "net" or "gross" basis?</t>
  </si>
  <si>
    <t>net</t>
  </si>
  <si>
    <r>
      <t xml:space="preserve">If fully embedded with the host distributor, kWh pertains to a metering installation on the secondary or low voltage side of the transformer at the interface between the embedded distributor and the host distributor.  For example, if the host distributor is Hydro One Networks Inc., kWh from the Hydro One Networks' invoice corresponding to "Total kWh" should be reported.  This corresponds to the </t>
    </r>
    <r>
      <rPr>
        <u/>
        <sz val="10"/>
        <rFont val="Arial"/>
        <family val="2"/>
      </rPr>
      <t>lower</t>
    </r>
    <r>
      <rPr>
        <sz val="10"/>
        <rFont val="Arial"/>
        <family val="2"/>
      </rPr>
      <t xml:space="preserve"> of the two kWh values provided in Hydro One Networks' invoice.</t>
    </r>
  </si>
  <si>
    <r>
      <t xml:space="preserve">·         </t>
    </r>
    <r>
      <rPr>
        <b/>
        <i/>
        <sz val="10"/>
        <rFont val="Arial"/>
        <family val="2"/>
      </rPr>
      <t>Type of Service:</t>
    </r>
  </si>
  <si>
    <r>
      <t xml:space="preserve">·         </t>
    </r>
    <r>
      <rPr>
        <b/>
        <i/>
        <sz val="10"/>
        <rFont val="Arial"/>
        <family val="2"/>
      </rPr>
      <t>Pricing Methodology:</t>
    </r>
  </si>
  <si>
    <r>
      <t xml:space="preserve">·         </t>
    </r>
    <r>
      <rPr>
        <b/>
        <i/>
        <sz val="10"/>
        <rFont val="Arial"/>
        <family val="2"/>
      </rPr>
      <t>% Allocation:</t>
    </r>
  </si>
  <si>
    <t>This appendix must be completed in relation to each service provided or received for the Historical (actuals), Bridge and Test years. The required information includes:</t>
  </si>
  <si>
    <t>Appendix 2-JC</t>
  </si>
  <si>
    <t>Cost of Service Application Flowchart</t>
  </si>
  <si>
    <t>Appendix 2-BB: Service Life Comparison</t>
  </si>
  <si>
    <t>Adjustments for Total non-recoverable items (from Appendices 2-JA and 2-JB)</t>
  </si>
  <si>
    <t xml:space="preserve">Total OM&amp;A Expenses </t>
  </si>
  <si>
    <t>5 Year Historical Average</t>
  </si>
  <si>
    <t>All costs entered on this page will be transferred to the appropriate cells in the appendices that follow.</t>
  </si>
  <si>
    <t>Part A</t>
  </si>
  <si>
    <t>REI Investments (Direct Benefit at 6%)</t>
  </si>
  <si>
    <t>Project 1</t>
  </si>
  <si>
    <t>Capital Costs</t>
  </si>
  <si>
    <t>OM&amp;A (Start-Up)</t>
  </si>
  <si>
    <t>OM&amp;A (Ongoing)</t>
  </si>
  <si>
    <t>Project 2</t>
  </si>
  <si>
    <t>Project 3</t>
  </si>
  <si>
    <t>Project 4</t>
  </si>
  <si>
    <t>Project 5</t>
  </si>
  <si>
    <t>Part B</t>
  </si>
  <si>
    <t>Expansion Investments (Direct Benefit at 17%)</t>
  </si>
  <si>
    <r>
      <rPr>
        <b/>
        <sz val="10"/>
        <rFont val="Arial"/>
        <family val="2"/>
      </rPr>
      <t>For Part A</t>
    </r>
    <r>
      <rPr>
        <sz val="10"/>
        <rFont val="Arial"/>
        <family val="2"/>
      </rPr>
      <t>, Renewable Enabling Improvements (REI), these amounts will be transferred to Appendix 2 - FB</t>
    </r>
  </si>
  <si>
    <r>
      <rPr>
        <b/>
        <sz val="10"/>
        <rFont val="Arial"/>
        <family val="2"/>
      </rPr>
      <t>For Part B</t>
    </r>
    <r>
      <rPr>
        <sz val="10"/>
        <rFont val="Arial"/>
        <family val="2"/>
      </rPr>
      <t>, Expansions, these amounts will be transferred to Appendix 2 - FC</t>
    </r>
  </si>
  <si>
    <t>Appendix 2-FB</t>
  </si>
  <si>
    <t>Calculation of Renewable Generation Connection Direct Benefits/Provincial Amount: Renewable Enabling Improvement Investments</t>
  </si>
  <si>
    <t>This table will calculate the distributor/provincial shares of the investments entered in Part A of Appendix 2-FA.</t>
  </si>
  <si>
    <t>Enter values in green shaded cells: WCA percentage, debt percentages, interest rates, kWh, tax rates, amortization period, CCA Class and percentage.</t>
  </si>
  <si>
    <t>Direct Benefit</t>
  </si>
  <si>
    <t>Provincial</t>
  </si>
  <si>
    <t>Net Fixed Assets (average)</t>
  </si>
  <si>
    <t>Incremental OM&amp;A (start-up, applicable for Provincial Recovery)</t>
  </si>
  <si>
    <t>WCA</t>
  </si>
  <si>
    <t>Deemed ST Debt</t>
  </si>
  <si>
    <t>Deemed LT Debt</t>
  </si>
  <si>
    <t>Deemed Equity</t>
  </si>
  <si>
    <t>ST Interest</t>
  </si>
  <si>
    <t>LT Interest</t>
  </si>
  <si>
    <t>ROE</t>
  </si>
  <si>
    <t>Cost of Capital Total</t>
  </si>
  <si>
    <t>Amortization</t>
  </si>
  <si>
    <t>Grossed-up PILs</t>
  </si>
  <si>
    <t>Revenue Requirement</t>
  </si>
  <si>
    <t>Provincial Rate Protection</t>
  </si>
  <si>
    <t>PILs Calculation</t>
  </si>
  <si>
    <t>Income Tax</t>
  </si>
  <si>
    <t>Net Income - ROE on Rate Base</t>
  </si>
  <si>
    <r>
      <t>Amortization</t>
    </r>
    <r>
      <rPr>
        <i/>
        <sz val="10"/>
        <rFont val="Arial"/>
        <family val="2"/>
      </rPr>
      <t xml:space="preserve"> </t>
    </r>
    <r>
      <rPr>
        <sz val="10"/>
        <rFont val="Arial"/>
        <family val="2"/>
      </rPr>
      <t>(6% DB and 94% P)</t>
    </r>
  </si>
  <si>
    <t>CCA (6% DB and 94% P)</t>
  </si>
  <si>
    <t>Taxable income</t>
  </si>
  <si>
    <t>Tax Rate  (to be entered)</t>
  </si>
  <si>
    <t>Income Taxes Payable</t>
  </si>
  <si>
    <t>Gross Up</t>
  </si>
  <si>
    <t>Grossed Up PILs</t>
  </si>
  <si>
    <t>Net Fixed Assets</t>
  </si>
  <si>
    <t>Enter applicable amortization in years:</t>
  </si>
  <si>
    <t>Opening Gross Fixed Assets</t>
  </si>
  <si>
    <t>Gross Capital Additions</t>
  </si>
  <si>
    <t>Closing Gross Fixed Assets</t>
  </si>
  <si>
    <t>Opening Accumulated Amortization</t>
  </si>
  <si>
    <t>Current Year Amortization (before additions)</t>
  </si>
  <si>
    <t>Additions (half year)</t>
  </si>
  <si>
    <t>Closing Accumulated Amortization</t>
  </si>
  <si>
    <t>Opening Net Fixed Assets</t>
  </si>
  <si>
    <t>Closing Net Fixed Assets</t>
  </si>
  <si>
    <t>Average Net Fixed Assets</t>
  </si>
  <si>
    <t>UCC for PILs Calculation</t>
  </si>
  <si>
    <t>Opening UCC</t>
  </si>
  <si>
    <t>Capital Additions (from Appendix 2-FA)</t>
  </si>
  <si>
    <t>UCC Before Half Year Rule</t>
  </si>
  <si>
    <t>Half Year Rule (1/2 Additions - Disposals)</t>
  </si>
  <si>
    <t>Reduced UCC</t>
  </si>
  <si>
    <t>CCA Rate Class (to be entered)</t>
  </si>
  <si>
    <t>CCA Rate  (to be entered)</t>
  </si>
  <si>
    <t>CCA</t>
  </si>
  <si>
    <t>Closing UCC</t>
  </si>
  <si>
    <t>Incremental OM&amp;A (on-going, N/A for Provincial Recovery)</t>
  </si>
  <si>
    <t>Appendix 2-FC</t>
  </si>
  <si>
    <t>Calculation of Renewable Generation Connection Direct Benefits/Provincial Amount: Renewable Expansion Investments</t>
  </si>
  <si>
    <t>This table will calculate the distributor/provincial shares of the investments entered in Part B of Appendix 2-FA.</t>
  </si>
  <si>
    <t>Appendix 2-AA</t>
  </si>
  <si>
    <t>First year of Forecast Period:</t>
  </si>
  <si>
    <t>CATEGORY</t>
  </si>
  <si>
    <t>Plan</t>
  </si>
  <si>
    <t>Var</t>
  </si>
  <si>
    <t>$ '000</t>
  </si>
  <si>
    <t>System Access</t>
  </si>
  <si>
    <t>System Renewal</t>
  </si>
  <si>
    <t>System Service</t>
  </si>
  <si>
    <t>General Plant</t>
  </si>
  <si>
    <t>TOTAL EXPENDITURE</t>
  </si>
  <si>
    <t>System O&amp;M</t>
  </si>
  <si>
    <t>Notes to the Table:</t>
  </si>
  <si>
    <t>Explanatory Notes on Variances (complete only if applicable)</t>
  </si>
  <si>
    <t>Notes on year over year Plan vs. Actual variances for Total Expenditures</t>
  </si>
  <si>
    <t>Notes on Plan vs. Actual variance trends for individual expenditure categories</t>
  </si>
  <si>
    <t>Appendix 2-AB</t>
  </si>
  <si>
    <t>Table 2 - Capital Expenditure Summary from Chapter 5 Consolidated
Distribution System Plan Filing Requirements</t>
  </si>
  <si>
    <r>
      <t xml:space="preserve">Historical Period </t>
    </r>
    <r>
      <rPr>
        <sz val="10"/>
        <rFont val="Arial"/>
        <family val="2"/>
      </rPr>
      <t>(previous plan</t>
    </r>
    <r>
      <rPr>
        <vertAlign val="superscript"/>
        <sz val="10"/>
        <rFont val="Arial"/>
        <family val="2"/>
      </rPr>
      <t>1</t>
    </r>
    <r>
      <rPr>
        <sz val="10"/>
        <rFont val="Arial"/>
        <family val="2"/>
      </rPr>
      <t xml:space="preserve"> &amp; actual)</t>
    </r>
  </si>
  <si>
    <r>
      <t xml:space="preserve">Forecast Period </t>
    </r>
    <r>
      <rPr>
        <sz val="10"/>
        <rFont val="Arial"/>
        <family val="2"/>
      </rPr>
      <t>(planned)</t>
    </r>
  </si>
  <si>
    <r>
      <t>Actual</t>
    </r>
    <r>
      <rPr>
        <b/>
        <vertAlign val="superscript"/>
        <sz val="10"/>
        <rFont val="Arial"/>
        <family val="2"/>
      </rPr>
      <t>2</t>
    </r>
  </si>
  <si>
    <t>Table of Contents</t>
  </si>
  <si>
    <t>App.2-AA_Capital Projects</t>
  </si>
  <si>
    <t>App.2-AB_Capital Expenditures</t>
  </si>
  <si>
    <t xml:space="preserve">            Net Additions - Note 4</t>
  </si>
  <si>
    <r>
      <t xml:space="preserve">            Net Depreciation</t>
    </r>
    <r>
      <rPr>
        <sz val="9"/>
        <color indexed="8"/>
        <rFont val="Arial"/>
        <family val="2"/>
      </rPr>
      <t xml:space="preserve"> (amounts should be negative) - Note 4</t>
    </r>
  </si>
  <si>
    <t>Effect on Deferral and Variance Account Rate Riders</t>
  </si>
  <si>
    <t># of years of rate rider disposition period</t>
  </si>
  <si>
    <t xml:space="preserve">     Amount included in Deferral and Variance Account Rate Rider Calculation</t>
  </si>
  <si>
    <t>2 Return on rate base associated with deferred balance is calculated as:</t>
  </si>
  <si>
    <r>
      <t xml:space="preserve">3  </t>
    </r>
    <r>
      <rPr>
        <sz val="10"/>
        <rFont val="Arial"/>
        <family val="2"/>
      </rPr>
      <t>T</t>
    </r>
    <r>
      <rPr>
        <sz val="10"/>
        <color indexed="8"/>
        <rFont val="Arial"/>
        <family val="2"/>
      </rPr>
      <t>he  PP&amp;E deferral account is cleared by including the total balance in the deferral and variance account rate rider calculation.</t>
    </r>
  </si>
  <si>
    <t xml:space="preserve">Difference in Closing net PP&amp;E, former CGAAP vs. revised CGAAP </t>
  </si>
  <si>
    <t>Closing balance in Account 1576</t>
  </si>
  <si>
    <t>Return on Rate Base Associated with Account 1576 balance at WACC  - Note 2</t>
  </si>
  <si>
    <t>2 Return on rate base associated with Account 1576 balance is calculated as:</t>
  </si>
  <si>
    <t>3  Account 1576 is cleared by including the total balance in the deferral and variance account rate rider calculation.</t>
  </si>
  <si>
    <t>App.2-BA1_Fix Asset Cont.CGAAP</t>
  </si>
  <si>
    <t>App.2-BA2_Fix Asset Cont.MIFRS</t>
  </si>
  <si>
    <t>Management (including executive)</t>
  </si>
  <si>
    <t>Non-Management (union and non-union)</t>
  </si>
  <si>
    <t>Total Salary and Wages including ovetime and incentive pay</t>
  </si>
  <si>
    <t>ASPE</t>
  </si>
  <si>
    <t>App.2-FC Calc of REG Expansion</t>
  </si>
  <si>
    <t>App.2-FB Calc of REG Improvemnt</t>
  </si>
  <si>
    <t>OM&amp;A Programs Table</t>
  </si>
  <si>
    <t>Programs</t>
  </si>
  <si>
    <t>Bluewater Power Distribution Corporation</t>
  </si>
  <si>
    <t>Erie Thames Powerlines Corporation</t>
  </si>
  <si>
    <t>Hearst Power Distribution Company Limited</t>
  </si>
  <si>
    <t>Oakville Hydro Electricity Distribution Inc.</t>
  </si>
  <si>
    <t>Orillia Power Distribution Corporation</t>
  </si>
  <si>
    <t>Thunder Bay Hydro Electricity Distribution Inc.</t>
  </si>
  <si>
    <t>Welland Hydro-Electric System Corp.</t>
  </si>
  <si>
    <t>lists</t>
  </si>
  <si>
    <t>App.2-JA_OM&amp;A_Summary_Analys</t>
  </si>
  <si>
    <t>App.2-JB_OM&amp;A_Cost _Drivers</t>
  </si>
  <si>
    <t>App.2-JC_OMA Programs</t>
  </si>
  <si>
    <t>lists2</t>
  </si>
  <si>
    <t>e</t>
  </si>
  <si>
    <t>1   Please provide a breakdown of the major components of each OM&amp;A Program undertaken in each year.  Please ensure that all Programs below the materiality threshold are included in the miscellaneous line.  Add more Programs as required.</t>
  </si>
  <si>
    <t>OH</t>
  </si>
  <si>
    <t>Cross Arm</t>
  </si>
  <si>
    <t>TS &amp; MS</t>
  </si>
  <si>
    <t>Fully Dressed Steel Poles</t>
  </si>
  <si>
    <t>Overall</t>
  </si>
  <si>
    <t>Wood</t>
  </si>
  <si>
    <t>Steel</t>
  </si>
  <si>
    <t>Station Service Transformer</t>
  </si>
  <si>
    <t>Station DC System</t>
  </si>
  <si>
    <t>Charger</t>
  </si>
  <si>
    <t>Fully Dressed Wood Poles</t>
  </si>
  <si>
    <t>#</t>
  </si>
  <si>
    <t>Category| Component | Type</t>
  </si>
  <si>
    <t>Fully Dressed Concrete Poles</t>
  </si>
  <si>
    <t>MIN UL</t>
  </si>
  <si>
    <t>MAX UL</t>
  </si>
  <si>
    <t>OH Line Switch</t>
  </si>
  <si>
    <t>OH Line Switch Motor</t>
  </si>
  <si>
    <t>OH Line Switch RTU</t>
  </si>
  <si>
    <t>OH Integral Switches</t>
  </si>
  <si>
    <t>OH Conductors</t>
  </si>
  <si>
    <t>OH Transformers &amp; Voltage Regulators</t>
  </si>
  <si>
    <t>OH Shunt Capacitor Banks</t>
  </si>
  <si>
    <t>Reclosers</t>
  </si>
  <si>
    <t>Power Transformers</t>
  </si>
  <si>
    <t>Bushing</t>
  </si>
  <si>
    <t>Tap Changer</t>
  </si>
  <si>
    <t>Station Grounding Transformer</t>
  </si>
  <si>
    <t>Battery Bank</t>
  </si>
  <si>
    <t>Station Metal Clad Switchgear</t>
  </si>
  <si>
    <t>Removable Breaker</t>
  </si>
  <si>
    <t>Station Independent Breakers</t>
  </si>
  <si>
    <t>Station Switch</t>
  </si>
  <si>
    <t>Asset Details</t>
  </si>
  <si>
    <t>Useful Life</t>
  </si>
  <si>
    <t>USoA Account Number</t>
  </si>
  <si>
    <t>USoA Account Description</t>
  </si>
  <si>
    <t>Note 1:</t>
  </si>
  <si>
    <t>Parent*</t>
  </si>
  <si>
    <t>Electromechanical Relays</t>
  </si>
  <si>
    <t>Solid State Relays</t>
  </si>
  <si>
    <t>Digital &amp; Numeric Relays</t>
  </si>
  <si>
    <t>Rigid Busbars</t>
  </si>
  <si>
    <t>Steel Structure</t>
  </si>
  <si>
    <t>Primary Paper Insulated Lead Covered (PILC) Cables</t>
  </si>
  <si>
    <t>Primary Ethylene-Propylene Rubber (EPR) Cables</t>
  </si>
  <si>
    <t>Primary Non-TR XLPE Cables in Duct</t>
  </si>
  <si>
    <t>Secondary PILC Cables</t>
  </si>
  <si>
    <t>Secondary Cables Direct Buried</t>
  </si>
  <si>
    <t>Secondary Cables in Duct</t>
  </si>
  <si>
    <t>Network Tranformers</t>
  </si>
  <si>
    <t>Protector</t>
  </si>
  <si>
    <t>Pad-Mounted Transformers</t>
  </si>
  <si>
    <t>Submersible/Vault Transformers</t>
  </si>
  <si>
    <t>UG Foundation</t>
  </si>
  <si>
    <t>UG Vaults</t>
  </si>
  <si>
    <t>Roof</t>
  </si>
  <si>
    <t>Pad-Mounted Switchgear</t>
  </si>
  <si>
    <t>Ducts</t>
  </si>
  <si>
    <t>Concrete Encased Duct Banks</t>
  </si>
  <si>
    <t>Cable Chambers</t>
  </si>
  <si>
    <t>Remote SCADA</t>
  </si>
  <si>
    <t>UG Vault Switches</t>
  </si>
  <si>
    <t>Primary Non-Tree Retardant (TR) Cross Linked 
Polyethylene (XLPE) Cables Direct Buried</t>
  </si>
  <si>
    <t>UG</t>
  </si>
  <si>
    <t>S</t>
  </si>
  <si>
    <t>* TS &amp; MS = Transformer and Municipal Stations UG = Underground Systems S = Monitoring and Control Systems</t>
  </si>
  <si>
    <t>Office Equipment</t>
  </si>
  <si>
    <t>Useful Life Range</t>
  </si>
  <si>
    <t>Vehicles</t>
  </si>
  <si>
    <t>Trucks &amp; Buckets</t>
  </si>
  <si>
    <t>Trailers</t>
  </si>
  <si>
    <t>Vans</t>
  </si>
  <si>
    <t>Administrative Buildings</t>
  </si>
  <si>
    <t>Station Buildings</t>
  </si>
  <si>
    <t>Parking</t>
  </si>
  <si>
    <t>Fence</t>
  </si>
  <si>
    <t>Hardware</t>
  </si>
  <si>
    <t>Software</t>
  </si>
  <si>
    <t>Computer Equipment</t>
  </si>
  <si>
    <t>Power Operated</t>
  </si>
  <si>
    <t>Stores</t>
  </si>
  <si>
    <t>Tools, Shop, Garage Equipment</t>
  </si>
  <si>
    <t>Towers</t>
  </si>
  <si>
    <t>Wireless</t>
  </si>
  <si>
    <t>Communication</t>
  </si>
  <si>
    <t>Equipment</t>
  </si>
  <si>
    <t>Residential Energy Meters</t>
  </si>
  <si>
    <t>Industrial/Commercial Energy Meters</t>
  </si>
  <si>
    <t>Wholesale Energy Meters</t>
  </si>
  <si>
    <t>Current &amp; Potential Transformer (CT &amp; PT)</t>
  </si>
  <si>
    <t>Smart Meters</t>
  </si>
  <si>
    <t>Repeaters - Smart Metering</t>
  </si>
  <si>
    <t>Data Collectors - Smart Metering</t>
  </si>
  <si>
    <t>Lease dependent</t>
  </si>
  <si>
    <r>
      <t>Table F-1 from Kinetrics Report</t>
    </r>
    <r>
      <rPr>
        <b/>
        <vertAlign val="superscript"/>
        <sz val="14"/>
        <rFont val="Arial"/>
        <family val="2"/>
      </rPr>
      <t>1</t>
    </r>
  </si>
  <si>
    <r>
      <t>Table F-2 from Kinetrics Report</t>
    </r>
    <r>
      <rPr>
        <b/>
        <vertAlign val="superscript"/>
        <sz val="14"/>
        <rFont val="Arial"/>
        <family val="2"/>
      </rPr>
      <t>1</t>
    </r>
  </si>
  <si>
    <t>See pages 17-19 of Kinetrics Report</t>
  </si>
  <si>
    <t>Tables F-1 and F-2 above are to be used as a reference in order to complete columns J, K, L and N.</t>
  </si>
  <si>
    <t>The applicant must provide an explanation of material variances in evidence.</t>
  </si>
  <si>
    <t>4  Net additions are additions net of disposals; Net depreciation is additions to depreciation net of disposals.</t>
  </si>
  <si>
    <t>List and specify any other interest revenue.</t>
  </si>
  <si>
    <t>2   The applicant should group projects appropriately and avoid presentations that result in classification of significant components of the OM&amp;A budget in the miscellaneous category</t>
  </si>
  <si>
    <t>Monthly Amount Paid by IESO</t>
  </si>
  <si>
    <t>Appendix 2-JA</t>
  </si>
  <si>
    <t>Appendix 2-JB</t>
  </si>
  <si>
    <t>Total Capital Costs</t>
  </si>
  <si>
    <t>Total OM&amp;A (Start-Up)</t>
  </si>
  <si>
    <t>Total OM&amp;A (Ongoing)</t>
  </si>
  <si>
    <t>Name: Expansion Connection Project</t>
  </si>
  <si>
    <t>Name: REI Connection Project</t>
  </si>
  <si>
    <r>
      <t xml:space="preserve">If there are more than </t>
    </r>
    <r>
      <rPr>
        <b/>
        <sz val="10"/>
        <rFont val="Arial"/>
        <family val="2"/>
      </rPr>
      <t>five</t>
    </r>
    <r>
      <rPr>
        <sz val="10"/>
        <rFont val="Arial"/>
        <family val="2"/>
      </rPr>
      <t xml:space="preserve"> projects proposed to be in-service in a certain year, please amend the tables below and ensure that the formulae for the Total Amounts in any given rate year are updated.</t>
    </r>
  </si>
  <si>
    <r>
      <rPr>
        <b/>
        <sz val="10"/>
        <color indexed="8"/>
        <rFont val="Arial"/>
        <family val="2"/>
      </rPr>
      <t>Note 1:</t>
    </r>
    <r>
      <rPr>
        <sz val="10"/>
        <color indexed="8"/>
        <rFont val="Arial"/>
        <family val="2"/>
      </rPr>
      <t xml:space="preserve"> The difference between the actual costs of approved eligible investments and revenue received from the IESO should be recorded in a variance account.  The Board may provide </t>
    </r>
  </si>
  <si>
    <t>regulatory accounting guidance regarding a variance account either in an individual proceeding or on a generic basis.</t>
  </si>
  <si>
    <r>
      <t>Amortization</t>
    </r>
    <r>
      <rPr>
        <i/>
        <sz val="10"/>
        <rFont val="Arial"/>
        <family val="2"/>
      </rPr>
      <t xml:space="preserve"> </t>
    </r>
    <r>
      <rPr>
        <sz val="10"/>
        <rFont val="Arial"/>
        <family val="2"/>
      </rPr>
      <t>(17% DB and 83% P)</t>
    </r>
  </si>
  <si>
    <t>CCA (17% DB and 83% P)</t>
  </si>
  <si>
    <t>Accounting Standard</t>
  </si>
  <si>
    <t>Outside Range of Min, Max TUL?</t>
  </si>
  <si>
    <t>Below Min TUL</t>
  </si>
  <si>
    <t>Above Max TUL</t>
  </si>
  <si>
    <t>Below Min Range</t>
  </si>
  <si>
    <t>Above Max Range</t>
  </si>
  <si>
    <t>Test</t>
  </si>
  <si>
    <t>Bridge</t>
  </si>
  <si>
    <t>Historical</t>
  </si>
  <si>
    <t>Revised CGAAP</t>
  </si>
  <si>
    <t>Appendix 2-Y</t>
  </si>
  <si>
    <t>2015 Adopters of IFRS for Financial Reporting Purposes</t>
  </si>
  <si>
    <t xml:space="preserve">Appendix 2-BA - Fixed Asset Schedule </t>
  </si>
  <si>
    <t>Appendix 2-D</t>
  </si>
  <si>
    <t>Capitalized OM&amp;A</t>
  </si>
  <si>
    <t xml:space="preserve"> OM&amp;A Before Capitalization</t>
  </si>
  <si>
    <t>Insert description of additional item(s) and new rows if needed</t>
  </si>
  <si>
    <t>Explanation for Change in Overhead Capitalized</t>
  </si>
  <si>
    <t>Total Capitalized OM&amp;A (A)</t>
  </si>
  <si>
    <t>Total OM&amp;A Before Capitalization (B)</t>
  </si>
  <si>
    <t>% of Capitalized OM&amp;A (=A/B)</t>
  </si>
  <si>
    <t>Applicants are to provide a breakdown of OM&amp;A before capitalization in the below table.  OM&amp;A before capitalization may be broken down by cost center, program, drivers or another format best suited to focus on capitalized vs. uncapitalized OM&amp;A.</t>
  </si>
  <si>
    <t>Applicants are to provide a breakdown of capitalized OM&amp;A in the below table.  Capitalized OM&amp;A may be broken down using the categories listed in the table below if possible.  Otherwise, applicants are to provide its own break down of capitalized OM&amp;A.</t>
  </si>
  <si>
    <t>2   The applicant should group projects appropriately and avoid presentations that result in classification of significant components of the capital budget in the miscellaneous category.</t>
  </si>
  <si>
    <t>Notes on shifts in forecast vs. historical budgets by category</t>
  </si>
  <si>
    <r>
      <t xml:space="preserve">Input actual or deemed long-term debt rate in accordance with the guidelines in </t>
    </r>
    <r>
      <rPr>
        <i/>
        <sz val="10"/>
        <rFont val="Arial"/>
        <family val="2"/>
      </rPr>
      <t>The Report of the Board on the Cost of Capital for Ontario's Regulated Utilities</t>
    </r>
    <r>
      <rPr>
        <sz val="10"/>
        <rFont val="Arial"/>
        <family val="2"/>
      </rPr>
      <t>, issued December 11, 2009, or with any subsequent update issued by the Board.</t>
    </r>
  </si>
  <si>
    <r>
      <t>Depreciation Expense adj. from gain or loss on the retirement of assets (pool of like assets), if applicable</t>
    </r>
    <r>
      <rPr>
        <b/>
        <vertAlign val="superscript"/>
        <sz val="10"/>
        <rFont val="Arial"/>
        <family val="2"/>
      </rPr>
      <t>6</t>
    </r>
  </si>
  <si>
    <t>OEB Minimum Standard</t>
  </si>
  <si>
    <t>Indicator</t>
  </si>
  <si>
    <t>Low Voltage Connections</t>
  </si>
  <si>
    <t>High Voltage Connections</t>
  </si>
  <si>
    <t>Telephone Accessibility</t>
  </si>
  <si>
    <t>Appointments Met</t>
  </si>
  <si>
    <t>Written Response to Enquires</t>
  </si>
  <si>
    <t>Emergency Urban Response</t>
  </si>
  <si>
    <t>Emergency Rural Response</t>
  </si>
  <si>
    <t>Telephone Call Abandon Rate</t>
  </si>
  <si>
    <t>Appointment Scheduling</t>
  </si>
  <si>
    <t>Rescheduling a Missed Appointment</t>
  </si>
  <si>
    <t>Reconnection Performance Standard</t>
  </si>
  <si>
    <t>Provide a list of customer engagement activities</t>
  </si>
  <si>
    <t>Actions taken to respond to identified needs and preferences.  If no action was taken, explain why.</t>
  </si>
  <si>
    <t>Appendix 2-AC</t>
  </si>
  <si>
    <t>Customer Engagement Activities Summary</t>
  </si>
  <si>
    <t>Provide a list of customer needs and preferences identified through each engagement activity</t>
  </si>
  <si>
    <t>PP&amp;E Values under MIFRS (Starts from 2014, the transition year)</t>
  </si>
  <si>
    <t>Applicants are to provide Appendix 2-BA in accordance with the years and corresponding accounting standards noted in the above table to provide a year over year continuity in fixed assets.</t>
  </si>
  <si>
    <t>Customers / Connections</t>
  </si>
  <si>
    <t xml:space="preserve">Effective on the date of IFRS adoption, customer contributions will no longer be recorded in Account 1995 Contributions &amp; Grants, but will be recorded in Account 2440, Deferred Revenues.  </t>
  </si>
  <si>
    <t>The purpose of this tab is to provide general instructions.  The specific instructions to each appendix are listed in footnotes of each appendix.</t>
  </si>
  <si>
    <t>Historical Year</t>
  </si>
  <si>
    <t>6 Year (2015-2020) kWh Target:</t>
  </si>
  <si>
    <t>2015 CDM Programs</t>
  </si>
  <si>
    <t>2016 CDM Programs</t>
  </si>
  <si>
    <t>2017 CDM Programs</t>
  </si>
  <si>
    <t>2018 CDM Programs</t>
  </si>
  <si>
    <t>2019 CDM Programs</t>
  </si>
  <si>
    <t>2020 CDM Programs</t>
  </si>
  <si>
    <t>2013 CDM program</t>
  </si>
  <si>
    <t>Distributor can select "0", "0.5", or "1" from drop-down list</t>
  </si>
  <si>
    <t xml:space="preserve">Forecasted Costs </t>
  </si>
  <si>
    <t>Total Costs and Carrying Charges</t>
  </si>
  <si>
    <t>For each year, a detailed explanation for each cost driver and associated amount is requied in Exhibit 4.</t>
  </si>
  <si>
    <t>Variance Analysis</t>
  </si>
  <si>
    <t>Note:  Use "ALT-ENTER" to go to the next line within a cell</t>
  </si>
  <si>
    <t>Appendix 2-IA</t>
  </si>
  <si>
    <t>App.2-S: Stranded Meter Treatment</t>
  </si>
  <si>
    <t>App.2-R: Loss Factors</t>
  </si>
  <si>
    <t>App.2-Q: Cost of Serving Embedded Distributor(s)</t>
  </si>
  <si>
    <t>App.2-OB: Debt Instruments</t>
  </si>
  <si>
    <t>App.2-OA: Capital Structure and Cost of Capital</t>
  </si>
  <si>
    <t>App.2-AA: Capital Projects Table</t>
  </si>
  <si>
    <t>App. 2-AC: Customer Engagement Worksheet</t>
  </si>
  <si>
    <t>App.2-B: General Accounting Instructions</t>
  </si>
  <si>
    <t>App.2-BA: Fixed Asset Continuity Schedule</t>
  </si>
  <si>
    <t>App.2-D: Overhead Expenses</t>
  </si>
  <si>
    <t>App.2-G: Service Reliability Indicators</t>
  </si>
  <si>
    <t>App.2-I: Load Forecast CDM Adjustment Workform</t>
  </si>
  <si>
    <t>App.2-JB: Recoverable OM&amp;A Cost Driver Table</t>
  </si>
  <si>
    <t>App.2-L: Recoverable OM&amp;A Cost per Customer and per FTE</t>
  </si>
  <si>
    <t>Renewable Generation Connection Investment Summary (past investments or over the future rate setting period)</t>
  </si>
  <si>
    <r>
      <t>Enter the details of the Renewable Generation Connection projects as described in the appropriate section</t>
    </r>
    <r>
      <rPr>
        <sz val="10"/>
        <color rgb="FF00B050"/>
        <rFont val="Arial"/>
        <family val="2"/>
      </rPr>
      <t xml:space="preserve"> </t>
    </r>
    <r>
      <rPr>
        <sz val="10"/>
        <rFont val="Arial"/>
        <family val="2"/>
      </rPr>
      <t>of the Filing Requirements.</t>
    </r>
  </si>
  <si>
    <t>There are two scenarios described below.  Separate sets of spreadsheets (2-FA, 2-FB, 2-FC) should be submited for each scenario as required.</t>
  </si>
  <si>
    <r>
      <rPr>
        <sz val="11"/>
        <color rgb="FF00B0F0"/>
        <rFont val="Calibri"/>
        <family val="2"/>
        <scheme val="minor"/>
      </rPr>
      <t>Scenario 1</t>
    </r>
    <r>
      <rPr>
        <sz val="11"/>
        <color theme="1"/>
        <rFont val="Calibri"/>
        <family val="2"/>
        <scheme val="minor"/>
      </rPr>
      <t xml:space="preserve">:  </t>
    </r>
    <r>
      <rPr>
        <b/>
        <sz val="11"/>
        <color theme="1"/>
        <rFont val="Calibri"/>
        <family val="2"/>
        <scheme val="minor"/>
      </rPr>
      <t>Past Investments with No Recovery.</t>
    </r>
    <r>
      <rPr>
        <sz val="11"/>
        <color theme="1"/>
        <rFont val="Calibri"/>
        <family val="2"/>
        <scheme val="minor"/>
      </rPr>
      <t xml:space="preserve">  The distributor has made investments in the past (during the IRM Years), but has not received approval for these projects and therefore did not receive</t>
    </r>
  </si>
  <si>
    <t>revenue from the IESO under Regulation 330/09 and did not receive ratepayer revenue for the direct benefit portion of the investment.</t>
  </si>
  <si>
    <t xml:space="preserve">The WCA percentage, debt percentages, interest rates, kWh, tax rates, amortization period, CCA Class and percentage should correspond to the distributor's last Cost of Service approval. </t>
  </si>
  <si>
    <t>The Direct Benefit portion of the calculated Revenue Requirement for each year should be summed and can be applied for recovery from the distributor's ratepayers through a rate rider.</t>
  </si>
  <si>
    <t>The Provincial Recovery portion of the calculated Revenue Requirement for each year should be summed and can be applied for recovery from the IESO through a separate order.</t>
  </si>
  <si>
    <t xml:space="preserve">The WCA percentage, debt percentages, interest rates, kWh, tax rates, amortization period, CCA Class and percentage should correspond to the distributor's current application. </t>
  </si>
  <si>
    <t>The "CCA Class" for fixed assets should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t>
  </si>
  <si>
    <t>The additions in column (E) must not include construction work in progress (CWIP).</t>
  </si>
  <si>
    <t>Accounting Policy Changes in 2012 and Adopted IFRS in 2015</t>
  </si>
  <si>
    <t>Accounting Policy Changes in 2013 and Adopted IFRS in 2015</t>
  </si>
  <si>
    <r>
      <t xml:space="preserve">Less Renewable Generation Facility Assets and Other Non-Rate-Regulated Utility Assets </t>
    </r>
    <r>
      <rPr>
        <b/>
        <i/>
        <sz val="10"/>
        <color rgb="FFFF0000"/>
        <rFont val="Arial"/>
        <family val="2"/>
      </rPr>
      <t>(input as negative)</t>
    </r>
  </si>
  <si>
    <r>
      <t xml:space="preserve">Fixed Asset Continuity Schedule </t>
    </r>
    <r>
      <rPr>
        <b/>
        <vertAlign val="superscript"/>
        <sz val="14"/>
        <rFont val="Arial"/>
        <family val="2"/>
      </rPr>
      <t>1</t>
    </r>
    <r>
      <rPr>
        <b/>
        <sz val="14"/>
        <rFont val="Arial"/>
        <family val="2"/>
      </rPr>
      <t xml:space="preserve"> </t>
    </r>
  </si>
  <si>
    <r>
      <t xml:space="preserve">CCA Class </t>
    </r>
    <r>
      <rPr>
        <b/>
        <vertAlign val="superscript"/>
        <sz val="10"/>
        <rFont val="Arial"/>
        <family val="2"/>
      </rPr>
      <t>2</t>
    </r>
  </si>
  <si>
    <r>
      <t xml:space="preserve">Additions </t>
    </r>
    <r>
      <rPr>
        <b/>
        <vertAlign val="superscript"/>
        <sz val="10"/>
        <rFont val="Arial"/>
        <family val="2"/>
      </rPr>
      <t>4</t>
    </r>
  </si>
  <si>
    <r>
      <t xml:space="preserve">OEB Account </t>
    </r>
    <r>
      <rPr>
        <b/>
        <vertAlign val="superscript"/>
        <sz val="10"/>
        <rFont val="Arial"/>
        <family val="2"/>
      </rPr>
      <t>3</t>
    </r>
  </si>
  <si>
    <r>
      <t xml:space="preserve">Description </t>
    </r>
    <r>
      <rPr>
        <b/>
        <vertAlign val="superscript"/>
        <sz val="10"/>
        <rFont val="Arial"/>
        <family val="2"/>
      </rPr>
      <t>3</t>
    </r>
  </si>
  <si>
    <t>Including outages caused by loss of supply</t>
  </si>
  <si>
    <t>Excluding outages caused by loss of supply</t>
  </si>
  <si>
    <r>
      <t xml:space="preserve">etc. </t>
    </r>
    <r>
      <rPr>
        <sz val="10"/>
        <color rgb="FFFF0000"/>
        <rFont val="Arial"/>
        <family val="2"/>
      </rPr>
      <t>(Insert additional rows as needed)</t>
    </r>
  </si>
  <si>
    <r>
      <t xml:space="preserve">Number of Customers </t>
    </r>
    <r>
      <rPr>
        <b/>
        <vertAlign val="superscript"/>
        <sz val="10"/>
        <rFont val="Arial"/>
        <family val="2"/>
      </rPr>
      <t>2,4</t>
    </r>
  </si>
  <si>
    <r>
      <t xml:space="preserve">Number of FTEs </t>
    </r>
    <r>
      <rPr>
        <b/>
        <vertAlign val="superscript"/>
        <sz val="10"/>
        <rFont val="Arial"/>
        <family val="2"/>
      </rPr>
      <t>3,4</t>
    </r>
  </si>
  <si>
    <r>
      <t xml:space="preserve">Recoverable OM&amp;A Cost per Customer and per FTE </t>
    </r>
    <r>
      <rPr>
        <b/>
        <vertAlign val="superscript"/>
        <sz val="14"/>
        <rFont val="Arial"/>
        <family val="2"/>
      </rPr>
      <t>1</t>
    </r>
  </si>
  <si>
    <r>
      <t xml:space="preserve">Shared Services and Corporate Cost Allocation </t>
    </r>
    <r>
      <rPr>
        <b/>
        <vertAlign val="superscript"/>
        <sz val="14"/>
        <rFont val="Arial"/>
        <family val="2"/>
      </rPr>
      <t>1</t>
    </r>
  </si>
  <si>
    <r>
      <t xml:space="preserve">Rate (%) </t>
    </r>
    <r>
      <rPr>
        <vertAlign val="superscript"/>
        <sz val="10"/>
        <rFont val="Arial"/>
        <family val="2"/>
      </rPr>
      <t>2</t>
    </r>
  </si>
  <si>
    <t>If financing is in place only part of the year, separately calculate the pro-rated interest in the year and input in the cell.</t>
  </si>
  <si>
    <t>To be completed by Host Distributors ONLY</t>
  </si>
  <si>
    <r>
      <t xml:space="preserve">Distributors should also provide the Net Book Value per class of meter as of December 31, 2010 as well as the number of meters that were removed / stranded.  In preparing this information, distributors should review the Board's letter of January 16, 2007 </t>
    </r>
    <r>
      <rPr>
        <i/>
        <sz val="10"/>
        <rFont val="Arial"/>
        <family val="2"/>
      </rPr>
      <t>Stranded Meter Costs Related to the Installation of Smart Meters</t>
    </r>
    <r>
      <rPr>
        <sz val="10"/>
        <rFont val="Arial"/>
        <family val="2"/>
      </rPr>
      <t xml:space="preserve"> which stated that records were to be kept of the type and number of each meter to support the stranded meter costs.</t>
    </r>
  </si>
  <si>
    <r>
      <t xml:space="preserve">For applicants that adopted IFRS on </t>
    </r>
    <r>
      <rPr>
        <b/>
        <sz val="10"/>
        <color rgb="FFFF0000"/>
        <rFont val="Arial"/>
        <family val="2"/>
      </rPr>
      <t>January 1, 2015</t>
    </r>
    <r>
      <rPr>
        <b/>
        <sz val="10"/>
        <color indexed="8"/>
        <rFont val="Arial"/>
        <family val="2"/>
      </rPr>
      <t xml:space="preserve"> for financial reporting purposes</t>
    </r>
  </si>
  <si>
    <t xml:space="preserve">1  For an applicant that adopted IFRS on January 1, 2015, the PP&amp;E values as of January 1, 2014 under both CGAAP and MIFRS should be the same. </t>
  </si>
  <si>
    <t>Any forecasted One-time costs past 2015 should be fully explained in the application, since distributors were required to adopt IFRS or an alternative accounting standard by January 1, 2015.</t>
  </si>
  <si>
    <t>Consumption (kWh)</t>
  </si>
  <si>
    <t>2014 CDM program</t>
  </si>
  <si>
    <t>COLLUS PowerStream Corp.</t>
  </si>
  <si>
    <t>Innpower Corporation</t>
  </si>
  <si>
    <t>Newmarket-Tay Power Distribution Ltd.</t>
  </si>
  <si>
    <t>Based on the current methodology and allocation, amounts allocated represent 6% for REI Connection Investments and 17% for Expansion Investments. (EB-2009-0349, 6-10-2010, p. 15, note 9)</t>
  </si>
  <si>
    <r>
      <rPr>
        <b/>
        <sz val="10"/>
        <color indexed="8"/>
        <rFont val="Arial"/>
        <family val="2"/>
      </rPr>
      <t>Note 2:</t>
    </r>
    <r>
      <rPr>
        <sz val="10"/>
        <color indexed="8"/>
        <rFont val="Arial"/>
        <family val="2"/>
      </rPr>
      <t xml:space="preserve"> For the 2016 Test Year, Costs and Revenues of the Direct Benefit are to be included in the test year applicant Rate Base and Revenues.  </t>
    </r>
  </si>
  <si>
    <t>For historical investments, enter these variables for your last cost of service test year.  For 2016 and beyond, enter variables as in the application.</t>
  </si>
  <si>
    <r>
      <rPr>
        <b/>
        <sz val="10"/>
        <rFont val="Arial"/>
        <family val="2"/>
      </rPr>
      <t>Note 2:</t>
    </r>
    <r>
      <rPr>
        <sz val="10"/>
        <rFont val="Arial"/>
        <family val="2"/>
      </rPr>
      <t xml:space="preserve"> For the 2016 Test Year, Costs and Revenues of the Direct Benefit are to be included in the test year applicant Rate Base and Revenues.</t>
    </r>
  </si>
  <si>
    <t>App.2-JC: OM&amp;A Programs Table</t>
  </si>
  <si>
    <t>Customers</t>
  </si>
  <si>
    <t>A list of key references for understanding the Filing Requirements has been embedded in the document below. To access the list of references and associated hyperlinks double-click the icon below.</t>
  </si>
  <si>
    <t>Service Reliability and Quality Indicators</t>
  </si>
  <si>
    <t>Service Reliability</t>
  </si>
  <si>
    <t>Service Quality</t>
  </si>
  <si>
    <t>This table must be completed for the last Board-approved year and the test year.</t>
  </si>
  <si>
    <t>A recalculation should be performed to determine the average remaining life of opening balance of assets (i.e. excluding current year's additions) under the change in policies under CGAAP.  For example, Asset A had a useful life of 20 years under CGAAP without the change in policies.  On January 1 of the year of policy changes, Asset A was 3 years depreciated. As a result, Asset A would have a remaining service life of 17 years (20 years less 3 years) as at January 1 of the year of policy changes.  Due to making the change in policies under CGAAP, management re-assessed the asset useful lives and concluded that the revised useful life of Asset A is now 30 years. Therefore, the average remaining useful life of the opening balance of Asset A is determined to be 27 years (30 years less 3 years) under the revised CGAAP as at January 1 of the year of policy changes.</t>
  </si>
  <si>
    <t>Year Reflected in Schedule Below</t>
  </si>
  <si>
    <t>Reflecting Accounting Policy Changes in Current Application</t>
  </si>
  <si>
    <r>
      <t xml:space="preserve"> MIFRS and Revised CGAAP</t>
    </r>
    <r>
      <rPr>
        <vertAlign val="superscript"/>
        <sz val="11"/>
        <color indexed="17"/>
        <rFont val="Calibri"/>
        <family val="2"/>
      </rPr>
      <t>1</t>
    </r>
  </si>
  <si>
    <r>
      <t>CGAAP and Revised CGAAP</t>
    </r>
    <r>
      <rPr>
        <vertAlign val="superscript"/>
        <sz val="11"/>
        <color indexed="17"/>
        <rFont val="Calibri"/>
        <family val="2"/>
      </rPr>
      <t>2</t>
    </r>
  </si>
  <si>
    <t>1)  For the transition year (2014), the applicant may file two appendices, one under Revised CGAAP and one under MIFRS, depending on the materiality of impacts.  See the specific instructions under each appendix below for further details.</t>
  </si>
  <si>
    <t>For the transition year (2014), the applicant should file two appendices, one under Revised CGAAP and one under MIFRS if the change between Revised CGAAP and MIFRS is material.  If the change from the accounting standards is not material, the applicant may choose to only provide one appendix under MIFRS.  However, the applicant must also indicate the fixed asset net book value balance under Revised CGAAP, the total dollar value of the change and explain why it is not material.</t>
  </si>
  <si>
    <r>
      <t>·</t>
    </r>
    <r>
      <rPr>
        <sz val="10"/>
        <rFont val="Times New Roman"/>
        <family val="1"/>
      </rPr>
      <t>       </t>
    </r>
  </si>
  <si>
    <r>
      <t xml:space="preserve">MIFRS </t>
    </r>
    <r>
      <rPr>
        <sz val="10"/>
        <color indexed="8"/>
        <rFont val="Arial"/>
        <family val="2"/>
      </rPr>
      <t>- Note 5</t>
    </r>
  </si>
  <si>
    <r>
      <t xml:space="preserve">MIFRS - </t>
    </r>
    <r>
      <rPr>
        <sz val="10"/>
        <color indexed="8"/>
        <rFont val="Arial"/>
        <family val="2"/>
      </rPr>
      <t>Note 5</t>
    </r>
  </si>
  <si>
    <t>5 Differences due to the adoption of MIFRS are to be shown separately in Account 1575 in Appendix 2-EA as Accounts 1575 and 1576 cannot be used interchangably.</t>
  </si>
  <si>
    <t>Audited Actual Costs Incurred</t>
  </si>
  <si>
    <t xml:space="preserve">Audited Carrying Charges </t>
  </si>
  <si>
    <r>
      <t xml:space="preserve">Amounts, if any, included in previous Board approved rates (amounts should be negative) </t>
    </r>
    <r>
      <rPr>
        <vertAlign val="superscript"/>
        <sz val="10"/>
        <rFont val="Arial"/>
        <family val="2"/>
      </rPr>
      <t>2</t>
    </r>
  </si>
  <si>
    <t>Closing NBV 2017</t>
  </si>
  <si>
    <r>
      <t>Reflected Accounting Policy Changes in Prior Application</t>
    </r>
    <r>
      <rPr>
        <b/>
        <vertAlign val="superscript"/>
        <sz val="10"/>
        <rFont val="Arial"/>
        <family val="2"/>
      </rPr>
      <t>3</t>
    </r>
  </si>
  <si>
    <t>1) For an applicant that has a balance in Account 1576 to dispose:</t>
  </si>
  <si>
    <t>5-year Distribution System Plan Period</t>
  </si>
  <si>
    <r>
      <t>Total Recoverable OM&amp;A from Appendix 2-JB</t>
    </r>
    <r>
      <rPr>
        <b/>
        <vertAlign val="superscript"/>
        <sz val="10"/>
        <rFont val="Arial"/>
        <family val="2"/>
      </rPr>
      <t xml:space="preserve"> 5</t>
    </r>
  </si>
  <si>
    <t>Persistence of Historical CDM programs to 2015</t>
  </si>
  <si>
    <t>2015 CDM program</t>
  </si>
  <si>
    <t>The distributor should determine the allocation of the savings to all customer classes in a reasonable manner (e.g. taking into account what programs and what IESO-measured impacts were directed at specific customer classes), for both the LRAMVA and for the load forecast adjustment.</t>
  </si>
  <si>
    <t>(Not required if Host Distributor has an Embedded Distributor rate class, i.e. a separate row on Sheet 11 of the RRWF.)</t>
  </si>
  <si>
    <t xml:space="preserve">     O&amp;M per customer</t>
  </si>
  <si>
    <t xml:space="preserve">     Admin per customer</t>
  </si>
  <si>
    <t xml:space="preserve">     Total OM&amp;A per customer</t>
  </si>
  <si>
    <t>OM&amp;A cost per FTE</t>
  </si>
  <si>
    <t xml:space="preserve">     O&amp;M per FTE</t>
  </si>
  <si>
    <t xml:space="preserve">     Admin per FTE</t>
  </si>
  <si>
    <t xml:space="preserve">     Total OM&amp;A per FTE</t>
  </si>
  <si>
    <t xml:space="preserve">     O&amp;M</t>
  </si>
  <si>
    <t xml:space="preserve">     Admin Expenses</t>
  </si>
  <si>
    <t>OM&amp;A Costs</t>
  </si>
  <si>
    <t>The method of calculating the number of customers must be identified. Should be linked back to Appendix 2-IA</t>
  </si>
  <si>
    <t>For the test year and in the subsequent four years of the DSP period, the applicant should take into account the system O&amp;M (line X of Appendix 2-AB) in developing its forecasted OM&amp;A. Admin expenses beyond the test year also need to be forecasted (separately).</t>
  </si>
  <si>
    <r>
      <rPr>
        <sz val="11"/>
        <color rgb="FF00B0F0"/>
        <rFont val="Calibri"/>
        <family val="2"/>
        <scheme val="minor"/>
      </rPr>
      <t>Scenario 2</t>
    </r>
    <r>
      <rPr>
        <sz val="11"/>
        <color theme="1"/>
        <rFont val="Calibri"/>
        <family val="2"/>
        <scheme val="minor"/>
      </rPr>
      <t xml:space="preserve">:  </t>
    </r>
    <r>
      <rPr>
        <b/>
        <sz val="11"/>
        <color theme="1"/>
        <rFont val="Calibri"/>
        <family val="2"/>
        <scheme val="minor"/>
      </rPr>
      <t>Investments in the Test Year and Beyond.</t>
    </r>
    <r>
      <rPr>
        <sz val="11"/>
        <color theme="1"/>
        <rFont val="Calibri"/>
        <family val="2"/>
        <scheme val="minor"/>
      </rPr>
      <t xml:space="preserve">  Distributor plans to make investments in 2017 and/or beyond.  These investments should be added to 2-FA in the appropriate year.</t>
    </r>
  </si>
  <si>
    <t>For historical investments, enter these variables for your last cost of service test year.  For 2017 and beyond, enter variables as in the application.</t>
  </si>
  <si>
    <t>Rate Riders are not calculated for the Test Year as these assets and costs are already in the distributor's rate base.</t>
  </si>
  <si>
    <t>Rate Riders are not calculated for the Test Year as these assets and costs are already in the distributor's rate base/revenue requirement.</t>
  </si>
  <si>
    <t>Energy + Inc.</t>
  </si>
  <si>
    <t>Peterborough Distribution Inc.</t>
  </si>
  <si>
    <r>
      <t xml:space="preserve">CGAAP </t>
    </r>
    <r>
      <rPr>
        <b/>
        <vertAlign val="superscript"/>
        <sz val="10"/>
        <rFont val="Arial"/>
        <family val="2"/>
      </rPr>
      <t>1</t>
    </r>
  </si>
  <si>
    <t xml:space="preserve">An applicant must provide a summary of the dollar impacts of MIFRS to each component of the revenue requirement (e.g. rate base, operating costs, etc.), including the overall impact on the proposed revenue requirement.  Accordingly,  the applicant must identify financial differences and resulting revenue requirement impacts arising from the adoption of  MIFRS as compared to CGAAP.  If the applicant is reflecting the changes in capitalization and depreciation policies for the first time in a rebasing application, then a comparison between MIFRS and CGAAP before the change in accounting policies should be completed.  If the applicant changed capitalization and depreciation policies and  reflected these changes in a prior rebasing application, then a comparison between MIFRS and CGAAP after the change in accounting policies should be completed.  </t>
  </si>
  <si>
    <t>The applicant must ensure that all asset disposals have been clearly identified in the Chapter 2 Appendices for all historic, bridge and test years.  Where a distributor for general financial reporting purposes under IFRS has accounted for the amount of gain or loss on the retirement of assets in a pool of like assets as a charge or credit to income, for reporting and rate application filings, the distributor shall reclassify such gains and losses as depreciation expense, and disclose the amount separately.</t>
  </si>
  <si>
    <r>
      <t xml:space="preserve">Disposals </t>
    </r>
    <r>
      <rPr>
        <b/>
        <vertAlign val="superscript"/>
        <sz val="10"/>
        <rFont val="Arial"/>
        <family val="2"/>
      </rPr>
      <t>6</t>
    </r>
  </si>
  <si>
    <t>Instructions on Customer, Connections, Load Forecast and Revenues Data and Analysis</t>
  </si>
  <si>
    <t>This sheet requires no inputs, but serves as a summary of the hiostorical and forecasted data to be provided with respect to:</t>
  </si>
  <si>
    <t>1)</t>
  </si>
  <si>
    <t>Customers and connections</t>
  </si>
  <si>
    <t>2)</t>
  </si>
  <si>
    <t>3)</t>
  </si>
  <si>
    <t>Demand (kW or kCA) for applicable demand-billed customer classes</t>
  </si>
  <si>
    <t>4)</t>
  </si>
  <si>
    <t>Revenues</t>
  </si>
  <si>
    <t>Appendix 2-IB (formerly 2-IA) is the appendix spreadsheet that the distributor populates, and the spreadsheet is laid out for inputting the necessary data. The spreadsheet also calculates necessary statistics such as average consumption per customer/connection per year, and variances and % annual changes, as necessary.</t>
  </si>
  <si>
    <t>The distributor is required to provide suitable documentation in Exhibit 3 of its Application, in accordance with section 2.3.2 of Chaoter 2 of the Filing Requirements. This would include explanations for material variations or of trends in the data.</t>
  </si>
  <si>
    <t>The distributor is also required to input its test year customer/connection and load forecast in Sheet 10 - Load Forecast of the Revenue Requirement Work Form. This sheet should also be updated to reflect changes in the load forecast made through the stages of processing of the rates application.</t>
  </si>
  <si>
    <t>The applicant must demonstrate the historical accuracy of its load forecast approach for at least the past 5 years. Such analysis will cover both customer/connections and consumption (kWh) and demand (kW or kVA) by providing the following, as shown in the following table:</t>
  </si>
  <si>
    <t>Bridge Year (Forecast)</t>
  </si>
  <si>
    <t>Test Year (Forecast)</t>
  </si>
  <si>
    <t>Calendar Year</t>
  </si>
  <si>
    <r>
      <t xml:space="preserve">Board-approved </t>
    </r>
    <r>
      <rPr>
        <vertAlign val="superscript"/>
        <sz val="10"/>
        <rFont val="Arial"/>
        <family val="2"/>
      </rPr>
      <t>(2)</t>
    </r>
  </si>
  <si>
    <t>The spreadsheet summarizes the data provided and the analyses (variance or year-over-year) that are required. Data are required to be provided on a customer class level. Consumption (kWh) must also be provided on a total distribution system level.</t>
  </si>
  <si>
    <t>Weather-actual</t>
  </si>
  <si>
    <t>Weather-normalized</t>
  </si>
  <si>
    <r>
      <t xml:space="preserve">Actual </t>
    </r>
    <r>
      <rPr>
        <vertAlign val="superscript"/>
        <sz val="10"/>
        <rFont val="Arial"/>
        <family val="2"/>
      </rPr>
      <t>(1)</t>
    </r>
  </si>
  <si>
    <t>Demand (kW or kVA)</t>
  </si>
  <si>
    <r>
      <t xml:space="preserve">Consumption (kWh) </t>
    </r>
    <r>
      <rPr>
        <b/>
        <vertAlign val="superscript"/>
        <sz val="10"/>
        <rFont val="Arial"/>
        <family val="2"/>
      </rPr>
      <t>(3)</t>
    </r>
  </si>
  <si>
    <t>Appendix 2-IB</t>
  </si>
  <si>
    <t>App.2-IA: Load Forecast Data Instructions</t>
  </si>
  <si>
    <t>App.2-IB:  Actual and Forecast Load and Customer Data</t>
  </si>
  <si>
    <t>“Weather-normalized actuals” are estimated by replacing the actual weather-related values (typically Heating Degree Days (HDD) and Cooling Degree Days (CDD)) by the “typical” or “weather-normalized” values. These “weather-normalized HDD and CDD values would be the same as used to estimate the Bridge Year and Test Year forecasts.</t>
  </si>
  <si>
    <t>For 2017 Cost of Service rebasers, the typical situation is that 2013 would have been the most recent cost of service rebasing application. If the most recent rebasing application was for a rate year other than 2013, that year should be used. An applicant must provide historical information back to the greater of: a) at least five (5) historical actual years; or b) to its last cost of service application.</t>
  </si>
  <si>
    <t>Consumption must be provided on a total distribution system basis as well as at a customer class level.</t>
  </si>
  <si>
    <t>Revenues exclude commodity charges.</t>
  </si>
  <si>
    <t>Geometric Mean</t>
  </si>
  <si>
    <t>Year-over-year</t>
  </si>
  <si>
    <t>Versus Board-approved</t>
  </si>
  <si>
    <t>Is the customer class billed on consumption (kWh) or demand (kW or kVA)?</t>
  </si>
  <si>
    <t>Customer, Connections, Load Forecast and Revenues Data and Analysis</t>
  </si>
  <si>
    <t>Actual (Weather actual)</t>
  </si>
  <si>
    <t>This sheet is to be filled in accordance with the instructions documented in section 2.3.2 of Chapter 2 of the Filing Requirements for Distribution Rate Applications, in terms of one set of tables per customer class.</t>
  </si>
  <si>
    <t>Color coding for Cells:</t>
  </si>
  <si>
    <t>Data input</t>
  </si>
  <si>
    <t>Drop-down List</t>
  </si>
  <si>
    <t>No data entry required</t>
  </si>
  <si>
    <t>Blank or calculated value</t>
  </si>
  <si>
    <t>Distribution System (Total)</t>
  </si>
  <si>
    <t>Customer Class Analysis (one for each Customer Class, excluding MicroFIT and Standby)</t>
  </si>
  <si>
    <t>Test Year Versus Board-approved</t>
  </si>
  <si>
    <t>GS &gt; 50 kW</t>
  </si>
  <si>
    <t>App.2-N: Shared Services and Corporate Cost Allocation</t>
  </si>
  <si>
    <t>Adopted IFRS in 2015</t>
  </si>
  <si>
    <t xml:space="preserve">Appendix 2-Cx - Depreciation and Amortization </t>
  </si>
  <si>
    <t>Appendix 2-YA</t>
  </si>
  <si>
    <t>component is different under MIFRS</t>
  </si>
  <si>
    <t>App.2-A: List of Requested Approvals</t>
  </si>
  <si>
    <t>List of Requested Approvals</t>
  </si>
  <si>
    <t>Additional requests may be added by copying and pasting blank input rows, as needed.</t>
  </si>
  <si>
    <t>If additional requests arise, or requested approvals are removed, during the processing of the application, the distributor should update this list.</t>
  </si>
  <si>
    <t>Appendix 2-A</t>
  </si>
  <si>
    <t>Professional accounting fees</t>
  </si>
  <si>
    <t>Professional legal fees</t>
  </si>
  <si>
    <t>Salaries, wages and benefits of staff added to support the transition to IFRS</t>
  </si>
  <si>
    <t>Associated staff training and development costs</t>
  </si>
  <si>
    <t>Costs related to system upgrades, or replacements or changes where IFRS was the major reason for conversion</t>
  </si>
  <si>
    <t>Appendices for the Tariff of Rates and Charges at Current and Proposed Rates, and for the Bill Impacts are now in a separate spreadsheet model. These appendices were formerly 2-Z and 2-W.</t>
  </si>
  <si>
    <t>2) For applicants that are reflecting accounting policy changes for the first time in a rebasing application, the applicant must file two appendices in the year that the applicant implemented changes to its capitalization and depreciation policies (2012 or 2013), one before and one after the policy changes.</t>
  </si>
  <si>
    <t>If an applicant changed capitalization and depreciation policies effective January 1, 2013, the applicant must complete Appendix 2-EC</t>
  </si>
  <si>
    <t>2) For an applicant that has a balance in Account 1575 to dispose:</t>
  </si>
  <si>
    <t>The applicant must complete 2-EA</t>
  </si>
  <si>
    <t xml:space="preserve">If an applicant changed capitalization and depreciation policies effective January 1, 2012, the applicant must complete Appendix 2-EB </t>
  </si>
  <si>
    <t xml:space="preserve"> If the applicant did not make any further PP&amp;E accounting policy changes beyond the capitalization and depreciation policy changes as mandated by the Board by January 1, 2013 (i.e. no further changes made on transition to IFRS), the applicant must indicate this and does not need to complete Appendix 2-EA.</t>
  </si>
  <si>
    <t xml:space="preserve">1.  Applicants must provide a summary of the dollar impacts of MIFRS to each component of the revenue requirement (e.g. rate base, operating costs, etc.), including the overall impact on the proposed revenue requirement.  Accordingly, the applicants must identify financial differences and resulting revenue requirement impacts arising from the adoption of  MIFRS as compared to CGAAP.  If the applicant is reflecting the changes in capitalization and depreciation policies for the first time in a rebasing application, then the comparison in the above table should be between MIFRS and CGAAP before the change in accounting policies. If the applicant changed capitalization and depreciation policies and reflected these changes in a previous rebasing application, the comparison in the above table should be between MIFRS and CGAAP after the change in accounting policies.  </t>
  </si>
  <si>
    <t>Did you update your depreciation and capitalization policies and reflect the changes in policies in a prior rebasing application?</t>
  </si>
  <si>
    <t>When did you update your actual depreciation and capitalization policies?</t>
  </si>
  <si>
    <t>Identify the year the applicant adopted IFRS for financial reporting purposes</t>
  </si>
  <si>
    <t>The Cost of Service Rate Application Schematic is a flowchart that is included as a guide for the components of an application. The schematic demonstrates how demand and costs interrelate to derive the revenue requirement and how the revenue requirement is allocated between classes and through fixed/variable splits to derive rates that will be compensatory for the annual revenue requirement, based on the the forecasted demand.  There is no form to be filled out; therefore, this Schedule is not required to be filed.</t>
  </si>
  <si>
    <t>1. Historical “previous plan” data is not required unless a plan has previously been filed. However, use the last Board-approved, at least on a Total (Capital) Expenditure basis for the last cost of service rebasing year, and the applicant should include their planned budget in each subsequent historical year up to and including the Bridge Year.</t>
  </si>
  <si>
    <t>2. Indicate the number of months of 'actual' data included in the last year of the Historical Period (normally a 'bridge' year):</t>
  </si>
  <si>
    <t>For the test year, the applicant should take into account the system O&amp;M (line 22 of Appendix 2-AB) in developing its forecasted OM&amp;A.</t>
  </si>
  <si>
    <t>2011 CDM Programs</t>
  </si>
  <si>
    <t>2012 CDM Programs</t>
  </si>
  <si>
    <t>2013 CDM Programs</t>
  </si>
  <si>
    <t>2014 CDM Programs</t>
  </si>
  <si>
    <t>Excluding Major Event Days</t>
  </si>
  <si>
    <t>2011 - 2015</t>
  </si>
  <si>
    <t>The Board determined that the "net" number should be used in its Decision and Order with respect to Centre Wellington Hydro Ltd.'s 2013 Cost of Service rates (EB-2012-0113).  This approach has also been used in Settlement Agreements accepted by the Board in other 2013 and 2014 applications.  The distributor should select whether the adjustment is done on a "net" or "gross" basis, but must support a proposal for the adjustment being done on a "gross" basis.  Sheet 2-I defaults to the adjustment being done on a "net" basis consistent with Board policy and practice.</t>
  </si>
  <si>
    <t>The default values below represent the factor used for how each year's CDM program is factored into the manual CDM adjustment.  Distributors can choose alternative weights of "0", "0.5" or "1" from the drop-down menu for each cell, but must support its alternatives.</t>
  </si>
  <si>
    <t>(Yes/No)</t>
  </si>
  <si>
    <r>
      <t>1</t>
    </r>
    <r>
      <rPr>
        <b/>
        <sz val="10"/>
        <rFont val="Arial"/>
        <family val="2"/>
      </rPr>
      <t xml:space="preserve"> </t>
    </r>
    <r>
      <rPr>
        <sz val="10"/>
        <rFont val="Arial"/>
        <family val="2"/>
      </rPr>
      <t>If an applicant wishes to use headcount, it must also file the same schedule on an FTE basis.</t>
    </r>
  </si>
  <si>
    <t>The distributor must fill out the following sheet with the complete list of specific approvals requested and relevant section(s) of the legislation must be provided. All approvals, including accounting orders (deferral and variance accounts) new rate classes, revised specific service charges or retail service charges which the applicant is seeking, must be separately identified, as well being clearly documented in the appropriate sections of the application.</t>
  </si>
  <si>
    <t>Unmetered Scattered Load</t>
  </si>
  <si>
    <r>
      <rPr>
        <b/>
        <sz val="10"/>
        <rFont val="Arial"/>
        <family val="2"/>
      </rPr>
      <t>Note:</t>
    </r>
    <r>
      <rPr>
        <sz val="10"/>
        <rFont val="Arial"/>
        <family val="2"/>
      </rPr>
      <t xml:space="preserve"> If there are more than ten (10) customer classes, please contact OEB Staff to add tables for additional customer classes.</t>
    </r>
  </si>
  <si>
    <t>2     Recoverable OM&amp;A that is included on these tables should be identical to the recoverable OM&amp;A that is shown for the corresponding periods on Appendix 2-JB.</t>
  </si>
  <si>
    <t>If it has been more than four years since the applicant last filed a cost of service application, additional years of historical actuals should be incorporated into the table, as necessary, to go back to the last cost of service application.  If the applicant last filed a cost of service application less than four years ago, a minimum of three years of actual information is required.</t>
  </si>
  <si>
    <t>Opening Balance for "Last Rebasing Year" (cell B15) should be equal to the Board-Approved amount. For purposes of assessing incremental cost drivers, the closing balance for each year becomes the opening balance for the next year.</t>
  </si>
  <si>
    <t>The method of calculating the number of FTEs must be identified. See also Appendix 2-K.</t>
  </si>
  <si>
    <t>If it has been more than four years since the applicant last filed a cost of service application, additional years of historical actuals should be incorporated into the table, as necessary, to go back to the last cost of service application. If the applicant last filed a cost of service application less than four years ago, a minimum of three years of actual information is required.</t>
  </si>
  <si>
    <t>The method of calculating the number of customers must be identified. Should correspond with data provided in Appendix 2-IB.</t>
  </si>
  <si>
    <t>For 2017, please indicate whether the amounts provided are on a forecast or actual basis.</t>
  </si>
  <si>
    <t>Alectra Utilities Corporation</t>
  </si>
  <si>
    <t>Alectra Utilities Corporation - Brampton service territory</t>
  </si>
  <si>
    <t>Alectra Utilities Corporation - Horizon Utilities service territory</t>
  </si>
  <si>
    <t>Alectra Utilities Corporation - Mississauga service territory</t>
  </si>
  <si>
    <t>Alectra Utilities Corporation - PowerStream service territory</t>
  </si>
  <si>
    <t>Canadian Niagara Power Inc. (Eastern Ontario Power/Fort Erie/Port Colborne)</t>
  </si>
  <si>
    <t>Hydro One Networks Inc. - Norfolk, Haldimand, Woodstock</t>
  </si>
  <si>
    <t>Load Forecast CDM Adjustment Work Form (2018)</t>
  </si>
  <si>
    <r>
      <t xml:space="preserve">Appendix 2-I was initially developed to help determine what would be the amount of CDM savings needed in each year to cumulatively achieve the four year 2011-2014 CDM target.  This then determined the amount of kWh (and with translation, kW of demand) savings that were converted into dollar balances for the LRAMVA, and also to determine the related adjustment to the load forecast to account for OPA-reported savings.  Beginning </t>
    </r>
    <r>
      <rPr>
        <sz val="12"/>
        <rFont val="Arial"/>
        <family val="2"/>
      </rPr>
      <t>in</t>
    </r>
    <r>
      <rPr>
        <sz val="10"/>
        <rFont val="Arial"/>
        <family val="2"/>
      </rPr>
      <t xml:space="preserve"> the 2015 year, it has been adjusted because the persistence of 2011-2014 CDM programs will be an adjustment to the load forecast in addition to the estimated savings for the first year (2015) for the new 2015-2020 CDM plan.</t>
    </r>
  </si>
  <si>
    <r>
      <t xml:space="preserve">2018 is the fourth year of the six-year (2015-2020) Conservation First program. Final results for the 2011-14 program were issued in the fall of 2015, and the program </t>
    </r>
    <r>
      <rPr>
        <sz val="12"/>
        <rFont val="Arial"/>
        <family val="2"/>
      </rPr>
      <t xml:space="preserve">is </t>
    </r>
    <r>
      <rPr>
        <sz val="10"/>
        <rFont val="Arial"/>
        <family val="2"/>
      </rPr>
      <t xml:space="preserve">completed, although in some instances disposition of the amounts has been deferred. For the purposes of the 2015-2020 LRAMVA, and the impact of CDM on the load forecast, CDM programs in 2014 and earlier are implicit in the historical data on which the base load forecast is developed. Only actual and forecasted impacts of 2015 to 2018 CDM programs need to be reflected in the manual load forecast adjustment and for the LRAMVA threshold amount in 2018 and carrying forward, although the full year impact of 2015 CDM programs and half-year impact of 2016 CDM programs on 2016 historical data is also assumed to be reflected in the base load forecast. </t>
    </r>
  </si>
  <si>
    <t>The new six year (2015-2020) CDM program works in a slightly different manner to the previous 2011-2014 CDM program. Distributors will offer programs each year that, over the six years (from January 1, 2015 to December 31, 2020) will strive to achieve savings equal to the new six year CDM target with the full target in place (i.e., persisting) on December 31, 2020. In other words, distributors will be able to offer and execute programs on a basis so that, as long as savings equal to the full target are in place at the end the period, the distributor's 2015-2020 CDM target will have been met.</t>
  </si>
  <si>
    <t>2015-2020 CDM Program - 2018 fourth year of the current CDM plan</t>
  </si>
  <si>
    <r>
      <t xml:space="preserve">For the first year of the new 2015-2020 CDM plan, it is assumed that each year's program will achieve an equal amount of new CDM savings. </t>
    </r>
    <r>
      <rPr>
        <sz val="10"/>
        <color rgb="FFFF0000"/>
        <rFont val="Arial"/>
        <family val="2"/>
      </rPr>
      <t xml:space="preserve"> </t>
    </r>
    <r>
      <rPr>
        <sz val="10"/>
        <color rgb="FF000000"/>
        <rFont val="Arial"/>
        <family val="2"/>
      </rPr>
      <t>This results in each year's program being about 1/6 (1</t>
    </r>
    <r>
      <rPr>
        <b/>
        <u/>
        <sz val="11"/>
        <color rgb="FF00B050"/>
        <rFont val="Arial"/>
        <family val="2"/>
      </rPr>
      <t>6</t>
    </r>
    <r>
      <rPr>
        <sz val="10"/>
        <color rgb="FF000000"/>
        <rFont val="Arial"/>
        <family val="2"/>
      </rPr>
      <t>.67%)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IESO.</t>
    </r>
  </si>
  <si>
    <r>
      <t xml:space="preserve">Note: </t>
    </r>
    <r>
      <rPr>
        <sz val="10"/>
        <rFont val="Arial"/>
        <family val="2"/>
      </rPr>
      <t>The default formulae in the above table assume that the 2015-2020 kWh CDM target is achieved through persistence of CDM savings to the end of 2020. The distributor should enter measured CDM savings for 2015, and persistence of 2015 programs for 2016-2020 in row 34. When available, (preliminary/final) CDM savings for 2016 can be entered into row 35. The distributor can also input estimates or forecasts of the 2017 CDM programs if it believes that these are more realistic and can be supported; such information would typically be derived from the CDM plans that the distributor has filed with the IESO. Similarly, CDM savings and persistence into future years can be estimated for 2018, 2019 and 2020 CDM programs. However, the distributor will have to support its proposals for estimated or forecasted savings, particularly beyond the 2017 bridge year. The sum of persistent savings to the end of 2020, should equal the target entered into cell A23.</t>
    </r>
  </si>
  <si>
    <t>Determination of 2018 Load Forecast Adjustment</t>
  </si>
  <si>
    <t>From each of the 2006-2010 CDM Final Report,  and the 2011 to 2016 CDM Final Reports, issued by the OPA/IESO for the distributor, the distributor should input the "gross" and "net" results of the cumulative CDM savings for 2018 into cells C57 to C63 and D57 to D63.  The model will calculate the cumulative savings for all programs from 2006 to 2016 and determine the "net" to "gross" factor "g".</t>
  </si>
  <si>
    <t>2016 CDM program</t>
  </si>
  <si>
    <t>2006 to 2016 OPA CDM programs:  Persistence to 2018.</t>
  </si>
  <si>
    <t>These factors do not mean that CDM programs are excluded, but the assumption that impacts of previous year CDM programs are already implicitly reflected in the actual data for historical years that are used to derive the load forecast prior to any manual CDM adjustment for the 2018 test year.</t>
  </si>
  <si>
    <t>Weight Factor for Inclusion in CDM Adjustment to 2018 Load Forecast</t>
  </si>
  <si>
    <t>Weight Factor for each year's CDM program impact on 2018 load forecast</t>
  </si>
  <si>
    <t>Full year impact of 2015 CDM is assumed to be reflected in the base forecast, as the full year persistence of 2015 CDM programs is in the 2016 historical actual data. No further impact is necessary for the manual adjustment to the load forecast.</t>
  </si>
  <si>
    <t>Default is 0.5, but one option is for full year impact of persistence of 2016 CDM programs on 2018 load forecast, but 50% impact in base forecast (first year impact of 2016 CDM programs on 2016 actuals, which is part of the data underlying the base load forecast).</t>
  </si>
  <si>
    <t>Full year impact of persistence of 2017 programs on 2018 load forecast.  2017 CDM program impacts are not in the base forecast.</t>
  </si>
  <si>
    <t>Only 50% of 2017 CDM programs are assumed to impact the 2018 load forecast based on the "half-year" rule.</t>
  </si>
  <si>
    <t>2019 and 2020 are future years beyond the 2018 test year. No impacts of CDM programs beyond the 2018 test year are factored into the test year load forecast.</t>
  </si>
  <si>
    <t>2015-2020 LRAMVA and 2018 CDM adjustment to Load Forecast</t>
  </si>
  <si>
    <t>One manual adjustment for CDM impacts to the 2018 load forecast is made.  There is a different but related threshold amount that is used for the 2018 LRAMVA amount for Account 1568.</t>
  </si>
  <si>
    <t>The amount used for the CDM threshold of the LRAMVA is the kWh that will be used to determine the base amount for the LRAMVA balance for 2018, for assessing performance against the six-year target.</t>
  </si>
  <si>
    <t>If used to determine the manual CDM adjustment for the system purchased kWh, the proposed loss factor should correspond with the proposed total loss factor calculated in Appendix 2-R .</t>
  </si>
  <si>
    <t>The Manual Adjustment for the 2018 Load Forecast is the amount manually subtracted from the system-wide load forecast (either based on a purchased or billed basis) derived from the base forecast from historical data. If the distributor has developed their load forecast on a system purchased basis, then the manual adjustment should be on a system purchased basis, including the adjustment for losses.  If the load forecast has been developed on a billed basis, either on a system basis or on a class-specific basis, the manual adjustment should be on a billed basis, excluding losses.</t>
  </si>
  <si>
    <t>Total for 2018</t>
  </si>
  <si>
    <t>Total Manual Forecast to Load Forecast</t>
  </si>
  <si>
    <t>Manual adjustment uses "gross" versus "net" (i.e. numbers multiplied by (1 + g).  The Weight factor is also used to calculate the impact of each year's program on the CDM adjustment to the 2018 load forecast.</t>
  </si>
  <si>
    <t>Closing balance in Account 1575</t>
  </si>
  <si>
    <t>Return on Rate Base Associated with Account 1575 balance at WACC  - Note 2</t>
  </si>
  <si>
    <t xml:space="preserve">     the deferral account closing balance as of 2017 x WACC X # of years of rate rider disposition period</t>
  </si>
  <si>
    <t xml:space="preserve">The typical applicant is expected to have made capitalization and depreciation policy changes under CGAAP as permitted by the Board on January 1, 2012 or mandated by the Board by January 1, 2013, and adopted IFRS for reporting purposes on January 1, 2015 (transition date January 1, 2014).  Some distributors filing for 2018 rates have rebased with these accounting changes reflected in a prior rebasing application.  If that is the case, information relating to pre-accounting policy changes is not generally required.  The information to be provided by applicants will depend on when the accounting policy changes were made and when they last rebased.  In general, applicants should provide the following information in the appendices: </t>
  </si>
  <si>
    <t>3) Applicants should provide CGAAP and Revised CGAAP schedules (i.e. as indicated in the first two columns of the above table) to support balances in Account 1576 if the account has yet to be disposed of.</t>
  </si>
  <si>
    <t>The applicant must establish the continuity of historic cost for gross assets and accumulated depreciation by asset class by ensuring that the opening balance in the year agrees to the closing balance in the prior year.</t>
  </si>
  <si>
    <t xml:space="preserve">Applicants are to provide Appendix 2-C in accordance with the years and corresponding accounting standards listed in the above table.  </t>
  </si>
  <si>
    <t>Appendix 2-C is to be used under all three of the scenarios presented in the table above. In the appendix, the applicant will need to indicate which scenario applies. The appendix is to be duplicated for each year and accounting standard required under the scenario.</t>
  </si>
  <si>
    <t>Depreciation accounting policy changes were mandated by the Board by January 1, 2013. In general, no further changes to an applicant's depreciation policy (i.e.  assets' service lives) are expected after the Board mandated changes by January 1, 2013.    If the applicant has made any changes to its depreciation policy subsequent to the Board mandated changes, for the year of the change, applicants must complete Appendix 2-C before and after the change. Applicants must also  explain the nature of the change, the reason for the change, quantify the impact of the change, and quantify the depreciation expense before and after the change.</t>
  </si>
  <si>
    <t>Appendix 2-C</t>
  </si>
  <si>
    <t>This appendix is to be completed in conjunction with the accounting instructions in Appendix 2-B</t>
  </si>
  <si>
    <t>Scenario that applies</t>
  </si>
  <si>
    <t>Applicable Years and Accounting Standard</t>
  </si>
  <si>
    <t>Accounting Standard Reflected in Schedule Below</t>
  </si>
  <si>
    <t>Rebasing for the first time with depreciation policy changes made in 2012.</t>
  </si>
  <si>
    <t>This appendix must be duplicated and completed for the years 2012 to 2018. The appendix for 2012 is to be completed under CGAAP (prior to changes in depreciation policies). The appendix for 2012 to 2014 must be completed under Revised CGAAP (after changes in depreciation policies). The appendix for 2014 to 2018 is to be completed under MIFRS (2014 if changes to MIFRS are material).</t>
  </si>
  <si>
    <t>Rebasing for the first time with depreciation policy changes made in 2013.</t>
  </si>
  <si>
    <t>This appendix must be duplicated and completed for the years 2013 to 2018. The appendix for 2013 is to be completed under CGAAP (prior to changes in depreciation policies). The appendix for 2013 to 2014 must be completed under Revised CGAAP (after changes in depreciation policies). The appendix for 2014 to 2018 is to be completed under MIFRS (2014 if changes to MIFRS are material).</t>
  </si>
  <si>
    <t>Already rebased with depreciation policy changes in a prior rate application</t>
  </si>
  <si>
    <t>This appendix must be completed for 2014 to 2018. The appendix for 2014 is to be completed under Revised CGAAP (after changes in depreciation policies). The appendix for 2014 to 2018 is to be completed under MIFRS (2014 if changes to MIFRS are material).</t>
  </si>
  <si>
    <t>Book Values</t>
  </si>
  <si>
    <t>Service Lives</t>
  </si>
  <si>
    <t>Depreciation Expense</t>
  </si>
  <si>
    <r>
      <t>Opening Net  Book Value of Existing Assets as at Date of Policy Change (Jan. 1)</t>
    </r>
    <r>
      <rPr>
        <b/>
        <vertAlign val="superscript"/>
        <sz val="10"/>
        <rFont val="Arial"/>
        <family val="2"/>
      </rPr>
      <t xml:space="preserve"> 1</t>
    </r>
  </si>
  <si>
    <r>
      <t xml:space="preserve">Less Fully Depreciated </t>
    </r>
    <r>
      <rPr>
        <b/>
        <vertAlign val="superscript"/>
        <sz val="10"/>
        <rFont val="Arial"/>
        <family val="2"/>
      </rPr>
      <t>7</t>
    </r>
  </si>
  <si>
    <t xml:space="preserve">Net Amount of Existing Assets Before Policy Change to be Depreciated </t>
  </si>
  <si>
    <r>
      <t xml:space="preserve">Opening Gross Book Value of Assets Acquired After Policy Change </t>
    </r>
    <r>
      <rPr>
        <b/>
        <vertAlign val="superscript"/>
        <sz val="10"/>
        <rFont val="Arial"/>
        <family val="2"/>
      </rPr>
      <t>2</t>
    </r>
  </si>
  <si>
    <r>
      <t xml:space="preserve">Less Fully Depreciated </t>
    </r>
    <r>
      <rPr>
        <b/>
        <vertAlign val="superscript"/>
        <sz val="10"/>
        <rFont val="Arial"/>
        <family val="2"/>
      </rPr>
      <t>8</t>
    </r>
  </si>
  <si>
    <t xml:space="preserve">Net Amount of Assets Acquired After Policy Change to be Depreciated </t>
  </si>
  <si>
    <t>Current Year Additions</t>
  </si>
  <si>
    <r>
      <t xml:space="preserve">Average Remaining Life of Assets Existing Before Policy Change </t>
    </r>
    <r>
      <rPr>
        <b/>
        <vertAlign val="superscript"/>
        <sz val="10"/>
        <rFont val="Arial"/>
        <family val="2"/>
      </rPr>
      <t>3</t>
    </r>
  </si>
  <si>
    <t>Depreciation Rate Assets Acquired After Policy Change</t>
  </si>
  <si>
    <r>
      <t xml:space="preserve">Life of Assets Acquired After Policy Change </t>
    </r>
    <r>
      <rPr>
        <b/>
        <vertAlign val="superscript"/>
        <sz val="10"/>
        <rFont val="Arial"/>
        <family val="2"/>
      </rPr>
      <t>4</t>
    </r>
  </si>
  <si>
    <t>Depreciation Expense on Assets Existing Before Policy Change</t>
  </si>
  <si>
    <t>Depreciation Expense on Assets Acquired After Policy Change</t>
  </si>
  <si>
    <r>
      <t xml:space="preserve">Depreciation Expense on Current Year Additions </t>
    </r>
    <r>
      <rPr>
        <b/>
        <vertAlign val="superscript"/>
        <sz val="10"/>
        <rFont val="Arial"/>
        <family val="2"/>
      </rPr>
      <t>5</t>
    </r>
  </si>
  <si>
    <t xml:space="preserve">Total Current Year Depreciation Expense </t>
  </si>
  <si>
    <t xml:space="preserve">Depreciation Expense per Appendix 2-BA Fixed Assets, Column J 
 </t>
  </si>
  <si>
    <r>
      <t xml:space="preserve">Variance </t>
    </r>
    <r>
      <rPr>
        <b/>
        <vertAlign val="superscript"/>
        <sz val="10"/>
        <rFont val="Arial"/>
        <family val="2"/>
      </rPr>
      <t>6</t>
    </r>
  </si>
  <si>
    <t>a</t>
  </si>
  <si>
    <t>b</t>
  </si>
  <si>
    <t>c = a-b</t>
  </si>
  <si>
    <t>d</t>
  </si>
  <si>
    <t>f = d- e</t>
  </si>
  <si>
    <t>g</t>
  </si>
  <si>
    <t>h</t>
  </si>
  <si>
    <t>i = 1/h</t>
  </si>
  <si>
    <t>j</t>
  </si>
  <si>
    <t>k = 1/j</t>
  </si>
  <si>
    <t>l = c/h</t>
  </si>
  <si>
    <t>m = f/j</t>
  </si>
  <si>
    <t>n = g*0.5/j</t>
  </si>
  <si>
    <t>o = l+m+n</t>
  </si>
  <si>
    <t>p</t>
  </si>
  <si>
    <t>q = p-o</t>
  </si>
  <si>
    <t>Applicants are to complete this appendix to show the reasonability of the depreciation expense that is included in rate base via. Accumulated depreciation and the revenue requirement.</t>
  </si>
  <si>
    <t>Applicants must provide a breakdown of depreciation and amortization expense in the above format for all relevant accounts.  Balances presented in the table should exclude asset retirement obligations (AROs) and the related depreciation and accretion expense. These should be disclosed separately consistent with the Notes of historical Audited Financial Statements.</t>
  </si>
  <si>
    <t>This is the net book value of assets that existed as at the date of the utility's change in depreciation policies (i.e. as at Jan. 1, 2012 or Jan. 1, 2013).  These assets are to be depreciated at the average remaining service life. This amount will not change in years subsequent to the date of the utility's change in depreciation policies.  This column is expected to be used until the assets that existed as at the date of the utility's change in depreciation policies are fully depreciated.</t>
  </si>
  <si>
    <t>This is the opening gross book value of assets that have been acquired after the date of the utilities change in depreciation policies (i.e. additions starting in 2012/2013 for those who changed policies Jan. 1, 2012/2013). These assets are to be depreciated at the revised service life. The amount is expected to be equal to the gross book value of the prior year plus the prior year's additions.</t>
  </si>
  <si>
    <t>The useful life used should be consistent with the OEB's regulatory accounting policies as set out in the  Accounting Procedures Handbook for Electricity Distributors, effective Jan. 1, 2012 and also with the Report of the Board, Transition to International Financial Reporting Standards, EB-2008-0408, and the Kinectrics Report.</t>
  </si>
  <si>
    <t>This should include assets in column a (excel column C) that become fully depreciated since the date of the policy change.  The amount input in b (excel column D) should equal the net book value of the asset as at the date of depreciation policy change</t>
  </si>
  <si>
    <t>This should include assets in column d (excel column f) that have become fully depreciated.  The amount input in e (excel column G) should equal the gross book value of the asset</t>
  </si>
  <si>
    <r>
      <t xml:space="preserve">For applicants with a balance in Account 1576 and made capitalization and depreciation expense accounting policy changes under CGAAP effective January 1, </t>
    </r>
    <r>
      <rPr>
        <b/>
        <sz val="10"/>
        <color indexed="10"/>
        <rFont val="Arial"/>
        <family val="2"/>
      </rPr>
      <t xml:space="preserve">2012. </t>
    </r>
    <r>
      <rPr>
        <b/>
        <sz val="10"/>
        <rFont val="Arial"/>
        <family val="2"/>
      </rPr>
      <t xml:space="preserve"> This is the first time the applicant is rebasing with changes in these accounting policies.</t>
    </r>
  </si>
  <si>
    <t>Prior Years Rebasing</t>
  </si>
  <si>
    <t>2018 Rebasing Year</t>
  </si>
  <si>
    <t xml:space="preserve">     the variance account ending balance as of 2017 x WACC X # of years of rate rider disposition period</t>
  </si>
  <si>
    <r>
      <t xml:space="preserve">For applicants with a balance in Account 1576 and made capitalization and depreciation expense accounting policy changes under CGAAP effective January 1, </t>
    </r>
    <r>
      <rPr>
        <b/>
        <sz val="10"/>
        <color indexed="10"/>
        <rFont val="Arial"/>
        <family val="2"/>
      </rPr>
      <t xml:space="preserve">2013.  </t>
    </r>
    <r>
      <rPr>
        <b/>
        <sz val="10"/>
        <rFont val="Arial"/>
        <family val="2"/>
      </rPr>
      <t>This is the first time the applicant is rebasing with changes in these accounting policies.</t>
    </r>
  </si>
  <si>
    <t>Closing NBV 2018</t>
  </si>
  <si>
    <t>Carrying Charges January 1, 2017 to December 31, 2017 or April 30, 2017 (As appropriate)</t>
  </si>
  <si>
    <r>
      <t xml:space="preserve">2016 </t>
    </r>
    <r>
      <rPr>
        <b/>
        <vertAlign val="superscript"/>
        <sz val="10"/>
        <rFont val="Arial"/>
        <family val="2"/>
      </rPr>
      <t>3</t>
    </r>
  </si>
  <si>
    <t>To December 31, 2016</t>
  </si>
  <si>
    <r>
      <t>2017</t>
    </r>
    <r>
      <rPr>
        <b/>
        <vertAlign val="superscript"/>
        <sz val="10"/>
        <rFont val="Arial"/>
        <family val="2"/>
      </rPr>
      <t xml:space="preserve"> 3</t>
    </r>
  </si>
  <si>
    <r>
      <t xml:space="preserve">2018 </t>
    </r>
    <r>
      <rPr>
        <b/>
        <vertAlign val="superscript"/>
        <sz val="10"/>
        <rFont val="Arial"/>
        <family val="2"/>
      </rPr>
      <t>3</t>
    </r>
  </si>
  <si>
    <t>App.2-C_DepExp: Depreciation and Amortization Expense</t>
  </si>
  <si>
    <t xml:space="preserve"> </t>
  </si>
  <si>
    <t>Total Benefits (Current + Accrued)</t>
  </si>
  <si>
    <t>Information to be filed in 2019 CoS Application</t>
  </si>
  <si>
    <t>Capital Contributions</t>
  </si>
  <si>
    <t>Net Capital Expenditures</t>
  </si>
  <si>
    <t>Category</t>
  </si>
  <si>
    <t>Total Expenditure</t>
  </si>
  <si>
    <t xml:space="preserve">Net Capital Expenditures </t>
  </si>
  <si>
    <t>Utility Name</t>
  </si>
  <si>
    <t>EB Number</t>
  </si>
  <si>
    <t>Renewable Generation Connection Investment Summary</t>
  </si>
  <si>
    <t>Amount</t>
  </si>
  <si>
    <t>REI Investments_A_Total Capital Costs</t>
  </si>
  <si>
    <t>REI Investments_A_Total OM&amp;A Ongoing</t>
  </si>
  <si>
    <t>REI Investments_A_Total OM&amp;A Start-Up</t>
  </si>
  <si>
    <t>Expansion Investments_B_Total Capital Costs</t>
  </si>
  <si>
    <t>Expansion Investments_B_Total OM&amp;A Start-Up</t>
  </si>
  <si>
    <t>Expansion Investments_B_Total OM&amp;A Ongoing</t>
  </si>
  <si>
    <t>Renewable Generation Connection Direct Benefits/Provincial Amount Renewable Enabling Improvement Investments</t>
  </si>
  <si>
    <t>Calculation of Renewable Generation Connection Direct Benefits/Provincial Amount Renewable Expansion Investments</t>
  </si>
  <si>
    <t>2017 Actual</t>
  </si>
  <si>
    <t>Last Rebasing Year (2013 Actuals)</t>
  </si>
  <si>
    <t>Last Rebasing Year (2010 Board Approved)</t>
  </si>
  <si>
    <t>Last Rebasing Year (2010 Actuals)</t>
  </si>
  <si>
    <t>Last Rebasing Year (2011 Board Approved)</t>
  </si>
  <si>
    <t>Last Rebasing Year (2011 Actuals)</t>
  </si>
  <si>
    <t>2011 Actuals</t>
  </si>
  <si>
    <t>2012 Actuals</t>
  </si>
  <si>
    <t>Last Rebasing Year (2012 Board Approved)</t>
  </si>
  <si>
    <t>Last Rebasing Year (2012 Actuals)</t>
  </si>
  <si>
    <t>2013 Actuals</t>
  </si>
  <si>
    <t>Last Rebasing Year (2013 Board Approved)</t>
  </si>
  <si>
    <t>2014 Actuals</t>
  </si>
  <si>
    <t>Last Rebasing Year (2014 Board Approved)</t>
  </si>
  <si>
    <t>Last Rebasing Year (2014 Actuals)</t>
  </si>
  <si>
    <t>2015 Actuals</t>
  </si>
  <si>
    <t>Last Rebasing Year (2015 Board Approved)</t>
  </si>
  <si>
    <t>Last Rebasing Year (2015 Actuals)</t>
  </si>
  <si>
    <t>Last Rebasing Year (2016 Board Approved)</t>
  </si>
  <si>
    <t>Last Rebasing Year (2016 Actuals)</t>
  </si>
  <si>
    <t>Last Rebasing Year (2017 Actuals)</t>
  </si>
  <si>
    <t>1     Historical actuals going back to the last cost of service application are required to be entered by the applicant.</t>
  </si>
  <si>
    <t>Last Rebasing Year (2017 Board Approved)</t>
  </si>
  <si>
    <t>Heading</t>
  </si>
  <si>
    <t>Employee Cost Info</t>
  </si>
  <si>
    <t>Number of Employees (FTEs including Part-Time)</t>
  </si>
  <si>
    <t>2010 Last Rebasing Actuals</t>
  </si>
  <si>
    <t>2011 Last Rebasing Actuals</t>
  </si>
  <si>
    <t>2012 Last Rebasing Actuals</t>
  </si>
  <si>
    <t>2010 Board Approved</t>
  </si>
  <si>
    <t>2011 Board Approved</t>
  </si>
  <si>
    <t>2012 Board Approved</t>
  </si>
  <si>
    <t>2013 Board Approved</t>
  </si>
  <si>
    <t>2013 Last Rebasing Actuals</t>
  </si>
  <si>
    <t>2014 Board Approved</t>
  </si>
  <si>
    <t>2014 Last Rebasing Actuals</t>
  </si>
  <si>
    <t>2015 Board Approved</t>
  </si>
  <si>
    <t>2015 Last Rebasing Actuals</t>
  </si>
  <si>
    <t>2016 Board Approved</t>
  </si>
  <si>
    <t>2016 Last Rebasing Actuals</t>
  </si>
  <si>
    <t>2016 Actuals</t>
  </si>
  <si>
    <t>2017 Board Approved</t>
  </si>
  <si>
    <t>2017 Last Rebasing Actuals</t>
  </si>
  <si>
    <t>2017 Actuals</t>
  </si>
  <si>
    <t>2018 Bridge Year</t>
  </si>
  <si>
    <t>2019 Test Year</t>
  </si>
  <si>
    <t>USoA</t>
  </si>
  <si>
    <t>Operating expenses associated with other resources allocated to regulatory matters</t>
  </si>
  <si>
    <t>In the transition year to IFRS, the applicant is to present information in both MIFRS and CGAAP. In column N, present CGAAP transition year information. For the typical applicant that adopted IFRS on January 1, 2015, 2014 must be presented in both a CGAAP and MIFRS basis.</t>
  </si>
  <si>
    <t>Enter Transition Year</t>
  </si>
  <si>
    <t xml:space="preserve">Heading </t>
  </si>
  <si>
    <t xml:space="preserve">Amount </t>
  </si>
  <si>
    <t>Regulatory Costs (Ongoing)</t>
  </si>
  <si>
    <t>Regulatory Costs (One-Time)</t>
  </si>
  <si>
    <t>(H)=[(G)-(F)]/(F)</t>
  </si>
  <si>
    <t>(I)</t>
  </si>
  <si>
    <t>(J) = [(I)-(G)]/(G)</t>
  </si>
  <si>
    <t>Sum of all ongoing costs.</t>
  </si>
  <si>
    <t>Sum of all one-time costs.</t>
  </si>
  <si>
    <r>
      <t xml:space="preserve">Sub-total - Ongoing Costs </t>
    </r>
    <r>
      <rPr>
        <vertAlign val="superscript"/>
        <sz val="10"/>
        <rFont val="Arial"/>
        <family val="2"/>
      </rPr>
      <t>2</t>
    </r>
  </si>
  <si>
    <r>
      <t xml:space="preserve">Sub-total - One-time Costs </t>
    </r>
    <r>
      <rPr>
        <vertAlign val="superscript"/>
        <sz val="10"/>
        <rFont val="Arial"/>
        <family val="2"/>
      </rPr>
      <t>3</t>
    </r>
  </si>
  <si>
    <t>OEB Section 30 Costs (application-related)</t>
  </si>
  <si>
    <t>Type of Cost</t>
  </si>
  <si>
    <t>Ongoing</t>
  </si>
  <si>
    <t>One-Time</t>
  </si>
  <si>
    <t>Total One-Time Costs Related to Application to be Amortized over IRM Period</t>
  </si>
  <si>
    <t>1/5 of Total One-Time Costs</t>
  </si>
  <si>
    <t>Application-Related One-Time Costs</t>
  </si>
  <si>
    <t>One-Time COS Costs</t>
  </si>
  <si>
    <t>Amortized Amount</t>
  </si>
  <si>
    <t>Column</t>
  </si>
  <si>
    <t>M</t>
  </si>
  <si>
    <t>J</t>
  </si>
  <si>
    <t>P</t>
  </si>
  <si>
    <t>V</t>
  </si>
  <si>
    <t>ae</t>
  </si>
  <si>
    <t>ah</t>
  </si>
  <si>
    <t>ak</t>
  </si>
  <si>
    <t>an</t>
  </si>
  <si>
    <t>aq</t>
  </si>
  <si>
    <t>at</t>
  </si>
  <si>
    <t>aw</t>
  </si>
  <si>
    <t>az</t>
  </si>
  <si>
    <r>
      <t xml:space="preserve">App.2-M: Regulatory Costs Schedule </t>
    </r>
    <r>
      <rPr>
        <u/>
        <sz val="10"/>
        <color rgb="FFFF0000"/>
        <rFont val="Arial"/>
        <family val="2"/>
      </rPr>
      <t>(TO BE UPDATED AT THE DRAFT RATE ORDER STAGE)</t>
    </r>
  </si>
  <si>
    <r>
      <t xml:space="preserve">App.2-K: Employee Costs </t>
    </r>
    <r>
      <rPr>
        <u/>
        <sz val="10"/>
        <color rgb="FFFF0000"/>
        <rFont val="Arial"/>
        <family val="2"/>
      </rPr>
      <t>(TO BE UPDATED AT THE DRAFT RATE ORDER STAGE)</t>
    </r>
  </si>
  <si>
    <r>
      <t>App.2-JA: OM&amp;A Summary Analysis</t>
    </r>
    <r>
      <rPr>
        <u/>
        <sz val="10"/>
        <color rgb="FFFF0000"/>
        <rFont val="Arial"/>
        <family val="2"/>
      </rPr>
      <t xml:space="preserve"> (TO BE UPDATED AT THE DRAFT RATE ORDER STAGE) </t>
    </r>
  </si>
  <si>
    <r>
      <t xml:space="preserve">App.2-H: Other Operating Revenue </t>
    </r>
    <r>
      <rPr>
        <u/>
        <sz val="10"/>
        <color rgb="FFFF0000"/>
        <rFont val="Arial"/>
        <family val="2"/>
      </rPr>
      <t>(TO BE UPDATED AT THE DRAFT RATE ORDER STAGE)</t>
    </r>
  </si>
  <si>
    <r>
      <t xml:space="preserve">App.2-FC: Calculation of Renewable Generation Connection Direct Benefits/Provincial Amount: Renewable Expansion Investments </t>
    </r>
    <r>
      <rPr>
        <u/>
        <sz val="10"/>
        <color rgb="FFFF0000"/>
        <rFont val="Arial"/>
        <family val="2"/>
      </rPr>
      <t>(TO BE UPDATED AT THE DRAFT RATE ORDER STAGE)</t>
    </r>
  </si>
  <si>
    <r>
      <t>App.2-FB: Calculation of Renewable Generation Connection Direct Benefits/Provincial Amount: Renewable Enabling Improvement Investments</t>
    </r>
    <r>
      <rPr>
        <u/>
        <sz val="10"/>
        <color rgb="FFFF0000"/>
        <rFont val="Arial"/>
        <family val="2"/>
      </rPr>
      <t xml:space="preserve"> (TO BE UPDATED AT THE DRAFT RATE ORDER STAGE)</t>
    </r>
  </si>
  <si>
    <r>
      <t xml:space="preserve">App.2-FA: Renewable Generation Connection Investment Summary </t>
    </r>
    <r>
      <rPr>
        <u/>
        <sz val="10"/>
        <color rgb="FFFF0000"/>
        <rFont val="Arial"/>
        <family val="2"/>
      </rPr>
      <t>(TO BE UPDATED AT THE DRAFT RATE ORDER STAGE)</t>
    </r>
  </si>
  <si>
    <t>TO BE UPDATED AT THE DRAFT RATE ORDER STAGE</t>
  </si>
  <si>
    <t>TO BE UPDATED AT DRAFT RATE ORDER STAGE</t>
  </si>
  <si>
    <t>Other Income and Expenses:  4305, 4310, 4315, 4320, 4325, 4330, 4335, 4340, 4345, 4350, 4355, 4357, 4360, 4362, 4365, 4370, 4375, 4380, 4385, 4390, 4395, 4398, 4405, 4410, 4415, 4420</t>
  </si>
  <si>
    <t>Other Distribution Revenues:   4082, 4084, 4090, 4205, 4210, 4215, 4220, 4230, 4240, 4245</t>
  </si>
  <si>
    <t>Late Payment Charges:          4225</t>
  </si>
  <si>
    <t>Specific Service Charges:       4235</t>
  </si>
  <si>
    <r>
      <t>Description</t>
    </r>
    <r>
      <rPr>
        <b/>
        <sz val="10"/>
        <rFont val="Arial"/>
        <family val="2"/>
      </rPr>
      <t xml:space="preserve">                          </t>
    </r>
    <r>
      <rPr>
        <b/>
        <u/>
        <sz val="10"/>
        <rFont val="Arial"/>
        <family val="2"/>
      </rPr>
      <t>Account(s)</t>
    </r>
  </si>
  <si>
    <t> </t>
  </si>
  <si>
    <t>non GA mod</t>
  </si>
  <si>
    <t>GA mod</t>
  </si>
  <si>
    <t xml:space="preserve">Total </t>
  </si>
  <si>
    <t>RPP</t>
  </si>
  <si>
    <t>non-RPP</t>
  </si>
  <si>
    <t>Customer Class Name</t>
  </si>
  <si>
    <t>Last Actual kWh's</t>
  </si>
  <si>
    <t>Class A kWh</t>
  </si>
  <si>
    <t>Class B kWh</t>
  </si>
  <si>
    <t>General Service &lt; 50 kW</t>
  </si>
  <si>
    <t>General Service 50 to 2999 kW</t>
  </si>
  <si>
    <t>General Service 3000-4999 kW</t>
  </si>
  <si>
    <t>Sentinel Lighting</t>
  </si>
  <si>
    <t xml:space="preserve">Street Lighting </t>
  </si>
  <si>
    <t>other</t>
  </si>
  <si>
    <t>TOTAL</t>
  </si>
  <si>
    <t>HOEP ($/MWh)</t>
  </si>
  <si>
    <t>Global Adjustment ($/MWh)</t>
  </si>
  <si>
    <t>TOTAL ($/MWh)</t>
  </si>
  <si>
    <t>$/kWh</t>
  </si>
  <si>
    <t>(volumes for the bridge and test year are loss adjusted)</t>
  </si>
  <si>
    <t>Class A</t>
  </si>
  <si>
    <t>Customer</t>
  </si>
  <si>
    <t>Revenue</t>
  </si>
  <si>
    <t>Expense</t>
  </si>
  <si>
    <t>kWh Volume</t>
  </si>
  <si>
    <t>kW Volume</t>
  </si>
  <si>
    <t>HOEP Rate/kWh</t>
  </si>
  <si>
    <t>Avg GA/kW</t>
  </si>
  <si>
    <t>Class B</t>
  </si>
  <si>
    <t>Class Name</t>
  </si>
  <si>
    <t>UoM</t>
  </si>
  <si>
    <t>USA #</t>
  </si>
  <si>
    <t>Volume</t>
  </si>
  <si>
    <t>rate ($/kWh):</t>
  </si>
  <si>
    <t>avg rate ($/kWh):</t>
  </si>
  <si>
    <t xml:space="preserve">Commodity Expense </t>
  </si>
  <si>
    <t>Step 1:</t>
  </si>
  <si>
    <t>Allocation of Commodity</t>
  </si>
  <si>
    <t>2017 Historical Actuals</t>
  </si>
  <si>
    <t>Proportions (by Class)</t>
  </si>
  <si>
    <t>Step 2:</t>
  </si>
  <si>
    <t>Forecasted Commodity Prices</t>
  </si>
  <si>
    <t>Step 2a:</t>
  </si>
  <si>
    <t>GA Modifier</t>
  </si>
  <si>
    <t>($/MWh)</t>
  </si>
  <si>
    <t>Source:</t>
  </si>
  <si>
    <t xml:space="preserve">   Table 1: RPP Prices and GA Modifier: May 1, 2018 to April 30, 2019*</t>
  </si>
  <si>
    <t>Step 2b:</t>
  </si>
  <si>
    <t xml:space="preserve"> Table 1: Average RPP Supply Cost Summary**</t>
  </si>
  <si>
    <t>Load-Weighted Price for RPP Consumers</t>
  </si>
  <si>
    <t>Impact of the Global Adjustment</t>
  </si>
  <si>
    <t>Adjustments ($/MWh)</t>
  </si>
  <si>
    <t>Average Supply Cost for RPP Consumers</t>
  </si>
  <si>
    <t>Percentage shares (%)</t>
  </si>
  <si>
    <t>non-RPP (GA mod/non-GA mod), RPP</t>
  </si>
  <si>
    <t>WEIGHTED AVERAGE PRICE ($/kWh)</t>
  </si>
  <si>
    <t>(Sum of I43, J43 and L43)</t>
  </si>
  <si>
    <t>Step 3:</t>
  </si>
  <si>
    <t>Commodity Expense</t>
  </si>
  <si>
    <r>
      <t>*</t>
    </r>
    <r>
      <rPr>
        <i/>
        <sz val="10"/>
        <rFont val="Arial"/>
        <family val="2"/>
      </rPr>
      <t>Regulated Price Plan Prices and the Global Adjustment Modifier for the Period May 1, 2018 – April 30, 2019</t>
    </r>
  </si>
  <si>
    <r>
      <t>**</t>
    </r>
    <r>
      <rPr>
        <i/>
        <sz val="10"/>
        <rFont val="Arial"/>
        <family val="2"/>
      </rPr>
      <t xml:space="preserve"> Regulated Price Plan Cost Suppy Report May 1, 2018 - April 30, 2019</t>
    </r>
  </si>
  <si>
    <t>App.2-Z: Commodity Expense</t>
  </si>
  <si>
    <r>
      <t xml:space="preserve">App.2-EA: Account 1575 PP&amp;E Deferral Account (2015 IFRS Adopters) - </t>
    </r>
    <r>
      <rPr>
        <u/>
        <sz val="10"/>
        <color rgb="FFFF0000"/>
        <rFont val="Arial"/>
        <family val="2"/>
      </rPr>
      <t>CONTACT OEB STAFF IF TAB REQUIRED</t>
    </r>
  </si>
  <si>
    <r>
      <t>App.2-AB: Capital Expenditures</t>
    </r>
    <r>
      <rPr>
        <u/>
        <sz val="10"/>
        <color theme="3" tint="-0.499984740745262"/>
        <rFont val="Arial"/>
        <family val="2"/>
      </rPr>
      <t xml:space="preserve"> </t>
    </r>
    <r>
      <rPr>
        <u/>
        <sz val="10"/>
        <color rgb="FFFF0000"/>
        <rFont val="Arial"/>
        <family val="2"/>
      </rPr>
      <t>(TO BE UPDATED AT THE DRAFT RATE ORDER STAGE)</t>
    </r>
  </si>
  <si>
    <r>
      <t xml:space="preserve">App.2-EB: Account 1576 - Accounting Changes Under CGAAP (2012 Changes) - </t>
    </r>
    <r>
      <rPr>
        <u/>
        <sz val="10"/>
        <color rgb="FFFF0000"/>
        <rFont val="Arial"/>
        <family val="2"/>
      </rPr>
      <t>CONTACT OEB STAFF IF TAB REQUIRED</t>
    </r>
  </si>
  <si>
    <r>
      <t xml:space="preserve">App.2-EC: Account 1576 - Accounting Changes Under CGAAP (2013 Changes) - </t>
    </r>
    <r>
      <rPr>
        <u/>
        <sz val="10"/>
        <color rgb="FFFF0000"/>
        <rFont val="Arial"/>
        <family val="2"/>
      </rPr>
      <t>CONTACT OEB STAFF IF TAB REQUIRED</t>
    </r>
  </si>
  <si>
    <r>
      <t xml:space="preserve">App.2-Y: Transition to MIFRS Summary Impact - </t>
    </r>
    <r>
      <rPr>
        <u/>
        <sz val="10"/>
        <color rgb="FFFF0000"/>
        <rFont val="Arial"/>
        <family val="2"/>
      </rPr>
      <t>CONTACT OEB STAFF IF TAB REQUIRED</t>
    </r>
  </si>
  <si>
    <r>
      <t xml:space="preserve">App.2-YA: One-Time Incremental IFRS Transition Costs - </t>
    </r>
    <r>
      <rPr>
        <u/>
        <sz val="10"/>
        <color rgb="FFFF0000"/>
        <rFont val="Arial"/>
        <family val="2"/>
      </rPr>
      <t>CONTACT OEB STAFF IF TAB REQUIRED</t>
    </r>
  </si>
  <si>
    <t>In the green shaded cell (row 18-26) enter the most recent 12-month actual data. If there is a material difference between actual and forecasted consumption data, use forecasted data and provide an explanation</t>
  </si>
  <si>
    <r>
      <t xml:space="preserve">Appendix 2-E - Account 1575, IFRS-CGAAP Transitional PP&amp;E Amounts (2-EA), Account 1576, Accounting Changes Under CGAAP (2-EB, 2-EC) </t>
    </r>
    <r>
      <rPr>
        <b/>
        <sz val="10"/>
        <color rgb="FFFF0000"/>
        <rFont val="Arial"/>
        <family val="2"/>
      </rPr>
      <t>CONTACT OEB STAFF IF TAB REQUIRED</t>
    </r>
  </si>
  <si>
    <r>
      <t>Appendix 2-Y - Summary of Impacts to Revenue Requirement from Transition to MIFRS</t>
    </r>
    <r>
      <rPr>
        <b/>
        <sz val="10"/>
        <color rgb="FFFF0000"/>
        <rFont val="Arial"/>
        <family val="2"/>
      </rPr>
      <t xml:space="preserve"> CONTACT OEB STAFF IF TAB REQUIRED</t>
    </r>
  </si>
  <si>
    <t>ICM-Transformer Station Equipment &gt;50 kV-Conc #5</t>
  </si>
  <si>
    <t>Oraganization Costs</t>
  </si>
  <si>
    <t>Transformer Station Equipment &gt;50 kV York Rd</t>
  </si>
  <si>
    <t>Transformer Station Equipment &gt;50 kV-Conc #5</t>
  </si>
  <si>
    <t>Transformer Inventory</t>
  </si>
  <si>
    <t>Transformer Damaged</t>
  </si>
  <si>
    <t>Transformer Spare</t>
  </si>
  <si>
    <t xml:space="preserve">Services Overhead </t>
  </si>
  <si>
    <t>Services Underground</t>
  </si>
  <si>
    <t>Meters Inventory</t>
  </si>
  <si>
    <t>Smart Meters Inventory</t>
  </si>
  <si>
    <t>Meters Inventory CT/PT</t>
  </si>
  <si>
    <t>Buildings &amp; Fixtures- PCB Shed</t>
  </si>
  <si>
    <t>Transportation Equipment &gt; 3 TONS</t>
  </si>
  <si>
    <t>Transportation Equipment Trailers</t>
  </si>
  <si>
    <t>Contributions &amp; Grants-O/H Poles</t>
  </si>
  <si>
    <t>Contributions &amp; Grants-O/H Conductor</t>
  </si>
  <si>
    <t>Contributions &amp; Grants-O/H Services</t>
  </si>
  <si>
    <t>Contributions &amp; Grants-U/G Conduit</t>
  </si>
  <si>
    <t>Contributions &amp; Grants-U/G Conductor</t>
  </si>
  <si>
    <t>Contributions &amp; Grants-U/G Services</t>
  </si>
  <si>
    <t>Contributions &amp; Grants-Transformers</t>
  </si>
  <si>
    <t>Contributions &amp; Grants-Meters</t>
  </si>
  <si>
    <t>Contributions &amp; Grants-Admin</t>
  </si>
  <si>
    <t>Contributions &amp; Grants-Rolling Stock</t>
  </si>
  <si>
    <t>Def Rev-Contributions &amp; Grants-O/H Poles</t>
  </si>
  <si>
    <t>Def Rev-Contributions &amp; Grants-O/H Conductor</t>
  </si>
  <si>
    <t>Def Rev-Contributions &amp; Grants-O/H Services</t>
  </si>
  <si>
    <t>Def Rev-Contributions &amp; Grants-U/G Conduit</t>
  </si>
  <si>
    <t>Def Rev-Contributions &amp; Grants-U/G Conductor</t>
  </si>
  <si>
    <t>Def Rev-Contributions &amp; Grants-U/G Services</t>
  </si>
  <si>
    <t>Def Rev-Contributions &amp; Grants-Transformers</t>
  </si>
  <si>
    <t>Def Rev-Contributions &amp; Grants-Meters</t>
  </si>
  <si>
    <t>Def Rev-Contributions &amp; Grants-Admin</t>
  </si>
  <si>
    <t>Def rev-Contributions &amp; Grants-Rolling Stock</t>
  </si>
  <si>
    <t>Def Rev-Contributions &amp; Grants-Stations</t>
  </si>
  <si>
    <t>Def rev-Contributions &amp; Grants-Battery</t>
  </si>
  <si>
    <t>EB-2018-0056</t>
  </si>
  <si>
    <t>Jeff Klassen, VP Finance</t>
  </si>
  <si>
    <t>905-468-4235 ext 380</t>
  </si>
  <si>
    <t>jklassen@notlhydro.com</t>
  </si>
  <si>
    <t>Yes</t>
  </si>
  <si>
    <t>No</t>
  </si>
  <si>
    <t>Tools, Shop</t>
  </si>
  <si>
    <t>Meas/Testing</t>
  </si>
  <si>
    <t>Deferred Revenue</t>
  </si>
  <si>
    <t>Not Applicable</t>
  </si>
  <si>
    <t>4335</t>
  </si>
  <si>
    <t>4340</t>
  </si>
  <si>
    <t>4345</t>
  </si>
  <si>
    <t>4350</t>
  </si>
  <si>
    <t>4355</t>
  </si>
  <si>
    <t>4360</t>
  </si>
  <si>
    <t>4365</t>
  </si>
  <si>
    <t>4370</t>
  </si>
  <si>
    <t>4375</t>
  </si>
  <si>
    <t>4380</t>
  </si>
  <si>
    <t>4385</t>
  </si>
  <si>
    <t>4390</t>
  </si>
  <si>
    <t>4395</t>
  </si>
  <si>
    <t>4398</t>
  </si>
  <si>
    <t>4405</t>
  </si>
  <si>
    <t>4415</t>
  </si>
  <si>
    <t>Service Transaction Requests (STR) Revenues</t>
  </si>
  <si>
    <t>Equity in Earnings of Subsidiary Companies</t>
  </si>
  <si>
    <t>Interest and Dividend Income</t>
  </si>
  <si>
    <t>Foreign Exchange Gains and Losses, Including Amortization</t>
  </si>
  <si>
    <t>Miscellaneous Non-Operating Income</t>
  </si>
  <si>
    <t>Sub-account Generation Facility Expenses</t>
  </si>
  <si>
    <t>OEB Section 30 Costs (Applicant-originated)</t>
  </si>
  <si>
    <t>% Allocation</t>
  </si>
  <si>
    <t>Interdepartmental Rents</t>
  </si>
  <si>
    <t>Rent from Electric Property</t>
  </si>
  <si>
    <t>Other Utility Operating Income</t>
  </si>
  <si>
    <t>Other Electric Revenues</t>
  </si>
  <si>
    <t>Provision for Rate Refunds</t>
  </si>
  <si>
    <t>Government Assistance Directly Credited to Income</t>
  </si>
  <si>
    <t>Regulatory Debits</t>
  </si>
  <si>
    <t>Regulatory Credits</t>
  </si>
  <si>
    <t>Revenues from Electric Plant Leased to Others</t>
  </si>
  <si>
    <t>Expenses of Electric Plant Leased to Others</t>
  </si>
  <si>
    <t>Revenues from Merchandise Jobbing, Etc.</t>
  </si>
  <si>
    <t>Costs and Expenses of Merchandising Jobbing, Etc.</t>
  </si>
  <si>
    <t>Profits and Losses from Financial Instrument Hedges</t>
  </si>
  <si>
    <t>Profits and Losses from Financial Instrument Investments</t>
  </si>
  <si>
    <t>Gains from Disposition of Future Use Utility Plant</t>
  </si>
  <si>
    <t>Losses from Disposition of Future Use Utility Plant</t>
  </si>
  <si>
    <t>Gain on Disposition of Utility and Other Property</t>
  </si>
  <si>
    <t>Loss on Disposition of Utility and Other Property</t>
  </si>
  <si>
    <t>Gains from Disposition of Allowances for Emission</t>
  </si>
  <si>
    <t>Losses from Disposition of Allowances for Emission</t>
  </si>
  <si>
    <t>Revenues from Non-Utility Operations</t>
  </si>
  <si>
    <t>Sub-account Generation Facility Revenues</t>
  </si>
  <si>
    <t>Expenses of Non-Utility Operations</t>
  </si>
  <si>
    <t>Non-Utility Rental Income</t>
  </si>
  <si>
    <t>Rate-Payer Benefit Including Interest</t>
  </si>
  <si>
    <t>NOT APPLICABLE</t>
  </si>
  <si>
    <t>Manual Adjustment for 2019 Load Forecast (billed basis)</t>
  </si>
  <si>
    <t>Manual Adjustment for 2019 LDC-only CDM programs (billed basis)</t>
  </si>
  <si>
    <t>Amount used for CDM threshold for LRAMVA (2019)</t>
  </si>
  <si>
    <t>Manual Adjustment for 2019 Load Forecast (system purchased basis)</t>
  </si>
  <si>
    <t>Boad Approved Year:</t>
  </si>
  <si>
    <t>Informal survey at 2018 Open House ranking of seven activities in order of importance for the customer.</t>
  </si>
  <si>
    <t>Ranking of importance of activities to customers:                      1 - Reliability                          2 - Lowest Rates                                      3 - Service                              4 - Investment                           5 - Conservation                      6 - Generation                                    7 - Underground</t>
  </si>
  <si>
    <t>These needs and preferences were used to guide NOTL Hydro as we prepared our 2019 Cost of Service application.  The investments in the transformers are a key response to the reliability preference.</t>
  </si>
  <si>
    <t>2018 Open House solar presentations</t>
  </si>
  <si>
    <t xml:space="preserve">Customers are interested in solar power but want to understand that it is the right investment and want to have the choice of whether to make that investment.  In particular was concern with number of NOTL Hydro feeders at capacity.                                                          </t>
  </si>
  <si>
    <t>The feeder capacity issue is one that NOTL Hydro continues to study including participation in the Smart Grid Fund project with the investment in battery technology.</t>
  </si>
  <si>
    <t>2018 Open House presentation</t>
  </si>
  <si>
    <t>As part of the presentation, NOTL Hydro provided a number of safety tips.  These were positively received by the attendees with a number of comments,</t>
  </si>
  <si>
    <t>NOTL Hydro has increased the number of safety tips it sends out via twitter and is curremtly working on a safety booklet.</t>
  </si>
  <si>
    <t>2017 Customer survey comments</t>
  </si>
  <si>
    <t>Ranking of feedback from customers comments provided as part of survey:                       1 - Reduce rates                        2 - Billing issues                   3 - Power quality issues                      4 - Don't sell / good job          5 - Communication issues</t>
  </si>
  <si>
    <t>NOTL Hydro continues to update its business based on customer feedback.  Advocacy efforts have been maintained based on continuing customer concerns with the overall cost of electricity.  Communications to customers like twitter feeds have been increased.  Increased investments in switches and reclosures to address power quality issues.  Working with UCS on billing issues.</t>
  </si>
  <si>
    <t>Open office</t>
  </si>
  <si>
    <t>Customers continue to demonstrate their preference for an office they can vist to pay bills or discuss issues.  This is evidenced by both the continued visit volumes and through adhoc comments from customers.</t>
  </si>
  <si>
    <t>An open office continues to be a policy of NOTL Hydro.</t>
  </si>
  <si>
    <t>2017 Open House presentation</t>
  </si>
  <si>
    <t>This was held in early 2017 and at that time there was significant customer feedback on the high cost of electricity.</t>
  </si>
  <si>
    <t>NOTL Hydro continued to engage in its advocacy efforts in part due to the feedback from these sessions.</t>
  </si>
  <si>
    <t>CDM outreach</t>
  </si>
  <si>
    <t>Through its CDM program, NOTL Hydro has developed a strong working relationship with a number of customers.</t>
  </si>
  <si>
    <t>As a result of the knowldege gained about the operations of these customers, NOTL Hydro is able to proactively reach out to these customers as new programs become available.  These customers have also sought NOTL Hydro advice as they make their own investments decisions.</t>
  </si>
  <si>
    <t>Ownership by Town</t>
  </si>
  <si>
    <t>Customers will sometimes provide feedback through the Town and Councilors rather than directly to Hydro.  Typically this is about tree trimming or poles at angles.</t>
  </si>
  <si>
    <t xml:space="preserve">Tree trimming has been maintained at a three year cycle, which is aggressive, due to customer interest.  </t>
  </si>
  <si>
    <t>Website contacts</t>
  </si>
  <si>
    <t>Customers are able to contact NOTL Hydro using a contact form on the website (they can also call, write or visit).  Usually these are about specific billing issues but occasionally about general service.</t>
  </si>
  <si>
    <t>One change made as a result of a specific request was to send out tweets and put warnings on the website when we are aware of an approaching storm that may impact service.</t>
  </si>
  <si>
    <t>Twitter</t>
  </si>
  <si>
    <t>Currently 1,645 followers and growing steadily. Growth is an indication of success and interest.</t>
  </si>
  <si>
    <t>Continue to put out as much on twitter as we can including outage information, safety tips, conservation tips and general local information.</t>
  </si>
  <si>
    <t>Subdivisions</t>
  </si>
  <si>
    <t>Customer Projects</t>
  </si>
  <si>
    <t>New Connections</t>
  </si>
  <si>
    <t>Municipal Relocations</t>
  </si>
  <si>
    <t>Overhead</t>
  </si>
  <si>
    <t>Underground</t>
  </si>
  <si>
    <t>Underground - Additional Virgil</t>
  </si>
  <si>
    <t>Tranformer Stations</t>
  </si>
  <si>
    <t>Battery</t>
  </si>
  <si>
    <t>Integration</t>
  </si>
  <si>
    <t>SCADA / Switches</t>
  </si>
  <si>
    <t>Computer Hardware &amp; Software</t>
  </si>
  <si>
    <t>Rolling Stock - Line Trucks</t>
  </si>
  <si>
    <t>Large User</t>
  </si>
  <si>
    <t>Wage increase</t>
  </si>
  <si>
    <t>Inflation</t>
  </si>
  <si>
    <t>New staff</t>
  </si>
  <si>
    <t>Locate costs</t>
  </si>
  <si>
    <t>Cyber security</t>
  </si>
  <si>
    <t>Utilismart contract</t>
  </si>
  <si>
    <t>CHEC</t>
  </si>
  <si>
    <t>Capitalized labour</t>
  </si>
  <si>
    <t>Transformer St. Mtce</t>
  </si>
  <si>
    <t>Tree trimming</t>
  </si>
  <si>
    <t>Underground services</t>
  </si>
  <si>
    <t>Regulatory costs</t>
  </si>
  <si>
    <t>Severance</t>
  </si>
  <si>
    <t>Micro-grid study</t>
  </si>
  <si>
    <t>Temporary staff</t>
  </si>
  <si>
    <t>Operational Effectiveness &amp; Communication</t>
  </si>
  <si>
    <t>Customer Service, Mailing Costs, Billing  and  Collections</t>
  </si>
  <si>
    <t>Bad Debts</t>
  </si>
  <si>
    <t>Monthly Billing ( net of savings)</t>
  </si>
  <si>
    <t>Service Locates</t>
  </si>
  <si>
    <t>Municipal Transformer Station -operating and maintenance costs</t>
  </si>
  <si>
    <t xml:space="preserve">Meters maintenance </t>
  </si>
  <si>
    <t>Distribution sub-stations and protection and control</t>
  </si>
  <si>
    <t>Asset management &amp; maintenance department</t>
  </si>
  <si>
    <t>Overhead lines</t>
  </si>
  <si>
    <t>Underground Lines</t>
  </si>
  <si>
    <t xml:space="preserve"> 24/7 Control room operations and load dispatch activities</t>
  </si>
  <si>
    <t>Operations &amp; engineering ,Inspection drafting &amp; design construction services</t>
  </si>
  <si>
    <t>Distribution Transformers</t>
  </si>
  <si>
    <t>Underground conduit</t>
  </si>
  <si>
    <t>Poles Towers &amp; Fixtures</t>
  </si>
  <si>
    <t xml:space="preserve">Fleet costs </t>
  </si>
  <si>
    <t>Health &amp; Safety Costs</t>
  </si>
  <si>
    <t>Executive, Financial , Legal, Professional and Insurance Services</t>
  </si>
  <si>
    <t>Post employment costs</t>
  </si>
  <si>
    <t>Procurement and Materials Management</t>
  </si>
  <si>
    <t>Office building  &amp; security costs</t>
  </si>
  <si>
    <t xml:space="preserve">IT, software, telecommunications </t>
  </si>
  <si>
    <t>Internal Labour &amp; Benefit Costs - attributed to capital work</t>
  </si>
  <si>
    <t>Administrative services recovered from affiliates</t>
  </si>
  <si>
    <t>Collection charges recovered from customers</t>
  </si>
  <si>
    <t>Other</t>
  </si>
  <si>
    <t xml:space="preserve">Regulatory &amp; Compliance </t>
  </si>
  <si>
    <t xml:space="preserve">Metering Compliance </t>
  </si>
  <si>
    <t>Smart Meter data management program</t>
  </si>
  <si>
    <t>Capitalization Policy Change ( Effective Jan  1 , 2013)</t>
  </si>
  <si>
    <t>ESA Fees</t>
  </si>
  <si>
    <t>LEAP</t>
  </si>
  <si>
    <t>Donations</t>
  </si>
  <si>
    <t>Town of NOTL</t>
  </si>
  <si>
    <t>Affiliated</t>
  </si>
  <si>
    <t>Fixed Rate</t>
  </si>
  <si>
    <t>Actual interest exp</t>
  </si>
  <si>
    <t>CIBC</t>
  </si>
  <si>
    <t>Third-Party</t>
  </si>
  <si>
    <t>Fixed rate via swap</t>
  </si>
  <si>
    <t>Infrastructure Ontario</t>
  </si>
  <si>
    <t>Annual Registration Fee</t>
  </si>
  <si>
    <t>Any other costs for regulatory matters (COS)</t>
  </si>
  <si>
    <t>Incremental Operating - Auditors</t>
  </si>
  <si>
    <t>Incremental Operating - OEB Customer Session</t>
  </si>
  <si>
    <t>Incremental Operating - Oral Hearing</t>
  </si>
  <si>
    <t>Incremental Operating - Public Notice</t>
  </si>
  <si>
    <t>Account 4210 - Rent from Electric Property</t>
  </si>
  <si>
    <t>Account 4305 - Regulatory Debits</t>
  </si>
  <si>
    <t>Account 4390 - Miscellaneous Non-Operating Income</t>
  </si>
  <si>
    <t>Customer Service</t>
  </si>
  <si>
    <t>Please see attached schedule - 2019-Filing-Requirements-Chapter2-Appendices-20180718-2C</t>
  </si>
  <si>
    <t>Primary TR XLPE Cables in Duct</t>
  </si>
  <si>
    <t>Load forecast is weather adjusted, not CDM adjusted</t>
  </si>
  <si>
    <r>
      <t xml:space="preserve">Actual Interest ($) </t>
    </r>
    <r>
      <rPr>
        <vertAlign val="superscript"/>
        <sz val="10"/>
        <rFont val="Arial"/>
        <family val="2"/>
      </rPr>
      <t>1</t>
    </r>
  </si>
  <si>
    <r>
      <t xml:space="preserve">Deemed Interest ($) </t>
    </r>
    <r>
      <rPr>
        <vertAlign val="superscript"/>
        <sz val="10"/>
        <rFont val="Arial"/>
        <family val="2"/>
      </rPr>
      <t>1</t>
    </r>
  </si>
  <si>
    <t>SSS Administrative Revenue</t>
  </si>
  <si>
    <t>An Order approving NOTL Hydro’s proposed distribution rates for the 2019 rate year, as set out in Exhibit 8, to recover a revenue requirement of $5,544,424, which includes a Deficiency of $50,401, or approving such other rates as the Board may find to be just and reasonable, as the final rates effective May 1, 2019.</t>
  </si>
  <si>
    <t>An Order establishing a new Large User Class of customers with demand greater than 5,000 kW, as described in Exhibit 8.</t>
  </si>
  <si>
    <t>An Order establishing a new distribution Standby Charge to be applied to customers with behind the meter generation greater than 1 MW, as described in Exhibit 8.</t>
  </si>
  <si>
    <t>An Order establishing a new transmission Standby Charge to be applied to customers with behind the meter generation greater than 1 MW, as described in Exhibit 8.</t>
  </si>
  <si>
    <t>An Order approving NOTL Hydro’s revised MicroFIT monthly service charge, as described in Exhibit 8.</t>
  </si>
  <si>
    <t>An Order approving NOTL Hydro’s seven amended specific service charges, as described in Exhibit 3.</t>
  </si>
  <si>
    <t>An Order approving NOTL Hydro’s Distribution System Plan, as described in Exhibit 2.</t>
  </si>
  <si>
    <t>An Order approving clearance of the balances recorded in certain deferral and variance accounts by means of rate riders effective May 1, 2019 for the 2019 rate year, as set out in Exhibit 9.</t>
  </si>
  <si>
    <t>An Order approving the establishment of a new variance account for the purposes of recording revenue exceedances and shortfalls from a specific Large User Class customer, with the balance to be cleared annually.</t>
  </si>
  <si>
    <t>In the event that the Board is unable to provide a Rate Order in this Application for implementation by NOTL Hydro as of May 1, 2019, NOTL Hydro requests that the Board declare its current rates interim, effective May 1, 2019, pending the implementation of the Rate Order for the 2019 rate year.</t>
  </si>
  <si>
    <t>Such other approvals as NOTL may request, and the Board may accept.</t>
  </si>
  <si>
    <t>2014 Cost of Service Settlement Agreement</t>
  </si>
  <si>
    <t>CEC</t>
  </si>
  <si>
    <t>1b</t>
  </si>
  <si>
    <t>Poles, Towers and Fixtures</t>
  </si>
  <si>
    <t>Services-OH</t>
  </si>
  <si>
    <t>TS Equipment&gt;50KV-Transformer</t>
  </si>
  <si>
    <t>Services-UG</t>
  </si>
  <si>
    <t>System Supervisory Equipment</t>
  </si>
  <si>
    <t xml:space="preserve">Office Furniture &amp; Equipment </t>
  </si>
  <si>
    <t>Transportation Equipment &gt;3 Tons</t>
  </si>
  <si>
    <t>Transportation Equipment- Trailers</t>
  </si>
  <si>
    <t>Transportation Equipment &lt;3 Tons</t>
  </si>
  <si>
    <t>Building &amp; Fixtures</t>
  </si>
  <si>
    <t>Building &amp; Fixtures-PCB Shed</t>
  </si>
  <si>
    <t>Computer Equipment - Software</t>
  </si>
  <si>
    <t xml:space="preserve">Stores Equipment </t>
  </si>
  <si>
    <t xml:space="preserve">Tools, Shops Garage Equipment </t>
  </si>
  <si>
    <t xml:space="preserve">Communication Equipment </t>
  </si>
  <si>
    <t>Meters-Non Stranded</t>
  </si>
  <si>
    <t>Meters-CT/PT</t>
  </si>
  <si>
    <t>Specific Charge for Access to the Power Poles – per pole/year</t>
  </si>
  <si>
    <t>ROOM RENTAL P.O.P. SITE</t>
  </si>
  <si>
    <t>ROOF RENTAL FIT</t>
  </si>
  <si>
    <t>Regulatory Debit</t>
  </si>
  <si>
    <t>4305 CGAAP Accounting Changes</t>
  </si>
  <si>
    <t>MISC INCOME SALE OF SCRAP</t>
  </si>
  <si>
    <t>MISC INCOME ADMIN EXP RECOVER</t>
  </si>
  <si>
    <t>INT &amp; DIV INCOME MISCELLANEOUS (2017 values for Variance Accounts removed) see below</t>
  </si>
  <si>
    <t>INT &amp; DIV INCOME CIBC T-BILLS</t>
  </si>
  <si>
    <t>INT &amp; DIV INCOME CIBC 69-0211</t>
  </si>
  <si>
    <t>RSVA CARRYING CHARGE INT REV (exlcuded all variance account related) see below</t>
  </si>
  <si>
    <t>Continuous Cost Increases</t>
  </si>
  <si>
    <t>Variable Costs</t>
  </si>
  <si>
    <t>One-time Costs</t>
  </si>
  <si>
    <t>Niagara-on-the-Lake Hydro Inc</t>
  </si>
  <si>
    <t>Energy Services Inc</t>
  </si>
  <si>
    <t xml:space="preserve">Water Billing- Customer Service-Billing/collecting/Account Inquiries/Reports/Water reads </t>
  </si>
  <si>
    <t>Cost-Base</t>
  </si>
  <si>
    <t>Service Cost is marked up as follows: Labour 20%, Truck 10%, Material 10%, Contractor 10% Accounts Paybale Misc 10%</t>
  </si>
  <si>
    <t>Gas Water Heaters- Finance-Accounts Payable/Receivable,Account Reconcilations, Payroll</t>
  </si>
  <si>
    <t>Electric Water Heaters- Finance-Accounts Payable/Receivable, Account Reconcilations, Payroll</t>
  </si>
  <si>
    <t>Water Bills- Printed/Cancelled bills</t>
  </si>
  <si>
    <t># of bills printed/cancelled * proportion related to water bills* cost of bill print plus 10% mark-up</t>
  </si>
  <si>
    <t>Adminstrative Expenses- Mtce General Plant, Property Taxes, Property Insurance</t>
  </si>
  <si>
    <t>0.0483% on mtce of building, property taxes, property insurance plus 10% mark-up</t>
  </si>
  <si>
    <t>Board Of Directors-Payroll</t>
  </si>
  <si>
    <t>2 members x $250 + 2 @ $100 per meeting</t>
  </si>
  <si>
    <t>Electric Water Heaters- Finance-Accounts Payable/Receivable,Account Reconcilations, Payroll</t>
  </si>
  <si>
    <t>Water Meter Installs- Verifying meter installs, water reads/billing for water # meters installs</t>
  </si>
  <si>
    <t>Adminstrative Expenses- Mtce General Plant, Property Taxes, Property Insurance, Audit Fees, Office Supplies</t>
  </si>
  <si>
    <t>0.0543% on mtce of building, property taxes, property insurance plus 10% mark-up</t>
  </si>
  <si>
    <t>Water Meter Installs- Verifying meter installs, water reads/contractor charges # meters installs</t>
  </si>
  <si>
    <t>Service Cost is marked up as follows: Labour 20%, Truck 10%, Material 10%, Contractor 10% Accounts Payable Misc 10%</t>
  </si>
  <si>
    <t>Electric Water Heaters- Finance-Accounts Payable/Receivable,Account Reconcilations, Payroll/Solar Panel- Engineering Consulting</t>
  </si>
  <si>
    <t>Water Meter Installs- Contractor charges for #Meter Installed</t>
  </si>
  <si>
    <t>0.0337% on mtce of building, property taxes, property insurance plus 10% mark-up</t>
  </si>
  <si>
    <t>Original Promissory Note</t>
  </si>
  <si>
    <t>Open</t>
  </si>
  <si>
    <t>York TS Demand Installment Loan</t>
  </si>
  <si>
    <t>NOTL TS Demand Installment Loan</t>
  </si>
  <si>
    <t>Infrastructure Ontario Loan</t>
  </si>
  <si>
    <t>Town loan - transformer</t>
  </si>
  <si>
    <t>Town loan - capital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</si>
</sst>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3">
    <numFmt numFmtId="5" formatCode="&quot;$&quot;#,##0_);\(&quot;$&quot;#,##0\)"/>
    <numFmt numFmtId="44" formatCode="_(&quot;$&quot;* #,##0.00_);_(&quot;$&quot;* \(#,##0.00\);_(&quot;$&quot;* &quot;-&quot;??_);_(@_)"/>
    <numFmt numFmtId="43" formatCode="_(* #,##0.00_);_(* \(#,##0.00\);_(* &quot;-&quot;??_);_(@_)"/>
    <numFmt numFmtId="164" formatCode="&quot;$&quot;#,##0;[Red]\-&quot;$&quot;#,##0"/>
    <numFmt numFmtId="165" formatCode="_-&quot;$&quot;* #,##0_-;\-&quot;$&quot;* #,##0_-;_-&quot;$&quot;* &quot;-&quot;_-;_-@_-"/>
    <numFmt numFmtId="166" formatCode="_-* #,##0_-;\-* #,##0_-;_-* &quot;-&quot;_-;_-@_-"/>
    <numFmt numFmtId="167" formatCode="_-&quot;$&quot;* #,##0.00_-;\-&quot;$&quot;* #,##0.00_-;_-&quot;$&quot;* &quot;-&quot;??_-;_-@_-"/>
    <numFmt numFmtId="168" formatCode="_-* #,##0.00_-;\-* #,##0.00_-;_-* &quot;-&quot;??_-;_-@_-"/>
    <numFmt numFmtId="169" formatCode="0.0%"/>
    <numFmt numFmtId="170" formatCode="_-&quot;$&quot;* #,##0_-;\-&quot;$&quot;* #,##0_-;_-&quot;$&quot;* &quot;-&quot;??_-;_-@_-"/>
    <numFmt numFmtId="171" formatCode="_-* #,##0_-;\-* #,##0_-;_-* &quot;-&quot;??_-;_-@_-"/>
    <numFmt numFmtId="172" formatCode="_-&quot;$&quot;* #,##0.0000_-;\-&quot;$&quot;* #,##0.0000_-;_-&quot;$&quot;* &quot;-&quot;??_-;_-@_-"/>
    <numFmt numFmtId="173" formatCode="[$-1009]mmmm\ d\,\ yyyy;@"/>
    <numFmt numFmtId="174" formatCode="0_ ;\-0\ "/>
    <numFmt numFmtId="175" formatCode="[$-1009]d\-mmm\-yy;@"/>
    <numFmt numFmtId="176" formatCode="\(#\)"/>
    <numFmt numFmtId="177" formatCode="&quot;$&quot;#,##0_);[Red]\(&quot;$&quot;#,##0\);&quot;$&quot;\ \-"/>
    <numFmt numFmtId="178" formatCode="#,##0_ ;\-#,##0\ "/>
    <numFmt numFmtId="179" formatCode="0.000"/>
    <numFmt numFmtId="180" formatCode="&quot;$&quot;#,##0"/>
    <numFmt numFmtId="181" formatCode="&quot;$&quot;#,##0.0000_);[Red]\(&quot;$&quot;#,##0.0000\)"/>
    <numFmt numFmtId="182" formatCode="0.0000"/>
    <numFmt numFmtId="183" formatCode="_(* #,##0.0_);_(* \(#,##0.0\);_(* &quot;-&quot;??_);_(@_)"/>
    <numFmt numFmtId="184" formatCode="#,##0.0"/>
    <numFmt numFmtId="185" formatCode="mm/dd/yyyy"/>
    <numFmt numFmtId="186" formatCode="0\-0"/>
    <numFmt numFmtId="187" formatCode="##\-#"/>
    <numFmt numFmtId="188" formatCode="_(* #,##0_);_(* \(#,##0\);_(* &quot;-&quot;??_);_(@_)"/>
    <numFmt numFmtId="189" formatCode="&quot;£ &quot;#,##0.00;[Red]\-&quot;£ &quot;#,##0.00"/>
    <numFmt numFmtId="190" formatCode="mmmm\ d"/>
    <numFmt numFmtId="191" formatCode="_-&quot;$&quot;* #,##0.0_-;\-&quot;$&quot;* #,##0.0_-;_-&quot;$&quot;* &quot;-&quot;??_-;_-@_-"/>
    <numFmt numFmtId="192" formatCode="#,##0.00_ ;[Red]\-#,##0.00\ "/>
    <numFmt numFmtId="193" formatCode="0.00_ ;[Red]\-0.00\ "/>
    <numFmt numFmtId="194" formatCode="_-* #,##0.00_-;\-* #,##0.00_-;_-* \-??_-;_-@_-"/>
    <numFmt numFmtId="195" formatCode="\$#,##0.0000_);&quot;($&quot;#,##0.0000\)"/>
    <numFmt numFmtId="196" formatCode="_-* #,##0_-;\-* #,##0_-;_-* \-??_-;_-@_-"/>
    <numFmt numFmtId="197" formatCode="\$#,##0.00_);&quot;($&quot;#,##0.00\)"/>
    <numFmt numFmtId="198" formatCode="\$#,##0.00000_);&quot;($&quot;#,##0.00000\)"/>
    <numFmt numFmtId="199" formatCode="_-* #,##0.00000_-;\-* #,##0.00000_-;_-* \-??_-;_-@_-"/>
    <numFmt numFmtId="200" formatCode="\$#,##0"/>
    <numFmt numFmtId="201" formatCode="_(&quot;$&quot;* #,##0.0000_);_(&quot;$&quot;* \(#,##0.0000\);_(&quot;$&quot;* &quot;-&quot;??_);_(@_)"/>
    <numFmt numFmtId="202" formatCode="_-\$* #,##0_-;&quot;-$&quot;* #,##0_-;_-\$* \-??_-;_-@_-"/>
    <numFmt numFmtId="203" formatCode="[$-409]mmmm\ d\,\ yyyy;@"/>
  </numFmts>
  <fonts count="1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8"/>
      <name val="Arial"/>
      <family val="2"/>
    </font>
    <font>
      <b/>
      <sz val="10"/>
      <name val="Arial"/>
      <family val="2"/>
    </font>
    <font>
      <b/>
      <u/>
      <sz val="11"/>
      <name val="Arial"/>
      <family val="2"/>
    </font>
    <font>
      <b/>
      <sz val="12"/>
      <name val="Arial"/>
      <family val="2"/>
    </font>
    <font>
      <b/>
      <u/>
      <sz val="10"/>
      <name val="Arial"/>
      <family val="2"/>
    </font>
    <font>
      <b/>
      <sz val="14"/>
      <name val="Arial"/>
      <family val="2"/>
    </font>
    <font>
      <b/>
      <vertAlign val="superscrip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i/>
      <sz val="10"/>
      <name val="Arial"/>
      <family val="2"/>
    </font>
    <font>
      <b/>
      <i/>
      <sz val="10"/>
      <name val="Arial"/>
      <family val="2"/>
    </font>
    <font>
      <b/>
      <u/>
      <sz val="10"/>
      <color indexed="12"/>
      <name val="Arial"/>
      <family val="2"/>
    </font>
    <font>
      <u/>
      <sz val="10"/>
      <name val="Arial"/>
      <family val="2"/>
    </font>
    <font>
      <b/>
      <sz val="10"/>
      <name val="Arial"/>
      <family val="2"/>
    </font>
    <font>
      <sz val="10"/>
      <name val="Arial"/>
      <family val="2"/>
    </font>
    <font>
      <b/>
      <sz val="11"/>
      <name val="Arial"/>
      <family val="2"/>
    </font>
    <font>
      <vertAlign val="superscript"/>
      <sz val="10"/>
      <name val="Arial"/>
      <family val="2"/>
    </font>
    <font>
      <b/>
      <sz val="10"/>
      <color indexed="10"/>
      <name val="Arial"/>
      <family val="2"/>
    </font>
    <font>
      <b/>
      <u/>
      <sz val="14"/>
      <name val="Arial"/>
      <family val="2"/>
    </font>
    <font>
      <b/>
      <u/>
      <sz val="14"/>
      <color indexed="10"/>
      <name val="Arial"/>
      <family val="2"/>
    </font>
    <font>
      <strike/>
      <sz val="10"/>
      <name val="Arial"/>
      <family val="2"/>
    </font>
    <font>
      <sz val="10"/>
      <color indexed="8"/>
      <name val="Arial"/>
      <family val="2"/>
    </font>
    <font>
      <sz val="10"/>
      <color rgb="FF000000"/>
      <name val="Arial"/>
      <family val="2"/>
    </font>
    <font>
      <b/>
      <sz val="11"/>
      <color theme="1"/>
      <name val="Arial"/>
      <family val="2"/>
    </font>
    <font>
      <sz val="20"/>
      <name val="Arial"/>
      <family val="2"/>
    </font>
    <font>
      <b/>
      <sz val="10"/>
      <color indexed="8"/>
      <name val="Arial"/>
      <family val="2"/>
    </font>
    <font>
      <sz val="10"/>
      <color indexed="8"/>
      <name val="Calibri"/>
      <family val="2"/>
    </font>
    <font>
      <sz val="10"/>
      <color indexed="55"/>
      <name val="Arial"/>
      <family val="2"/>
    </font>
    <font>
      <sz val="9"/>
      <name val="Arial"/>
      <family val="2"/>
    </font>
    <font>
      <b/>
      <sz val="9"/>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trike/>
      <sz val="10"/>
      <name val="Arial"/>
      <family val="2"/>
    </font>
    <font>
      <sz val="9"/>
      <color theme="1"/>
      <name val="Arial"/>
      <family val="2"/>
    </font>
    <font>
      <b/>
      <sz val="9"/>
      <color theme="1"/>
      <name val="Arial"/>
      <family val="2"/>
    </font>
    <font>
      <b/>
      <sz val="14"/>
      <color rgb="FFFF0000"/>
      <name val="Arial"/>
      <family val="2"/>
    </font>
    <font>
      <b/>
      <sz val="10"/>
      <color rgb="FFFF0000"/>
      <name val="Arial"/>
      <family val="2"/>
    </font>
    <font>
      <b/>
      <i/>
      <sz val="9"/>
      <color rgb="FFFF0000"/>
      <name val="Arial"/>
      <family val="2"/>
    </font>
    <font>
      <sz val="10"/>
      <color rgb="FFFF0000"/>
      <name val="Arial"/>
      <family val="2"/>
    </font>
    <font>
      <b/>
      <sz val="10"/>
      <color theme="3"/>
      <name val="Arial"/>
      <family val="2"/>
    </font>
    <font>
      <sz val="11"/>
      <color indexed="8"/>
      <name val="Arial"/>
      <family val="2"/>
    </font>
    <font>
      <b/>
      <sz val="11"/>
      <color indexed="8"/>
      <name val="Calibri"/>
      <family val="1"/>
      <charset val="204"/>
    </font>
    <font>
      <sz val="11"/>
      <name val="Calibri"/>
      <family val="2"/>
      <scheme val="minor"/>
    </font>
    <font>
      <b/>
      <i/>
      <sz val="9"/>
      <name val="Arial"/>
      <family val="2"/>
    </font>
    <font>
      <sz val="11"/>
      <color theme="1"/>
      <name val="Arial"/>
      <family val="2"/>
    </font>
    <font>
      <sz val="9"/>
      <color indexed="8"/>
      <name val="Arial"/>
      <family val="2"/>
    </font>
    <font>
      <sz val="10"/>
      <name val="Symbol"/>
      <family val="1"/>
      <charset val="2"/>
    </font>
    <font>
      <sz val="10"/>
      <name val="Times New Roman"/>
      <family val="1"/>
    </font>
    <font>
      <sz val="12"/>
      <name val="Arial"/>
      <family val="2"/>
    </font>
    <font>
      <b/>
      <u/>
      <sz val="12"/>
      <name val="Arial"/>
      <family val="2"/>
    </font>
    <font>
      <sz val="10"/>
      <name val="Calibri"/>
      <family val="2"/>
    </font>
    <font>
      <i/>
      <sz val="9"/>
      <name val="Arial"/>
      <family val="2"/>
    </font>
    <font>
      <sz val="10"/>
      <color indexed="12"/>
      <name val="Arial"/>
      <family val="2"/>
    </font>
    <font>
      <b/>
      <sz val="14"/>
      <color theme="1"/>
      <name val="Calibri"/>
      <family val="2"/>
      <scheme val="minor"/>
    </font>
    <font>
      <sz val="10"/>
      <color theme="3" tint="0.39997558519241921"/>
      <name val="Arial"/>
      <family val="2"/>
    </font>
    <font>
      <b/>
      <vertAlign val="superscript"/>
      <sz val="14"/>
      <name val="Arial"/>
      <family val="2"/>
    </font>
    <font>
      <sz val="10"/>
      <color rgb="FF00B050"/>
      <name val="Arial"/>
      <family val="2"/>
    </font>
    <font>
      <sz val="11"/>
      <name val="Arial"/>
      <family val="2"/>
    </font>
    <font>
      <sz val="11"/>
      <color rgb="FF00B0F0"/>
      <name val="Calibri"/>
      <family val="2"/>
      <scheme val="minor"/>
    </font>
    <font>
      <b/>
      <i/>
      <sz val="10"/>
      <color rgb="FFFF0000"/>
      <name val="Arial"/>
      <family val="2"/>
    </font>
    <font>
      <sz val="9"/>
      <color indexed="81"/>
      <name val="Tahoma"/>
      <family val="2"/>
    </font>
    <font>
      <b/>
      <sz val="9"/>
      <color indexed="81"/>
      <name val="Tahoma"/>
      <family val="2"/>
    </font>
    <font>
      <b/>
      <i/>
      <sz val="14"/>
      <name val="Arial"/>
      <family val="2"/>
    </font>
    <font>
      <sz val="10"/>
      <color theme="0"/>
      <name val="Arial"/>
      <family val="2"/>
    </font>
    <font>
      <vertAlign val="superscript"/>
      <sz val="11"/>
      <color indexed="17"/>
      <name val="Calibri"/>
      <family val="2"/>
    </font>
    <font>
      <sz val="11"/>
      <name val="Calibri"/>
      <family val="2"/>
    </font>
    <font>
      <sz val="10"/>
      <color theme="0" tint="-0.34998626667073579"/>
      <name val="Arial"/>
      <family val="2"/>
    </font>
    <font>
      <b/>
      <i/>
      <sz val="14"/>
      <name val="Calibri"/>
      <family val="2"/>
    </font>
    <font>
      <i/>
      <sz val="10"/>
      <color theme="0"/>
      <name val="Arial"/>
      <family val="2"/>
    </font>
    <font>
      <sz val="11"/>
      <color rgb="FF000000"/>
      <name val="Calibri"/>
      <family val="2"/>
    </font>
    <font>
      <b/>
      <sz val="14"/>
      <color rgb="FF000000"/>
      <name val="Calibri"/>
      <family val="2"/>
    </font>
    <font>
      <b/>
      <sz val="11"/>
      <color rgb="FF000000"/>
      <name val="Calibri"/>
      <family val="2"/>
    </font>
    <font>
      <b/>
      <u/>
      <sz val="11"/>
      <color rgb="FF00B050"/>
      <name val="Arial"/>
      <family val="2"/>
    </font>
    <font>
      <b/>
      <sz val="11"/>
      <name val="Calibri"/>
      <family val="2"/>
    </font>
    <font>
      <sz val="11"/>
      <color theme="0" tint="-0.499984740745262"/>
      <name val="Calibri"/>
      <family val="2"/>
    </font>
    <font>
      <b/>
      <sz val="11"/>
      <color theme="0" tint="-0.499984740745262"/>
      <name val="Calibri"/>
      <family val="2"/>
    </font>
    <font>
      <b/>
      <sz val="11"/>
      <color rgb="FFFF0000"/>
      <name val="Calibri"/>
      <family val="2"/>
    </font>
    <font>
      <b/>
      <i/>
      <sz val="14"/>
      <color rgb="FF000000"/>
      <name val="Calibri"/>
      <family val="2"/>
    </font>
    <font>
      <b/>
      <i/>
      <sz val="11"/>
      <color rgb="FF000000"/>
      <name val="Calibri"/>
      <family val="2"/>
    </font>
    <font>
      <i/>
      <sz val="11"/>
      <color rgb="FF000000"/>
      <name val="Calibri"/>
      <family val="2"/>
    </font>
    <font>
      <i/>
      <sz val="11"/>
      <name val="Calibri"/>
      <family val="2"/>
    </font>
    <font>
      <b/>
      <sz val="10"/>
      <name val="Calibri"/>
      <family val="2"/>
    </font>
    <font>
      <sz val="11"/>
      <color rgb="FFFF0000"/>
      <name val="Calibri"/>
      <family val="2"/>
    </font>
    <font>
      <b/>
      <sz val="9"/>
      <color rgb="FF000000"/>
      <name val="Tahoma"/>
      <family val="2"/>
    </font>
    <font>
      <sz val="9"/>
      <color rgb="FF000000"/>
      <name val="Tahoma"/>
      <family val="2"/>
    </font>
    <font>
      <sz val="10"/>
      <color theme="1"/>
      <name val="Arial"/>
      <family val="2"/>
    </font>
    <font>
      <u/>
      <sz val="10"/>
      <color rgb="FFFF0000"/>
      <name val="Arial"/>
      <family val="2"/>
    </font>
    <font>
      <b/>
      <sz val="11"/>
      <color rgb="FFFF0000"/>
      <name val="Arial"/>
      <family val="2"/>
    </font>
    <font>
      <b/>
      <sz val="12"/>
      <color rgb="FFFF0000"/>
      <name val="Arial"/>
      <family val="2"/>
    </font>
    <font>
      <b/>
      <i/>
      <sz val="12"/>
      <color rgb="FF0070C0"/>
      <name val="Calibri"/>
      <family val="2"/>
      <scheme val="minor"/>
    </font>
    <font>
      <i/>
      <sz val="8"/>
      <color indexed="22"/>
      <name val="Arial"/>
      <family val="2"/>
    </font>
    <font>
      <b/>
      <sz val="10"/>
      <name val="Arial"/>
      <family val="2"/>
      <charset val="1"/>
    </font>
    <font>
      <b/>
      <sz val="14"/>
      <name val="Arial"/>
      <family val="2"/>
      <charset val="1"/>
    </font>
    <font>
      <b/>
      <u/>
      <sz val="10"/>
      <name val="Arial"/>
      <family val="2"/>
      <charset val="1"/>
    </font>
    <font>
      <sz val="10"/>
      <name val="Mangal"/>
      <family val="2"/>
      <charset val="1"/>
    </font>
    <font>
      <sz val="11"/>
      <name val="Arial"/>
      <family val="2"/>
      <charset val="1"/>
    </font>
    <font>
      <sz val="10"/>
      <name val="Arial"/>
      <family val="2"/>
      <charset val="1"/>
    </font>
    <font>
      <i/>
      <sz val="10"/>
      <name val="Arial"/>
      <family val="2"/>
      <charset val="1"/>
    </font>
    <font>
      <b/>
      <sz val="11"/>
      <name val="Arial"/>
      <family val="2"/>
      <charset val="1"/>
    </font>
    <font>
      <b/>
      <i/>
      <sz val="10"/>
      <name val="Arial"/>
      <family val="2"/>
      <charset val="1"/>
    </font>
    <font>
      <i/>
      <sz val="10"/>
      <color rgb="FFFF0000"/>
      <name val="Arial"/>
      <family val="2"/>
      <charset val="1"/>
    </font>
    <font>
      <sz val="8"/>
      <name val="Arial"/>
      <family val="2"/>
      <charset val="1"/>
    </font>
    <font>
      <b/>
      <u/>
      <sz val="12"/>
      <name val="Arial"/>
      <family val="2"/>
      <charset val="1"/>
    </font>
    <font>
      <i/>
      <sz val="11"/>
      <name val="Arial"/>
      <family val="2"/>
    </font>
    <font>
      <b/>
      <i/>
      <sz val="11"/>
      <name val="Arial"/>
      <family val="2"/>
    </font>
    <font>
      <b/>
      <u/>
      <sz val="11"/>
      <name val="Arial"/>
      <family val="2"/>
      <charset val="1"/>
    </font>
    <font>
      <u/>
      <sz val="10"/>
      <color theme="3" tint="-0.499984740745262"/>
      <name val="Arial"/>
      <family val="2"/>
    </font>
    <font>
      <sz val="10"/>
      <color indexed="23"/>
      <name val="Arial"/>
      <family val="2"/>
      <charset val="1"/>
    </font>
    <font>
      <b/>
      <sz val="20"/>
      <color rgb="FFFF0000"/>
      <name val="Arial"/>
      <family val="2"/>
    </font>
    <font>
      <sz val="16"/>
      <color rgb="FFFF0000"/>
      <name val="Arial"/>
      <family val="2"/>
    </font>
    <font>
      <sz val="14"/>
      <color rgb="FFFF0000"/>
      <name val="Arial"/>
      <family val="2"/>
    </font>
  </fonts>
  <fills count="8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theme="4" tint="0.79998168889431442"/>
        <bgColor indexed="64"/>
      </patternFill>
    </fill>
    <fill>
      <patternFill patternType="solid">
        <fgColor theme="6" tint="0.79998168889431442"/>
        <bgColor indexed="64"/>
      </patternFill>
    </fill>
    <fill>
      <patternFill patternType="lightDown">
        <bgColor indexed="5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lightDown">
        <bgColor theme="0" tint="-0.24997711111789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indexed="26"/>
        <bgColor indexed="64"/>
      </patternFill>
    </fill>
    <fill>
      <patternFill patternType="solid">
        <fgColor theme="1"/>
        <bgColor indexed="64"/>
      </patternFill>
    </fill>
    <fill>
      <patternFill patternType="lightUp">
        <bgColor auto="1"/>
      </patternFill>
    </fill>
    <fill>
      <patternFill patternType="solid">
        <fgColor rgb="FFEBF1DE"/>
        <bgColor rgb="FF000000"/>
      </patternFill>
    </fill>
    <fill>
      <patternFill patternType="solid">
        <fgColor rgb="FFBFBFBF"/>
        <bgColor rgb="FF000000"/>
      </patternFill>
    </fill>
    <fill>
      <patternFill patternType="solid">
        <fgColor rgb="FFF2F2F2"/>
        <bgColor rgb="FF000000"/>
      </patternFill>
    </fill>
    <fill>
      <patternFill patternType="solid">
        <fgColor rgb="FF000000"/>
        <bgColor rgb="FF000000"/>
      </patternFill>
    </fill>
    <fill>
      <patternFill patternType="solid">
        <fgColor theme="9" tint="0.79998168889431442"/>
        <bgColor rgb="FF000000"/>
      </patternFill>
    </fill>
    <fill>
      <patternFill patternType="solid">
        <fgColor rgb="FFFFFF00"/>
        <bgColor rgb="FF000000"/>
      </patternFill>
    </fill>
    <fill>
      <patternFill patternType="solid">
        <fgColor rgb="FFDCE6F1"/>
        <bgColor rgb="FF000000"/>
      </patternFill>
    </fill>
    <fill>
      <patternFill patternType="solid">
        <fgColor rgb="FFFFFFFF"/>
        <bgColor rgb="FF000000"/>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theme="0"/>
      </patternFill>
    </fill>
    <fill>
      <patternFill patternType="solid">
        <fgColor indexed="65"/>
        <bgColor indexed="64"/>
      </patternFill>
    </fill>
    <fill>
      <patternFill patternType="solid">
        <fgColor indexed="9"/>
        <bgColor indexed="32"/>
      </patternFill>
    </fill>
    <fill>
      <patternFill patternType="solid">
        <fgColor theme="0"/>
        <bgColor indexed="58"/>
      </patternFill>
    </fill>
    <fill>
      <patternFill patternType="solid">
        <fgColor theme="8" tint="0.59999389629810485"/>
        <bgColor indexed="64"/>
      </patternFill>
    </fill>
    <fill>
      <patternFill patternType="solid">
        <fgColor theme="6" tint="0.79998168889431442"/>
        <bgColor indexed="58"/>
      </patternFill>
    </fill>
    <fill>
      <patternFill patternType="solid">
        <fgColor theme="5"/>
        <bgColor indexed="64"/>
      </patternFill>
    </fill>
  </fills>
  <borders count="18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uble">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bottom style="double">
        <color indexed="64"/>
      </bottom>
      <diagonal/>
    </border>
    <border>
      <left style="thin">
        <color indexed="64"/>
      </left>
      <right style="thin">
        <color indexed="64"/>
      </right>
      <top style="double">
        <color indexed="64"/>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diagonal/>
    </border>
    <border>
      <left style="thin">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medium">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ck">
        <color theme="0" tint="-0.34998626667073579"/>
      </left>
      <right/>
      <top style="thick">
        <color theme="0" tint="-0.34998626667073579"/>
      </top>
      <bottom style="thick">
        <color theme="0" tint="-4.9989318521683403E-2"/>
      </bottom>
      <diagonal/>
    </border>
    <border>
      <left/>
      <right/>
      <top style="thick">
        <color theme="0" tint="-0.34998626667073579"/>
      </top>
      <bottom style="thick">
        <color theme="0" tint="-4.9989318521683403E-2"/>
      </bottom>
      <diagonal/>
    </border>
    <border>
      <left/>
      <right style="thick">
        <color theme="0" tint="-4.9989318521683403E-2"/>
      </right>
      <top style="thick">
        <color theme="0" tint="-0.34998626667073579"/>
      </top>
      <bottom style="thick">
        <color theme="0" tint="-4.9989318521683403E-2"/>
      </bottom>
      <diagonal/>
    </border>
    <border>
      <left/>
      <right/>
      <top/>
      <bottom style="thin">
        <color theme="0"/>
      </bottom>
      <diagonal/>
    </border>
    <border>
      <left style="thin">
        <color indexed="64"/>
      </left>
      <right/>
      <top style="medium">
        <color indexed="64"/>
      </top>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style="thin">
        <color indexed="64"/>
      </left>
      <right/>
      <top style="thin">
        <color indexed="64"/>
      </top>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left style="thin">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double">
        <color indexed="64"/>
      </right>
      <top/>
      <bottom style="medium">
        <color indexed="64"/>
      </bottom>
      <diagonal/>
    </border>
    <border>
      <left/>
      <right/>
      <top style="thin">
        <color theme="0"/>
      </top>
      <bottom/>
      <diagonal/>
    </border>
    <border>
      <left style="medium">
        <color indexed="64"/>
      </left>
      <right style="medium">
        <color indexed="64"/>
      </right>
      <top style="thin">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diagonal/>
    </border>
    <border>
      <left style="thick">
        <color indexed="64"/>
      </left>
      <right/>
      <top style="medium">
        <color indexed="64"/>
      </top>
      <bottom style="medium">
        <color indexed="64"/>
      </bottom>
      <diagonal/>
    </border>
    <border>
      <left/>
      <right style="thick">
        <color indexed="64"/>
      </right>
      <top style="medium">
        <color indexed="64"/>
      </top>
      <bottom style="thin">
        <color indexed="64"/>
      </bottom>
      <diagonal/>
    </border>
    <border>
      <left style="medium">
        <color indexed="64"/>
      </left>
      <right style="thick">
        <color indexed="64"/>
      </right>
      <top/>
      <bottom style="medium">
        <color indexed="64"/>
      </bottom>
      <diagonal/>
    </border>
    <border>
      <left style="thick">
        <color indexed="64"/>
      </left>
      <right style="medium">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right style="thick">
        <color indexed="64"/>
      </right>
      <top style="medium">
        <color indexed="64"/>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style="medium">
        <color indexed="64"/>
      </left>
      <right style="medium">
        <color indexed="64"/>
      </right>
      <top/>
      <bottom style="thick">
        <color indexed="64"/>
      </bottom>
      <diagonal/>
    </border>
    <border>
      <left/>
      <right style="thick">
        <color theme="0" tint="-0.34998626667073579"/>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thick">
        <color theme="0" tint="-0.34998626667073579"/>
      </left>
      <right style="medium">
        <color theme="0" tint="-4.9989318521683403E-2"/>
      </right>
      <top style="thick">
        <color theme="0" tint="-0.34998626667073579"/>
      </top>
      <bottom style="medium">
        <color theme="0" tint="-4.9989318521683403E-2"/>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ck">
        <color theme="0" tint="-0.34998626667073579"/>
      </top>
      <bottom/>
      <diagonal/>
    </border>
    <border>
      <left/>
      <right/>
      <top/>
      <bottom style="thick">
        <color theme="0" tint="-0.34998626667073579"/>
      </bottom>
      <diagonal/>
    </border>
    <border>
      <left/>
      <right/>
      <top/>
      <bottom style="thin">
        <color rgb="FFFFFFFF"/>
      </bottom>
      <diagonal/>
    </border>
    <border>
      <left/>
      <right/>
      <top style="thin">
        <color rgb="FFFFFFFF"/>
      </top>
      <bottom/>
      <diagonal/>
    </border>
    <border>
      <left/>
      <right/>
      <top style="thin">
        <color rgb="FFFFFFFF"/>
      </top>
      <bottom style="thin">
        <color rgb="FFFFFFFF"/>
      </bottom>
      <diagonal/>
    </border>
    <border>
      <left style="thin">
        <color indexed="64"/>
      </left>
      <right/>
      <top style="thin">
        <color indexed="64"/>
      </top>
      <bottom style="double">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ck">
        <color indexed="64"/>
      </right>
      <top style="medium">
        <color indexed="64"/>
      </top>
      <bottom/>
      <diagonal/>
    </border>
    <border>
      <left/>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style="thin">
        <color indexed="8"/>
      </right>
      <top/>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right style="thin">
        <color indexed="8"/>
      </right>
      <top style="medium">
        <color indexed="64"/>
      </top>
      <bottom/>
      <diagonal/>
    </border>
    <border>
      <left style="thin">
        <color indexed="8"/>
      </left>
      <right style="thin">
        <color indexed="8"/>
      </right>
      <top/>
      <bottom/>
      <diagonal/>
    </border>
  </borders>
  <cellStyleXfs count="169">
    <xf numFmtId="0" fontId="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3" borderId="0" applyNumberFormat="0" applyBorder="0" applyAlignment="0" applyProtection="0"/>
    <xf numFmtId="0" fontId="26" fillId="20" borderId="1" applyNumberFormat="0" applyAlignment="0" applyProtection="0"/>
    <xf numFmtId="0" fontId="27" fillId="21" borderId="2" applyNumberFormat="0" applyAlignment="0" applyProtection="0"/>
    <xf numFmtId="168" fontId="14" fillId="0" borderId="0" applyFont="0" applyFill="0" applyBorder="0" applyAlignment="0" applyProtection="0"/>
    <xf numFmtId="167" fontId="14" fillId="0" borderId="0" applyFont="0" applyFill="0" applyBorder="0" applyAlignment="0" applyProtection="0"/>
    <xf numFmtId="0" fontId="28" fillId="0" borderId="0" applyNumberFormat="0" applyFill="0" applyBorder="0" applyAlignment="0" applyProtection="0"/>
    <xf numFmtId="0" fontId="29" fillId="4" borderId="0" applyNumberFormat="0" applyBorder="0" applyAlignment="0" applyProtection="0"/>
    <xf numFmtId="0" fontId="30" fillId="0" borderId="3" applyNumberFormat="0" applyFill="0" applyAlignment="0" applyProtection="0"/>
    <xf numFmtId="0" fontId="31" fillId="0" borderId="4" applyNumberFormat="0" applyFill="0" applyAlignment="0" applyProtection="0"/>
    <xf numFmtId="0" fontId="32" fillId="0" borderId="5" applyNumberFormat="0" applyFill="0" applyAlignment="0" applyProtection="0"/>
    <xf numFmtId="0" fontId="32" fillId="0" borderId="0" applyNumberFormat="0" applyFill="0" applyBorder="0" applyAlignment="0" applyProtection="0"/>
    <xf numFmtId="0" fontId="15" fillId="0" borderId="0" applyNumberFormat="0" applyFill="0" applyBorder="0" applyAlignment="0" applyProtection="0">
      <alignment vertical="top"/>
      <protection locked="0"/>
    </xf>
    <xf numFmtId="0" fontId="33" fillId="7" borderId="1" applyNumberFormat="0" applyAlignment="0" applyProtection="0"/>
    <xf numFmtId="0" fontId="34" fillId="0" borderId="6" applyNumberFormat="0" applyFill="0" applyAlignment="0" applyProtection="0"/>
    <xf numFmtId="0" fontId="35" fillId="22" borderId="0" applyNumberFormat="0" applyBorder="0" applyAlignment="0" applyProtection="0"/>
    <xf numFmtId="0" fontId="36" fillId="23" borderId="7" applyNumberFormat="0" applyFont="0" applyAlignment="0" applyProtection="0"/>
    <xf numFmtId="0" fontId="37" fillId="20" borderId="8" applyNumberFormat="0" applyAlignment="0" applyProtection="0"/>
    <xf numFmtId="9" fontId="14" fillId="0" borderId="0" applyFont="0" applyFill="0" applyBorder="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14" fillId="0" borderId="0"/>
    <xf numFmtId="0" fontId="23" fillId="0" borderId="0"/>
    <xf numFmtId="0" fontId="62" fillId="0" borderId="0" applyNumberFormat="0" applyFill="0" applyBorder="0" applyAlignment="0" applyProtection="0"/>
    <xf numFmtId="0" fontId="64" fillId="0" borderId="111" applyNumberFormat="0" applyFill="0" applyAlignment="0" applyProtection="0"/>
    <xf numFmtId="0" fontId="63" fillId="0" borderId="110" applyNumberFormat="0" applyFill="0" applyAlignment="0" applyProtection="0"/>
    <xf numFmtId="0" fontId="13" fillId="0" borderId="0"/>
    <xf numFmtId="0" fontId="65" fillId="0" borderId="112" applyNumberFormat="0" applyFill="0" applyAlignment="0" applyProtection="0"/>
    <xf numFmtId="0" fontId="65" fillId="0" borderId="0" applyNumberFormat="0" applyFill="0" applyBorder="0" applyAlignment="0" applyProtection="0"/>
    <xf numFmtId="0" fontId="66" fillId="31" borderId="0" applyNumberFormat="0" applyBorder="0" applyAlignment="0" applyProtection="0"/>
    <xf numFmtId="0" fontId="67" fillId="32" borderId="0" applyNumberFormat="0" applyBorder="0" applyAlignment="0" applyProtection="0"/>
    <xf numFmtId="0" fontId="68" fillId="33" borderId="0" applyNumberFormat="0" applyBorder="0" applyAlignment="0" applyProtection="0"/>
    <xf numFmtId="0" fontId="69" fillId="34" borderId="113" applyNumberFormat="0" applyAlignment="0" applyProtection="0"/>
    <xf numFmtId="0" fontId="70" fillId="35" borderId="114" applyNumberFormat="0" applyAlignment="0" applyProtection="0"/>
    <xf numFmtId="0" fontId="71" fillId="35" borderId="113" applyNumberFormat="0" applyAlignment="0" applyProtection="0"/>
    <xf numFmtId="0" fontId="72" fillId="0" borderId="115" applyNumberFormat="0" applyFill="0" applyAlignment="0" applyProtection="0"/>
    <xf numFmtId="0" fontId="73" fillId="36" borderId="116" applyNumberFormat="0" applyAlignment="0" applyProtection="0"/>
    <xf numFmtId="0" fontId="74" fillId="0" borderId="0" applyNumberFormat="0" applyFill="0" applyBorder="0" applyAlignment="0" applyProtection="0"/>
    <xf numFmtId="0" fontId="13" fillId="37" borderId="117" applyNumberFormat="0" applyFont="0" applyAlignment="0" applyProtection="0"/>
    <xf numFmtId="0" fontId="75" fillId="0" borderId="0" applyNumberFormat="0" applyFill="0" applyBorder="0" applyAlignment="0" applyProtection="0"/>
    <xf numFmtId="0" fontId="76" fillId="0" borderId="118" applyNumberFormat="0" applyFill="0" applyAlignment="0" applyProtection="0"/>
    <xf numFmtId="0" fontId="77" fillId="38" borderId="0" applyNumberFormat="0" applyBorder="0" applyAlignment="0" applyProtection="0"/>
    <xf numFmtId="0" fontId="13" fillId="39" borderId="0" applyNumberFormat="0" applyBorder="0" applyAlignment="0" applyProtection="0"/>
    <xf numFmtId="0" fontId="13" fillId="40" borderId="0" applyNumberFormat="0" applyBorder="0" applyAlignment="0" applyProtection="0"/>
    <xf numFmtId="0" fontId="77" fillId="41" borderId="0" applyNumberFormat="0" applyBorder="0" applyAlignment="0" applyProtection="0"/>
    <xf numFmtId="0" fontId="77" fillId="42" borderId="0" applyNumberFormat="0" applyBorder="0" applyAlignment="0" applyProtection="0"/>
    <xf numFmtId="0" fontId="13" fillId="43" borderId="0" applyNumberFormat="0" applyBorder="0" applyAlignment="0" applyProtection="0"/>
    <xf numFmtId="0" fontId="13" fillId="44" borderId="0" applyNumberFormat="0" applyBorder="0" applyAlignment="0" applyProtection="0"/>
    <xf numFmtId="0" fontId="77" fillId="45" borderId="0" applyNumberFormat="0" applyBorder="0" applyAlignment="0" applyProtection="0"/>
    <xf numFmtId="0" fontId="77" fillId="46" borderId="0" applyNumberFormat="0" applyBorder="0" applyAlignment="0" applyProtection="0"/>
    <xf numFmtId="0" fontId="13" fillId="47" borderId="0" applyNumberFormat="0" applyBorder="0" applyAlignment="0" applyProtection="0"/>
    <xf numFmtId="0" fontId="13" fillId="48" borderId="0" applyNumberFormat="0" applyBorder="0" applyAlignment="0" applyProtection="0"/>
    <xf numFmtId="0" fontId="77" fillId="49" borderId="0" applyNumberFormat="0" applyBorder="0" applyAlignment="0" applyProtection="0"/>
    <xf numFmtId="0" fontId="77" fillId="50" borderId="0" applyNumberFormat="0" applyBorder="0" applyAlignment="0" applyProtection="0"/>
    <xf numFmtId="0" fontId="13" fillId="51" borderId="0" applyNumberFormat="0" applyBorder="0" applyAlignment="0" applyProtection="0"/>
    <xf numFmtId="0" fontId="13" fillId="52" borderId="0" applyNumberFormat="0" applyBorder="0" applyAlignment="0" applyProtection="0"/>
    <xf numFmtId="0" fontId="77" fillId="53" borderId="0" applyNumberFormat="0" applyBorder="0" applyAlignment="0" applyProtection="0"/>
    <xf numFmtId="0" fontId="77" fillId="54" borderId="0" applyNumberFormat="0" applyBorder="0" applyAlignment="0" applyProtection="0"/>
    <xf numFmtId="0" fontId="13" fillId="55" borderId="0" applyNumberFormat="0" applyBorder="0" applyAlignment="0" applyProtection="0"/>
    <xf numFmtId="0" fontId="13" fillId="56" borderId="0" applyNumberFormat="0" applyBorder="0" applyAlignment="0" applyProtection="0"/>
    <xf numFmtId="0" fontId="77" fillId="57" borderId="0" applyNumberFormat="0" applyBorder="0" applyAlignment="0" applyProtection="0"/>
    <xf numFmtId="0" fontId="77" fillId="58" borderId="0" applyNumberFormat="0" applyBorder="0" applyAlignment="0" applyProtection="0"/>
    <xf numFmtId="0" fontId="13" fillId="59" borderId="0" applyNumberFormat="0" applyBorder="0" applyAlignment="0" applyProtection="0"/>
    <xf numFmtId="0" fontId="13" fillId="60" borderId="0" applyNumberFormat="0" applyBorder="0" applyAlignment="0" applyProtection="0"/>
    <xf numFmtId="0" fontId="77" fillId="61" borderId="0" applyNumberFormat="0" applyBorder="0" applyAlignment="0" applyProtection="0"/>
    <xf numFmtId="0" fontId="12" fillId="0" borderId="0"/>
    <xf numFmtId="168" fontId="12" fillId="0" borderId="0" applyFont="0" applyFill="0" applyBorder="0" applyAlignment="0" applyProtection="0"/>
    <xf numFmtId="9" fontId="12" fillId="0" borderId="0" applyFont="0" applyFill="0" applyBorder="0" applyAlignment="0" applyProtection="0"/>
    <xf numFmtId="0" fontId="11" fillId="0" borderId="0"/>
    <xf numFmtId="168" fontId="11" fillId="0" borderId="0" applyFont="0" applyFill="0" applyBorder="0" applyAlignment="0" applyProtection="0"/>
    <xf numFmtId="9" fontId="11" fillId="0" borderId="0" applyFont="0" applyFill="0" applyBorder="0" applyAlignment="0" applyProtection="0"/>
    <xf numFmtId="0" fontId="14" fillId="0" borderId="0"/>
    <xf numFmtId="0" fontId="14" fillId="0" borderId="0"/>
    <xf numFmtId="0" fontId="14" fillId="0" borderId="0"/>
    <xf numFmtId="0" fontId="10" fillId="0" borderId="0"/>
    <xf numFmtId="9" fontId="10" fillId="0" borderId="0" applyFont="0" applyFill="0" applyBorder="0" applyAlignment="0" applyProtection="0"/>
    <xf numFmtId="167" fontId="10" fillId="0" borderId="0" applyFont="0" applyFill="0" applyBorder="0" applyAlignment="0" applyProtection="0"/>
    <xf numFmtId="168" fontId="10" fillId="0" borderId="0" applyFont="0" applyFill="0" applyBorder="0" applyAlignment="0" applyProtection="0"/>
    <xf numFmtId="183" fontId="14" fillId="0" borderId="0"/>
    <xf numFmtId="184" fontId="14" fillId="0" borderId="0"/>
    <xf numFmtId="183" fontId="14" fillId="0" borderId="0"/>
    <xf numFmtId="183" fontId="14" fillId="0" borderId="0"/>
    <xf numFmtId="183" fontId="14" fillId="0" borderId="0"/>
    <xf numFmtId="183" fontId="14" fillId="0" borderId="0"/>
    <xf numFmtId="185" fontId="14" fillId="0" borderId="0"/>
    <xf numFmtId="186" fontId="14" fillId="0" borderId="0"/>
    <xf numFmtId="185" fontId="14" fillId="0" borderId="0"/>
    <xf numFmtId="3" fontId="14" fillId="0" borderId="0" applyFont="0" applyFill="0" applyBorder="0" applyAlignment="0" applyProtection="0"/>
    <xf numFmtId="5" fontId="14" fillId="0" borderId="0" applyFont="0" applyFill="0" applyBorder="0" applyAlignment="0" applyProtection="0"/>
    <xf numFmtId="14" fontId="14" fillId="0" borderId="0" applyFont="0" applyFill="0" applyBorder="0" applyAlignment="0" applyProtection="0"/>
    <xf numFmtId="2" fontId="14" fillId="0" borderId="0" applyFont="0" applyFill="0" applyBorder="0" applyAlignment="0" applyProtection="0"/>
    <xf numFmtId="38" fontId="16" fillId="27" borderId="0" applyNumberFormat="0" applyBorder="0" applyAlignment="0" applyProtection="0"/>
    <xf numFmtId="10" fontId="16" fillId="68" borderId="10" applyNumberFormat="0" applyBorder="0" applyAlignment="0" applyProtection="0"/>
    <xf numFmtId="187" fontId="14" fillId="0" borderId="0"/>
    <xf numFmtId="188" fontId="14" fillId="0" borderId="0"/>
    <xf numFmtId="187" fontId="14" fillId="0" borderId="0"/>
    <xf numFmtId="187" fontId="14" fillId="0" borderId="0"/>
    <xf numFmtId="187" fontId="14" fillId="0" borderId="0"/>
    <xf numFmtId="187" fontId="14" fillId="0" borderId="0"/>
    <xf numFmtId="189" fontId="14" fillId="0" borderId="0"/>
    <xf numFmtId="10" fontId="14" fillId="0" borderId="0" applyFont="0" applyFill="0" applyBorder="0" applyAlignment="0" applyProtection="0"/>
    <xf numFmtId="0" fontId="9" fillId="0" borderId="0"/>
    <xf numFmtId="168" fontId="9" fillId="0" borderId="0" applyFont="0" applyFill="0" applyBorder="0" applyAlignment="0" applyProtection="0"/>
    <xf numFmtId="9" fontId="9" fillId="0" borderId="0" applyFont="0" applyFill="0" applyBorder="0" applyAlignment="0" applyProtection="0"/>
    <xf numFmtId="167" fontId="14" fillId="0" borderId="0" applyFont="0" applyFill="0" applyBorder="0" applyAlignment="0" applyProtection="0"/>
    <xf numFmtId="0" fontId="5" fillId="0" borderId="0"/>
    <xf numFmtId="168" fontId="5" fillId="0" borderId="0" applyFont="0" applyFill="0" applyBorder="0" applyAlignment="0" applyProtection="0"/>
    <xf numFmtId="9" fontId="5" fillId="0" borderId="0" applyFont="0" applyFill="0" applyBorder="0" applyAlignment="0" applyProtection="0"/>
    <xf numFmtId="0" fontId="4" fillId="0" borderId="0"/>
    <xf numFmtId="167" fontId="4" fillId="0" borderId="0" applyFont="0" applyFill="0" applyBorder="0" applyAlignment="0" applyProtection="0"/>
    <xf numFmtId="168" fontId="4" fillId="0" borderId="0" applyFont="0" applyFill="0" applyBorder="0" applyAlignment="0" applyProtection="0"/>
    <xf numFmtId="9" fontId="4" fillId="0" borderId="0" applyFont="0" applyFill="0" applyBorder="0" applyAlignment="0" applyProtection="0"/>
    <xf numFmtId="167" fontId="14" fillId="0" borderId="0" applyFont="0" applyFill="0" applyBorder="0" applyAlignment="0" applyProtection="0"/>
    <xf numFmtId="194" fontId="140" fillId="0" borderId="0" applyFill="0" applyBorder="0" applyAlignment="0" applyProtection="0"/>
    <xf numFmtId="9" fontId="140" fillId="0" borderId="0" applyFill="0" applyBorder="0" applyAlignment="0" applyProtection="0"/>
    <xf numFmtId="167" fontId="14" fillId="0" borderId="0" applyFont="0" applyFill="0" applyBorder="0" applyAlignment="0" applyProtection="0"/>
    <xf numFmtId="0" fontId="14" fillId="0" borderId="0"/>
    <xf numFmtId="203" fontId="14" fillId="0" borderId="0"/>
    <xf numFmtId="0" fontId="14" fillId="0" borderId="0"/>
    <xf numFmtId="0" fontId="14" fillId="23" borderId="7" applyNumberFormat="0" applyFont="0" applyAlignment="0" applyProtection="0"/>
    <xf numFmtId="0" fontId="2" fillId="0" borderId="0"/>
    <xf numFmtId="0" fontId="2" fillId="37" borderId="117" applyNumberFormat="0" applyFont="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55" borderId="0" applyNumberFormat="0" applyBorder="0" applyAlignment="0" applyProtection="0"/>
    <xf numFmtId="0" fontId="2" fillId="56"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0" borderId="0"/>
    <xf numFmtId="168" fontId="2" fillId="0" borderId="0" applyFont="0" applyFill="0" applyBorder="0" applyAlignment="0" applyProtection="0"/>
    <xf numFmtId="9" fontId="2" fillId="0" borderId="0" applyFont="0" applyFill="0" applyBorder="0" applyAlignment="0" applyProtection="0"/>
    <xf numFmtId="0" fontId="2" fillId="0" borderId="0"/>
    <xf numFmtId="168"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cellStyleXfs>
  <cellXfs count="2229">
    <xf numFmtId="0" fontId="0" fillId="0" borderId="0" xfId="0"/>
    <xf numFmtId="0" fontId="0" fillId="0" borderId="0" xfId="0" applyProtection="1"/>
    <xf numFmtId="0" fontId="0" fillId="0" borderId="0" xfId="0" applyFill="1" applyBorder="1"/>
    <xf numFmtId="0" fontId="17" fillId="0" borderId="0" xfId="0" applyFont="1"/>
    <xf numFmtId="0" fontId="0" fillId="0" borderId="0" xfId="0" applyAlignment="1" applyProtection="1">
      <alignment vertical="center"/>
    </xf>
    <xf numFmtId="0" fontId="0" fillId="0" borderId="0" xfId="0" applyFill="1" applyAlignment="1" applyProtection="1">
      <alignment vertical="center"/>
    </xf>
    <xf numFmtId="0" fontId="17" fillId="0" borderId="0" xfId="0" applyFont="1" applyAlignment="1">
      <alignment vertical="top"/>
    </xf>
    <xf numFmtId="0" fontId="17" fillId="0" borderId="0" xfId="0" applyFont="1" applyAlignment="1">
      <alignment horizontal="center"/>
    </xf>
    <xf numFmtId="0" fontId="43" fillId="0" borderId="0" xfId="36" quotePrefix="1" applyFont="1" applyAlignment="1" applyProtection="1">
      <alignment horizontal="center"/>
    </xf>
    <xf numFmtId="0" fontId="14" fillId="0" borderId="0" xfId="0" applyFont="1"/>
    <xf numFmtId="0" fontId="36" fillId="0" borderId="0" xfId="0" applyFont="1" applyProtection="1"/>
    <xf numFmtId="0" fontId="50" fillId="0" borderId="0" xfId="0" applyFont="1"/>
    <xf numFmtId="0" fontId="0" fillId="0" borderId="0" xfId="0" applyFill="1" applyBorder="1" applyAlignment="1">
      <alignment wrapText="1"/>
    </xf>
    <xf numFmtId="0" fontId="55" fillId="0" borderId="0" xfId="0" applyFont="1" applyAlignment="1" applyProtection="1">
      <alignment horizontal="right" vertical="center"/>
    </xf>
    <xf numFmtId="0" fontId="36" fillId="0" borderId="0" xfId="0" applyFont="1" applyAlignment="1" applyProtection="1">
      <alignment horizontal="right" vertical="center"/>
    </xf>
    <xf numFmtId="0" fontId="55" fillId="0" borderId="0" xfId="0" applyFont="1" applyAlignment="1" applyProtection="1">
      <alignment horizontal="right" vertical="center" indent="1"/>
    </xf>
    <xf numFmtId="0" fontId="56" fillId="0" borderId="0" xfId="0" applyFont="1" applyAlignment="1">
      <alignment horizontal="left" vertical="top" indent="1"/>
    </xf>
    <xf numFmtId="0" fontId="52" fillId="0" borderId="0" xfId="0" applyFont="1"/>
    <xf numFmtId="0" fontId="78" fillId="0" borderId="0" xfId="0" applyFont="1"/>
    <xf numFmtId="0" fontId="17" fillId="0" borderId="0" xfId="0" applyFont="1" applyAlignment="1"/>
    <xf numFmtId="0" fontId="15" fillId="0" borderId="0" xfId="36" applyAlignment="1" applyProtection="1"/>
    <xf numFmtId="0" fontId="14" fillId="0" borderId="0" xfId="36" applyFont="1" applyAlignment="1" applyProtection="1"/>
    <xf numFmtId="176" fontId="14" fillId="0" borderId="0" xfId="46" applyNumberFormat="1" applyFill="1" applyBorder="1" applyProtection="1">
      <protection locked="0"/>
    </xf>
    <xf numFmtId="176" fontId="14" fillId="0" borderId="0" xfId="46" quotePrefix="1" applyNumberFormat="1" applyFill="1" applyBorder="1" applyProtection="1">
      <protection locked="0"/>
    </xf>
    <xf numFmtId="176" fontId="14" fillId="29" borderId="0" xfId="46" applyNumberFormat="1" applyFill="1" applyBorder="1" applyProtection="1">
      <protection locked="0"/>
    </xf>
    <xf numFmtId="176" fontId="14" fillId="29" borderId="0" xfId="46" applyNumberFormat="1" applyFill="1" applyAlignment="1" applyProtection="1">
      <alignment horizontal="center" vertical="center"/>
      <protection locked="0"/>
    </xf>
    <xf numFmtId="0" fontId="55" fillId="0" borderId="0" xfId="0" applyFont="1" applyAlignment="1" applyProtection="1">
      <alignment horizontal="center" vertical="center" wrapText="1"/>
    </xf>
    <xf numFmtId="0" fontId="0" fillId="0" borderId="0" xfId="0" applyProtection="1">
      <protection locked="0"/>
    </xf>
    <xf numFmtId="0" fontId="0" fillId="64" borderId="0" xfId="0" applyFill="1"/>
    <xf numFmtId="0" fontId="47" fillId="28" borderId="149" xfId="0" applyNumberFormat="1" applyFont="1" applyFill="1" applyBorder="1" applyAlignment="1" applyProtection="1">
      <alignment horizontal="center" vertical="center"/>
      <protection locked="0"/>
    </xf>
    <xf numFmtId="0" fontId="0" fillId="28" borderId="0" xfId="0" applyNumberFormat="1" applyFill="1" applyBorder="1" applyAlignment="1" applyProtection="1">
      <alignment horizontal="center" vertical="center"/>
      <protection locked="0"/>
    </xf>
    <xf numFmtId="0" fontId="14" fillId="0" borderId="0" xfId="0" applyFont="1" applyAlignment="1">
      <alignment vertical="center"/>
    </xf>
    <xf numFmtId="0" fontId="0" fillId="0" borderId="0" xfId="0" applyAlignment="1">
      <alignment vertical="center"/>
    </xf>
    <xf numFmtId="0" fontId="16" fillId="29" borderId="99" xfId="46" applyFont="1" applyFill="1" applyBorder="1" applyAlignment="1" applyProtection="1">
      <alignment horizontal="right" vertical="top"/>
      <protection locked="0"/>
    </xf>
    <xf numFmtId="0" fontId="14" fillId="0" borderId="0" xfId="46" applyProtection="1">
      <protection locked="0"/>
    </xf>
    <xf numFmtId="0" fontId="14" fillId="29" borderId="10" xfId="46" applyFill="1" applyBorder="1" applyAlignment="1" applyProtection="1">
      <alignment horizontal="center" vertical="center"/>
      <protection locked="0"/>
    </xf>
    <xf numFmtId="0" fontId="15" fillId="0" borderId="0" xfId="36" applyAlignment="1" applyProtection="1">
      <alignment horizontal="left" vertical="top"/>
    </xf>
    <xf numFmtId="0" fontId="15" fillId="64" borderId="0" xfId="36" applyFill="1" applyAlignment="1" applyProtection="1">
      <alignment horizontal="left" vertical="top"/>
    </xf>
    <xf numFmtId="0" fontId="14" fillId="0" borderId="0" xfId="46" applyFont="1" applyProtection="1">
      <protection locked="0"/>
    </xf>
    <xf numFmtId="0" fontId="17" fillId="0" borderId="0" xfId="0" applyFont="1" applyProtection="1">
      <protection locked="0"/>
    </xf>
    <xf numFmtId="0" fontId="16" fillId="0" borderId="0" xfId="0" applyFont="1" applyAlignment="1" applyProtection="1">
      <alignment horizontal="right" vertical="top"/>
      <protection locked="0"/>
    </xf>
    <xf numFmtId="0" fontId="16" fillId="29" borderId="99" xfId="0" applyFont="1" applyFill="1" applyBorder="1" applyAlignment="1" applyProtection="1">
      <alignment horizontal="right" vertical="top"/>
      <protection locked="0"/>
    </xf>
    <xf numFmtId="0" fontId="16" fillId="29" borderId="0" xfId="0" applyFont="1" applyFill="1" applyAlignment="1" applyProtection="1">
      <alignment horizontal="right" vertical="top"/>
      <protection locked="0"/>
    </xf>
    <xf numFmtId="0" fontId="21" fillId="0" borderId="0" xfId="0" applyFont="1" applyAlignment="1" applyProtection="1">
      <protection locked="0"/>
    </xf>
    <xf numFmtId="0" fontId="17" fillId="0" borderId="49" xfId="0" applyFont="1" applyFill="1" applyBorder="1" applyProtection="1">
      <protection locked="0"/>
    </xf>
    <xf numFmtId="0" fontId="17" fillId="0" borderId="24" xfId="0" applyFont="1" applyFill="1" applyBorder="1" applyAlignment="1" applyProtection="1">
      <alignment horizontal="center" vertical="center" wrapText="1"/>
      <protection locked="0"/>
    </xf>
    <xf numFmtId="0" fontId="17" fillId="0" borderId="16" xfId="0" applyFont="1" applyFill="1" applyBorder="1" applyProtection="1">
      <protection locked="0"/>
    </xf>
    <xf numFmtId="0" fontId="17" fillId="28" borderId="19" xfId="0" applyFont="1" applyFill="1" applyBorder="1" applyAlignment="1" applyProtection="1">
      <alignment horizontal="center"/>
      <protection locked="0"/>
    </xf>
    <xf numFmtId="0" fontId="17" fillId="29" borderId="33" xfId="0" applyFont="1" applyFill="1" applyBorder="1" applyProtection="1">
      <protection locked="0"/>
    </xf>
    <xf numFmtId="3" fontId="0" fillId="0" borderId="10" xfId="29" applyNumberFormat="1" applyFont="1" applyFill="1" applyBorder="1" applyProtection="1">
      <protection locked="0"/>
    </xf>
    <xf numFmtId="3" fontId="0" fillId="29" borderId="11" xfId="29" applyNumberFormat="1" applyFont="1" applyFill="1" applyBorder="1" applyProtection="1">
      <protection locked="0"/>
    </xf>
    <xf numFmtId="3" fontId="0" fillId="29" borderId="10" xfId="29" applyNumberFormat="1" applyFont="1" applyFill="1" applyBorder="1" applyProtection="1">
      <protection locked="0"/>
    </xf>
    <xf numFmtId="3" fontId="0" fillId="29" borderId="17" xfId="29" applyNumberFormat="1" applyFont="1" applyFill="1" applyBorder="1" applyProtection="1">
      <protection locked="0"/>
    </xf>
    <xf numFmtId="0" fontId="17" fillId="0" borderId="33" xfId="0" applyFont="1" applyFill="1" applyBorder="1" applyProtection="1">
      <protection locked="0"/>
    </xf>
    <xf numFmtId="3" fontId="0" fillId="0" borderId="10" xfId="0" applyNumberFormat="1" applyFill="1" applyBorder="1" applyProtection="1">
      <protection locked="0"/>
    </xf>
    <xf numFmtId="0" fontId="17" fillId="29" borderId="33" xfId="0" applyFont="1" applyFill="1" applyBorder="1" applyAlignment="1" applyProtection="1">
      <alignment wrapText="1"/>
      <protection locked="0"/>
    </xf>
    <xf numFmtId="3" fontId="0" fillId="0" borderId="19" xfId="29" applyNumberFormat="1" applyFont="1" applyFill="1" applyBorder="1" applyProtection="1">
      <protection locked="0"/>
    </xf>
    <xf numFmtId="0" fontId="17" fillId="0" borderId="128" xfId="0" applyFont="1" applyFill="1" applyBorder="1" applyProtection="1">
      <protection locked="0"/>
    </xf>
    <xf numFmtId="3" fontId="17" fillId="0" borderId="56" xfId="0" applyNumberFormat="1" applyFont="1" applyFill="1" applyBorder="1" applyProtection="1">
      <protection locked="0"/>
    </xf>
    <xf numFmtId="0" fontId="17" fillId="0" borderId="10" xfId="0" applyFont="1" applyBorder="1" applyAlignment="1" applyProtection="1">
      <alignment vertical="top" wrapText="1"/>
      <protection locked="0"/>
    </xf>
    <xf numFmtId="0" fontId="17" fillId="0" borderId="56" xfId="0" applyFont="1" applyFill="1" applyBorder="1" applyProtection="1">
      <protection locked="0"/>
    </xf>
    <xf numFmtId="0" fontId="42" fillId="0" borderId="0" xfId="0" applyFont="1" applyAlignment="1" applyProtection="1">
      <alignment horizontal="left" vertical="top"/>
      <protection locked="0"/>
    </xf>
    <xf numFmtId="0" fontId="14" fillId="0" borderId="0" xfId="0" applyFont="1" applyProtection="1">
      <protection locked="0"/>
    </xf>
    <xf numFmtId="0" fontId="94" fillId="0" borderId="0" xfId="0" applyFont="1" applyAlignment="1" applyProtection="1">
      <alignment vertical="center"/>
      <protection locked="0"/>
    </xf>
    <xf numFmtId="0" fontId="14" fillId="0" borderId="0" xfId="0" applyFont="1" applyFill="1" applyProtection="1">
      <protection locked="0"/>
    </xf>
    <xf numFmtId="166" fontId="14" fillId="29" borderId="31" xfId="0" applyNumberFormat="1" applyFont="1" applyFill="1" applyBorder="1" applyAlignment="1" applyProtection="1">
      <alignment horizontal="center" vertical="center" wrapText="1"/>
      <protection locked="0"/>
    </xf>
    <xf numFmtId="166" fontId="14" fillId="29" borderId="139" xfId="0" applyNumberFormat="1" applyFont="1" applyFill="1" applyBorder="1" applyAlignment="1" applyProtection="1">
      <alignment horizontal="center" vertical="center" wrapText="1"/>
      <protection locked="0"/>
    </xf>
    <xf numFmtId="0" fontId="0" fillId="0" borderId="0" xfId="0" applyBorder="1" applyProtection="1">
      <protection locked="0"/>
    </xf>
    <xf numFmtId="0" fontId="17" fillId="0" borderId="0" xfId="46" applyFont="1" applyAlignment="1" applyProtection="1">
      <alignment horizontal="right"/>
      <protection locked="0"/>
    </xf>
    <xf numFmtId="0" fontId="16" fillId="0" borderId="0" xfId="46" applyFont="1" applyAlignment="1" applyProtection="1">
      <alignment vertical="top"/>
      <protection locked="0"/>
    </xf>
    <xf numFmtId="0" fontId="16" fillId="29" borderId="0" xfId="46" applyFont="1" applyFill="1" applyBorder="1" applyAlignment="1" applyProtection="1">
      <alignment vertical="top"/>
      <protection locked="0"/>
    </xf>
    <xf numFmtId="0" fontId="16" fillId="29" borderId="0" xfId="46" applyFont="1" applyFill="1" applyAlignment="1" applyProtection="1">
      <alignment vertical="top"/>
      <protection locked="0"/>
    </xf>
    <xf numFmtId="0" fontId="17" fillId="0" borderId="10" xfId="0" applyFont="1" applyBorder="1" applyAlignment="1" applyProtection="1">
      <alignment horizontal="left" vertical="center" wrapText="1"/>
      <protection locked="0"/>
    </xf>
    <xf numFmtId="0" fontId="17" fillId="0" borderId="10" xfId="0" applyFont="1" applyBorder="1" applyAlignment="1" applyProtection="1">
      <alignment horizontal="center" vertical="center" wrapText="1"/>
      <protection locked="0"/>
    </xf>
    <xf numFmtId="0" fontId="0" fillId="29" borderId="10" xfId="0" applyFill="1" applyBorder="1" applyAlignment="1" applyProtection="1">
      <alignment horizontal="left" vertical="top" wrapText="1"/>
      <protection locked="0"/>
    </xf>
    <xf numFmtId="0" fontId="94" fillId="29" borderId="10" xfId="0" applyFont="1" applyFill="1" applyBorder="1" applyAlignment="1" applyProtection="1">
      <alignment horizontal="left" vertical="top" wrapText="1"/>
      <protection locked="0"/>
    </xf>
    <xf numFmtId="0" fontId="14" fillId="0" borderId="0" xfId="46" applyFont="1" applyAlignment="1" applyProtection="1">
      <alignment horizontal="left"/>
      <protection locked="0"/>
    </xf>
    <xf numFmtId="0" fontId="17" fillId="0" borderId="0" xfId="46" applyFont="1" applyProtection="1">
      <protection locked="0"/>
    </xf>
    <xf numFmtId="0" fontId="17" fillId="0" borderId="0" xfId="46" applyFont="1" applyFill="1" applyProtection="1">
      <protection locked="0"/>
    </xf>
    <xf numFmtId="0" fontId="14" fillId="0" borderId="0" xfId="46" applyFill="1" applyProtection="1">
      <protection locked="0"/>
    </xf>
    <xf numFmtId="0" fontId="14" fillId="0" borderId="0" xfId="46" applyFont="1" applyFill="1" applyProtection="1">
      <protection locked="0"/>
    </xf>
    <xf numFmtId="0" fontId="14" fillId="0" borderId="0" xfId="46" applyBorder="1" applyProtection="1">
      <protection locked="0"/>
    </xf>
    <xf numFmtId="0" fontId="47" fillId="29" borderId="0" xfId="46" applyFont="1" applyFill="1" applyAlignment="1" applyProtection="1">
      <protection locked="0"/>
    </xf>
    <xf numFmtId="0" fontId="18" fillId="0" borderId="0" xfId="46" applyFont="1" applyAlignment="1" applyProtection="1">
      <alignment horizontal="center"/>
      <protection locked="0"/>
    </xf>
    <xf numFmtId="0" fontId="14" fillId="25" borderId="74" xfId="46" applyFill="1" applyBorder="1" applyProtection="1">
      <protection locked="0"/>
    </xf>
    <xf numFmtId="0" fontId="17" fillId="25" borderId="13" xfId="46" applyFont="1" applyFill="1" applyBorder="1" applyAlignment="1" applyProtection="1">
      <protection locked="0"/>
    </xf>
    <xf numFmtId="0" fontId="17" fillId="25" borderId="33" xfId="46" applyFont="1" applyFill="1" applyBorder="1" applyAlignment="1" applyProtection="1">
      <protection locked="0"/>
    </xf>
    <xf numFmtId="0" fontId="17" fillId="25" borderId="10" xfId="46" applyFont="1" applyFill="1" applyBorder="1" applyAlignment="1" applyProtection="1">
      <alignment horizontal="center" wrapText="1"/>
      <protection locked="0"/>
    </xf>
    <xf numFmtId="0" fontId="17" fillId="25" borderId="10" xfId="46" applyFont="1" applyFill="1" applyBorder="1" applyProtection="1">
      <protection locked="0"/>
    </xf>
    <xf numFmtId="0" fontId="17" fillId="25" borderId="10" xfId="46" applyFont="1" applyFill="1" applyBorder="1" applyAlignment="1" applyProtection="1">
      <alignment horizontal="center"/>
      <protection locked="0"/>
    </xf>
    <xf numFmtId="0" fontId="14" fillId="25" borderId="11" xfId="46" applyFill="1" applyBorder="1" applyProtection="1">
      <protection locked="0"/>
    </xf>
    <xf numFmtId="0" fontId="17" fillId="25" borderId="16" xfId="46" applyFont="1" applyFill="1" applyBorder="1" applyAlignment="1" applyProtection="1">
      <alignment horizontal="center" wrapText="1"/>
      <protection locked="0"/>
    </xf>
    <xf numFmtId="0" fontId="17" fillId="25" borderId="19" xfId="46" applyFont="1" applyFill="1" applyBorder="1" applyAlignment="1" applyProtection="1">
      <alignment horizontal="center"/>
      <protection locked="0"/>
    </xf>
    <xf numFmtId="0" fontId="17" fillId="25" borderId="19" xfId="46" applyFont="1" applyFill="1" applyBorder="1" applyAlignment="1" applyProtection="1">
      <alignment horizontal="center" wrapText="1"/>
      <protection locked="0"/>
    </xf>
    <xf numFmtId="0" fontId="14" fillId="0" borderId="10" xfId="46" applyFont="1" applyBorder="1" applyAlignment="1" applyProtection="1">
      <alignment vertical="center" wrapText="1"/>
      <protection locked="0"/>
    </xf>
    <xf numFmtId="170" fontId="0" fillId="29" borderId="10" xfId="29" applyNumberFormat="1" applyFont="1" applyFill="1" applyBorder="1" applyProtection="1">
      <protection locked="0"/>
    </xf>
    <xf numFmtId="170" fontId="0" fillId="0" borderId="10" xfId="29" applyNumberFormat="1" applyFont="1" applyBorder="1" applyProtection="1">
      <protection locked="0"/>
    </xf>
    <xf numFmtId="0" fontId="14" fillId="0" borderId="11" xfId="46" applyBorder="1" applyProtection="1">
      <protection locked="0"/>
    </xf>
    <xf numFmtId="170" fontId="0" fillId="29" borderId="33" xfId="29" applyNumberFormat="1" applyFont="1" applyFill="1" applyBorder="1" applyProtection="1">
      <protection locked="0"/>
    </xf>
    <xf numFmtId="170" fontId="14" fillId="0" borderId="10" xfId="46" applyNumberFormat="1" applyBorder="1" applyProtection="1">
      <protection locked="0"/>
    </xf>
    <xf numFmtId="0" fontId="14" fillId="0" borderId="10" xfId="46" applyFill="1" applyBorder="1" applyAlignment="1" applyProtection="1">
      <alignment horizontal="center" vertical="center"/>
      <protection locked="0"/>
    </xf>
    <xf numFmtId="0" fontId="14" fillId="0" borderId="10" xfId="46" applyFill="1" applyBorder="1" applyAlignment="1" applyProtection="1">
      <alignment vertical="center" wrapText="1"/>
      <protection locked="0"/>
    </xf>
    <xf numFmtId="0" fontId="14" fillId="0" borderId="10" xfId="46" applyBorder="1" applyAlignment="1" applyProtection="1">
      <alignment vertical="center" wrapText="1"/>
      <protection locked="0"/>
    </xf>
    <xf numFmtId="0" fontId="14" fillId="0" borderId="10" xfId="46" applyFont="1" applyFill="1" applyBorder="1" applyAlignment="1" applyProtection="1">
      <alignment horizontal="center" vertical="center"/>
      <protection locked="0"/>
    </xf>
    <xf numFmtId="0" fontId="14" fillId="0" borderId="10" xfId="46" applyFont="1" applyFill="1" applyBorder="1" applyAlignment="1" applyProtection="1">
      <alignment vertical="center" wrapText="1"/>
      <protection locked="0"/>
    </xf>
    <xf numFmtId="0" fontId="14" fillId="0" borderId="10" xfId="46" applyFont="1" applyBorder="1" applyAlignment="1" applyProtection="1">
      <alignment horizontal="center" vertical="center"/>
      <protection locked="0"/>
    </xf>
    <xf numFmtId="0" fontId="14" fillId="0" borderId="10" xfId="46" applyBorder="1" applyAlignment="1" applyProtection="1">
      <alignment horizontal="center"/>
      <protection locked="0"/>
    </xf>
    <xf numFmtId="0" fontId="14" fillId="0" borderId="10" xfId="46" applyBorder="1" applyProtection="1">
      <protection locked="0"/>
    </xf>
    <xf numFmtId="0" fontId="14" fillId="29" borderId="10" xfId="46" applyFill="1" applyBorder="1" applyProtection="1">
      <protection locked="0"/>
    </xf>
    <xf numFmtId="0" fontId="17" fillId="0" borderId="10" xfId="46" applyFont="1" applyBorder="1" applyProtection="1">
      <protection locked="0"/>
    </xf>
    <xf numFmtId="170" fontId="17" fillId="0" borderId="10" xfId="46" applyNumberFormat="1" applyFont="1" applyBorder="1" applyProtection="1">
      <protection locked="0"/>
    </xf>
    <xf numFmtId="0" fontId="17" fillId="0" borderId="10" xfId="46" applyFont="1" applyBorder="1" applyAlignment="1" applyProtection="1">
      <alignment vertical="center" wrapText="1"/>
      <protection locked="0"/>
    </xf>
    <xf numFmtId="0" fontId="42" fillId="0" borderId="10" xfId="46" applyFont="1" applyBorder="1" applyAlignment="1" applyProtection="1">
      <alignment vertical="top" wrapText="1"/>
      <protection locked="0"/>
    </xf>
    <xf numFmtId="0" fontId="14" fillId="0" borderId="0" xfId="46" applyFill="1" applyBorder="1" applyProtection="1">
      <protection locked="0"/>
    </xf>
    <xf numFmtId="170" fontId="0" fillId="0" borderId="0" xfId="29" applyNumberFormat="1" applyFont="1" applyFill="1" applyBorder="1" applyProtection="1">
      <protection locked="0"/>
    </xf>
    <xf numFmtId="170" fontId="14" fillId="0" borderId="0" xfId="46" applyNumberFormat="1" applyFill="1" applyBorder="1" applyProtection="1">
      <protection locked="0"/>
    </xf>
    <xf numFmtId="0" fontId="14" fillId="0" borderId="0" xfId="46" applyFont="1" applyAlignment="1" applyProtection="1">
      <protection locked="0"/>
    </xf>
    <xf numFmtId="170" fontId="0" fillId="29" borderId="99" xfId="29" applyNumberFormat="1" applyFont="1" applyFill="1" applyBorder="1" applyProtection="1">
      <protection locked="0"/>
    </xf>
    <xf numFmtId="0" fontId="17" fillId="0" borderId="0" xfId="46" applyFont="1" applyFill="1" applyBorder="1" applyAlignment="1" applyProtection="1">
      <protection locked="0"/>
    </xf>
    <xf numFmtId="15" fontId="14" fillId="0" borderId="0" xfId="46" applyNumberFormat="1" applyProtection="1">
      <protection locked="0"/>
    </xf>
    <xf numFmtId="0" fontId="42" fillId="0" borderId="0" xfId="46" applyFont="1" applyAlignment="1" applyProtection="1">
      <alignment horizontal="center"/>
      <protection locked="0"/>
    </xf>
    <xf numFmtId="0" fontId="14" fillId="0" borderId="0" xfId="46" applyAlignment="1" applyProtection="1">
      <alignment horizontal="left"/>
      <protection locked="0"/>
    </xf>
    <xf numFmtId="1" fontId="14" fillId="29" borderId="10" xfId="46" applyNumberFormat="1" applyFill="1" applyBorder="1" applyAlignment="1" applyProtection="1">
      <alignment horizontal="center" vertical="center"/>
      <protection locked="0"/>
    </xf>
    <xf numFmtId="170" fontId="0" fillId="29" borderId="36" xfId="29" applyNumberFormat="1" applyFont="1" applyFill="1" applyBorder="1" applyProtection="1">
      <protection locked="0"/>
    </xf>
    <xf numFmtId="0" fontId="14" fillId="0" borderId="38" xfId="46" applyFont="1" applyBorder="1" applyAlignment="1" applyProtection="1">
      <alignment horizontal="center"/>
      <protection locked="0"/>
    </xf>
    <xf numFmtId="170" fontId="0" fillId="0" borderId="34" xfId="29" applyNumberFormat="1" applyFont="1" applyBorder="1" applyProtection="1">
      <protection locked="0"/>
    </xf>
    <xf numFmtId="0" fontId="17" fillId="0" borderId="0" xfId="46" applyFont="1" applyAlignment="1" applyProtection="1">
      <alignment vertical="top" wrapText="1"/>
      <protection locked="0"/>
    </xf>
    <xf numFmtId="0" fontId="17" fillId="25" borderId="34" xfId="46" quotePrefix="1" applyFont="1" applyFill="1" applyBorder="1" applyAlignment="1" applyProtection="1">
      <alignment horizontal="center"/>
      <protection locked="0"/>
    </xf>
    <xf numFmtId="0" fontId="17" fillId="25" borderId="35" xfId="46" quotePrefix="1" applyFont="1" applyFill="1" applyBorder="1" applyAlignment="1" applyProtection="1">
      <alignment horizontal="center"/>
      <protection locked="0"/>
    </xf>
    <xf numFmtId="170" fontId="17" fillId="0" borderId="56" xfId="46" applyNumberFormat="1" applyFont="1" applyBorder="1" applyProtection="1">
      <protection locked="0"/>
    </xf>
    <xf numFmtId="0" fontId="14" fillId="0" borderId="0" xfId="46" applyFont="1" applyBorder="1" applyAlignment="1" applyProtection="1">
      <alignment horizontal="center"/>
      <protection locked="0"/>
    </xf>
    <xf numFmtId="0" fontId="17" fillId="0" borderId="0" xfId="46" applyFont="1" applyBorder="1" applyProtection="1">
      <protection locked="0"/>
    </xf>
    <xf numFmtId="170" fontId="17" fillId="0" borderId="0" xfId="46" applyNumberFormat="1" applyFont="1" applyBorder="1" applyProtection="1">
      <protection locked="0"/>
    </xf>
    <xf numFmtId="0" fontId="14" fillId="0" borderId="0" xfId="46" applyFont="1" applyAlignment="1" applyProtection="1">
      <alignment horizontal="center" vertical="center"/>
      <protection locked="0"/>
    </xf>
    <xf numFmtId="170" fontId="17" fillId="0" borderId="19" xfId="46" applyNumberFormat="1" applyFont="1" applyBorder="1" applyProtection="1">
      <protection locked="0"/>
    </xf>
    <xf numFmtId="170" fontId="14" fillId="29" borderId="10" xfId="29" applyNumberFormat="1" applyFill="1" applyBorder="1" applyProtection="1">
      <protection locked="0"/>
    </xf>
    <xf numFmtId="170" fontId="0" fillId="29" borderId="19" xfId="29" applyNumberFormat="1" applyFont="1" applyFill="1" applyBorder="1" applyProtection="1">
      <protection locked="0"/>
    </xf>
    <xf numFmtId="0" fontId="17" fillId="0" borderId="0" xfId="46" applyFont="1" applyAlignment="1" applyProtection="1">
      <alignment vertical="center"/>
      <protection locked="0"/>
    </xf>
    <xf numFmtId="0" fontId="17" fillId="0" borderId="0" xfId="46" applyFont="1" applyAlignment="1" applyProtection="1">
      <alignment horizontal="center"/>
      <protection locked="0"/>
    </xf>
    <xf numFmtId="0" fontId="17" fillId="29" borderId="66" xfId="46" applyFont="1" applyFill="1" applyBorder="1" applyAlignment="1" applyProtection="1">
      <alignment horizontal="center"/>
      <protection locked="0"/>
    </xf>
    <xf numFmtId="0" fontId="17" fillId="29" borderId="52" xfId="46" applyFont="1" applyFill="1" applyBorder="1" applyAlignment="1" applyProtection="1">
      <alignment horizontal="center"/>
      <protection locked="0"/>
    </xf>
    <xf numFmtId="0" fontId="17" fillId="29" borderId="63" xfId="46" applyFont="1" applyFill="1" applyBorder="1" applyAlignment="1" applyProtection="1">
      <alignment horizontal="center"/>
      <protection locked="0"/>
    </xf>
    <xf numFmtId="170" fontId="14" fillId="29" borderId="25" xfId="29" applyNumberFormat="1" applyFill="1" applyBorder="1" applyProtection="1">
      <protection locked="0"/>
    </xf>
    <xf numFmtId="170" fontId="14" fillId="29" borderId="67" xfId="29" applyNumberFormat="1" applyFill="1" applyBorder="1" applyProtection="1">
      <protection locked="0"/>
    </xf>
    <xf numFmtId="170" fontId="14" fillId="0" borderId="59" xfId="29" applyNumberFormat="1" applyBorder="1" applyProtection="1">
      <protection locked="0"/>
    </xf>
    <xf numFmtId="0" fontId="17" fillId="0" borderId="43" xfId="46" applyFont="1" applyFill="1" applyBorder="1" applyAlignment="1" applyProtection="1">
      <alignment horizontal="center"/>
      <protection locked="0"/>
    </xf>
    <xf numFmtId="0" fontId="17" fillId="0" borderId="40" xfId="46" applyFont="1" applyFill="1" applyBorder="1" applyAlignment="1" applyProtection="1">
      <alignment horizontal="center"/>
      <protection locked="0"/>
    </xf>
    <xf numFmtId="0" fontId="17" fillId="29" borderId="91" xfId="46" applyFont="1" applyFill="1" applyBorder="1" applyAlignment="1" applyProtection="1">
      <alignment horizontal="center"/>
      <protection locked="0"/>
    </xf>
    <xf numFmtId="0" fontId="17" fillId="29" borderId="12" xfId="46" applyFont="1" applyFill="1" applyBorder="1" applyAlignment="1" applyProtection="1">
      <alignment horizontal="center"/>
      <protection locked="0"/>
    </xf>
    <xf numFmtId="170" fontId="14" fillId="29" borderId="52" xfId="29" applyNumberFormat="1" applyFont="1" applyFill="1" applyBorder="1" applyAlignment="1" applyProtection="1">
      <alignment horizontal="center"/>
      <protection locked="0"/>
    </xf>
    <xf numFmtId="170" fontId="14" fillId="28" borderId="124" xfId="29" applyNumberFormat="1" applyFill="1" applyBorder="1" applyProtection="1">
      <protection locked="0"/>
    </xf>
    <xf numFmtId="170" fontId="14" fillId="29" borderId="124" xfId="29" applyNumberFormat="1" applyFill="1" applyBorder="1" applyAlignment="1" applyProtection="1">
      <alignment horizontal="left" vertical="top" wrapText="1"/>
      <protection locked="0"/>
    </xf>
    <xf numFmtId="170" fontId="14" fillId="28" borderId="103" xfId="29" applyNumberFormat="1" applyFill="1" applyBorder="1" applyProtection="1">
      <protection locked="0"/>
    </xf>
    <xf numFmtId="0" fontId="14" fillId="29" borderId="103" xfId="46" applyFill="1" applyBorder="1" applyAlignment="1" applyProtection="1">
      <alignment horizontal="left" wrapText="1"/>
      <protection locked="0"/>
    </xf>
    <xf numFmtId="0" fontId="14" fillId="29" borderId="148" xfId="46" applyFill="1" applyBorder="1" applyAlignment="1" applyProtection="1">
      <alignment horizontal="left" wrapText="1"/>
      <protection locked="0"/>
    </xf>
    <xf numFmtId="170" fontId="14" fillId="29" borderId="44" xfId="29" applyNumberFormat="1" applyFill="1" applyBorder="1" applyAlignment="1" applyProtection="1">
      <alignment horizontal="left" vertical="top" wrapText="1"/>
      <protection locked="0"/>
    </xf>
    <xf numFmtId="0" fontId="23" fillId="0" borderId="0" xfId="47" applyProtection="1">
      <protection locked="0"/>
    </xf>
    <xf numFmtId="0" fontId="39" fillId="0" borderId="0" xfId="47" applyFont="1" applyProtection="1">
      <protection locked="0"/>
    </xf>
    <xf numFmtId="0" fontId="53" fillId="0" borderId="0" xfId="47" applyFont="1" applyProtection="1">
      <protection locked="0"/>
    </xf>
    <xf numFmtId="0" fontId="58" fillId="0" borderId="0" xfId="47" applyFont="1" applyProtection="1">
      <protection locked="0"/>
    </xf>
    <xf numFmtId="0" fontId="57" fillId="0" borderId="10" xfId="47" applyFont="1" applyBorder="1" applyAlignment="1" applyProtection="1">
      <alignment horizontal="center" wrapText="1"/>
      <protection locked="0"/>
    </xf>
    <xf numFmtId="0" fontId="57" fillId="0" borderId="0" xfId="47" applyFont="1" applyProtection="1">
      <protection locked="0"/>
    </xf>
    <xf numFmtId="0" fontId="57" fillId="0" borderId="10" xfId="47" applyFont="1" applyBorder="1" applyAlignment="1" applyProtection="1">
      <alignment horizontal="center" vertical="center"/>
      <protection locked="0"/>
    </xf>
    <xf numFmtId="0" fontId="57" fillId="0" borderId="10" xfId="47" applyFont="1" applyBorder="1" applyAlignment="1" applyProtection="1">
      <alignment horizontal="center" vertical="center" wrapText="1"/>
      <protection locked="0"/>
    </xf>
    <xf numFmtId="0" fontId="53" fillId="0" borderId="10" xfId="47" applyFont="1" applyBorder="1" applyProtection="1">
      <protection locked="0"/>
    </xf>
    <xf numFmtId="0" fontId="53" fillId="0" borderId="10" xfId="47" applyFont="1" applyBorder="1" applyAlignment="1" applyProtection="1">
      <alignment horizontal="center"/>
      <protection locked="0"/>
    </xf>
    <xf numFmtId="0" fontId="53" fillId="30" borderId="10" xfId="47" applyFont="1" applyFill="1" applyBorder="1" applyProtection="1">
      <protection locked="0"/>
    </xf>
    <xf numFmtId="3" fontId="53" fillId="29" borderId="10" xfId="47" applyNumberFormat="1" applyFont="1" applyFill="1" applyBorder="1" applyAlignment="1" applyProtection="1">
      <protection locked="0"/>
    </xf>
    <xf numFmtId="0" fontId="57" fillId="0" borderId="10" xfId="47" applyFont="1" applyBorder="1" applyProtection="1">
      <protection locked="0"/>
    </xf>
    <xf numFmtId="3" fontId="53" fillId="0" borderId="10" xfId="47" applyNumberFormat="1" applyFont="1" applyBorder="1" applyAlignment="1" applyProtection="1">
      <protection locked="0"/>
    </xf>
    <xf numFmtId="0" fontId="57" fillId="0" borderId="0" xfId="47" applyFont="1" applyAlignment="1" applyProtection="1">
      <alignment wrapText="1"/>
      <protection locked="0"/>
    </xf>
    <xf numFmtId="3" fontId="14" fillId="29" borderId="10" xfId="47" applyNumberFormat="1" applyFont="1" applyFill="1" applyBorder="1" applyAlignment="1" applyProtection="1">
      <protection locked="0"/>
    </xf>
    <xf numFmtId="0" fontId="57" fillId="0" borderId="10" xfId="47" applyFont="1" applyBorder="1" applyAlignment="1" applyProtection="1">
      <alignment wrapText="1"/>
      <protection locked="0"/>
    </xf>
    <xf numFmtId="3" fontId="53" fillId="0" borderId="10" xfId="47" applyNumberFormat="1" applyFont="1" applyBorder="1" applyProtection="1">
      <protection locked="0"/>
    </xf>
    <xf numFmtId="3" fontId="53" fillId="0" borderId="0" xfId="47" applyNumberFormat="1" applyFont="1" applyProtection="1">
      <protection locked="0"/>
    </xf>
    <xf numFmtId="0" fontId="53" fillId="0" borderId="12" xfId="47" applyFont="1" applyBorder="1" applyAlignment="1" applyProtection="1">
      <alignment horizontal="left" wrapText="1" indent="4"/>
      <protection locked="0"/>
    </xf>
    <xf numFmtId="0" fontId="53" fillId="0" borderId="12" xfId="47" applyFont="1" applyBorder="1" applyProtection="1">
      <protection locked="0"/>
    </xf>
    <xf numFmtId="171" fontId="53" fillId="0" borderId="12" xfId="28" applyNumberFormat="1" applyFont="1" applyBorder="1" applyProtection="1">
      <protection locked="0"/>
    </xf>
    <xf numFmtId="0" fontId="57" fillId="0" borderId="0" xfId="47" applyFont="1" applyAlignment="1" applyProtection="1">
      <alignment horizontal="right"/>
      <protection locked="0"/>
    </xf>
    <xf numFmtId="10" fontId="53" fillId="29" borderId="99" xfId="47" applyNumberFormat="1" applyFont="1" applyFill="1" applyBorder="1" applyProtection="1">
      <protection locked="0"/>
    </xf>
    <xf numFmtId="0" fontId="23" fillId="0" borderId="0" xfId="47" applyFont="1" applyProtection="1">
      <protection locked="0"/>
    </xf>
    <xf numFmtId="0" fontId="58" fillId="0" borderId="0" xfId="47" applyFont="1" applyAlignment="1" applyProtection="1">
      <alignment vertical="center"/>
      <protection locked="0"/>
    </xf>
    <xf numFmtId="0" fontId="57" fillId="0" borderId="13" xfId="47" applyFont="1" applyBorder="1" applyProtection="1">
      <protection locked="0"/>
    </xf>
    <xf numFmtId="0" fontId="53" fillId="0" borderId="13" xfId="47" applyFont="1" applyBorder="1" applyProtection="1">
      <protection locked="0"/>
    </xf>
    <xf numFmtId="171" fontId="53" fillId="0" borderId="13" xfId="28" applyNumberFormat="1" applyFont="1" applyBorder="1" applyProtection="1">
      <protection locked="0"/>
    </xf>
    <xf numFmtId="0" fontId="53" fillId="0" borderId="10" xfId="47" applyFont="1" applyBorder="1" applyAlignment="1" applyProtection="1">
      <protection locked="0"/>
    </xf>
    <xf numFmtId="0" fontId="59" fillId="30" borderId="10" xfId="47" applyFont="1" applyFill="1" applyBorder="1" applyProtection="1">
      <protection locked="0"/>
    </xf>
    <xf numFmtId="171" fontId="53" fillId="0" borderId="0" xfId="28" applyNumberFormat="1" applyFont="1" applyProtection="1">
      <protection locked="0"/>
    </xf>
    <xf numFmtId="0" fontId="86" fillId="0" borderId="0" xfId="47" applyFont="1" applyProtection="1">
      <protection locked="0"/>
    </xf>
    <xf numFmtId="0" fontId="12" fillId="0" borderId="0" xfId="90" applyProtection="1">
      <protection locked="0"/>
    </xf>
    <xf numFmtId="0" fontId="17" fillId="0" borderId="0" xfId="0" applyFont="1" applyAlignment="1" applyProtection="1">
      <alignment horizontal="center"/>
      <protection locked="0"/>
    </xf>
    <xf numFmtId="180" fontId="14" fillId="29" borderId="0" xfId="28" applyNumberFormat="1" applyFont="1" applyFill="1" applyBorder="1" applyAlignment="1" applyProtection="1">
      <alignment horizontal="center"/>
      <protection locked="0"/>
    </xf>
    <xf numFmtId="0" fontId="17" fillId="0" borderId="0" xfId="0" applyFont="1" applyFill="1" applyBorder="1" applyProtection="1">
      <protection locked="0"/>
    </xf>
    <xf numFmtId="0" fontId="90" fillId="0" borderId="0" xfId="90" applyFont="1" applyProtection="1">
      <protection locked="0"/>
    </xf>
    <xf numFmtId="0" fontId="14" fillId="0" borderId="0" xfId="0" applyFont="1" applyBorder="1" applyProtection="1">
      <protection locked="0"/>
    </xf>
    <xf numFmtId="9" fontId="14" fillId="29" borderId="0" xfId="28" applyNumberFormat="1" applyFont="1" applyFill="1" applyBorder="1" applyAlignment="1" applyProtection="1">
      <alignment horizontal="center"/>
      <protection locked="0"/>
    </xf>
    <xf numFmtId="0" fontId="17" fillId="0" borderId="0" xfId="0" applyFont="1" applyAlignment="1" applyProtection="1">
      <alignment horizontal="right"/>
      <protection locked="0"/>
    </xf>
    <xf numFmtId="0" fontId="14" fillId="0" borderId="0" xfId="0" applyFont="1" applyAlignment="1" applyProtection="1">
      <alignment horizontal="center"/>
      <protection locked="0"/>
    </xf>
    <xf numFmtId="10" fontId="14" fillId="29" borderId="0" xfId="42" applyNumberFormat="1" applyFont="1" applyFill="1" applyAlignment="1" applyProtection="1">
      <alignment horizontal="center"/>
      <protection locked="0"/>
    </xf>
    <xf numFmtId="167" fontId="14" fillId="0" borderId="0" xfId="29" applyFont="1" applyFill="1" applyBorder="1" applyProtection="1">
      <protection locked="0"/>
    </xf>
    <xf numFmtId="0" fontId="0" fillId="0" borderId="0" xfId="0" applyFill="1" applyProtection="1">
      <protection locked="0"/>
    </xf>
    <xf numFmtId="0" fontId="14" fillId="29" borderId="0" xfId="42" applyNumberFormat="1" applyFont="1" applyFill="1" applyAlignment="1" applyProtection="1">
      <alignment horizontal="center"/>
      <protection locked="0"/>
    </xf>
    <xf numFmtId="0" fontId="14" fillId="29" borderId="0" xfId="29" applyNumberFormat="1" applyFont="1" applyFill="1" applyAlignment="1" applyProtection="1">
      <alignment horizontal="center"/>
      <protection locked="0"/>
    </xf>
    <xf numFmtId="9" fontId="14" fillId="29" borderId="0" xfId="42" applyFont="1" applyFill="1" applyAlignment="1" applyProtection="1">
      <alignment horizontal="center"/>
      <protection locked="0"/>
    </xf>
    <xf numFmtId="10" fontId="14" fillId="29" borderId="0" xfId="28" applyNumberFormat="1" applyFont="1" applyFill="1" applyBorder="1" applyAlignment="1" applyProtection="1">
      <alignment horizontal="center"/>
      <protection locked="0"/>
    </xf>
    <xf numFmtId="0" fontId="47" fillId="0" borderId="52" xfId="93" applyFont="1" applyBorder="1" applyAlignment="1" applyProtection="1">
      <alignment horizontal="center" vertical="center"/>
      <protection locked="0"/>
    </xf>
    <xf numFmtId="0" fontId="47" fillId="0" borderId="42" xfId="96" applyFont="1" applyBorder="1" applyAlignment="1" applyProtection="1">
      <alignment horizontal="center"/>
      <protection locked="0"/>
    </xf>
    <xf numFmtId="0" fontId="47" fillId="0" borderId="130" xfId="96" applyFont="1" applyBorder="1" applyAlignment="1" applyProtection="1">
      <alignment horizontal="center"/>
      <protection locked="0"/>
    </xf>
    <xf numFmtId="0" fontId="47" fillId="0" borderId="124" xfId="93" applyFont="1" applyBorder="1" applyProtection="1">
      <protection locked="0"/>
    </xf>
    <xf numFmtId="179" fontId="14" fillId="29" borderId="53" xfId="93" applyNumberFormat="1" applyFont="1" applyFill="1" applyBorder="1" applyProtection="1">
      <protection locked="0"/>
    </xf>
    <xf numFmtId="0" fontId="47" fillId="0" borderId="101" xfId="93" applyFont="1" applyBorder="1" applyProtection="1">
      <protection locked="0"/>
    </xf>
    <xf numFmtId="0" fontId="47" fillId="0" borderId="31" xfId="93" applyFont="1" applyBorder="1" applyProtection="1">
      <protection locked="0"/>
    </xf>
    <xf numFmtId="179" fontId="11" fillId="0" borderId="131" xfId="93" applyNumberFormat="1" applyBorder="1" applyProtection="1">
      <protection locked="0"/>
    </xf>
    <xf numFmtId="0" fontId="47" fillId="0" borderId="22" xfId="93" applyFont="1" applyBorder="1" applyProtection="1">
      <protection locked="0"/>
    </xf>
    <xf numFmtId="0" fontId="47" fillId="0" borderId="44" xfId="93" applyFont="1" applyBorder="1" applyAlignment="1" applyProtection="1">
      <alignment horizontal="center" vertical="center"/>
      <protection locked="0"/>
    </xf>
    <xf numFmtId="0" fontId="47" fillId="0" borderId="44" xfId="96" applyFont="1" applyBorder="1" applyAlignment="1" applyProtection="1">
      <alignment horizontal="center" vertical="center"/>
      <protection locked="0"/>
    </xf>
    <xf numFmtId="0" fontId="47" fillId="0" borderId="22" xfId="96" applyFont="1" applyBorder="1" applyAlignment="1" applyProtection="1">
      <alignment horizontal="center" vertical="center"/>
      <protection locked="0"/>
    </xf>
    <xf numFmtId="0" fontId="17" fillId="0" borderId="0" xfId="0" applyFont="1" applyAlignment="1" applyProtection="1">
      <alignment horizontal="left"/>
      <protection locked="0"/>
    </xf>
    <xf numFmtId="0" fontId="17" fillId="28" borderId="76" xfId="0" applyFont="1" applyFill="1" applyBorder="1" applyAlignment="1" applyProtection="1">
      <alignment horizontal="center"/>
      <protection locked="0"/>
    </xf>
    <xf numFmtId="0" fontId="17" fillId="28" borderId="63" xfId="0" applyFont="1" applyFill="1" applyBorder="1" applyAlignment="1" applyProtection="1">
      <alignment horizontal="center"/>
      <protection locked="0"/>
    </xf>
    <xf numFmtId="170" fontId="0" fillId="29" borderId="74" xfId="29" applyNumberFormat="1" applyFont="1" applyFill="1" applyBorder="1" applyProtection="1">
      <protection locked="0"/>
    </xf>
    <xf numFmtId="170" fontId="0" fillId="29" borderId="25" xfId="29" applyNumberFormat="1" applyFont="1" applyFill="1" applyBorder="1" applyProtection="1">
      <protection locked="0"/>
    </xf>
    <xf numFmtId="0" fontId="36" fillId="29" borderId="27" xfId="0" applyFont="1" applyFill="1" applyBorder="1" applyAlignment="1" applyProtection="1">
      <alignment horizontal="center"/>
      <protection locked="0"/>
    </xf>
    <xf numFmtId="0" fontId="36" fillId="29" borderId="10" xfId="0" applyFont="1" applyFill="1" applyBorder="1" applyProtection="1">
      <protection locked="0"/>
    </xf>
    <xf numFmtId="0" fontId="0" fillId="29" borderId="10" xfId="0" applyFill="1" applyBorder="1" applyProtection="1">
      <protection locked="0"/>
    </xf>
    <xf numFmtId="0" fontId="0" fillId="29" borderId="25" xfId="0" applyFill="1" applyBorder="1" applyProtection="1">
      <protection locked="0"/>
    </xf>
    <xf numFmtId="170" fontId="0" fillId="0" borderId="35" xfId="29" applyNumberFormat="1" applyFont="1" applyBorder="1" applyProtection="1">
      <protection locked="0"/>
    </xf>
    <xf numFmtId="0" fontId="17" fillId="0" borderId="10" xfId="0" applyFont="1" applyFill="1" applyBorder="1" applyAlignment="1" applyProtection="1">
      <alignment horizontal="center"/>
      <protection locked="0"/>
    </xf>
    <xf numFmtId="170" fontId="0" fillId="29" borderId="13" xfId="29" applyNumberFormat="1" applyFont="1" applyFill="1" applyBorder="1" applyProtection="1">
      <protection locked="0"/>
    </xf>
    <xf numFmtId="170" fontId="0" fillId="29" borderId="11" xfId="29" applyNumberFormat="1" applyFont="1" applyFill="1" applyBorder="1" applyProtection="1">
      <protection locked="0"/>
    </xf>
    <xf numFmtId="170" fontId="0" fillId="29" borderId="0" xfId="29" applyNumberFormat="1" applyFont="1" applyFill="1" applyBorder="1" applyProtection="1">
      <protection locked="0"/>
    </xf>
    <xf numFmtId="170" fontId="0" fillId="29" borderId="66" xfId="29" applyNumberFormat="1" applyFont="1" applyFill="1" applyBorder="1" applyProtection="1">
      <protection locked="0"/>
    </xf>
    <xf numFmtId="170" fontId="0" fillId="29" borderId="14" xfId="29" applyNumberFormat="1" applyFont="1" applyFill="1" applyBorder="1" applyProtection="1">
      <protection locked="0"/>
    </xf>
    <xf numFmtId="170" fontId="0" fillId="29" borderId="37" xfId="29" applyNumberFormat="1" applyFont="1" applyFill="1" applyBorder="1" applyProtection="1">
      <protection locked="0"/>
    </xf>
    <xf numFmtId="0" fontId="0" fillId="0" borderId="0" xfId="0" applyAlignment="1" applyProtection="1">
      <alignment horizontal="center" vertical="center"/>
      <protection locked="0"/>
    </xf>
    <xf numFmtId="0" fontId="0" fillId="0" borderId="10" xfId="0" applyBorder="1" applyProtection="1">
      <protection locked="0"/>
    </xf>
    <xf numFmtId="0" fontId="17" fillId="0" borderId="10" xfId="0" applyFont="1" applyFill="1" applyBorder="1" applyProtection="1">
      <protection locked="0"/>
    </xf>
    <xf numFmtId="0" fontId="17" fillId="0" borderId="21" xfId="0" applyFont="1" applyFill="1" applyBorder="1" applyAlignment="1" applyProtection="1">
      <alignment horizontal="center" vertical="center" wrapText="1"/>
      <protection locked="0"/>
    </xf>
    <xf numFmtId="0" fontId="17" fillId="0" borderId="65" xfId="0" applyFont="1" applyFill="1" applyBorder="1" applyAlignment="1" applyProtection="1">
      <alignment horizontal="center" vertical="center" wrapText="1"/>
      <protection locked="0"/>
    </xf>
    <xf numFmtId="0" fontId="83" fillId="0" borderId="20" xfId="46" applyFont="1" applyFill="1" applyBorder="1" applyAlignment="1" applyProtection="1">
      <alignment vertical="center" wrapText="1"/>
      <protection locked="0"/>
    </xf>
    <xf numFmtId="0" fontId="17" fillId="28" borderId="21" xfId="0" applyFont="1" applyFill="1" applyBorder="1" applyAlignment="1" applyProtection="1">
      <alignment horizontal="center" vertical="top" wrapText="1"/>
      <protection locked="0"/>
    </xf>
    <xf numFmtId="0" fontId="17" fillId="28" borderId="65" xfId="0" applyFont="1" applyFill="1" applyBorder="1" applyAlignment="1" applyProtection="1">
      <alignment horizontal="center" vertical="top" wrapText="1"/>
      <protection locked="0"/>
    </xf>
    <xf numFmtId="0" fontId="17" fillId="0" borderId="32" xfId="0" applyFont="1" applyBorder="1" applyAlignment="1" applyProtection="1">
      <alignment vertical="center"/>
      <protection locked="0"/>
    </xf>
    <xf numFmtId="0" fontId="83" fillId="0" borderId="0" xfId="46" applyFont="1" applyFill="1" applyBorder="1" applyAlignment="1" applyProtection="1">
      <alignment vertical="center" wrapText="1"/>
      <protection locked="0"/>
    </xf>
    <xf numFmtId="0" fontId="17" fillId="0" borderId="53" xfId="0" applyFont="1" applyBorder="1" applyProtection="1">
      <protection locked="0"/>
    </xf>
    <xf numFmtId="170" fontId="0" fillId="29" borderId="44" xfId="29" applyNumberFormat="1" applyFont="1" applyFill="1" applyBorder="1" applyProtection="1">
      <protection locked="0"/>
    </xf>
    <xf numFmtId="170" fontId="0" fillId="0" borderId="33" xfId="29" applyNumberFormat="1" applyFont="1" applyBorder="1" applyProtection="1">
      <protection locked="0"/>
    </xf>
    <xf numFmtId="0" fontId="0" fillId="29" borderId="27" xfId="0" applyFill="1" applyBorder="1" applyProtection="1">
      <protection locked="0"/>
    </xf>
    <xf numFmtId="0" fontId="14" fillId="29" borderId="27" xfId="0" applyFont="1" applyFill="1" applyBorder="1" applyProtection="1">
      <protection locked="0"/>
    </xf>
    <xf numFmtId="0" fontId="0" fillId="29" borderId="71" xfId="0" applyFill="1" applyBorder="1" applyProtection="1">
      <protection locked="0"/>
    </xf>
    <xf numFmtId="170" fontId="0" fillId="29" borderId="17" xfId="29" applyNumberFormat="1" applyFont="1" applyFill="1" applyBorder="1" applyProtection="1">
      <protection locked="0"/>
    </xf>
    <xf numFmtId="0" fontId="17" fillId="0" borderId="38" xfId="0" applyFont="1" applyBorder="1" applyProtection="1">
      <protection locked="0"/>
    </xf>
    <xf numFmtId="170" fontId="0" fillId="0" borderId="56" xfId="29" applyNumberFormat="1" applyFont="1" applyBorder="1" applyProtection="1">
      <protection locked="0"/>
    </xf>
    <xf numFmtId="3" fontId="0" fillId="64" borderId="10" xfId="29" applyNumberFormat="1" applyFont="1" applyFill="1" applyBorder="1" applyProtection="1">
      <protection locked="0"/>
    </xf>
    <xf numFmtId="171" fontId="14" fillId="29" borderId="10" xfId="28" applyNumberFormat="1" applyFill="1" applyBorder="1" applyProtection="1">
      <protection locked="0"/>
    </xf>
    <xf numFmtId="0" fontId="17" fillId="0" borderId="69" xfId="0" applyFont="1" applyBorder="1" applyAlignment="1" applyProtection="1">
      <protection locked="0"/>
    </xf>
    <xf numFmtId="0" fontId="0" fillId="0" borderId="68" xfId="0" applyBorder="1" applyAlignment="1" applyProtection="1">
      <protection locked="0"/>
    </xf>
    <xf numFmtId="0" fontId="17" fillId="64" borderId="10" xfId="0" applyFont="1" applyFill="1" applyBorder="1" applyAlignment="1" applyProtection="1">
      <alignment horizontal="center" vertical="center" wrapText="1"/>
      <protection locked="0"/>
    </xf>
    <xf numFmtId="171" fontId="17" fillId="29" borderId="19" xfId="28" applyNumberFormat="1" applyFont="1" applyFill="1" applyBorder="1" applyProtection="1">
      <protection locked="0"/>
    </xf>
    <xf numFmtId="171" fontId="17" fillId="29" borderId="63" xfId="28" applyNumberFormat="1" applyFont="1" applyFill="1" applyBorder="1" applyProtection="1">
      <protection locked="0"/>
    </xf>
    <xf numFmtId="170" fontId="17" fillId="29" borderId="10" xfId="29" applyNumberFormat="1" applyFont="1" applyFill="1" applyBorder="1" applyProtection="1">
      <protection locked="0"/>
    </xf>
    <xf numFmtId="170" fontId="17" fillId="29" borderId="25" xfId="29" applyNumberFormat="1" applyFont="1" applyFill="1" applyBorder="1" applyProtection="1">
      <protection locked="0"/>
    </xf>
    <xf numFmtId="167" fontId="17" fillId="0" borderId="10" xfId="29" applyFont="1" applyBorder="1" applyProtection="1">
      <protection locked="0"/>
    </xf>
    <xf numFmtId="167" fontId="17" fillId="0" borderId="25" xfId="29" applyFont="1" applyBorder="1" applyProtection="1">
      <protection locked="0"/>
    </xf>
    <xf numFmtId="0" fontId="17" fillId="29" borderId="10" xfId="0" applyFont="1" applyFill="1" applyBorder="1" applyProtection="1">
      <protection locked="0"/>
    </xf>
    <xf numFmtId="0" fontId="17" fillId="29" borderId="25" xfId="0" applyFont="1" applyFill="1" applyBorder="1" applyProtection="1">
      <protection locked="0"/>
    </xf>
    <xf numFmtId="168" fontId="17" fillId="0" borderId="10" xfId="28" applyFont="1" applyBorder="1" applyProtection="1">
      <protection locked="0"/>
    </xf>
    <xf numFmtId="168" fontId="17" fillId="0" borderId="25" xfId="28" applyFont="1" applyBorder="1" applyProtection="1">
      <protection locked="0"/>
    </xf>
    <xf numFmtId="0" fontId="14" fillId="0" borderId="0" xfId="0" quotePrefix="1" applyFont="1" applyAlignment="1" applyProtection="1">
      <alignment horizontal="center"/>
      <protection locked="0"/>
    </xf>
    <xf numFmtId="0" fontId="0" fillId="29" borderId="10" xfId="0" applyFill="1" applyBorder="1" applyAlignment="1" applyProtection="1">
      <alignment vertical="top"/>
      <protection locked="0"/>
    </xf>
    <xf numFmtId="170" fontId="0" fillId="29" borderId="10" xfId="29" applyNumberFormat="1" applyFont="1" applyFill="1" applyBorder="1" applyAlignment="1" applyProtection="1">
      <alignment vertical="top"/>
      <protection locked="0"/>
    </xf>
    <xf numFmtId="0" fontId="0" fillId="29" borderId="26" xfId="0" applyFill="1" applyBorder="1" applyAlignment="1" applyProtection="1">
      <alignment vertical="top"/>
      <protection locked="0"/>
    </xf>
    <xf numFmtId="170" fontId="0" fillId="29" borderId="26" xfId="29" applyNumberFormat="1" applyFont="1" applyFill="1" applyBorder="1" applyAlignment="1" applyProtection="1">
      <alignment vertical="top"/>
      <protection locked="0"/>
    </xf>
    <xf numFmtId="0" fontId="44" fillId="29" borderId="0" xfId="0" applyFont="1" applyFill="1" applyProtection="1">
      <protection locked="0"/>
    </xf>
    <xf numFmtId="0" fontId="44" fillId="25" borderId="0" xfId="0" applyFont="1" applyFill="1" applyProtection="1">
      <protection locked="0"/>
    </xf>
    <xf numFmtId="0" fontId="17" fillId="25" borderId="10" xfId="0" applyFont="1" applyFill="1" applyBorder="1" applyAlignment="1" applyProtection="1">
      <alignment horizontal="center"/>
      <protection locked="0"/>
    </xf>
    <xf numFmtId="0" fontId="0" fillId="29" borderId="28" xfId="0" applyFill="1" applyBorder="1" applyProtection="1">
      <protection locked="0"/>
    </xf>
    <xf numFmtId="0" fontId="0" fillId="29" borderId="26" xfId="0" applyFill="1" applyBorder="1" applyProtection="1">
      <protection locked="0"/>
    </xf>
    <xf numFmtId="0" fontId="17" fillId="25" borderId="25" xfId="0" applyFont="1" applyFill="1" applyBorder="1" applyAlignment="1" applyProtection="1">
      <alignment horizontal="center"/>
      <protection locked="0"/>
    </xf>
    <xf numFmtId="0" fontId="41" fillId="29" borderId="27" xfId="0" applyFont="1" applyFill="1" applyBorder="1" applyProtection="1">
      <protection locked="0"/>
    </xf>
    <xf numFmtId="0" fontId="41" fillId="29" borderId="10" xfId="0" applyFont="1" applyFill="1" applyBorder="1" applyProtection="1">
      <protection locked="0"/>
    </xf>
    <xf numFmtId="0" fontId="0" fillId="29" borderId="62" xfId="0" applyFill="1" applyBorder="1" applyProtection="1">
      <protection locked="0"/>
    </xf>
    <xf numFmtId="0" fontId="17" fillId="0" borderId="0" xfId="0" applyFont="1" applyAlignment="1" applyProtection="1">
      <alignment horizontal="center" vertical="top" wrapText="1"/>
      <protection locked="0"/>
    </xf>
    <xf numFmtId="0" fontId="17" fillId="0" borderId="0" xfId="0" applyFont="1" applyAlignment="1" applyProtection="1">
      <alignment vertical="top" wrapText="1"/>
      <protection locked="0"/>
    </xf>
    <xf numFmtId="0" fontId="17" fillId="0" borderId="0" xfId="0" applyFont="1" applyAlignment="1" applyProtection="1">
      <alignment horizontal="left" vertical="center" indent="4"/>
      <protection locked="0"/>
    </xf>
    <xf numFmtId="0" fontId="94" fillId="0" borderId="0" xfId="0" applyFont="1" applyAlignment="1" applyProtection="1">
      <alignment horizontal="left" vertical="center" indent="2"/>
      <protection locked="0"/>
    </xf>
    <xf numFmtId="0" fontId="17" fillId="0" borderId="0" xfId="46" applyFont="1" applyBorder="1" applyAlignment="1" applyProtection="1">
      <alignment vertical="center"/>
      <protection locked="0"/>
    </xf>
    <xf numFmtId="0" fontId="17" fillId="0" borderId="0" xfId="46" applyFont="1" applyBorder="1" applyAlignment="1" applyProtection="1">
      <alignment horizontal="center" vertical="center"/>
      <protection locked="0"/>
    </xf>
    <xf numFmtId="0" fontId="14" fillId="0" borderId="0" xfId="46" applyBorder="1" applyAlignment="1" applyProtection="1">
      <alignment horizontal="center"/>
      <protection locked="0"/>
    </xf>
    <xf numFmtId="0" fontId="14" fillId="0" borderId="0" xfId="46" quotePrefix="1" applyBorder="1" applyAlignment="1" applyProtection="1">
      <alignment horizontal="center"/>
      <protection locked="0"/>
    </xf>
    <xf numFmtId="0" fontId="14" fillId="0" borderId="0" xfId="46" quotePrefix="1" applyBorder="1" applyAlignment="1" applyProtection="1">
      <alignment horizontal="right"/>
      <protection locked="0"/>
    </xf>
    <xf numFmtId="0" fontId="17" fillId="0" borderId="12" xfId="46" applyFont="1" applyBorder="1" applyProtection="1">
      <protection locked="0"/>
    </xf>
    <xf numFmtId="0" fontId="14" fillId="0" borderId="0" xfId="46" quotePrefix="1" applyBorder="1" applyProtection="1">
      <protection locked="0"/>
    </xf>
    <xf numFmtId="10" fontId="14" fillId="29" borderId="0" xfId="42" applyNumberFormat="1" applyFont="1" applyFill="1" applyBorder="1" applyProtection="1">
      <protection locked="0"/>
    </xf>
    <xf numFmtId="10" fontId="14" fillId="0" borderId="0" xfId="42" applyNumberFormat="1" applyFont="1" applyFill="1" applyBorder="1" applyProtection="1">
      <protection locked="0"/>
    </xf>
    <xf numFmtId="177" fontId="14" fillId="0" borderId="0" xfId="29" applyNumberFormat="1" applyFont="1" applyBorder="1" applyProtection="1">
      <protection locked="0"/>
    </xf>
    <xf numFmtId="10" fontId="14" fillId="29" borderId="12" xfId="42" applyNumberFormat="1" applyFont="1" applyFill="1" applyBorder="1" applyProtection="1">
      <protection locked="0"/>
    </xf>
    <xf numFmtId="177" fontId="14" fillId="0" borderId="12" xfId="29" applyNumberFormat="1" applyFont="1" applyBorder="1" applyProtection="1">
      <protection locked="0"/>
    </xf>
    <xf numFmtId="169" fontId="14" fillId="0" borderId="14" xfId="42" applyNumberFormat="1" applyFont="1" applyBorder="1" applyProtection="1">
      <protection locked="0"/>
    </xf>
    <xf numFmtId="169" fontId="14" fillId="0" borderId="14" xfId="42" applyNumberFormat="1" applyFont="1" applyFill="1" applyBorder="1" applyProtection="1">
      <protection locked="0"/>
    </xf>
    <xf numFmtId="177" fontId="14" fillId="0" borderId="14" xfId="29" applyNumberFormat="1" applyFont="1" applyBorder="1" applyProtection="1">
      <protection locked="0"/>
    </xf>
    <xf numFmtId="10" fontId="14" fillId="0" borderId="14" xfId="42" applyNumberFormat="1" applyFont="1" applyBorder="1" applyProtection="1">
      <protection locked="0"/>
    </xf>
    <xf numFmtId="0" fontId="14" fillId="64" borderId="0" xfId="46" applyFill="1" applyBorder="1" applyProtection="1">
      <protection locked="0"/>
    </xf>
    <xf numFmtId="169" fontId="14" fillId="0" borderId="0" xfId="42" applyNumberFormat="1" applyFont="1" applyBorder="1" applyProtection="1">
      <protection locked="0"/>
    </xf>
    <xf numFmtId="169" fontId="14" fillId="0" borderId="0" xfId="42" applyNumberFormat="1" applyFont="1" applyFill="1" applyBorder="1" applyProtection="1">
      <protection locked="0"/>
    </xf>
    <xf numFmtId="177" fontId="14" fillId="0" borderId="0" xfId="46" applyNumberFormat="1" applyBorder="1" applyProtection="1">
      <protection locked="0"/>
    </xf>
    <xf numFmtId="10" fontId="14" fillId="0" borderId="0" xfId="42" applyNumberFormat="1" applyFont="1" applyBorder="1" applyProtection="1">
      <protection locked="0"/>
    </xf>
    <xf numFmtId="0" fontId="17" fillId="0" borderId="0" xfId="46" applyFont="1" applyBorder="1" applyAlignment="1" applyProtection="1">
      <protection locked="0"/>
    </xf>
    <xf numFmtId="0" fontId="14" fillId="0" borderId="0" xfId="46" applyBorder="1" applyAlignment="1" applyProtection="1">
      <protection locked="0"/>
    </xf>
    <xf numFmtId="0" fontId="14" fillId="0" borderId="0" xfId="46" quotePrefix="1" applyBorder="1" applyAlignment="1" applyProtection="1">
      <protection locked="0"/>
    </xf>
    <xf numFmtId="10" fontId="14" fillId="29" borderId="0" xfId="42" applyNumberFormat="1" applyFont="1" applyFill="1" applyBorder="1" applyAlignment="1" applyProtection="1">
      <protection locked="0"/>
    </xf>
    <xf numFmtId="10" fontId="14" fillId="0" borderId="0" xfId="42" applyNumberFormat="1" applyFont="1" applyFill="1" applyBorder="1" applyAlignment="1" applyProtection="1">
      <protection locked="0"/>
    </xf>
    <xf numFmtId="177" fontId="14" fillId="0" borderId="0" xfId="29" applyNumberFormat="1" applyFont="1" applyBorder="1" applyAlignment="1" applyProtection="1">
      <protection locked="0"/>
    </xf>
    <xf numFmtId="10" fontId="14" fillId="29" borderId="12" xfId="42" applyNumberFormat="1" applyFont="1" applyFill="1" applyBorder="1" applyAlignment="1" applyProtection="1">
      <protection locked="0"/>
    </xf>
    <xf numFmtId="177" fontId="14" fillId="0" borderId="12" xfId="29" applyNumberFormat="1" applyFont="1" applyBorder="1" applyAlignment="1" applyProtection="1">
      <protection locked="0"/>
    </xf>
    <xf numFmtId="169" fontId="14" fillId="0" borderId="119" xfId="46" applyNumberFormat="1" applyBorder="1" applyProtection="1">
      <protection locked="0"/>
    </xf>
    <xf numFmtId="9" fontId="14" fillId="0" borderId="119" xfId="46" applyNumberFormat="1" applyBorder="1" applyProtection="1">
      <protection locked="0"/>
    </xf>
    <xf numFmtId="177" fontId="14" fillId="29" borderId="119" xfId="29" applyNumberFormat="1" applyFont="1" applyFill="1" applyBorder="1" applyProtection="1">
      <protection locked="0"/>
    </xf>
    <xf numFmtId="10" fontId="14" fillId="0" borderId="119" xfId="42" applyNumberFormat="1" applyFont="1" applyBorder="1" applyProtection="1">
      <protection locked="0"/>
    </xf>
    <xf numFmtId="177" fontId="14" fillId="0" borderId="119" xfId="29" applyNumberFormat="1" applyFont="1" applyBorder="1" applyProtection="1">
      <protection locked="0"/>
    </xf>
    <xf numFmtId="0" fontId="17" fillId="0" borderId="0" xfId="46" quotePrefix="1" applyFont="1" applyAlignment="1" applyProtection="1">
      <alignment horizontal="center" vertical="center"/>
      <protection locked="0"/>
    </xf>
    <xf numFmtId="0" fontId="17" fillId="0" borderId="0" xfId="0" applyFont="1" applyAlignment="1" applyProtection="1">
      <protection locked="0"/>
    </xf>
    <xf numFmtId="0" fontId="17" fillId="0" borderId="0" xfId="0" applyFont="1" applyAlignment="1" applyProtection="1">
      <alignment horizontal="left" indent="4"/>
      <protection locked="0"/>
    </xf>
    <xf numFmtId="0" fontId="19" fillId="0" borderId="0" xfId="0" applyFont="1" applyAlignment="1" applyProtection="1">
      <alignment horizontal="center" vertical="center"/>
      <protection locked="0"/>
    </xf>
    <xf numFmtId="0" fontId="0" fillId="28" borderId="10" xfId="0" applyFill="1" applyBorder="1" applyProtection="1">
      <protection locked="0"/>
    </xf>
    <xf numFmtId="0" fontId="14" fillId="0" borderId="32" xfId="0" applyFont="1"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4" xfId="0" applyBorder="1" applyAlignment="1" applyProtection="1">
      <alignment horizontal="center" vertical="center" wrapText="1"/>
      <protection locked="0"/>
    </xf>
    <xf numFmtId="0" fontId="14" fillId="0" borderId="24" xfId="0" applyFont="1" applyBorder="1" applyAlignment="1" applyProtection="1">
      <alignment horizontal="center" vertical="center" wrapText="1"/>
      <protection locked="0"/>
    </xf>
    <xf numFmtId="0" fontId="14" fillId="0" borderId="61" xfId="0" applyFont="1" applyBorder="1" applyAlignment="1" applyProtection="1">
      <alignment horizontal="center" vertical="center" wrapText="1"/>
      <protection locked="0"/>
    </xf>
    <xf numFmtId="0" fontId="0" fillId="0" borderId="27" xfId="0" applyBorder="1" applyProtection="1">
      <protection locked="0"/>
    </xf>
    <xf numFmtId="175" fontId="0" fillId="29" borderId="10" xfId="0" applyNumberFormat="1" applyFill="1" applyBorder="1" applyProtection="1">
      <protection locked="0"/>
    </xf>
    <xf numFmtId="167" fontId="0" fillId="0" borderId="10" xfId="29" applyFont="1" applyFill="1" applyBorder="1" applyProtection="1">
      <protection locked="0"/>
    </xf>
    <xf numFmtId="0" fontId="0" fillId="0" borderId="25" xfId="0" applyBorder="1" applyProtection="1">
      <protection locked="0"/>
    </xf>
    <xf numFmtId="0" fontId="0" fillId="0" borderId="0" xfId="0" applyAlignment="1" applyProtection="1">
      <alignment horizontal="left" indent="4"/>
      <protection locked="0"/>
    </xf>
    <xf numFmtId="0" fontId="0" fillId="0" borderId="71" xfId="0" applyBorder="1" applyProtection="1">
      <protection locked="0"/>
    </xf>
    <xf numFmtId="0" fontId="0" fillId="0" borderId="36" xfId="0" applyBorder="1" applyProtection="1">
      <protection locked="0"/>
    </xf>
    <xf numFmtId="0" fontId="0" fillId="0" borderId="17" xfId="0" applyBorder="1" applyProtection="1">
      <protection locked="0"/>
    </xf>
    <xf numFmtId="0" fontId="0" fillId="0" borderId="38" xfId="0" applyBorder="1" applyProtection="1">
      <protection locked="0"/>
    </xf>
    <xf numFmtId="0" fontId="0" fillId="0" borderId="34" xfId="0" applyBorder="1" applyProtection="1">
      <protection locked="0"/>
    </xf>
    <xf numFmtId="0" fontId="0" fillId="0" borderId="56" xfId="0" applyBorder="1" applyProtection="1">
      <protection locked="0"/>
    </xf>
    <xf numFmtId="167" fontId="0" fillId="0" borderId="34" xfId="0" applyNumberFormat="1" applyBorder="1" applyProtection="1">
      <protection locked="0"/>
    </xf>
    <xf numFmtId="0" fontId="0" fillId="0" borderId="62" xfId="0" applyBorder="1" applyProtection="1">
      <protection locked="0"/>
    </xf>
    <xf numFmtId="0" fontId="0" fillId="0" borderId="0" xfId="0" applyAlignment="1" applyProtection="1">
      <alignment horizontal="center" vertical="top"/>
      <protection locked="0"/>
    </xf>
    <xf numFmtId="170" fontId="0" fillId="0" borderId="26" xfId="29" applyNumberFormat="1" applyFont="1" applyBorder="1" applyProtection="1">
      <protection locked="0"/>
    </xf>
    <xf numFmtId="0" fontId="14" fillId="0" borderId="0" xfId="0" applyFont="1" applyAlignment="1" applyProtection="1">
      <protection locked="0"/>
    </xf>
    <xf numFmtId="0" fontId="17" fillId="0" borderId="0" xfId="0" applyFont="1" applyFill="1" applyAlignment="1" applyProtection="1">
      <alignment horizontal="left" vertical="center"/>
      <protection locked="0"/>
    </xf>
    <xf numFmtId="0" fontId="0" fillId="0" borderId="0" xfId="0" applyFill="1" applyAlignment="1" applyProtection="1">
      <alignment horizontal="left" vertical="center"/>
      <protection locked="0"/>
    </xf>
    <xf numFmtId="173" fontId="0" fillId="0" borderId="0" xfId="0" applyNumberFormat="1" applyFill="1" applyAlignment="1" applyProtection="1">
      <alignment horizontal="left" vertical="center"/>
      <protection locked="0"/>
    </xf>
    <xf numFmtId="0" fontId="21" fillId="0" borderId="0" xfId="0" applyFont="1" applyFill="1" applyAlignment="1" applyProtection="1">
      <alignment horizontal="center" vertical="center"/>
      <protection locked="0"/>
    </xf>
    <xf numFmtId="0" fontId="81" fillId="0" borderId="0" xfId="0" applyFont="1" applyFill="1" applyAlignment="1" applyProtection="1">
      <alignment vertical="center"/>
      <protection locked="0"/>
    </xf>
    <xf numFmtId="0" fontId="19" fillId="0" borderId="0" xfId="0" applyFont="1" applyAlignment="1" applyProtection="1">
      <alignment horizontal="left"/>
      <protection locked="0"/>
    </xf>
    <xf numFmtId="0" fontId="17" fillId="0" borderId="0" xfId="0" applyFont="1" applyFill="1" applyProtection="1">
      <protection locked="0"/>
    </xf>
    <xf numFmtId="0" fontId="17" fillId="0" borderId="10" xfId="0" quotePrefix="1" applyFont="1" applyFill="1" applyBorder="1" applyAlignment="1" applyProtection="1">
      <alignment horizontal="center"/>
      <protection locked="0"/>
    </xf>
    <xf numFmtId="0" fontId="17" fillId="0" borderId="10" xfId="0" quotePrefix="1" applyFont="1" applyBorder="1" applyAlignment="1" applyProtection="1">
      <alignment horizontal="center"/>
      <protection locked="0"/>
    </xf>
    <xf numFmtId="0" fontId="14" fillId="0" borderId="109" xfId="0" applyFont="1" applyBorder="1" applyProtection="1">
      <protection locked="0"/>
    </xf>
    <xf numFmtId="0" fontId="17" fillId="0" borderId="10" xfId="0" applyFont="1" applyFill="1" applyBorder="1" applyAlignment="1" applyProtection="1">
      <alignment vertical="center"/>
      <protection locked="0"/>
    </xf>
    <xf numFmtId="0" fontId="17" fillId="0" borderId="10" xfId="0" applyFont="1" applyFill="1" applyBorder="1" applyAlignment="1" applyProtection="1">
      <alignment horizontal="left" vertical="top" wrapText="1"/>
      <protection locked="0"/>
    </xf>
    <xf numFmtId="0" fontId="14" fillId="0" borderId="10" xfId="0" quotePrefix="1" applyFont="1" applyBorder="1" applyAlignment="1" applyProtection="1">
      <alignment horizontal="center" vertical="center"/>
      <protection locked="0"/>
    </xf>
    <xf numFmtId="0" fontId="14" fillId="0" borderId="10" xfId="0" applyFont="1" applyBorder="1" applyAlignment="1" applyProtection="1">
      <alignment horizontal="left" vertical="top" wrapText="1" indent="1"/>
      <protection locked="0"/>
    </xf>
    <xf numFmtId="167" fontId="14" fillId="29" borderId="10" xfId="29" applyFont="1" applyFill="1" applyBorder="1" applyAlignment="1" applyProtection="1">
      <alignment vertical="center"/>
      <protection locked="0"/>
    </xf>
    <xf numFmtId="167" fontId="14" fillId="0" borderId="10" xfId="29" applyFont="1" applyBorder="1" applyAlignment="1" applyProtection="1">
      <alignment vertical="center"/>
      <protection locked="0"/>
    </xf>
    <xf numFmtId="0" fontId="17" fillId="0" borderId="0" xfId="0" applyFont="1" applyFill="1" applyAlignment="1" applyProtection="1">
      <alignment horizontal="center"/>
      <protection locked="0"/>
    </xf>
    <xf numFmtId="0" fontId="17" fillId="29" borderId="10" xfId="0" applyFont="1" applyFill="1" applyBorder="1" applyAlignment="1" applyProtection="1">
      <alignment horizontal="left" vertical="top" wrapText="1" indent="1"/>
      <protection locked="0"/>
    </xf>
    <xf numFmtId="0" fontId="14" fillId="0" borderId="10" xfId="0" applyFont="1" applyFill="1" applyBorder="1" applyAlignment="1" applyProtection="1">
      <alignment horizontal="left" vertical="top" wrapText="1" indent="1"/>
      <protection locked="0"/>
    </xf>
    <xf numFmtId="0" fontId="14" fillId="0" borderId="0" xfId="0" applyFont="1" applyFill="1" applyAlignment="1" applyProtection="1">
      <protection locked="0"/>
    </xf>
    <xf numFmtId="0" fontId="14" fillId="0" borderId="13" xfId="0" applyFont="1" applyBorder="1" applyAlignment="1" applyProtection="1">
      <alignment horizontal="left" vertical="top" wrapText="1" indent="1"/>
      <protection locked="0"/>
    </xf>
    <xf numFmtId="0" fontId="14" fillId="0" borderId="13" xfId="0" applyFont="1" applyBorder="1" applyAlignment="1" applyProtection="1">
      <alignment vertical="center"/>
      <protection locked="0"/>
    </xf>
    <xf numFmtId="0" fontId="17" fillId="0" borderId="10" xfId="0" applyFont="1" applyBorder="1" applyAlignment="1" applyProtection="1">
      <alignment vertical="center"/>
      <protection locked="0"/>
    </xf>
    <xf numFmtId="0" fontId="17" fillId="0" borderId="109" xfId="0" applyFont="1" applyBorder="1" applyAlignment="1" applyProtection="1">
      <alignment vertical="center"/>
      <protection locked="0"/>
    </xf>
    <xf numFmtId="0" fontId="14" fillId="0" borderId="10" xfId="0" applyFont="1" applyBorder="1" applyAlignment="1" applyProtection="1">
      <alignment vertical="center" wrapText="1"/>
      <protection locked="0"/>
    </xf>
    <xf numFmtId="0" fontId="14" fillId="0" borderId="10" xfId="0" applyFont="1" applyBorder="1" applyAlignment="1" applyProtection="1">
      <alignment horizontal="center" vertical="center"/>
      <protection locked="0"/>
    </xf>
    <xf numFmtId="168" fontId="14" fillId="29" borderId="10" xfId="28" applyFont="1" applyFill="1" applyBorder="1" applyProtection="1">
      <protection locked="0"/>
    </xf>
    <xf numFmtId="171" fontId="14" fillId="29" borderId="10" xfId="28" applyNumberFormat="1" applyFont="1" applyFill="1" applyBorder="1" applyProtection="1">
      <protection locked="0"/>
    </xf>
    <xf numFmtId="10" fontId="14" fillId="0" borderId="10" xfId="42" applyNumberFormat="1" applyFont="1" applyBorder="1" applyProtection="1">
      <protection locked="0"/>
    </xf>
    <xf numFmtId="0" fontId="14" fillId="0" borderId="10" xfId="0" applyFont="1" applyFill="1" applyBorder="1" applyAlignment="1" applyProtection="1">
      <alignment vertical="center" wrapText="1"/>
      <protection locked="0"/>
    </xf>
    <xf numFmtId="0" fontId="17" fillId="0" borderId="10" xfId="0" applyFont="1" applyBorder="1" applyAlignment="1" applyProtection="1">
      <alignment horizontal="left" vertical="center"/>
      <protection locked="0"/>
    </xf>
    <xf numFmtId="0" fontId="14" fillId="0" borderId="10" xfId="0" applyFont="1" applyBorder="1" applyProtection="1">
      <protection locked="0"/>
    </xf>
    <xf numFmtId="0" fontId="14" fillId="0" borderId="10" xfId="0" quotePrefix="1" applyFont="1" applyBorder="1" applyAlignment="1" applyProtection="1">
      <alignment horizontal="center"/>
      <protection locked="0"/>
    </xf>
    <xf numFmtId="0" fontId="14" fillId="0" borderId="10" xfId="0" quotePrefix="1" applyFont="1" applyFill="1" applyBorder="1" applyAlignment="1" applyProtection="1">
      <alignment horizontal="center"/>
      <protection locked="0"/>
    </xf>
    <xf numFmtId="0" fontId="17" fillId="0" borderId="0" xfId="0" applyFont="1" applyBorder="1" applyAlignment="1" applyProtection="1">
      <alignment vertical="center"/>
      <protection locked="0"/>
    </xf>
    <xf numFmtId="172" fontId="14" fillId="0" borderId="10" xfId="29" applyNumberFormat="1" applyFont="1" applyBorder="1" applyProtection="1">
      <protection locked="0"/>
    </xf>
    <xf numFmtId="167" fontId="14" fillId="0" borderId="10" xfId="0" applyNumberFormat="1" applyFont="1" applyBorder="1" applyProtection="1">
      <protection locked="0"/>
    </xf>
    <xf numFmtId="172" fontId="14" fillId="0" borderId="10" xfId="0" applyNumberFormat="1" applyFont="1" applyBorder="1" applyProtection="1">
      <protection locked="0"/>
    </xf>
    <xf numFmtId="4" fontId="14" fillId="0" borderId="10" xfId="42" applyNumberFormat="1" applyFont="1" applyBorder="1" applyProtection="1">
      <protection locked="0"/>
    </xf>
    <xf numFmtId="4" fontId="14" fillId="0" borderId="10" xfId="0" applyNumberFormat="1" applyFont="1" applyBorder="1" applyProtection="1">
      <protection locked="0"/>
    </xf>
    <xf numFmtId="0" fontId="17" fillId="0" borderId="10" xfId="0" applyFont="1" applyBorder="1" applyAlignment="1" applyProtection="1">
      <alignment vertical="center" wrapText="1"/>
      <protection locked="0"/>
    </xf>
    <xf numFmtId="167" fontId="17" fillId="0" borderId="10" xfId="0" applyNumberFormat="1" applyFont="1" applyBorder="1" applyProtection="1">
      <protection locked="0"/>
    </xf>
    <xf numFmtId="172" fontId="17" fillId="0" borderId="10" xfId="29" applyNumberFormat="1" applyFont="1" applyBorder="1" applyProtection="1">
      <protection locked="0"/>
    </xf>
    <xf numFmtId="172" fontId="17" fillId="0" borderId="10" xfId="0" applyNumberFormat="1" applyFont="1" applyBorder="1" applyProtection="1">
      <protection locked="0"/>
    </xf>
    <xf numFmtId="4" fontId="17" fillId="0" borderId="10" xfId="0" applyNumberFormat="1" applyFont="1" applyFill="1" applyBorder="1" applyAlignment="1" applyProtection="1">
      <alignment vertical="center"/>
      <protection locked="0"/>
    </xf>
    <xf numFmtId="0" fontId="14" fillId="0" borderId="30" xfId="0" applyFont="1" applyBorder="1" applyProtection="1">
      <protection locked="0"/>
    </xf>
    <xf numFmtId="0" fontId="17" fillId="0" borderId="43" xfId="0" quotePrefix="1" applyFont="1" applyBorder="1" applyAlignment="1" applyProtection="1">
      <alignment horizontal="center"/>
      <protection locked="0"/>
    </xf>
    <xf numFmtId="0" fontId="17" fillId="0" borderId="45" xfId="0" quotePrefix="1" applyFont="1" applyBorder="1" applyAlignment="1" applyProtection="1">
      <alignment horizontal="center"/>
      <protection locked="0"/>
    </xf>
    <xf numFmtId="0" fontId="14" fillId="0" borderId="40" xfId="0" applyFont="1" applyBorder="1" applyProtection="1">
      <protection locked="0"/>
    </xf>
    <xf numFmtId="0" fontId="17" fillId="0" borderId="40" xfId="0" applyFont="1" applyBorder="1" applyAlignment="1" applyProtection="1">
      <alignment horizontal="center"/>
      <protection locked="0"/>
    </xf>
    <xf numFmtId="0" fontId="17" fillId="0" borderId="29" xfId="0" applyFont="1" applyBorder="1" applyAlignment="1" applyProtection="1">
      <alignment horizontal="center"/>
      <protection locked="0"/>
    </xf>
    <xf numFmtId="0" fontId="14" fillId="0" borderId="29" xfId="0" applyFont="1" applyBorder="1" applyProtection="1">
      <protection locked="0"/>
    </xf>
    <xf numFmtId="0" fontId="14" fillId="0" borderId="41" xfId="0" applyFont="1" applyBorder="1" applyProtection="1">
      <protection locked="0"/>
    </xf>
    <xf numFmtId="0" fontId="14" fillId="0" borderId="41" xfId="0" quotePrefix="1" applyFont="1" applyBorder="1" applyAlignment="1" applyProtection="1">
      <alignment horizontal="center"/>
      <protection locked="0"/>
    </xf>
    <xf numFmtId="0" fontId="14" fillId="0" borderId="29" xfId="0" quotePrefix="1" applyFont="1" applyBorder="1" applyAlignment="1" applyProtection="1">
      <alignment horizontal="center"/>
      <protection locked="0"/>
    </xf>
    <xf numFmtId="0" fontId="14" fillId="0" borderId="41" xfId="0" applyFont="1" applyBorder="1" applyAlignment="1" applyProtection="1">
      <alignment horizontal="center"/>
      <protection locked="0"/>
    </xf>
    <xf numFmtId="0" fontId="14" fillId="0" borderId="43" xfId="0" applyFont="1" applyBorder="1" applyProtection="1">
      <protection locked="0"/>
    </xf>
    <xf numFmtId="10" fontId="14" fillId="29" borderId="42" xfId="42" applyNumberFormat="1" applyFont="1" applyFill="1" applyBorder="1" applyProtection="1">
      <protection locked="0"/>
    </xf>
    <xf numFmtId="10" fontId="14" fillId="29" borderId="41" xfId="42" applyNumberFormat="1" applyFont="1" applyFill="1" applyBorder="1" applyProtection="1">
      <protection locked="0"/>
    </xf>
    <xf numFmtId="10" fontId="14" fillId="29" borderId="31" xfId="42" applyNumberFormat="1" applyFont="1" applyFill="1" applyBorder="1" applyProtection="1">
      <protection locked="0"/>
    </xf>
    <xf numFmtId="0" fontId="14" fillId="0" borderId="44" xfId="0" applyFont="1" applyBorder="1" applyProtection="1">
      <protection locked="0"/>
    </xf>
    <xf numFmtId="10" fontId="14" fillId="0" borderId="44" xfId="42" applyNumberFormat="1" applyFont="1" applyBorder="1" applyProtection="1">
      <protection locked="0"/>
    </xf>
    <xf numFmtId="0" fontId="14" fillId="0" borderId="22" xfId="0" applyFont="1" applyBorder="1" applyProtection="1">
      <protection locked="0"/>
    </xf>
    <xf numFmtId="9" fontId="14" fillId="29" borderId="22" xfId="42" applyFont="1" applyFill="1" applyBorder="1" applyProtection="1">
      <protection locked="0"/>
    </xf>
    <xf numFmtId="0" fontId="17" fillId="0" borderId="41" xfId="0" applyFont="1" applyBorder="1" applyProtection="1">
      <protection locked="0"/>
    </xf>
    <xf numFmtId="10" fontId="14" fillId="0" borderId="41" xfId="42" applyNumberFormat="1" applyFont="1" applyBorder="1" applyProtection="1">
      <protection locked="0"/>
    </xf>
    <xf numFmtId="0" fontId="14" fillId="0" borderId="31" xfId="0" applyFont="1" applyBorder="1" applyProtection="1">
      <protection locked="0"/>
    </xf>
    <xf numFmtId="0" fontId="17" fillId="29" borderId="10" xfId="0" applyFont="1" applyFill="1" applyBorder="1" applyAlignment="1" applyProtection="1">
      <alignment horizontal="center" vertical="center"/>
      <protection locked="0"/>
    </xf>
    <xf numFmtId="171" fontId="0" fillId="29" borderId="10" xfId="28" applyNumberFormat="1" applyFont="1" applyFill="1" applyBorder="1" applyAlignment="1" applyProtection="1">
      <alignment horizontal="right" vertical="center"/>
      <protection locked="0"/>
    </xf>
    <xf numFmtId="182" fontId="0" fillId="29" borderId="10" xfId="0" applyNumberFormat="1" applyFill="1" applyBorder="1" applyAlignment="1" applyProtection="1">
      <alignment horizontal="right" vertical="center"/>
      <protection locked="0"/>
    </xf>
    <xf numFmtId="0" fontId="17" fillId="0" borderId="32" xfId="0" applyFont="1" applyFill="1" applyBorder="1" applyAlignment="1" applyProtection="1">
      <alignment horizontal="center" vertical="center"/>
      <protection locked="0"/>
    </xf>
    <xf numFmtId="0" fontId="17" fillId="0" borderId="24" xfId="0" applyFont="1" applyFill="1" applyBorder="1" applyAlignment="1" applyProtection="1">
      <alignment horizontal="center" vertical="center"/>
      <protection locked="0"/>
    </xf>
    <xf numFmtId="0" fontId="17" fillId="0" borderId="61" xfId="0" applyFont="1" applyFill="1" applyBorder="1" applyAlignment="1" applyProtection="1">
      <alignment horizontal="center" vertical="center" wrapText="1"/>
      <protection locked="0"/>
    </xf>
    <xf numFmtId="0" fontId="17" fillId="0" borderId="27" xfId="0" applyFont="1" applyFill="1" applyBorder="1" applyAlignment="1" applyProtection="1">
      <alignment horizontal="center"/>
      <protection locked="0"/>
    </xf>
    <xf numFmtId="0" fontId="17" fillId="0" borderId="25" xfId="0" quotePrefix="1" applyFont="1" applyFill="1" applyBorder="1" applyAlignment="1" applyProtection="1">
      <alignment horizontal="center"/>
      <protection locked="0"/>
    </xf>
    <xf numFmtId="0" fontId="0" fillId="0" borderId="27" xfId="0" applyBorder="1" applyAlignment="1" applyProtection="1">
      <alignment horizontal="center"/>
      <protection locked="0"/>
    </xf>
    <xf numFmtId="0" fontId="0" fillId="0" borderId="10" xfId="0" applyBorder="1" applyAlignment="1" applyProtection="1">
      <alignment horizontal="center"/>
      <protection locked="0"/>
    </xf>
    <xf numFmtId="170" fontId="0" fillId="0" borderId="25" xfId="29" applyNumberFormat="1" applyFont="1" applyBorder="1" applyProtection="1">
      <protection locked="0"/>
    </xf>
    <xf numFmtId="0" fontId="0" fillId="0" borderId="89"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28" xfId="0" applyBorder="1" applyAlignment="1" applyProtection="1">
      <alignment horizontal="center"/>
      <protection locked="0"/>
    </xf>
    <xf numFmtId="0" fontId="0" fillId="0" borderId="26" xfId="0" quotePrefix="1" applyBorder="1" applyAlignment="1" applyProtection="1">
      <alignment horizontal="center"/>
      <protection locked="0"/>
    </xf>
    <xf numFmtId="170" fontId="0" fillId="29" borderId="26" xfId="29" applyNumberFormat="1" applyFont="1" applyFill="1" applyBorder="1" applyProtection="1">
      <protection locked="0"/>
    </xf>
    <xf numFmtId="170" fontId="0" fillId="0" borderId="62" xfId="29" applyNumberFormat="1" applyFont="1" applyBorder="1" applyProtection="1">
      <protection locked="0"/>
    </xf>
    <xf numFmtId="0" fontId="0" fillId="0" borderId="0" xfId="0" quotePrefix="1" applyProtection="1">
      <protection locked="0"/>
    </xf>
    <xf numFmtId="0" fontId="41" fillId="0" borderId="0" xfId="0" applyFont="1" applyProtection="1">
      <protection locked="0"/>
    </xf>
    <xf numFmtId="0" fontId="17" fillId="0" borderId="73" xfId="46" applyFont="1" applyFill="1" applyBorder="1" applyAlignment="1" applyProtection="1">
      <alignment horizontal="center"/>
      <protection locked="0"/>
    </xf>
    <xf numFmtId="0" fontId="17" fillId="0" borderId="66" xfId="46" applyFont="1" applyFill="1" applyBorder="1" applyAlignment="1" applyProtection="1">
      <alignment horizontal="center"/>
      <protection locked="0"/>
    </xf>
    <xf numFmtId="170" fontId="14" fillId="0" borderId="25" xfId="29" applyNumberFormat="1" applyFill="1" applyBorder="1" applyProtection="1">
      <protection locked="0"/>
    </xf>
    <xf numFmtId="170" fontId="14" fillId="0" borderId="35" xfId="29" applyNumberFormat="1" applyBorder="1" applyProtection="1">
      <protection locked="0"/>
    </xf>
    <xf numFmtId="0" fontId="17" fillId="0" borderId="41" xfId="46" applyFont="1" applyFill="1" applyBorder="1" applyAlignment="1" applyProtection="1">
      <alignment horizontal="center"/>
      <protection locked="0"/>
    </xf>
    <xf numFmtId="0" fontId="17" fillId="0" borderId="35" xfId="46" applyFont="1" applyFill="1" applyBorder="1" applyAlignment="1" applyProtection="1">
      <alignment horizontal="center"/>
      <protection locked="0"/>
    </xf>
    <xf numFmtId="0" fontId="17" fillId="0" borderId="46" xfId="46" applyFont="1" applyFill="1" applyBorder="1" applyAlignment="1" applyProtection="1">
      <alignment horizontal="center"/>
      <protection locked="0"/>
    </xf>
    <xf numFmtId="0" fontId="14" fillId="0" borderId="30" xfId="46" applyFill="1" applyBorder="1" applyAlignment="1" applyProtection="1">
      <protection locked="0"/>
    </xf>
    <xf numFmtId="0" fontId="14" fillId="0" borderId="31" xfId="46" applyFill="1" applyBorder="1" applyAlignment="1" applyProtection="1">
      <protection locked="0"/>
    </xf>
    <xf numFmtId="170" fontId="14" fillId="29" borderId="63" xfId="29" applyNumberFormat="1" applyFill="1" applyBorder="1" applyProtection="1">
      <protection locked="0"/>
    </xf>
    <xf numFmtId="170" fontId="14" fillId="0" borderId="63" xfId="29" applyNumberFormat="1" applyFill="1" applyBorder="1" applyProtection="1">
      <protection locked="0"/>
    </xf>
    <xf numFmtId="170" fontId="14" fillId="0" borderId="124" xfId="29" applyNumberFormat="1" applyFill="1" applyBorder="1" applyProtection="1">
      <protection locked="0"/>
    </xf>
    <xf numFmtId="170" fontId="14" fillId="0" borderId="37" xfId="29" applyNumberFormat="1" applyFill="1" applyBorder="1" applyProtection="1">
      <protection locked="0"/>
    </xf>
    <xf numFmtId="0" fontId="17" fillId="0" borderId="0" xfId="0" applyFont="1" applyAlignment="1" applyProtection="1">
      <alignment horizontal="center" vertical="center"/>
      <protection locked="0"/>
    </xf>
    <xf numFmtId="0" fontId="14" fillId="0" borderId="0" xfId="46" applyFont="1" applyAlignment="1" applyProtection="1">
      <alignment vertical="center" wrapText="1"/>
      <protection locked="0"/>
    </xf>
    <xf numFmtId="0" fontId="0" fillId="0" borderId="10" xfId="0" applyBorder="1" applyAlignment="1" applyProtection="1">
      <alignment horizontal="center" vertical="center"/>
      <protection locked="0"/>
    </xf>
    <xf numFmtId="165" fontId="14" fillId="29" borderId="141" xfId="0" applyNumberFormat="1" applyFont="1" applyFill="1" applyBorder="1" applyAlignment="1" applyProtection="1">
      <alignment horizontal="center" vertical="center" wrapText="1"/>
      <protection locked="0"/>
    </xf>
    <xf numFmtId="0" fontId="21" fillId="0" borderId="0" xfId="0" applyFont="1" applyAlignment="1" applyProtection="1">
      <alignment horizontal="center"/>
      <protection locked="0"/>
    </xf>
    <xf numFmtId="0" fontId="14" fillId="0" borderId="0" xfId="0" applyFont="1" applyAlignment="1" applyProtection="1">
      <alignment horizontal="left" vertical="top" wrapText="1"/>
      <protection locked="0"/>
    </xf>
    <xf numFmtId="0" fontId="14" fillId="0" borderId="10" xfId="46" applyBorder="1" applyAlignment="1" applyProtection="1">
      <alignment horizontal="center" vertical="center"/>
      <protection locked="0"/>
    </xf>
    <xf numFmtId="0" fontId="14" fillId="0" borderId="10" xfId="46" applyBorder="1" applyAlignment="1" applyProtection="1">
      <alignment horizontal="left" vertical="center"/>
      <protection locked="0"/>
    </xf>
    <xf numFmtId="0" fontId="14" fillId="0" borderId="0" xfId="46" applyAlignment="1" applyProtection="1">
      <alignment horizontal="center"/>
      <protection locked="0"/>
    </xf>
    <xf numFmtId="0" fontId="14" fillId="0" borderId="0" xfId="46" applyAlignment="1" applyProtection="1">
      <protection locked="0"/>
    </xf>
    <xf numFmtId="0" fontId="14" fillId="0" borderId="0" xfId="0" applyFont="1" applyFill="1" applyBorder="1" applyAlignment="1" applyProtection="1">
      <protection locked="0"/>
    </xf>
    <xf numFmtId="0" fontId="0" fillId="0" borderId="0" xfId="0" applyAlignment="1" applyProtection="1">
      <alignment horizontal="left"/>
      <protection locked="0"/>
    </xf>
    <xf numFmtId="0" fontId="14" fillId="0" borderId="0" xfId="0" applyFont="1" applyAlignment="1" applyProtection="1">
      <alignment wrapText="1"/>
      <protection locked="0"/>
    </xf>
    <xf numFmtId="0" fontId="17" fillId="0" borderId="0" xfId="0" applyFont="1" applyAlignment="1" applyProtection="1">
      <alignment horizontal="left" vertical="top" wrapText="1"/>
      <protection locked="0"/>
    </xf>
    <xf numFmtId="0" fontId="82" fillId="0" borderId="0" xfId="46" applyFont="1" applyAlignment="1" applyProtection="1">
      <alignment horizontal="center" vertical="center"/>
      <protection locked="0"/>
    </xf>
    <xf numFmtId="0" fontId="17" fillId="0" borderId="12" xfId="46" applyFont="1" applyBorder="1" applyAlignment="1" applyProtection="1">
      <alignment horizontal="center" vertical="center"/>
      <protection locked="0"/>
    </xf>
    <xf numFmtId="0" fontId="17" fillId="0" borderId="10" xfId="0" applyFont="1" applyFill="1" applyBorder="1" applyAlignment="1" applyProtection="1">
      <alignment horizontal="center" vertical="center" wrapText="1"/>
      <protection locked="0"/>
    </xf>
    <xf numFmtId="0" fontId="14" fillId="0" borderId="0" xfId="46" applyAlignment="1" applyProtection="1">
      <alignment wrapText="1"/>
      <protection locked="0"/>
    </xf>
    <xf numFmtId="0" fontId="14" fillId="0" borderId="0" xfId="46" applyFont="1" applyAlignment="1" applyProtection="1">
      <alignment horizontal="center" vertical="top"/>
      <protection locked="0"/>
    </xf>
    <xf numFmtId="0" fontId="16" fillId="0" borderId="0" xfId="46" applyFont="1" applyAlignment="1" applyProtection="1">
      <alignment horizontal="right" vertical="top"/>
      <protection locked="0"/>
    </xf>
    <xf numFmtId="0" fontId="16" fillId="29" borderId="0" xfId="46" applyFont="1" applyFill="1" applyAlignment="1" applyProtection="1">
      <alignment horizontal="right" vertical="top"/>
      <protection locked="0"/>
    </xf>
    <xf numFmtId="0" fontId="0" fillId="28" borderId="93" xfId="0" applyNumberFormat="1" applyFill="1" applyBorder="1" applyAlignment="1" applyProtection="1">
      <alignment vertical="center"/>
      <protection locked="0"/>
    </xf>
    <xf numFmtId="0" fontId="17" fillId="0" borderId="0" xfId="46" applyFont="1" applyAlignment="1" applyProtection="1">
      <alignment horizontal="center" vertical="center" wrapText="1"/>
      <protection locked="0"/>
    </xf>
    <xf numFmtId="0" fontId="17" fillId="0" borderId="10" xfId="46" applyFont="1" applyBorder="1" applyAlignment="1" applyProtection="1">
      <alignment horizontal="center" vertical="center" wrapText="1"/>
      <protection locked="0"/>
    </xf>
    <xf numFmtId="0" fontId="16" fillId="29" borderId="0" xfId="46" applyFont="1" applyFill="1" applyAlignment="1" applyProtection="1">
      <alignment horizontal="right" vertical="top"/>
      <protection locked="0"/>
    </xf>
    <xf numFmtId="0" fontId="21" fillId="0" borderId="0" xfId="0" applyFont="1" applyAlignment="1" applyProtection="1">
      <alignment horizontal="center"/>
      <protection locked="0"/>
    </xf>
    <xf numFmtId="0" fontId="17" fillId="0" borderId="33" xfId="0" applyFont="1" applyBorder="1" applyAlignment="1" applyProtection="1">
      <alignment horizontal="left"/>
      <protection locked="0"/>
    </xf>
    <xf numFmtId="0" fontId="17" fillId="0" borderId="53" xfId="0" quotePrefix="1" applyFont="1" applyBorder="1" applyAlignment="1" applyProtection="1">
      <alignment horizontal="left"/>
      <protection locked="0"/>
    </xf>
    <xf numFmtId="170" fontId="17" fillId="0" borderId="10" xfId="29" applyNumberFormat="1" applyFont="1" applyFill="1" applyBorder="1" applyProtection="1">
      <protection locked="0"/>
    </xf>
    <xf numFmtId="170" fontId="17" fillId="0" borderId="25" xfId="29" applyNumberFormat="1" applyFont="1" applyFill="1" applyBorder="1" applyProtection="1">
      <protection locked="0"/>
    </xf>
    <xf numFmtId="170" fontId="17" fillId="0" borderId="19" xfId="29" applyNumberFormat="1" applyFont="1" applyFill="1" applyBorder="1" applyProtection="1">
      <protection locked="0"/>
    </xf>
    <xf numFmtId="0" fontId="17" fillId="0" borderId="40" xfId="46" applyFont="1" applyFill="1" applyBorder="1" applyAlignment="1" applyProtection="1">
      <alignment horizontal="center" wrapText="1"/>
      <protection locked="0"/>
    </xf>
    <xf numFmtId="0" fontId="17" fillId="0" borderId="41" xfId="46" applyFont="1" applyFill="1" applyBorder="1" applyAlignment="1" applyProtection="1">
      <alignment horizontal="center" wrapText="1"/>
      <protection locked="0"/>
    </xf>
    <xf numFmtId="0" fontId="14" fillId="0" borderId="0" xfId="46" applyAlignment="1" applyProtection="1">
      <alignment horizontal="center"/>
      <protection locked="0"/>
    </xf>
    <xf numFmtId="0" fontId="16" fillId="0" borderId="0" xfId="46" applyFont="1" applyAlignment="1" applyProtection="1">
      <alignment horizontal="right" vertical="top"/>
      <protection locked="0"/>
    </xf>
    <xf numFmtId="0" fontId="111" fillId="0" borderId="0" xfId="0" applyFont="1" applyAlignment="1">
      <alignment horizontal="left" vertical="top" wrapText="1"/>
    </xf>
    <xf numFmtId="0" fontId="14" fillId="0" borderId="0"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43" xfId="0" applyFont="1" applyBorder="1"/>
    <xf numFmtId="0" fontId="0" fillId="0" borderId="40" xfId="0" applyBorder="1"/>
    <xf numFmtId="0" fontId="17" fillId="0" borderId="40" xfId="0" applyFont="1" applyBorder="1"/>
    <xf numFmtId="0" fontId="17" fillId="0" borderId="41" xfId="0" applyFont="1" applyBorder="1"/>
    <xf numFmtId="0" fontId="17" fillId="0" borderId="43" xfId="0" applyFont="1" applyBorder="1"/>
    <xf numFmtId="0" fontId="0" fillId="0" borderId="41" xfId="0" applyBorder="1"/>
    <xf numFmtId="0" fontId="17" fillId="0" borderId="30"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31" xfId="0" applyFont="1" applyBorder="1" applyAlignment="1">
      <alignment horizontal="center" vertical="center" wrapText="1"/>
    </xf>
    <xf numFmtId="0" fontId="14" fillId="0" borderId="108" xfId="0" applyFont="1" applyBorder="1" applyAlignment="1">
      <alignment horizontal="center" vertical="center"/>
    </xf>
    <xf numFmtId="0" fontId="14" fillId="0" borderId="38" xfId="0" applyFont="1" applyBorder="1" applyAlignment="1">
      <alignment horizontal="center" vertical="center"/>
    </xf>
    <xf numFmtId="0" fontId="17" fillId="0" borderId="28" xfId="0" applyFont="1" applyBorder="1" applyAlignment="1">
      <alignment horizontal="center" vertical="center" wrapText="1"/>
    </xf>
    <xf numFmtId="0" fontId="17" fillId="0" borderId="69" xfId="0" applyFont="1" applyBorder="1"/>
    <xf numFmtId="0" fontId="14" fillId="65" borderId="0" xfId="0" applyFont="1" applyFill="1"/>
    <xf numFmtId="0" fontId="0" fillId="65" borderId="0" xfId="0" applyFill="1"/>
    <xf numFmtId="0" fontId="111" fillId="0" borderId="0" xfId="0" applyFont="1" applyAlignment="1">
      <alignment horizontal="left" vertical="top"/>
    </xf>
    <xf numFmtId="0" fontId="0" fillId="0" borderId="0" xfId="0" applyFill="1" applyBorder="1" applyAlignment="1">
      <alignment horizontal="left" vertical="top"/>
    </xf>
    <xf numFmtId="0" fontId="14" fillId="0" borderId="0" xfId="0" applyFont="1" applyFill="1" applyBorder="1" applyAlignment="1">
      <alignment horizontal="center" vertical="center"/>
    </xf>
    <xf numFmtId="0" fontId="14" fillId="0" borderId="30" xfId="0" applyFont="1" applyFill="1" applyBorder="1" applyAlignment="1">
      <alignment horizontal="center" vertical="center"/>
    </xf>
    <xf numFmtId="0" fontId="14" fillId="29" borderId="0" xfId="0" applyFont="1" applyFill="1" applyBorder="1" applyAlignment="1">
      <alignment horizontal="center" vertical="center"/>
    </xf>
    <xf numFmtId="0" fontId="17" fillId="0" borderId="30" xfId="0" applyFont="1" applyFill="1" applyBorder="1" applyAlignment="1">
      <alignment horizontal="center"/>
    </xf>
    <xf numFmtId="0" fontId="17" fillId="0" borderId="29" xfId="0" applyFont="1" applyBorder="1" applyAlignment="1">
      <alignment horizontal="center"/>
    </xf>
    <xf numFmtId="0" fontId="0" fillId="0" borderId="29" xfId="0" applyFill="1" applyBorder="1"/>
    <xf numFmtId="0" fontId="0" fillId="0" borderId="31" xfId="0" applyFill="1" applyBorder="1"/>
    <xf numFmtId="0" fontId="0" fillId="0" borderId="0" xfId="0" applyFill="1"/>
    <xf numFmtId="171" fontId="14" fillId="29" borderId="0" xfId="28" applyNumberFormat="1" applyFont="1" applyFill="1" applyBorder="1" applyAlignment="1">
      <alignment horizontal="center" vertical="center"/>
    </xf>
    <xf numFmtId="171" fontId="14" fillId="29" borderId="30" xfId="28" applyNumberFormat="1" applyFont="1" applyFill="1" applyBorder="1" applyAlignment="1">
      <alignment horizontal="center" vertical="center"/>
    </xf>
    <xf numFmtId="0" fontId="0" fillId="29" borderId="0" xfId="0" applyFill="1" applyBorder="1"/>
    <xf numFmtId="0" fontId="0" fillId="29" borderId="30" xfId="0" applyFill="1" applyBorder="1"/>
    <xf numFmtId="0" fontId="17" fillId="0" borderId="102" xfId="0" applyFont="1" applyBorder="1" applyAlignment="1">
      <alignment vertical="center" wrapText="1"/>
    </xf>
    <xf numFmtId="0" fontId="17" fillId="0" borderId="81" xfId="0" applyFont="1" applyBorder="1" applyAlignment="1">
      <alignment vertical="center" wrapText="1"/>
    </xf>
    <xf numFmtId="0" fontId="0" fillId="0" borderId="30" xfId="0" applyFill="1" applyBorder="1"/>
    <xf numFmtId="0" fontId="17" fillId="0" borderId="47" xfId="0" applyFont="1" applyBorder="1"/>
    <xf numFmtId="0" fontId="0" fillId="0" borderId="47" xfId="0" applyBorder="1"/>
    <xf numFmtId="0" fontId="0" fillId="0" borderId="46" xfId="0" applyBorder="1"/>
    <xf numFmtId="170" fontId="14" fillId="29" borderId="0" xfId="29" applyNumberFormat="1" applyFont="1" applyFill="1" applyBorder="1" applyAlignment="1">
      <alignment horizontal="center" vertical="center"/>
    </xf>
    <xf numFmtId="170" fontId="14" fillId="29" borderId="30" xfId="29" applyNumberFormat="1" applyFont="1" applyFill="1" applyBorder="1" applyAlignment="1">
      <alignment horizontal="center" vertical="center"/>
    </xf>
    <xf numFmtId="0" fontId="14" fillId="0" borderId="92" xfId="0" applyFont="1" applyFill="1" applyBorder="1" applyAlignment="1">
      <alignment horizontal="center" vertical="center"/>
    </xf>
    <xf numFmtId="0" fontId="14" fillId="0" borderId="108" xfId="0" applyFont="1" applyFill="1" applyBorder="1" applyAlignment="1">
      <alignment horizontal="center" vertical="center"/>
    </xf>
    <xf numFmtId="0" fontId="14" fillId="0" borderId="38" xfId="0" applyFont="1" applyFill="1" applyBorder="1" applyAlignment="1">
      <alignment horizontal="center" vertical="center"/>
    </xf>
    <xf numFmtId="0" fontId="0" fillId="0" borderId="0" xfId="0" applyFill="1" applyBorder="1" applyAlignment="1"/>
    <xf numFmtId="0" fontId="0" fillId="28" borderId="44" xfId="0" applyFill="1" applyBorder="1" applyAlignment="1"/>
    <xf numFmtId="0" fontId="17" fillId="0" borderId="0" xfId="0" applyFont="1" applyAlignment="1">
      <alignment horizontal="center" vertical="center"/>
    </xf>
    <xf numFmtId="0" fontId="0" fillId="0" borderId="46" xfId="0" applyBorder="1" applyAlignment="1">
      <alignment horizontal="center" vertical="center"/>
    </xf>
    <xf numFmtId="0" fontId="111" fillId="29" borderId="0" xfId="0" applyFont="1" applyFill="1" applyAlignment="1">
      <alignment horizontal="left" vertical="top"/>
    </xf>
    <xf numFmtId="0" fontId="111" fillId="28" borderId="0" xfId="0" applyFont="1" applyFill="1" applyAlignment="1">
      <alignment horizontal="left" vertical="top"/>
    </xf>
    <xf numFmtId="0" fontId="111" fillId="0" borderId="0" xfId="0" applyFont="1" applyFill="1" applyAlignment="1">
      <alignment horizontal="left" vertical="top"/>
    </xf>
    <xf numFmtId="0" fontId="111" fillId="67" borderId="0" xfId="0" applyFont="1" applyFill="1" applyAlignment="1">
      <alignment horizontal="left" vertical="top"/>
    </xf>
    <xf numFmtId="0" fontId="0" fillId="67" borderId="29" xfId="0" applyFill="1" applyBorder="1"/>
    <xf numFmtId="0" fontId="14" fillId="67" borderId="29" xfId="0" applyFont="1" applyFill="1" applyBorder="1" applyAlignment="1">
      <alignment horizontal="center" vertical="center"/>
    </xf>
    <xf numFmtId="0" fontId="0" fillId="67" borderId="31" xfId="0" applyFill="1" applyBorder="1"/>
    <xf numFmtId="0" fontId="111" fillId="0" borderId="10" xfId="0" applyFont="1" applyBorder="1" applyAlignment="1">
      <alignment horizontal="left" vertical="top"/>
    </xf>
    <xf numFmtId="167" fontId="14" fillId="67" borderId="29" xfId="29" applyFont="1" applyFill="1" applyBorder="1" applyAlignment="1">
      <alignment horizontal="center" vertical="center"/>
    </xf>
    <xf numFmtId="0" fontId="0" fillId="0" borderId="0" xfId="0" applyBorder="1"/>
    <xf numFmtId="0" fontId="0" fillId="67" borderId="0" xfId="0" applyFill="1" applyBorder="1"/>
    <xf numFmtId="171" fontId="14" fillId="0" borderId="0" xfId="28" applyNumberFormat="1" applyFont="1" applyFill="1" applyBorder="1" applyAlignment="1">
      <alignment horizontal="center" vertical="center"/>
    </xf>
    <xf numFmtId="0" fontId="0" fillId="29" borderId="0" xfId="0" applyFill="1" applyBorder="1" applyAlignment="1">
      <alignment horizontal="center" vertical="center"/>
    </xf>
    <xf numFmtId="0" fontId="0" fillId="29" borderId="30" xfId="0" applyFill="1" applyBorder="1" applyAlignment="1">
      <alignment horizontal="center" vertical="center"/>
    </xf>
    <xf numFmtId="0" fontId="0" fillId="29" borderId="0" xfId="0" applyFill="1" applyBorder="1" applyAlignment="1">
      <alignment horizontal="center"/>
    </xf>
    <xf numFmtId="0" fontId="0" fillId="29" borderId="30" xfId="0" applyFill="1" applyBorder="1" applyAlignment="1">
      <alignment horizontal="center"/>
    </xf>
    <xf numFmtId="0" fontId="113" fillId="0" borderId="0" xfId="0" applyFont="1" applyAlignment="1">
      <alignment horizontal="left" vertical="top"/>
    </xf>
    <xf numFmtId="0" fontId="113" fillId="0" borderId="0" xfId="0" applyFont="1" applyFill="1" applyAlignment="1">
      <alignment horizontal="left" vertical="top"/>
    </xf>
    <xf numFmtId="171" fontId="14" fillId="0" borderId="30" xfId="28" applyNumberFormat="1" applyFont="1" applyFill="1" applyBorder="1" applyAlignment="1">
      <alignment horizontal="center" vertical="center"/>
    </xf>
    <xf numFmtId="0" fontId="112" fillId="0" borderId="0" xfId="0" applyFont="1" applyFill="1"/>
    <xf numFmtId="0" fontId="17" fillId="0" borderId="45" xfId="0" applyFont="1" applyFill="1" applyBorder="1"/>
    <xf numFmtId="0" fontId="17" fillId="0" borderId="0" xfId="0" applyFont="1" applyFill="1" applyBorder="1" applyAlignment="1">
      <alignment wrapText="1"/>
    </xf>
    <xf numFmtId="0" fontId="111" fillId="0" borderId="30" xfId="0" applyFont="1" applyBorder="1" applyAlignment="1">
      <alignment horizontal="left" vertical="top"/>
    </xf>
    <xf numFmtId="0" fontId="17" fillId="0" borderId="31" xfId="0" applyFont="1" applyFill="1" applyBorder="1"/>
    <xf numFmtId="0" fontId="17" fillId="0" borderId="46" xfId="0" applyFont="1" applyBorder="1"/>
    <xf numFmtId="0" fontId="0" fillId="0" borderId="70" xfId="0" applyBorder="1"/>
    <xf numFmtId="0" fontId="17" fillId="0" borderId="69" xfId="0" applyFont="1" applyFill="1" applyBorder="1" applyAlignment="1">
      <alignment horizontal="left" vertical="top"/>
    </xf>
    <xf numFmtId="0" fontId="0" fillId="0" borderId="70" xfId="0" applyFill="1" applyBorder="1"/>
    <xf numFmtId="0" fontId="14" fillId="0" borderId="70" xfId="0" applyFont="1" applyFill="1" applyBorder="1" applyAlignment="1">
      <alignment horizontal="center" vertical="center"/>
    </xf>
    <xf numFmtId="0" fontId="14" fillId="0" borderId="70" xfId="0" applyFont="1" applyFill="1" applyBorder="1" applyAlignment="1">
      <alignment horizontal="center" vertical="center" wrapText="1"/>
    </xf>
    <xf numFmtId="0" fontId="0" fillId="0" borderId="0" xfId="0" applyFill="1" applyBorder="1" applyAlignment="1">
      <alignment horizontal="center"/>
    </xf>
    <xf numFmtId="0" fontId="0" fillId="67" borderId="0" xfId="0" applyFill="1" applyBorder="1" applyAlignment="1">
      <alignment horizontal="center" vertical="center"/>
    </xf>
    <xf numFmtId="169" fontId="0" fillId="0" borderId="0" xfId="42" applyNumberFormat="1" applyFont="1" applyFill="1" applyBorder="1" applyAlignment="1">
      <alignment horizontal="center"/>
    </xf>
    <xf numFmtId="169" fontId="0" fillId="0" borderId="0" xfId="42" applyNumberFormat="1" applyFont="1" applyBorder="1" applyAlignment="1">
      <alignment horizontal="center" vertical="center"/>
    </xf>
    <xf numFmtId="169" fontId="0" fillId="0" borderId="29" xfId="42" applyNumberFormat="1" applyFont="1" applyFill="1" applyBorder="1"/>
    <xf numFmtId="0" fontId="0" fillId="0" borderId="30" xfId="0" applyBorder="1"/>
    <xf numFmtId="169" fontId="0" fillId="0" borderId="30" xfId="42" applyNumberFormat="1" applyFont="1" applyFill="1" applyBorder="1" applyAlignment="1">
      <alignment horizontal="center"/>
    </xf>
    <xf numFmtId="0" fontId="0" fillId="0" borderId="30" xfId="0" applyFill="1" applyBorder="1" applyAlignment="1">
      <alignment horizontal="center"/>
    </xf>
    <xf numFmtId="169" fontId="0" fillId="0" borderId="30" xfId="42" applyNumberFormat="1" applyFont="1" applyBorder="1" applyAlignment="1">
      <alignment horizontal="center" vertical="center"/>
    </xf>
    <xf numFmtId="0" fontId="0" fillId="0" borderId="45" xfId="0" applyFill="1" applyBorder="1"/>
    <xf numFmtId="0" fontId="0" fillId="0" borderId="31" xfId="0" applyBorder="1"/>
    <xf numFmtId="0" fontId="0" fillId="0" borderId="64" xfId="0" applyBorder="1"/>
    <xf numFmtId="0" fontId="17" fillId="0" borderId="64" xfId="0" applyFont="1" applyFill="1" applyBorder="1"/>
    <xf numFmtId="0" fontId="41" fillId="0" borderId="40" xfId="0" applyFont="1" applyBorder="1" applyAlignment="1">
      <alignment horizontal="center" vertical="center"/>
    </xf>
    <xf numFmtId="0" fontId="41" fillId="0" borderId="41" xfId="0" applyFont="1" applyBorder="1" applyAlignment="1">
      <alignment horizontal="center" vertical="center"/>
    </xf>
    <xf numFmtId="0" fontId="41" fillId="0" borderId="0" xfId="0" applyFont="1" applyBorder="1" applyAlignment="1">
      <alignment horizontal="center" vertical="center"/>
    </xf>
    <xf numFmtId="0" fontId="17" fillId="0" borderId="70" xfId="0" applyFont="1" applyFill="1" applyBorder="1"/>
    <xf numFmtId="0" fontId="109" fillId="0" borderId="47" xfId="0" applyFont="1" applyBorder="1"/>
    <xf numFmtId="0" fontId="114" fillId="0" borderId="0" xfId="0" applyFont="1" applyBorder="1" applyAlignment="1">
      <alignment horizontal="center" vertical="center"/>
    </xf>
    <xf numFmtId="0" fontId="109" fillId="0" borderId="46" xfId="0" applyFont="1" applyBorder="1"/>
    <xf numFmtId="0" fontId="109" fillId="0" borderId="30" xfId="0" applyFont="1" applyBorder="1" applyAlignment="1">
      <alignment horizontal="center" vertical="center"/>
    </xf>
    <xf numFmtId="169" fontId="0" fillId="0" borderId="31" xfId="42" applyNumberFormat="1" applyFont="1" applyFill="1" applyBorder="1"/>
    <xf numFmtId="0" fontId="0" fillId="67" borderId="0" xfId="0" applyFill="1" applyBorder="1" applyAlignment="1">
      <alignment horizontal="center"/>
    </xf>
    <xf numFmtId="169" fontId="0" fillId="0" borderId="0" xfId="42" applyNumberFormat="1" applyFont="1" applyBorder="1" applyAlignment="1">
      <alignment horizontal="center"/>
    </xf>
    <xf numFmtId="169" fontId="0" fillId="0" borderId="0" xfId="42" applyNumberFormat="1" applyFont="1" applyBorder="1"/>
    <xf numFmtId="169" fontId="0" fillId="0" borderId="30" xfId="42" applyNumberFormat="1" applyFont="1" applyBorder="1" applyAlignment="1">
      <alignment horizontal="center"/>
    </xf>
    <xf numFmtId="169" fontId="0" fillId="0" borderId="30" xfId="42" applyNumberFormat="1" applyFont="1" applyBorder="1"/>
    <xf numFmtId="0" fontId="41" fillId="0" borderId="0" xfId="0" quotePrefix="1" applyFont="1" applyBorder="1" applyAlignment="1">
      <alignment horizontal="center" vertical="center"/>
    </xf>
    <xf numFmtId="0" fontId="0" fillId="67" borderId="29" xfId="0" applyFill="1" applyBorder="1" applyAlignment="1">
      <alignment horizontal="center"/>
    </xf>
    <xf numFmtId="169" fontId="0" fillId="0" borderId="29" xfId="42" applyNumberFormat="1" applyFont="1" applyFill="1" applyBorder="1" applyAlignment="1">
      <alignment horizontal="center"/>
    </xf>
    <xf numFmtId="0" fontId="17" fillId="0" borderId="43" xfId="0" applyFont="1" applyBorder="1" applyAlignment="1">
      <alignment horizontal="center" vertical="center"/>
    </xf>
    <xf numFmtId="0" fontId="0" fillId="67" borderId="29" xfId="0" applyFill="1" applyBorder="1" applyAlignment="1">
      <alignment horizontal="center" vertical="center"/>
    </xf>
    <xf numFmtId="169" fontId="0" fillId="0" borderId="29" xfId="42" applyNumberFormat="1" applyFont="1" applyFill="1" applyBorder="1" applyAlignment="1">
      <alignment horizontal="center" vertical="center"/>
    </xf>
    <xf numFmtId="0" fontId="0" fillId="67" borderId="45" xfId="0" applyFill="1" applyBorder="1"/>
    <xf numFmtId="0" fontId="0" fillId="0" borderId="29" xfId="0" applyBorder="1"/>
    <xf numFmtId="0" fontId="0" fillId="0" borderId="108" xfId="0" applyBorder="1" applyAlignment="1">
      <alignment horizontal="center" vertical="center"/>
    </xf>
    <xf numFmtId="0" fontId="0" fillId="0" borderId="38" xfId="0" applyBorder="1" applyAlignment="1">
      <alignment horizontal="center" vertical="center"/>
    </xf>
    <xf numFmtId="0" fontId="0" fillId="0" borderId="109" xfId="0" applyBorder="1"/>
    <xf numFmtId="0" fontId="0" fillId="0" borderId="77" xfId="0" applyBorder="1"/>
    <xf numFmtId="0" fontId="17" fillId="0" borderId="28" xfId="0" applyFont="1" applyBorder="1"/>
    <xf numFmtId="0" fontId="17" fillId="0" borderId="79" xfId="0" applyFont="1" applyBorder="1" applyAlignment="1">
      <alignment horizontal="center" vertical="center" wrapText="1"/>
    </xf>
    <xf numFmtId="0" fontId="17" fillId="0" borderId="102" xfId="0" applyFont="1" applyBorder="1" applyAlignment="1">
      <alignment horizontal="center" vertical="center" wrapText="1"/>
    </xf>
    <xf numFmtId="0" fontId="17" fillId="0" borderId="81" xfId="0" applyFont="1" applyBorder="1" applyAlignment="1">
      <alignment horizontal="center" vertical="center" wrapText="1"/>
    </xf>
    <xf numFmtId="0" fontId="17" fillId="0" borderId="64" xfId="0" applyFont="1" applyBorder="1"/>
    <xf numFmtId="0" fontId="17" fillId="0" borderId="22" xfId="0" applyFont="1" applyBorder="1" applyAlignment="1">
      <alignment horizontal="center" vertical="center" wrapText="1"/>
    </xf>
    <xf numFmtId="0" fontId="17" fillId="0" borderId="44" xfId="0" applyFont="1" applyBorder="1" applyAlignment="1">
      <alignment horizontal="center" vertical="center"/>
    </xf>
    <xf numFmtId="0" fontId="0" fillId="0" borderId="45" xfId="0" applyBorder="1"/>
    <xf numFmtId="0" fontId="0" fillId="0" borderId="43" xfId="0" applyBorder="1"/>
    <xf numFmtId="0" fontId="17" fillId="0" borderId="64" xfId="0" applyFont="1" applyBorder="1" applyAlignment="1">
      <alignment horizontal="center" vertical="center"/>
    </xf>
    <xf numFmtId="0" fontId="17" fillId="0" borderId="86" xfId="0" applyFont="1" applyBorder="1" applyAlignment="1">
      <alignment horizontal="center" vertical="center"/>
    </xf>
    <xf numFmtId="0" fontId="17" fillId="0" borderId="43" xfId="0" applyFont="1" applyFill="1" applyBorder="1" applyAlignment="1">
      <alignment horizontal="left" vertical="top"/>
    </xf>
    <xf numFmtId="0" fontId="41" fillId="0" borderId="47" xfId="0" applyFont="1" applyBorder="1" applyAlignment="1">
      <alignment horizontal="center" vertical="center"/>
    </xf>
    <xf numFmtId="0" fontId="41" fillId="0" borderId="69" xfId="0" applyFont="1" applyBorder="1" applyAlignment="1">
      <alignment horizontal="center" vertical="center"/>
    </xf>
    <xf numFmtId="0" fontId="17" fillId="0" borderId="38" xfId="0" applyFont="1" applyBorder="1"/>
    <xf numFmtId="0" fontId="0" fillId="0" borderId="41" xfId="0" applyBorder="1" applyAlignment="1">
      <alignment horizontal="center" vertical="center" wrapText="1"/>
    </xf>
    <xf numFmtId="0" fontId="0" fillId="0" borderId="46" xfId="0" applyBorder="1" applyAlignment="1">
      <alignment horizontal="center" vertical="center" wrapText="1"/>
    </xf>
    <xf numFmtId="169" fontId="0" fillId="0" borderId="31" xfId="42" applyNumberFormat="1" applyFont="1" applyFill="1" applyBorder="1" applyAlignment="1">
      <alignment horizontal="center" vertical="center"/>
    </xf>
    <xf numFmtId="0" fontId="17" fillId="0" borderId="40" xfId="0" applyFont="1" applyBorder="1" applyAlignment="1">
      <alignment horizontal="center" vertical="center"/>
    </xf>
    <xf numFmtId="0" fontId="109" fillId="0" borderId="0" xfId="0" applyFont="1" applyFill="1"/>
    <xf numFmtId="0" fontId="0" fillId="29" borderId="0" xfId="0" applyFill="1" applyAlignment="1">
      <alignment horizontal="center" vertical="top"/>
    </xf>
    <xf numFmtId="0" fontId="21" fillId="0" borderId="0" xfId="0" applyFont="1" applyAlignment="1" applyProtection="1">
      <alignment horizontal="center"/>
      <protection locked="0"/>
    </xf>
    <xf numFmtId="0" fontId="17" fillId="0" borderId="33" xfId="0" applyFont="1" applyBorder="1" applyAlignment="1" applyProtection="1">
      <alignment horizontal="left"/>
      <protection locked="0"/>
    </xf>
    <xf numFmtId="0" fontId="17" fillId="0" borderId="53" xfId="0" quotePrefix="1" applyFont="1" applyBorder="1" applyAlignment="1" applyProtection="1">
      <alignment horizontal="left"/>
      <protection locked="0"/>
    </xf>
    <xf numFmtId="0" fontId="16" fillId="0" borderId="0" xfId="46" applyFont="1" applyAlignment="1" applyProtection="1">
      <alignment horizontal="right" vertical="top"/>
      <protection locked="0"/>
    </xf>
    <xf numFmtId="0" fontId="17" fillId="0" borderId="30" xfId="0" applyFont="1" applyBorder="1" applyAlignment="1" applyProtection="1">
      <alignment horizontal="center"/>
      <protection locked="0"/>
    </xf>
    <xf numFmtId="0" fontId="21" fillId="0" borderId="0" xfId="0" applyFont="1" applyBorder="1" applyAlignment="1" applyProtection="1">
      <alignment horizontal="center"/>
      <protection locked="0"/>
    </xf>
    <xf numFmtId="0" fontId="17" fillId="0" borderId="0" xfId="0" applyFont="1" applyAlignment="1">
      <alignment horizontal="right" vertical="top"/>
    </xf>
    <xf numFmtId="170" fontId="14" fillId="29" borderId="25" xfId="29" applyNumberFormat="1" applyFill="1" applyBorder="1" applyAlignment="1" applyProtection="1">
      <alignment horizontal="left" vertical="top" wrapText="1"/>
      <protection locked="0"/>
    </xf>
    <xf numFmtId="170" fontId="14" fillId="29" borderId="67" xfId="29" applyNumberFormat="1" applyFill="1" applyBorder="1" applyAlignment="1" applyProtection="1">
      <alignment horizontal="left" vertical="top" wrapText="1"/>
      <protection locked="0"/>
    </xf>
    <xf numFmtId="170" fontId="14" fillId="29" borderId="62" xfId="29" applyNumberFormat="1" applyFill="1" applyBorder="1" applyAlignment="1" applyProtection="1">
      <alignment horizontal="left" vertical="top" wrapText="1"/>
      <protection locked="0"/>
    </xf>
    <xf numFmtId="0" fontId="0" fillId="28" borderId="158" xfId="0" applyNumberFormat="1" applyFill="1" applyBorder="1" applyAlignment="1" applyProtection="1">
      <alignment vertical="center"/>
      <protection locked="0"/>
    </xf>
    <xf numFmtId="0" fontId="17" fillId="0" borderId="30"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64" xfId="0" applyFont="1" applyBorder="1" applyAlignment="1">
      <alignment horizontal="center" vertical="center"/>
    </xf>
    <xf numFmtId="0" fontId="0" fillId="0" borderId="0" xfId="0" applyAlignment="1" applyProtection="1">
      <alignment horizontal="right"/>
      <protection locked="0"/>
    </xf>
    <xf numFmtId="0" fontId="17" fillId="0" borderId="0" xfId="0" applyFont="1" applyAlignment="1" applyProtection="1">
      <alignment horizontal="right" vertical="top"/>
      <protection locked="0"/>
    </xf>
    <xf numFmtId="0" fontId="17" fillId="64" borderId="73" xfId="46" applyFont="1" applyFill="1" applyBorder="1" applyAlignment="1" applyProtection="1">
      <alignment horizontal="center" vertical="center" wrapText="1"/>
      <protection locked="0"/>
    </xf>
    <xf numFmtId="0" fontId="21" fillId="0" borderId="0" xfId="0" applyFont="1" applyAlignment="1" applyProtection="1">
      <alignment horizontal="center"/>
      <protection locked="0"/>
    </xf>
    <xf numFmtId="0" fontId="20" fillId="0" borderId="0" xfId="0" applyFont="1" applyAlignment="1" applyProtection="1">
      <alignment horizontal="right"/>
      <protection locked="0"/>
    </xf>
    <xf numFmtId="0" fontId="20" fillId="0" borderId="0" xfId="0" applyFont="1" applyAlignment="1" applyProtection="1">
      <alignment horizontal="center" vertical="top" wrapText="1"/>
      <protection locked="0"/>
    </xf>
    <xf numFmtId="0" fontId="14" fillId="0" borderId="0" xfId="46" applyFont="1" applyFill="1" applyBorder="1" applyProtection="1">
      <protection locked="0"/>
    </xf>
    <xf numFmtId="0" fontId="17" fillId="0" borderId="0" xfId="46" applyFont="1" applyFill="1" applyBorder="1" applyAlignment="1" applyProtection="1">
      <alignment horizontal="left"/>
      <protection locked="0"/>
    </xf>
    <xf numFmtId="0" fontId="16" fillId="0" borderId="160" xfId="46" applyFont="1" applyFill="1" applyBorder="1" applyAlignment="1" applyProtection="1">
      <alignment horizontal="right" vertical="top"/>
      <protection locked="0"/>
    </xf>
    <xf numFmtId="0" fontId="115" fillId="0" borderId="0" xfId="130" applyFont="1" applyFill="1" applyBorder="1" applyProtection="1">
      <protection locked="0"/>
    </xf>
    <xf numFmtId="0" fontId="16" fillId="0" borderId="0" xfId="46" applyFont="1" applyFill="1" applyBorder="1" applyAlignment="1" applyProtection="1">
      <alignment horizontal="right" vertical="top"/>
      <protection locked="0"/>
    </xf>
    <xf numFmtId="0" fontId="16" fillId="71" borderId="160" xfId="46" applyFont="1" applyFill="1" applyBorder="1" applyAlignment="1" applyProtection="1">
      <alignment horizontal="right" vertical="top"/>
      <protection locked="0"/>
    </xf>
    <xf numFmtId="0" fontId="16" fillId="71" borderId="0" xfId="46" applyFont="1" applyFill="1" applyBorder="1" applyAlignment="1" applyProtection="1">
      <alignment horizontal="right" vertical="top"/>
      <protection locked="0"/>
    </xf>
    <xf numFmtId="0" fontId="14" fillId="0" borderId="0" xfId="46" applyFont="1" applyFill="1" applyBorder="1" applyAlignment="1" applyProtection="1">
      <alignment horizontal="left"/>
      <protection locked="0"/>
    </xf>
    <xf numFmtId="0" fontId="115" fillId="0" borderId="0" xfId="130" applyFont="1" applyFill="1" applyBorder="1" applyAlignment="1" applyProtection="1">
      <alignment horizontal="left" vertical="top" wrapText="1"/>
      <protection locked="0"/>
    </xf>
    <xf numFmtId="0" fontId="115" fillId="0" borderId="0" xfId="130" applyFont="1" applyFill="1" applyBorder="1" applyAlignment="1" applyProtection="1">
      <alignment wrapText="1"/>
      <protection locked="0"/>
    </xf>
    <xf numFmtId="0" fontId="117" fillId="0" borderId="0" xfId="130" applyFont="1" applyFill="1" applyBorder="1" applyProtection="1">
      <protection locked="0"/>
    </xf>
    <xf numFmtId="168" fontId="117" fillId="0" borderId="0" xfId="131" applyNumberFormat="1" applyFont="1" applyFill="1" applyBorder="1" applyProtection="1">
      <protection locked="0"/>
    </xf>
    <xf numFmtId="0" fontId="117" fillId="72" borderId="47" xfId="130" applyFont="1" applyFill="1" applyBorder="1" applyAlignment="1" applyProtection="1">
      <alignment horizontal="right"/>
      <protection locked="0"/>
    </xf>
    <xf numFmtId="0" fontId="117" fillId="72" borderId="0" xfId="130" applyFont="1" applyFill="1" applyBorder="1" applyAlignment="1" applyProtection="1">
      <alignment horizontal="right"/>
      <protection locked="0"/>
    </xf>
    <xf numFmtId="0" fontId="117" fillId="72" borderId="29" xfId="130" applyFont="1" applyFill="1" applyBorder="1" applyAlignment="1" applyProtection="1">
      <alignment horizontal="right"/>
      <protection locked="0"/>
    </xf>
    <xf numFmtId="0" fontId="115" fillId="0" borderId="47" xfId="130" applyFont="1" applyFill="1" applyBorder="1" applyProtection="1">
      <protection locked="0"/>
    </xf>
    <xf numFmtId="0" fontId="115" fillId="74" borderId="0" xfId="130" applyFont="1" applyFill="1" applyBorder="1" applyProtection="1">
      <protection locked="0"/>
    </xf>
    <xf numFmtId="10" fontId="111" fillId="74" borderId="0" xfId="132" applyNumberFormat="1" applyFont="1" applyFill="1" applyBorder="1" applyProtection="1">
      <protection locked="0"/>
    </xf>
    <xf numFmtId="0" fontId="115" fillId="0" borderId="51" xfId="130" applyFont="1" applyFill="1" applyBorder="1" applyProtection="1">
      <protection locked="0"/>
    </xf>
    <xf numFmtId="0" fontId="115" fillId="74" borderId="119" xfId="130" applyFont="1" applyFill="1" applyBorder="1" applyProtection="1">
      <protection locked="0"/>
    </xf>
    <xf numFmtId="0" fontId="117" fillId="0" borderId="150" xfId="130" applyFont="1" applyFill="1" applyBorder="1" applyProtection="1">
      <protection locked="0"/>
    </xf>
    <xf numFmtId="10" fontId="119" fillId="0" borderId="152" xfId="130" applyNumberFormat="1" applyFont="1" applyFill="1" applyBorder="1" applyProtection="1">
      <protection locked="0"/>
    </xf>
    <xf numFmtId="10" fontId="117" fillId="0" borderId="153" xfId="130" applyNumberFormat="1" applyFont="1" applyFill="1" applyBorder="1" applyProtection="1">
      <protection locked="0"/>
    </xf>
    <xf numFmtId="192" fontId="111" fillId="75" borderId="0" xfId="131" applyNumberFormat="1" applyFont="1" applyFill="1" applyBorder="1" applyProtection="1">
      <protection locked="0"/>
    </xf>
    <xf numFmtId="192" fontId="111" fillId="0" borderId="29" xfId="131" applyNumberFormat="1" applyFont="1" applyFill="1" applyBorder="1" applyProtection="1">
      <protection locked="0"/>
    </xf>
    <xf numFmtId="192" fontId="111" fillId="74" borderId="0" xfId="131" applyNumberFormat="1" applyFont="1" applyFill="1" applyBorder="1" applyProtection="1">
      <protection locked="0"/>
    </xf>
    <xf numFmtId="192" fontId="111" fillId="75" borderId="161" xfId="131" applyNumberFormat="1" applyFont="1" applyFill="1" applyBorder="1" applyProtection="1">
      <protection locked="0"/>
    </xf>
    <xf numFmtId="192" fontId="120" fillId="74" borderId="0" xfId="131" applyNumberFormat="1" applyFont="1" applyFill="1" applyBorder="1" applyProtection="1">
      <protection locked="0"/>
    </xf>
    <xf numFmtId="9" fontId="14" fillId="76" borderId="0" xfId="132" applyFont="1" applyFill="1" applyBorder="1" applyProtection="1">
      <protection locked="0"/>
    </xf>
    <xf numFmtId="9" fontId="115" fillId="76" borderId="0" xfId="130" applyNumberFormat="1" applyFont="1" applyFill="1" applyBorder="1" applyProtection="1">
      <protection locked="0"/>
    </xf>
    <xf numFmtId="9" fontId="115" fillId="0" borderId="0" xfId="130" applyNumberFormat="1" applyFont="1" applyFill="1" applyBorder="1" applyProtection="1">
      <protection locked="0"/>
    </xf>
    <xf numFmtId="192" fontId="111" fillId="74" borderId="119" xfId="131" applyNumberFormat="1" applyFont="1" applyFill="1" applyBorder="1" applyProtection="1">
      <protection locked="0"/>
    </xf>
    <xf numFmtId="192" fontId="120" fillId="74" borderId="119" xfId="131" applyNumberFormat="1" applyFont="1" applyFill="1" applyBorder="1" applyProtection="1">
      <protection locked="0"/>
    </xf>
    <xf numFmtId="0" fontId="117" fillId="0" borderId="46" xfId="130" applyFont="1" applyFill="1" applyBorder="1" applyProtection="1">
      <protection locked="0"/>
    </xf>
    <xf numFmtId="192" fontId="121" fillId="0" borderId="30" xfId="131" applyNumberFormat="1" applyFont="1" applyFill="1" applyBorder="1" applyProtection="1">
      <protection locked="0"/>
    </xf>
    <xf numFmtId="192" fontId="117" fillId="0" borderId="122" xfId="131" applyNumberFormat="1" applyFont="1" applyFill="1" applyBorder="1" applyProtection="1">
      <protection locked="0"/>
    </xf>
    <xf numFmtId="192" fontId="122" fillId="0" borderId="31" xfId="131" applyNumberFormat="1" applyFont="1" applyFill="1" applyBorder="1" applyProtection="1">
      <protection locked="0"/>
    </xf>
    <xf numFmtId="0" fontId="115" fillId="0" borderId="0" xfId="130" applyFont="1" applyFill="1" applyBorder="1" applyAlignment="1" applyProtection="1">
      <alignment horizontal="center" wrapText="1"/>
      <protection locked="0"/>
    </xf>
    <xf numFmtId="0" fontId="115" fillId="0" borderId="0" xfId="130" applyFont="1" applyFill="1" applyBorder="1" applyAlignment="1" applyProtection="1">
      <alignment vertical="top" wrapText="1"/>
      <protection locked="0"/>
    </xf>
    <xf numFmtId="0" fontId="117" fillId="73" borderId="47" xfId="130" applyFont="1" applyFill="1" applyBorder="1" applyAlignment="1" applyProtection="1">
      <alignment horizontal="center"/>
      <protection locked="0"/>
    </xf>
    <xf numFmtId="0" fontId="117" fillId="73" borderId="0" xfId="130" applyFont="1" applyFill="1" applyBorder="1" applyAlignment="1" applyProtection="1">
      <alignment horizontal="center"/>
      <protection locked="0"/>
    </xf>
    <xf numFmtId="0" fontId="117" fillId="73" borderId="29" xfId="130" applyFont="1" applyFill="1" applyBorder="1" applyAlignment="1" applyProtection="1">
      <alignment horizontal="center"/>
      <protection locked="0"/>
    </xf>
    <xf numFmtId="0" fontId="117" fillId="77" borderId="29" xfId="130" applyFont="1" applyFill="1" applyBorder="1" applyAlignment="1" applyProtection="1">
      <alignment horizontal="center"/>
      <protection locked="0"/>
    </xf>
    <xf numFmtId="0" fontId="117" fillId="73" borderId="52" xfId="130" applyFont="1" applyFill="1" applyBorder="1" applyAlignment="1" applyProtection="1">
      <alignment horizontal="center"/>
      <protection locked="0"/>
    </xf>
    <xf numFmtId="0" fontId="117" fillId="73" borderId="12" xfId="130" applyFont="1" applyFill="1" applyBorder="1" applyAlignment="1" applyProtection="1">
      <alignment horizontal="center"/>
      <protection locked="0"/>
    </xf>
    <xf numFmtId="0" fontId="117" fillId="73" borderId="54" xfId="130" applyFont="1" applyFill="1" applyBorder="1" applyAlignment="1" applyProtection="1">
      <alignment horizontal="center"/>
      <protection locked="0"/>
    </xf>
    <xf numFmtId="0" fontId="115" fillId="73" borderId="47" xfId="130" applyFont="1" applyFill="1" applyBorder="1" applyAlignment="1" applyProtection="1">
      <alignment vertical="top"/>
      <protection locked="0"/>
    </xf>
    <xf numFmtId="0" fontId="115" fillId="73" borderId="0" xfId="130" applyFont="1" applyFill="1" applyBorder="1" applyAlignment="1" applyProtection="1">
      <alignment vertical="top"/>
      <protection locked="0"/>
    </xf>
    <xf numFmtId="0" fontId="117" fillId="73" borderId="29" xfId="130" applyFont="1" applyFill="1" applyBorder="1" applyAlignment="1" applyProtection="1">
      <alignment horizontal="center" wrapText="1"/>
      <protection locked="0"/>
    </xf>
    <xf numFmtId="0" fontId="117" fillId="73" borderId="12" xfId="130" applyFont="1" applyFill="1" applyBorder="1" applyAlignment="1" applyProtection="1">
      <alignment horizontal="center" vertical="center"/>
      <protection locked="0"/>
    </xf>
    <xf numFmtId="0" fontId="117" fillId="73" borderId="54" xfId="130" applyFont="1" applyFill="1" applyBorder="1" applyAlignment="1" applyProtection="1">
      <alignment horizontal="center" vertical="center" wrapText="1"/>
      <protection locked="0"/>
    </xf>
    <xf numFmtId="0" fontId="115" fillId="0" borderId="47" xfId="130" applyFont="1" applyFill="1" applyBorder="1" applyAlignment="1" applyProtection="1">
      <alignment vertical="top"/>
      <protection locked="0"/>
    </xf>
    <xf numFmtId="0" fontId="115" fillId="0" borderId="0" xfId="130" applyFont="1" applyFill="1" applyBorder="1" applyAlignment="1" applyProtection="1">
      <alignment vertical="top"/>
      <protection locked="0"/>
    </xf>
    <xf numFmtId="0" fontId="117" fillId="71" borderId="0" xfId="130" applyFont="1" applyFill="1" applyBorder="1" applyAlignment="1" applyProtection="1">
      <alignment vertical="top"/>
      <protection locked="0"/>
    </xf>
    <xf numFmtId="0" fontId="117" fillId="0" borderId="0" xfId="130" applyFont="1" applyFill="1" applyBorder="1" applyAlignment="1" applyProtection="1">
      <alignment vertical="top"/>
      <protection locked="0"/>
    </xf>
    <xf numFmtId="0" fontId="117" fillId="0" borderId="29" xfId="130" applyFont="1" applyFill="1" applyBorder="1" applyAlignment="1" applyProtection="1">
      <alignment horizontal="center" vertical="top" wrapText="1"/>
      <protection locked="0"/>
    </xf>
    <xf numFmtId="0" fontId="117" fillId="71" borderId="162" xfId="130" applyFont="1" applyFill="1" applyBorder="1" applyAlignment="1" applyProtection="1">
      <alignment vertical="top"/>
      <protection locked="0"/>
    </xf>
    <xf numFmtId="0" fontId="115" fillId="0" borderId="51" xfId="130" applyFont="1" applyFill="1" applyBorder="1" applyAlignment="1" applyProtection="1">
      <alignment vertical="top"/>
      <protection locked="0"/>
    </xf>
    <xf numFmtId="0" fontId="115" fillId="0" borderId="119" xfId="130" applyFont="1" applyFill="1" applyBorder="1" applyAlignment="1" applyProtection="1">
      <alignment vertical="top"/>
      <protection locked="0"/>
    </xf>
    <xf numFmtId="0" fontId="117" fillId="71" borderId="119" xfId="130" applyFont="1" applyFill="1" applyBorder="1" applyAlignment="1" applyProtection="1">
      <alignment vertical="top"/>
      <protection locked="0"/>
    </xf>
    <xf numFmtId="0" fontId="117" fillId="0" borderId="119" xfId="130" applyFont="1" applyFill="1" applyBorder="1" applyAlignment="1" applyProtection="1">
      <alignment vertical="top"/>
      <protection locked="0"/>
    </xf>
    <xf numFmtId="0" fontId="117" fillId="0" borderId="55" xfId="130" applyFont="1" applyFill="1" applyBorder="1" applyAlignment="1" applyProtection="1">
      <alignment horizontal="center" vertical="top" wrapText="1"/>
      <protection locked="0"/>
    </xf>
    <xf numFmtId="0" fontId="115" fillId="0" borderId="30" xfId="130" applyFont="1" applyFill="1" applyBorder="1" applyProtection="1">
      <protection locked="0"/>
    </xf>
    <xf numFmtId="10" fontId="96" fillId="0" borderId="31" xfId="132" applyNumberFormat="1" applyFont="1" applyFill="1" applyBorder="1" applyProtection="1">
      <protection locked="0"/>
    </xf>
    <xf numFmtId="0" fontId="117" fillId="0" borderId="0" xfId="130" applyFont="1" applyFill="1" applyBorder="1" applyAlignment="1" applyProtection="1">
      <alignment vertical="top" wrapText="1"/>
      <protection locked="0"/>
    </xf>
    <xf numFmtId="10" fontId="96" fillId="0" borderId="0" xfId="132" applyNumberFormat="1" applyFont="1" applyFill="1" applyBorder="1" applyProtection="1">
      <protection locked="0"/>
    </xf>
    <xf numFmtId="0" fontId="117" fillId="0" borderId="69" xfId="130" applyFont="1" applyFill="1" applyBorder="1" applyAlignment="1" applyProtection="1">
      <alignment vertical="top" wrapText="1"/>
      <protection locked="0"/>
    </xf>
    <xf numFmtId="0" fontId="117" fillId="0" borderId="70" xfId="130" applyFont="1" applyFill="1" applyBorder="1" applyAlignment="1" applyProtection="1">
      <alignment horizontal="center" vertical="center" wrapText="1"/>
      <protection locked="0"/>
    </xf>
    <xf numFmtId="0" fontId="119" fillId="0" borderId="70" xfId="131" applyNumberFormat="1" applyFont="1" applyFill="1" applyBorder="1" applyAlignment="1" applyProtection="1">
      <alignment horizontal="center" vertical="center"/>
      <protection locked="0"/>
    </xf>
    <xf numFmtId="0" fontId="115" fillId="0" borderId="45" xfId="130" applyFont="1" applyFill="1" applyBorder="1" applyProtection="1">
      <protection locked="0"/>
    </xf>
    <xf numFmtId="0" fontId="119" fillId="0" borderId="47" xfId="130" applyFont="1" applyFill="1" applyBorder="1" applyAlignment="1" applyProtection="1">
      <alignment horizontal="left" vertical="center" wrapText="1"/>
      <protection locked="0"/>
    </xf>
    <xf numFmtId="0" fontId="117" fillId="0" borderId="10" xfId="130" applyFont="1" applyFill="1" applyBorder="1" applyAlignment="1" applyProtection="1">
      <alignment horizontal="center" vertical="center" wrapText="1"/>
      <protection locked="0"/>
    </xf>
    <xf numFmtId="0" fontId="117" fillId="77" borderId="10" xfId="130" applyFont="1" applyFill="1" applyBorder="1" applyAlignment="1" applyProtection="1">
      <alignment horizontal="center" vertical="center" wrapText="1"/>
      <protection locked="0"/>
    </xf>
    <xf numFmtId="10" fontId="96" fillId="0" borderId="29" xfId="132" applyNumberFormat="1" applyFont="1" applyFill="1" applyBorder="1" applyAlignment="1" applyProtection="1">
      <alignment horizontal="center" vertical="center" wrapText="1"/>
      <protection locked="0"/>
    </xf>
    <xf numFmtId="0" fontId="124" fillId="0" borderId="46" xfId="130" applyFont="1" applyFill="1" applyBorder="1" applyAlignment="1" applyProtection="1">
      <alignment horizontal="left" vertical="top" wrapText="1"/>
      <protection locked="0"/>
    </xf>
    <xf numFmtId="0" fontId="125" fillId="78" borderId="30" xfId="130" applyFont="1" applyFill="1" applyBorder="1" applyAlignment="1" applyProtection="1">
      <alignment vertical="top" wrapText="1"/>
      <protection locked="0"/>
    </xf>
    <xf numFmtId="0" fontId="126" fillId="78" borderId="30" xfId="130" applyFont="1" applyFill="1" applyBorder="1" applyAlignment="1" applyProtection="1">
      <alignment vertical="top" wrapText="1"/>
      <protection locked="0"/>
    </xf>
    <xf numFmtId="0" fontId="125" fillId="0" borderId="30" xfId="130" applyFont="1" applyFill="1" applyBorder="1" applyAlignment="1" applyProtection="1">
      <alignment vertical="top" wrapText="1"/>
      <protection locked="0"/>
    </xf>
    <xf numFmtId="0" fontId="126" fillId="0" borderId="30" xfId="130" applyFont="1" applyFill="1" applyBorder="1" applyAlignment="1" applyProtection="1">
      <alignment vertical="top" wrapText="1"/>
      <protection locked="0"/>
    </xf>
    <xf numFmtId="0" fontId="126" fillId="78" borderId="102" xfId="130" applyFont="1" applyFill="1" applyBorder="1" applyAlignment="1" applyProtection="1">
      <alignment horizontal="left" vertical="top" wrapText="1"/>
      <protection locked="0"/>
    </xf>
    <xf numFmtId="0" fontId="125" fillId="78" borderId="102" xfId="130" applyFont="1" applyFill="1" applyBorder="1" applyAlignment="1" applyProtection="1">
      <alignment horizontal="left" vertical="top" wrapText="1"/>
      <protection locked="0"/>
    </xf>
    <xf numFmtId="0" fontId="124" fillId="0" borderId="0" xfId="130" applyFont="1" applyFill="1" applyBorder="1" applyAlignment="1" applyProtection="1">
      <alignment horizontal="left" vertical="top" wrapText="1"/>
      <protection locked="0"/>
    </xf>
    <xf numFmtId="0" fontId="125" fillId="0" borderId="0" xfId="130" applyFont="1" applyFill="1" applyBorder="1" applyAlignment="1" applyProtection="1">
      <alignment vertical="top" wrapText="1"/>
      <protection locked="0"/>
    </xf>
    <xf numFmtId="0" fontId="123" fillId="0" borderId="0" xfId="130" applyFont="1" applyFill="1" applyBorder="1" applyAlignment="1" applyProtection="1">
      <alignment horizontal="center" vertical="top" wrapText="1"/>
      <protection locked="0"/>
    </xf>
    <xf numFmtId="0" fontId="115" fillId="0" borderId="92" xfId="130" applyFont="1" applyFill="1" applyBorder="1" applyProtection="1">
      <protection locked="0"/>
    </xf>
    <xf numFmtId="0" fontId="117" fillId="73" borderId="70" xfId="130" applyFont="1" applyFill="1" applyBorder="1" applyAlignment="1" applyProtection="1">
      <alignment horizontal="center" vertical="center"/>
      <protection locked="0"/>
    </xf>
    <xf numFmtId="0" fontId="117" fillId="73" borderId="70" xfId="130" applyFont="1" applyFill="1" applyBorder="1" applyAlignment="1" applyProtection="1">
      <alignment horizontal="center"/>
      <protection locked="0"/>
    </xf>
    <xf numFmtId="0" fontId="117" fillId="73" borderId="87" xfId="130" applyFont="1" applyFill="1" applyBorder="1" applyAlignment="1" applyProtection="1">
      <alignment horizontal="center"/>
      <protection locked="0"/>
    </xf>
    <xf numFmtId="0" fontId="117" fillId="73" borderId="45" xfId="130" applyFont="1" applyFill="1" applyBorder="1" applyAlignment="1" applyProtection="1">
      <alignment horizontal="center" vertical="center"/>
      <protection locked="0"/>
    </xf>
    <xf numFmtId="0" fontId="115" fillId="72" borderId="53" xfId="130" applyFont="1" applyFill="1" applyBorder="1" applyAlignment="1" applyProtection="1">
      <alignment wrapText="1"/>
      <protection locked="0"/>
    </xf>
    <xf numFmtId="168" fontId="115" fillId="72" borderId="13" xfId="130" applyNumberFormat="1" applyFont="1" applyFill="1" applyBorder="1" applyAlignment="1" applyProtection="1">
      <alignment horizontal="center" vertical="center"/>
      <protection locked="0"/>
    </xf>
    <xf numFmtId="168" fontId="115" fillId="72" borderId="50" xfId="130" applyNumberFormat="1" applyFont="1" applyFill="1" applyBorder="1" applyAlignment="1" applyProtection="1">
      <alignment horizontal="center" vertical="center"/>
      <protection locked="0"/>
    </xf>
    <xf numFmtId="0" fontId="17" fillId="0" borderId="71" xfId="130" applyFont="1" applyFill="1" applyBorder="1" applyAlignment="1" applyProtection="1">
      <alignment wrapText="1"/>
      <protection locked="0"/>
    </xf>
    <xf numFmtId="168" fontId="115" fillId="0" borderId="82" xfId="131" applyFont="1" applyFill="1" applyBorder="1" applyAlignment="1" applyProtection="1">
      <alignment horizontal="center" vertical="center"/>
      <protection locked="0"/>
    </xf>
    <xf numFmtId="168" fontId="115" fillId="0" borderId="14" xfId="131" applyFont="1" applyFill="1" applyBorder="1" applyAlignment="1" applyProtection="1">
      <alignment horizontal="center" vertical="center"/>
      <protection locked="0"/>
    </xf>
    <xf numFmtId="193" fontId="115" fillId="67" borderId="18" xfId="130" applyNumberFormat="1" applyFont="1" applyFill="1" applyBorder="1" applyAlignment="1" applyProtection="1">
      <alignment horizontal="center" vertical="center"/>
      <protection locked="0"/>
    </xf>
    <xf numFmtId="168" fontId="117" fillId="0" borderId="58" xfId="131" applyFont="1" applyFill="1" applyBorder="1" applyAlignment="1" applyProtection="1">
      <alignment horizontal="center" vertical="center"/>
      <protection locked="0"/>
    </xf>
    <xf numFmtId="0" fontId="115" fillId="72" borderId="51" xfId="130" applyFont="1" applyFill="1" applyBorder="1" applyAlignment="1" applyProtection="1">
      <alignment wrapText="1"/>
      <protection locked="0"/>
    </xf>
    <xf numFmtId="168" fontId="115" fillId="72" borderId="154" xfId="131" applyFont="1" applyFill="1" applyBorder="1" applyAlignment="1" applyProtection="1">
      <alignment horizontal="center" vertical="center"/>
      <protection locked="0"/>
    </xf>
    <xf numFmtId="168" fontId="115" fillId="72" borderId="0" xfId="131" applyFont="1" applyFill="1" applyBorder="1" applyAlignment="1" applyProtection="1">
      <alignment horizontal="center" vertical="center"/>
      <protection locked="0"/>
    </xf>
    <xf numFmtId="193" fontId="115" fillId="72" borderId="154" xfId="130" applyNumberFormat="1" applyFont="1" applyFill="1" applyBorder="1" applyAlignment="1" applyProtection="1">
      <alignment horizontal="center" vertical="center"/>
      <protection locked="0"/>
    </xf>
    <xf numFmtId="193" fontId="115" fillId="72" borderId="155" xfId="130" applyNumberFormat="1" applyFont="1" applyFill="1" applyBorder="1" applyAlignment="1" applyProtection="1">
      <alignment horizontal="center" vertical="center"/>
      <protection locked="0"/>
    </xf>
    <xf numFmtId="0" fontId="14" fillId="78" borderId="75" xfId="130" applyFont="1" applyFill="1" applyBorder="1" applyAlignment="1" applyProtection="1">
      <alignment wrapText="1"/>
      <protection locked="0"/>
    </xf>
    <xf numFmtId="168" fontId="96" fillId="0" borderId="156" xfId="131" applyFont="1" applyFill="1" applyBorder="1" applyAlignment="1" applyProtection="1">
      <alignment horizontal="center" vertical="center"/>
      <protection locked="0"/>
    </xf>
    <xf numFmtId="168" fontId="96" fillId="0" borderId="151" xfId="131" applyFont="1" applyFill="1" applyBorder="1" applyAlignment="1" applyProtection="1">
      <alignment horizontal="center" vertical="center"/>
      <protection locked="0"/>
    </xf>
    <xf numFmtId="193" fontId="96" fillId="67" borderId="157" xfId="131" applyNumberFormat="1" applyFont="1" applyFill="1" applyBorder="1" applyAlignment="1" applyProtection="1">
      <alignment horizontal="center" vertical="center"/>
      <protection locked="0"/>
    </xf>
    <xf numFmtId="168" fontId="96" fillId="78" borderId="83" xfId="131" applyFont="1" applyFill="1" applyBorder="1" applyAlignment="1" applyProtection="1">
      <alignment horizontal="center" vertical="center"/>
      <protection locked="0"/>
    </xf>
    <xf numFmtId="0" fontId="14" fillId="78" borderId="52" xfId="130" applyFont="1" applyFill="1" applyBorder="1" applyAlignment="1" applyProtection="1">
      <alignment wrapText="1"/>
      <protection locked="0"/>
    </xf>
    <xf numFmtId="168" fontId="96" fillId="67" borderId="74" xfId="131" applyFont="1" applyFill="1" applyBorder="1" applyAlignment="1" applyProtection="1">
      <alignment horizontal="center" vertical="center"/>
      <protection locked="0"/>
    </xf>
    <xf numFmtId="168" fontId="96" fillId="67" borderId="12" xfId="131" applyFont="1" applyFill="1" applyBorder="1" applyAlignment="1" applyProtection="1">
      <alignment horizontal="center" vertical="center"/>
      <protection locked="0"/>
    </xf>
    <xf numFmtId="168" fontId="96" fillId="79" borderId="12" xfId="131" applyFont="1" applyFill="1" applyBorder="1" applyAlignment="1" applyProtection="1">
      <alignment horizontal="center" vertical="center"/>
      <protection locked="0"/>
    </xf>
    <xf numFmtId="193" fontId="96" fillId="67" borderId="12" xfId="131" applyNumberFormat="1" applyFont="1" applyFill="1" applyBorder="1" applyAlignment="1" applyProtection="1">
      <alignment horizontal="center" vertical="center"/>
      <protection locked="0"/>
    </xf>
    <xf numFmtId="193" fontId="96" fillId="78" borderId="25" xfId="131" applyNumberFormat="1" applyFont="1" applyFill="1" applyBorder="1" applyAlignment="1" applyProtection="1">
      <alignment horizontal="center" vertical="center"/>
      <protection locked="0"/>
    </xf>
    <xf numFmtId="0" fontId="17" fillId="78" borderId="52" xfId="130" applyFont="1" applyFill="1" applyBorder="1" applyAlignment="1" applyProtection="1">
      <alignment wrapText="1"/>
      <protection locked="0"/>
    </xf>
    <xf numFmtId="168" fontId="96" fillId="0" borderId="74" xfId="131" applyFont="1" applyFill="1" applyBorder="1" applyAlignment="1" applyProtection="1">
      <alignment horizontal="center" vertical="center"/>
      <protection locked="0"/>
    </xf>
    <xf numFmtId="168" fontId="96" fillId="0" borderId="12" xfId="131" applyFont="1" applyFill="1" applyBorder="1" applyAlignment="1" applyProtection="1">
      <alignment horizontal="center" vertical="center"/>
      <protection locked="0"/>
    </xf>
    <xf numFmtId="168" fontId="127" fillId="78" borderId="25" xfId="131" applyFont="1" applyFill="1" applyBorder="1" applyAlignment="1" applyProtection="1">
      <alignment horizontal="center" vertical="center"/>
      <protection locked="0"/>
    </xf>
    <xf numFmtId="193" fontId="96" fillId="72" borderId="13" xfId="131" applyNumberFormat="1" applyFont="1" applyFill="1" applyBorder="1" applyAlignment="1" applyProtection="1">
      <alignment horizontal="center" vertical="center"/>
      <protection locked="0"/>
    </xf>
    <xf numFmtId="193" fontId="96" fillId="72" borderId="12" xfId="131" applyNumberFormat="1" applyFont="1" applyFill="1" applyBorder="1" applyAlignment="1" applyProtection="1">
      <alignment horizontal="center" vertical="center"/>
      <protection locked="0"/>
    </xf>
    <xf numFmtId="193" fontId="96" fillId="72" borderId="50" xfId="131" applyNumberFormat="1" applyFont="1" applyFill="1" applyBorder="1" applyAlignment="1" applyProtection="1">
      <alignment horizontal="center" vertical="center"/>
      <protection locked="0"/>
    </xf>
    <xf numFmtId="0" fontId="115" fillId="0" borderId="108" xfId="130" applyFont="1" applyFill="1" applyBorder="1" applyAlignment="1" applyProtection="1">
      <alignment vertical="center" wrapText="1"/>
      <protection locked="0"/>
    </xf>
    <xf numFmtId="10" fontId="96" fillId="71" borderId="0" xfId="132" applyNumberFormat="1" applyFont="1" applyFill="1" applyBorder="1" applyAlignment="1" applyProtection="1">
      <alignment horizontal="center" vertical="center"/>
      <protection locked="0"/>
    </xf>
    <xf numFmtId="193" fontId="96" fillId="0" borderId="0" xfId="131" applyNumberFormat="1" applyFont="1" applyFill="1" applyBorder="1" applyAlignment="1" applyProtection="1">
      <alignment horizontal="center" vertical="center"/>
      <protection locked="0"/>
    </xf>
    <xf numFmtId="193" fontId="128" fillId="0" borderId="0" xfId="131" applyNumberFormat="1" applyFont="1" applyFill="1" applyBorder="1" applyAlignment="1" applyProtection="1">
      <alignment horizontal="center" vertical="center"/>
      <protection locked="0"/>
    </xf>
    <xf numFmtId="193" fontId="96" fillId="0" borderId="18" xfId="131" applyNumberFormat="1" applyFont="1" applyFill="1" applyBorder="1" applyAlignment="1" applyProtection="1">
      <alignment horizontal="center" vertical="center"/>
      <protection locked="0"/>
    </xf>
    <xf numFmtId="193" fontId="96" fillId="0" borderId="29" xfId="131" applyNumberFormat="1" applyFont="1" applyFill="1" applyBorder="1" applyAlignment="1" applyProtection="1">
      <alignment horizontal="center" vertical="center"/>
      <protection locked="0"/>
    </xf>
    <xf numFmtId="0" fontId="17" fillId="78" borderId="38" xfId="130" applyFont="1" applyFill="1" applyBorder="1" applyAlignment="1" applyProtection="1">
      <alignment wrapText="1"/>
      <protection locked="0"/>
    </xf>
    <xf numFmtId="168" fontId="96" fillId="0" borderId="30" xfId="131" applyFont="1" applyFill="1" applyBorder="1" applyAlignment="1" applyProtection="1">
      <alignment horizontal="center" vertical="center"/>
      <protection locked="0"/>
    </xf>
    <xf numFmtId="193" fontId="96" fillId="67" borderId="39" xfId="131" applyNumberFormat="1" applyFont="1" applyFill="1" applyBorder="1" applyAlignment="1" applyProtection="1">
      <alignment horizontal="center" vertical="center"/>
      <protection locked="0"/>
    </xf>
    <xf numFmtId="168" fontId="127" fillId="78" borderId="35" xfId="131" applyFont="1" applyFill="1" applyBorder="1" applyAlignment="1" applyProtection="1">
      <alignment horizontal="center" vertical="center"/>
      <protection locked="0"/>
    </xf>
    <xf numFmtId="168" fontId="96" fillId="0" borderId="0" xfId="131" applyNumberFormat="1" applyFont="1" applyFill="1" applyBorder="1" applyAlignment="1" applyProtection="1">
      <alignment horizontal="center" vertical="center"/>
      <protection locked="0"/>
    </xf>
    <xf numFmtId="0" fontId="14" fillId="0" borderId="0" xfId="46" applyFont="1" applyAlignment="1" applyProtection="1">
      <alignment horizontal="left" vertical="center" wrapText="1"/>
      <protection locked="0"/>
    </xf>
    <xf numFmtId="0" fontId="14" fillId="0" borderId="0" xfId="46" applyFont="1" applyAlignment="1" applyProtection="1">
      <alignment horizontal="left" vertical="top" wrapText="1"/>
      <protection locked="0"/>
    </xf>
    <xf numFmtId="0" fontId="21" fillId="0" borderId="0" xfId="46" applyFont="1" applyAlignment="1" applyProtection="1">
      <alignment horizontal="center"/>
      <protection locked="0"/>
    </xf>
    <xf numFmtId="0" fontId="14" fillId="0" borderId="0" xfId="46" applyAlignment="1" applyProtection="1">
      <alignment horizontal="left" wrapText="1"/>
      <protection locked="0"/>
    </xf>
    <xf numFmtId="0" fontId="14" fillId="0" borderId="0" xfId="46" applyFont="1" applyAlignment="1" applyProtection="1">
      <alignment horizontal="left" wrapText="1"/>
      <protection locked="0"/>
    </xf>
    <xf numFmtId="0" fontId="14" fillId="0" borderId="0" xfId="46" applyFont="1" applyAlignment="1" applyProtection="1">
      <alignment vertical="top" wrapText="1"/>
      <protection locked="0"/>
    </xf>
    <xf numFmtId="0" fontId="17" fillId="0" borderId="74" xfId="46" applyFont="1" applyBorder="1" applyAlignment="1" applyProtection="1">
      <alignment horizontal="center" vertical="center" wrapText="1"/>
      <protection locked="0"/>
    </xf>
    <xf numFmtId="0" fontId="14" fillId="0" borderId="0" xfId="46" applyFont="1" applyAlignment="1" applyProtection="1">
      <alignment wrapText="1"/>
      <protection locked="0"/>
    </xf>
    <xf numFmtId="0" fontId="53" fillId="0" borderId="0" xfId="47" applyFont="1" applyAlignment="1" applyProtection="1">
      <alignment horizontal="left" vertical="center" wrapText="1"/>
      <protection locked="0"/>
    </xf>
    <xf numFmtId="0" fontId="53" fillId="0" borderId="33" xfId="47" applyFont="1" applyBorder="1" applyAlignment="1" applyProtection="1">
      <alignment horizontal="center"/>
      <protection locked="0"/>
    </xf>
    <xf numFmtId="0" fontId="14" fillId="0" borderId="0" xfId="46" applyAlignment="1" applyProtection="1">
      <alignment horizontal="center"/>
      <protection locked="0"/>
    </xf>
    <xf numFmtId="0" fontId="14" fillId="0" borderId="0" xfId="46" applyAlignment="1" applyProtection="1">
      <protection locked="0"/>
    </xf>
    <xf numFmtId="0" fontId="17" fillId="0" borderId="69" xfId="46" applyFont="1" applyFill="1" applyBorder="1" applyAlignment="1" applyProtection="1">
      <alignment horizontal="center"/>
      <protection locked="0"/>
    </xf>
    <xf numFmtId="0" fontId="14" fillId="29" borderId="88" xfId="46" applyFill="1" applyBorder="1" applyAlignment="1" applyProtection="1">
      <alignment horizontal="left" wrapText="1"/>
      <protection locked="0"/>
    </xf>
    <xf numFmtId="173" fontId="14" fillId="0" borderId="0" xfId="46" applyNumberFormat="1" applyFont="1" applyFill="1" applyProtection="1">
      <protection locked="0"/>
    </xf>
    <xf numFmtId="0" fontId="19" fillId="0" borderId="0" xfId="46" applyFont="1" applyAlignment="1" applyProtection="1">
      <alignment horizontal="left"/>
      <protection locked="0"/>
    </xf>
    <xf numFmtId="0" fontId="103" fillId="80" borderId="10" xfId="133" applyNumberFormat="1" applyFont="1" applyFill="1" applyBorder="1" applyAlignment="1" applyProtection="1">
      <alignment horizontal="center" vertical="center"/>
      <protection locked="0"/>
    </xf>
    <xf numFmtId="0" fontId="14" fillId="80" borderId="10" xfId="46" applyFont="1" applyFill="1" applyBorder="1" applyAlignment="1" applyProtection="1">
      <alignment horizontal="center" vertical="center"/>
      <protection locked="0"/>
    </xf>
    <xf numFmtId="0" fontId="14" fillId="0" borderId="0" xfId="46" applyFont="1" applyBorder="1" applyAlignment="1" applyProtection="1">
      <alignment horizontal="center" vertical="center"/>
      <protection locked="0"/>
    </xf>
    <xf numFmtId="0" fontId="14" fillId="0" borderId="0" xfId="46" applyFont="1" applyBorder="1" applyAlignment="1" applyProtection="1">
      <alignment horizontal="left" vertical="center" wrapText="1"/>
      <protection locked="0"/>
    </xf>
    <xf numFmtId="174" fontId="14" fillId="0" borderId="0" xfId="134" applyNumberFormat="1" applyFont="1" applyFill="1" applyBorder="1" applyAlignment="1" applyProtection="1">
      <alignment horizontal="center" vertical="center"/>
      <protection locked="0"/>
    </xf>
    <xf numFmtId="0" fontId="17" fillId="25" borderId="75" xfId="46" applyFont="1" applyFill="1" applyBorder="1" applyAlignment="1" applyProtection="1">
      <alignment horizontal="center" vertical="center" wrapText="1"/>
      <protection locked="0"/>
    </xf>
    <xf numFmtId="180" fontId="17" fillId="25" borderId="19" xfId="46" applyNumberFormat="1" applyFont="1" applyFill="1" applyBorder="1" applyAlignment="1" applyProtection="1">
      <alignment horizontal="center" vertical="center" wrapText="1"/>
      <protection locked="0"/>
    </xf>
    <xf numFmtId="0" fontId="17" fillId="25" borderId="63" xfId="46" applyFont="1" applyFill="1" applyBorder="1" applyAlignment="1" applyProtection="1">
      <alignment horizontal="center" vertical="center" wrapText="1"/>
      <protection locked="0"/>
    </xf>
    <xf numFmtId="0" fontId="17" fillId="25" borderId="91" xfId="46" applyFont="1" applyFill="1" applyBorder="1" applyAlignment="1" applyProtection="1">
      <alignment horizontal="center" vertical="center" wrapText="1"/>
      <protection locked="0"/>
    </xf>
    <xf numFmtId="0" fontId="17" fillId="25" borderId="19" xfId="46" applyFont="1" applyFill="1" applyBorder="1" applyAlignment="1" applyProtection="1">
      <alignment horizontal="center" vertical="center" wrapText="1"/>
      <protection locked="0"/>
    </xf>
    <xf numFmtId="0" fontId="17" fillId="25" borderId="76" xfId="46" applyFont="1" applyFill="1" applyBorder="1" applyAlignment="1" applyProtection="1">
      <alignment horizontal="center" vertical="center" wrapText="1"/>
      <protection locked="0"/>
    </xf>
    <xf numFmtId="0" fontId="17" fillId="25" borderId="147" xfId="46" applyFont="1" applyFill="1" applyBorder="1" applyAlignment="1" applyProtection="1">
      <alignment horizontal="center" vertical="center" wrapText="1"/>
      <protection locked="0"/>
    </xf>
    <xf numFmtId="0" fontId="17" fillId="25" borderId="61" xfId="46" applyFont="1" applyFill="1" applyBorder="1" applyAlignment="1" applyProtection="1">
      <alignment horizontal="center" vertical="center" wrapText="1"/>
      <protection locked="0"/>
    </xf>
    <xf numFmtId="0" fontId="17" fillId="25" borderId="38" xfId="46" quotePrefix="1" applyFont="1" applyFill="1" applyBorder="1" applyAlignment="1" applyProtection="1">
      <alignment horizontal="center"/>
      <protection locked="0"/>
    </xf>
    <xf numFmtId="0" fontId="17" fillId="25" borderId="41" xfId="46" quotePrefix="1" applyFont="1" applyFill="1" applyBorder="1" applyAlignment="1" applyProtection="1">
      <alignment horizontal="center"/>
      <protection locked="0"/>
    </xf>
    <xf numFmtId="0" fontId="17" fillId="25" borderId="38" xfId="46" applyFont="1" applyFill="1" applyBorder="1" applyAlignment="1" applyProtection="1">
      <alignment horizontal="center" wrapText="1"/>
      <protection locked="0"/>
    </xf>
    <xf numFmtId="0" fontId="17" fillId="25" borderId="77" xfId="46" quotePrefix="1" applyFont="1" applyFill="1" applyBorder="1" applyAlignment="1" applyProtection="1">
      <alignment horizontal="center"/>
      <protection locked="0"/>
    </xf>
    <xf numFmtId="0" fontId="17" fillId="25" borderId="27" xfId="46" applyFont="1" applyFill="1" applyBorder="1" applyAlignment="1" applyProtection="1">
      <alignment horizontal="center"/>
      <protection locked="0"/>
    </xf>
    <xf numFmtId="0" fontId="17" fillId="25" borderId="10" xfId="46" quotePrefix="1" applyFont="1" applyFill="1" applyBorder="1" applyAlignment="1" applyProtection="1">
      <alignment horizontal="center"/>
      <protection locked="0"/>
    </xf>
    <xf numFmtId="0" fontId="17" fillId="25" borderId="25" xfId="46" applyFont="1" applyFill="1" applyBorder="1" applyAlignment="1" applyProtection="1">
      <alignment horizontal="center"/>
      <protection locked="0"/>
    </xf>
    <xf numFmtId="0" fontId="17" fillId="25" borderId="31" xfId="46" applyFont="1" applyFill="1" applyBorder="1" applyAlignment="1" applyProtection="1">
      <alignment horizontal="center"/>
      <protection locked="0"/>
    </xf>
    <xf numFmtId="0" fontId="14" fillId="0" borderId="19" xfId="46" applyFont="1" applyBorder="1" applyAlignment="1" applyProtection="1">
      <alignment horizontal="center" vertical="center"/>
      <protection locked="0"/>
    </xf>
    <xf numFmtId="0" fontId="14" fillId="0" borderId="76" xfId="46" applyFont="1" applyBorder="1" applyAlignment="1" applyProtection="1">
      <alignment vertical="center" wrapText="1"/>
      <protection locked="0"/>
    </xf>
    <xf numFmtId="170" fontId="103" fillId="29" borderId="27" xfId="134" applyNumberFormat="1" applyFont="1" applyFill="1" applyBorder="1" applyProtection="1">
      <protection locked="0"/>
    </xf>
    <xf numFmtId="170" fontId="103" fillId="29" borderId="10" xfId="134" applyNumberFormat="1" applyFont="1" applyFill="1" applyBorder="1" applyProtection="1">
      <protection locked="0"/>
    </xf>
    <xf numFmtId="170" fontId="103" fillId="0" borderId="25" xfId="134" applyNumberFormat="1" applyFont="1" applyFill="1" applyBorder="1" applyProtection="1">
      <protection locked="0"/>
    </xf>
    <xf numFmtId="170" fontId="103" fillId="29" borderId="124" xfId="134" applyNumberFormat="1" applyFont="1" applyFill="1" applyBorder="1" applyProtection="1">
      <protection locked="0"/>
    </xf>
    <xf numFmtId="168" fontId="103" fillId="29" borderId="27" xfId="135" applyFont="1" applyFill="1" applyBorder="1" applyProtection="1">
      <protection locked="0"/>
    </xf>
    <xf numFmtId="10" fontId="103" fillId="0" borderId="19" xfId="136" applyNumberFormat="1" applyFont="1" applyBorder="1" applyProtection="1">
      <protection locked="0"/>
    </xf>
    <xf numFmtId="168" fontId="103" fillId="29" borderId="10" xfId="135" applyFont="1" applyFill="1" applyBorder="1" applyProtection="1">
      <protection locked="0"/>
    </xf>
    <xf numFmtId="10" fontId="103" fillId="0" borderId="76" xfId="136" applyNumberFormat="1" applyFont="1" applyBorder="1" applyProtection="1">
      <protection locked="0"/>
    </xf>
    <xf numFmtId="170" fontId="17" fillId="0" borderId="75" xfId="46" applyNumberFormat="1" applyFont="1" applyBorder="1" applyProtection="1">
      <protection locked="0"/>
    </xf>
    <xf numFmtId="170" fontId="17" fillId="0" borderId="63" xfId="46" applyNumberFormat="1" applyFont="1" applyBorder="1" applyProtection="1">
      <protection locked="0"/>
    </xf>
    <xf numFmtId="170" fontId="103" fillId="29" borderId="33" xfId="134" applyNumberFormat="1" applyFont="1" applyFill="1" applyBorder="1" applyProtection="1">
      <protection locked="0"/>
    </xf>
    <xf numFmtId="0" fontId="14" fillId="0" borderId="74" xfId="46" applyFont="1" applyBorder="1" applyAlignment="1" applyProtection="1">
      <alignment vertical="center" wrapText="1"/>
      <protection locked="0"/>
    </xf>
    <xf numFmtId="10" fontId="103" fillId="0" borderId="74" xfId="136" applyNumberFormat="1" applyFont="1" applyBorder="1" applyProtection="1">
      <protection locked="0"/>
    </xf>
    <xf numFmtId="0" fontId="14" fillId="0" borderId="74" xfId="46" applyFont="1" applyFill="1" applyBorder="1" applyAlignment="1" applyProtection="1">
      <alignment vertical="center" wrapText="1"/>
      <protection locked="0"/>
    </xf>
    <xf numFmtId="0" fontId="14" fillId="0" borderId="74" xfId="46" applyFont="1" applyFill="1" applyBorder="1" applyAlignment="1" applyProtection="1">
      <alignment vertical="center"/>
      <protection locked="0"/>
    </xf>
    <xf numFmtId="0" fontId="14" fillId="0" borderId="74" xfId="46" applyFont="1" applyBorder="1" applyAlignment="1" applyProtection="1">
      <alignment horizontal="left" vertical="center"/>
      <protection locked="0"/>
    </xf>
    <xf numFmtId="170" fontId="103" fillId="29" borderId="71" xfId="134" applyNumberFormat="1" applyFont="1" applyFill="1" applyBorder="1" applyProtection="1">
      <protection locked="0"/>
    </xf>
    <xf numFmtId="170" fontId="103" fillId="29" borderId="36" xfId="134" applyNumberFormat="1" applyFont="1" applyFill="1" applyBorder="1" applyProtection="1">
      <protection locked="0"/>
    </xf>
    <xf numFmtId="170" fontId="103" fillId="29" borderId="148" xfId="134" applyNumberFormat="1" applyFont="1" applyFill="1" applyBorder="1" applyProtection="1">
      <protection locked="0"/>
    </xf>
    <xf numFmtId="168" fontId="103" fillId="29" borderId="71" xfId="135" applyFont="1" applyFill="1" applyBorder="1" applyProtection="1">
      <protection locked="0"/>
    </xf>
    <xf numFmtId="168" fontId="103" fillId="29" borderId="36" xfId="135" applyFont="1" applyFill="1" applyBorder="1" applyProtection="1">
      <protection locked="0"/>
    </xf>
    <xf numFmtId="10" fontId="103" fillId="0" borderId="163" xfId="136" applyNumberFormat="1" applyFont="1" applyBorder="1" applyProtection="1">
      <protection locked="0"/>
    </xf>
    <xf numFmtId="170" fontId="103" fillId="29" borderId="85" xfId="134" applyNumberFormat="1" applyFont="1" applyFill="1" applyBorder="1" applyProtection="1">
      <protection locked="0"/>
    </xf>
    <xf numFmtId="0" fontId="17" fillId="0" borderId="77" xfId="46" applyFont="1" applyBorder="1" applyProtection="1">
      <protection locked="0"/>
    </xf>
    <xf numFmtId="170" fontId="17" fillId="0" borderId="84" xfId="46" applyNumberFormat="1" applyFont="1" applyBorder="1" applyProtection="1">
      <protection locked="0"/>
    </xf>
    <xf numFmtId="170" fontId="17" fillId="0" borderId="104" xfId="46" applyNumberFormat="1" applyFont="1" applyBorder="1" applyProtection="1">
      <protection locked="0"/>
    </xf>
    <xf numFmtId="170" fontId="17" fillId="0" borderId="164" xfId="46" applyNumberFormat="1" applyFont="1" applyFill="1" applyBorder="1" applyProtection="1">
      <protection locked="0"/>
    </xf>
    <xf numFmtId="168" fontId="103" fillId="0" borderId="56" xfId="135" applyFont="1" applyBorder="1" applyProtection="1">
      <protection locked="0"/>
    </xf>
    <xf numFmtId="10" fontId="103" fillId="0" borderId="165" xfId="136" applyNumberFormat="1" applyFont="1" applyBorder="1" applyProtection="1">
      <protection locked="0"/>
    </xf>
    <xf numFmtId="170" fontId="17" fillId="0" borderId="59" xfId="46" applyNumberFormat="1" applyFont="1" applyBorder="1" applyProtection="1">
      <protection locked="0"/>
    </xf>
    <xf numFmtId="170" fontId="17" fillId="0" borderId="164" xfId="46" applyNumberFormat="1" applyFont="1" applyBorder="1" applyProtection="1">
      <protection locked="0"/>
    </xf>
    <xf numFmtId="168" fontId="103" fillId="0" borderId="0" xfId="135" applyFont="1" applyBorder="1" applyProtection="1">
      <protection locked="0"/>
    </xf>
    <xf numFmtId="10" fontId="103" fillId="0" borderId="0" xfId="136" applyNumberFormat="1" applyFont="1" applyBorder="1" applyProtection="1">
      <protection locked="0"/>
    </xf>
    <xf numFmtId="0" fontId="14" fillId="0" borderId="0" xfId="46" applyFont="1" applyAlignment="1" applyProtection="1">
      <alignment horizontal="center"/>
      <protection locked="0"/>
    </xf>
    <xf numFmtId="0" fontId="14" fillId="0" borderId="0" xfId="46" applyFont="1" applyAlignment="1" applyProtection="1">
      <alignment vertical="top"/>
      <protection locked="0"/>
    </xf>
    <xf numFmtId="0" fontId="21" fillId="0" borderId="0" xfId="46" applyFont="1" applyAlignment="1" applyProtection="1">
      <alignment vertical="center" wrapText="1"/>
      <protection locked="0"/>
    </xf>
    <xf numFmtId="0" fontId="21" fillId="0" borderId="0" xfId="46" applyFont="1" applyAlignment="1" applyProtection="1">
      <alignment vertical="top"/>
      <protection locked="0"/>
    </xf>
    <xf numFmtId="0" fontId="14" fillId="63" borderId="10" xfId="46" applyFill="1" applyBorder="1" applyProtection="1">
      <protection locked="0"/>
    </xf>
    <xf numFmtId="0" fontId="17" fillId="69" borderId="10" xfId="46" applyFont="1" applyFill="1" applyBorder="1" applyProtection="1">
      <protection locked="0"/>
    </xf>
    <xf numFmtId="0" fontId="14" fillId="69" borderId="10" xfId="46" applyFill="1" applyBorder="1" applyAlignment="1" applyProtection="1">
      <alignment horizontal="center" vertical="center"/>
      <protection locked="0"/>
    </xf>
    <xf numFmtId="0" fontId="87" fillId="63" borderId="17" xfId="46" applyFont="1" applyFill="1" applyBorder="1" applyAlignment="1" applyProtection="1">
      <alignment horizontal="center" vertical="center" wrapText="1"/>
      <protection locked="0"/>
    </xf>
    <xf numFmtId="0" fontId="87" fillId="63" borderId="144" xfId="46" applyFont="1" applyFill="1" applyBorder="1" applyAlignment="1" applyProtection="1">
      <alignment horizontal="center" vertical="center" wrapText="1"/>
      <protection locked="0"/>
    </xf>
    <xf numFmtId="0" fontId="87" fillId="63" borderId="146" xfId="46" applyFont="1" applyFill="1" applyBorder="1" applyAlignment="1" applyProtection="1">
      <alignment horizontal="center" vertical="center" wrapText="1"/>
      <protection locked="0"/>
    </xf>
    <xf numFmtId="0" fontId="14" fillId="0" borderId="61" xfId="46" applyBorder="1" applyAlignment="1" applyProtection="1">
      <alignment horizontal="center" vertical="center"/>
      <protection locked="0"/>
    </xf>
    <xf numFmtId="0" fontId="14" fillId="69" borderId="33" xfId="46" applyFill="1" applyBorder="1" applyAlignment="1" applyProtection="1">
      <alignment horizontal="center" vertical="center"/>
      <protection locked="0"/>
    </xf>
    <xf numFmtId="9" fontId="0" fillId="0" borderId="10" xfId="42" applyFont="1" applyBorder="1" applyAlignment="1" applyProtection="1">
      <alignment horizontal="center" vertical="center"/>
      <protection locked="0"/>
    </xf>
    <xf numFmtId="9" fontId="0" fillId="0" borderId="74" xfId="42" applyFont="1" applyBorder="1" applyAlignment="1" applyProtection="1">
      <alignment horizontal="center" vertical="center"/>
      <protection locked="0"/>
    </xf>
    <xf numFmtId="0" fontId="14" fillId="0" borderId="25" xfId="46" applyBorder="1" applyAlignment="1" applyProtection="1">
      <alignment horizontal="center" vertical="center"/>
      <protection locked="0"/>
    </xf>
    <xf numFmtId="0" fontId="14" fillId="0" borderId="67" xfId="46" applyBorder="1" applyAlignment="1" applyProtection="1">
      <alignment horizontal="center" vertical="center"/>
      <protection locked="0"/>
    </xf>
    <xf numFmtId="0" fontId="82" fillId="69" borderId="33" xfId="46" applyFont="1" applyFill="1" applyBorder="1" applyAlignment="1" applyProtection="1">
      <alignment horizontal="center" vertical="center"/>
      <protection locked="0"/>
    </xf>
    <xf numFmtId="0" fontId="14" fillId="69" borderId="33" xfId="46" applyFill="1" applyBorder="1" applyProtection="1">
      <protection locked="0"/>
    </xf>
    <xf numFmtId="0" fontId="14" fillId="0" borderId="26" xfId="46" applyBorder="1" applyAlignment="1" applyProtection="1">
      <alignment horizontal="center" vertical="center"/>
      <protection locked="0"/>
    </xf>
    <xf numFmtId="0" fontId="14" fillId="0" borderId="62" xfId="46" applyBorder="1" applyAlignment="1" applyProtection="1">
      <alignment horizontal="center" vertical="center"/>
      <protection locked="0"/>
    </xf>
    <xf numFmtId="0" fontId="14" fillId="0" borderId="26" xfId="46" applyFill="1" applyBorder="1" applyAlignment="1" applyProtection="1">
      <alignment horizontal="center" vertical="center"/>
      <protection locked="0"/>
    </xf>
    <xf numFmtId="0" fontId="17" fillId="0" borderId="20" xfId="46" applyFont="1" applyBorder="1" applyAlignment="1" applyProtection="1">
      <alignment horizontal="center" vertical="center"/>
      <protection locked="0"/>
    </xf>
    <xf numFmtId="0" fontId="14" fillId="0" borderId="21" xfId="46" applyBorder="1" applyAlignment="1" applyProtection="1">
      <alignment horizontal="center" vertical="center"/>
      <protection locked="0"/>
    </xf>
    <xf numFmtId="0" fontId="14" fillId="0" borderId="21" xfId="46" applyFill="1" applyBorder="1" applyAlignment="1" applyProtection="1">
      <alignment horizontal="center" vertical="center"/>
      <protection locked="0"/>
    </xf>
    <xf numFmtId="0" fontId="14" fillId="0" borderId="65" xfId="46" applyBorder="1" applyAlignment="1" applyProtection="1">
      <alignment horizontal="center" vertical="center"/>
      <protection locked="0"/>
    </xf>
    <xf numFmtId="0" fontId="87" fillId="63" borderId="145" xfId="46" applyFont="1" applyFill="1" applyBorder="1" applyAlignment="1" applyProtection="1">
      <alignment horizontal="center" vertical="center" wrapText="1"/>
      <protection locked="0"/>
    </xf>
    <xf numFmtId="1" fontId="14" fillId="0" borderId="10" xfId="46" applyNumberFormat="1" applyBorder="1" applyAlignment="1" applyProtection="1">
      <alignment vertical="center"/>
      <protection locked="0"/>
    </xf>
    <xf numFmtId="0" fontId="15" fillId="0" borderId="0" xfId="36" applyAlignment="1" applyProtection="1">
      <protection locked="0"/>
    </xf>
    <xf numFmtId="0" fontId="14" fillId="0" borderId="0" xfId="46" applyAlignment="1" applyProtection="1">
      <alignment vertical="top" wrapText="1"/>
      <protection locked="0"/>
    </xf>
    <xf numFmtId="0" fontId="17" fillId="0" borderId="46" xfId="46" applyFont="1" applyBorder="1" applyAlignment="1" applyProtection="1">
      <alignment vertical="top"/>
      <protection locked="0"/>
    </xf>
    <xf numFmtId="0" fontId="17" fillId="0" borderId="0" xfId="46" applyFont="1" applyBorder="1" applyAlignment="1" applyProtection="1">
      <alignment vertical="top"/>
      <protection locked="0"/>
    </xf>
    <xf numFmtId="170" fontId="14" fillId="0" borderId="0" xfId="29" applyNumberFormat="1" applyBorder="1" applyProtection="1">
      <protection locked="0"/>
    </xf>
    <xf numFmtId="170" fontId="14" fillId="0" borderId="0" xfId="29" applyNumberFormat="1" applyFill="1" applyBorder="1" applyProtection="1">
      <protection locked="0"/>
    </xf>
    <xf numFmtId="170" fontId="14" fillId="0" borderId="0" xfId="29" applyNumberFormat="1" applyFill="1" applyBorder="1" applyAlignment="1" applyProtection="1">
      <protection locked="0"/>
    </xf>
    <xf numFmtId="0" fontId="17" fillId="0" borderId="0" xfId="46" applyFont="1" applyFill="1" applyBorder="1" applyAlignment="1" applyProtection="1">
      <alignment vertical="top"/>
      <protection locked="0"/>
    </xf>
    <xf numFmtId="0" fontId="17" fillId="0" borderId="70" xfId="46" applyFont="1" applyFill="1" applyBorder="1" applyAlignment="1" applyProtection="1">
      <alignment horizontal="center"/>
      <protection locked="0"/>
    </xf>
    <xf numFmtId="0" fontId="17" fillId="0" borderId="91" xfId="46" applyFont="1" applyFill="1" applyBorder="1" applyAlignment="1" applyProtection="1">
      <alignment horizontal="center"/>
      <protection locked="0"/>
    </xf>
    <xf numFmtId="0" fontId="14" fillId="0" borderId="40" xfId="46" applyBorder="1" applyAlignment="1" applyProtection="1">
      <alignment horizontal="left" wrapText="1"/>
      <protection locked="0"/>
    </xf>
    <xf numFmtId="0" fontId="14" fillId="0" borderId="124" xfId="46" applyBorder="1" applyAlignment="1" applyProtection="1">
      <alignment horizontal="left" wrapText="1"/>
      <protection locked="0"/>
    </xf>
    <xf numFmtId="0" fontId="14" fillId="0" borderId="103" xfId="46" applyBorder="1" applyAlignment="1" applyProtection="1">
      <alignment horizontal="left" wrapText="1"/>
      <protection locked="0"/>
    </xf>
    <xf numFmtId="0" fontId="14" fillId="0" borderId="103" xfId="46" applyFill="1" applyBorder="1" applyAlignment="1" applyProtection="1">
      <alignment horizontal="left" wrapText="1"/>
      <protection locked="0"/>
    </xf>
    <xf numFmtId="0" fontId="17" fillId="0" borderId="41" xfId="46" applyFont="1" applyBorder="1" applyAlignment="1" applyProtection="1">
      <alignment vertical="top"/>
      <protection locked="0"/>
    </xf>
    <xf numFmtId="170" fontId="14" fillId="0" borderId="60" xfId="29" applyNumberFormat="1" applyBorder="1" applyProtection="1">
      <protection locked="0"/>
    </xf>
    <xf numFmtId="170" fontId="14" fillId="66" borderId="104" xfId="29" applyNumberFormat="1" applyFill="1" applyBorder="1" applyProtection="1">
      <protection locked="0"/>
    </xf>
    <xf numFmtId="170" fontId="14" fillId="66" borderId="41" xfId="29" applyNumberFormat="1" applyFill="1" applyBorder="1" applyProtection="1">
      <protection locked="0"/>
    </xf>
    <xf numFmtId="0" fontId="17" fillId="0" borderId="44" xfId="46" applyFont="1" applyBorder="1" applyAlignment="1" applyProtection="1">
      <alignment vertical="top"/>
      <protection locked="0"/>
    </xf>
    <xf numFmtId="9" fontId="14" fillId="0" borderId="20" xfId="42" applyBorder="1" applyAlignment="1" applyProtection="1">
      <alignment horizontal="right"/>
      <protection locked="0"/>
    </xf>
    <xf numFmtId="170" fontId="14" fillId="0" borderId="44" xfId="29" applyNumberFormat="1" applyBorder="1" applyProtection="1">
      <protection locked="0"/>
    </xf>
    <xf numFmtId="3" fontId="53" fillId="0" borderId="10" xfId="47" applyNumberFormat="1" applyFont="1" applyFill="1" applyBorder="1" applyAlignment="1" applyProtection="1">
      <protection locked="0"/>
    </xf>
    <xf numFmtId="0" fontId="53" fillId="0" borderId="0" xfId="47" applyFont="1" applyAlignment="1" applyProtection="1">
      <alignment wrapText="1"/>
      <protection locked="0"/>
    </xf>
    <xf numFmtId="0" fontId="53" fillId="0" borderId="0" xfId="47" applyFont="1" applyAlignment="1" applyProtection="1">
      <alignment vertical="center"/>
      <protection locked="0"/>
    </xf>
    <xf numFmtId="0" fontId="53" fillId="0" borderId="0" xfId="47" applyFont="1" applyAlignment="1" applyProtection="1">
      <alignment vertical="center" wrapText="1"/>
      <protection locked="0"/>
    </xf>
    <xf numFmtId="0" fontId="14" fillId="0" borderId="70" xfId="46" applyBorder="1" applyProtection="1">
      <protection locked="0"/>
    </xf>
    <xf numFmtId="0" fontId="17" fillId="64" borderId="69" xfId="46" applyFont="1" applyFill="1" applyBorder="1" applyAlignment="1" applyProtection="1">
      <alignment horizontal="center" vertical="center" wrapText="1"/>
      <protection locked="0"/>
    </xf>
    <xf numFmtId="0" fontId="17" fillId="64" borderId="72" xfId="46" applyFont="1" applyFill="1" applyBorder="1" applyAlignment="1" applyProtection="1">
      <alignment horizontal="center" vertical="center" wrapText="1"/>
      <protection locked="0"/>
    </xf>
    <xf numFmtId="0" fontId="17" fillId="64" borderId="70" xfId="46" applyFont="1" applyFill="1" applyBorder="1" applyAlignment="1" applyProtection="1">
      <alignment horizontal="center" vertical="center" wrapText="1"/>
      <protection locked="0"/>
    </xf>
    <xf numFmtId="0" fontId="17" fillId="64" borderId="47" xfId="46" applyFont="1" applyFill="1" applyBorder="1" applyAlignment="1" applyProtection="1">
      <alignment horizontal="center"/>
      <protection locked="0"/>
    </xf>
    <xf numFmtId="0" fontId="17" fillId="64" borderId="11" xfId="46" applyFont="1" applyFill="1" applyBorder="1" applyAlignment="1" applyProtection="1">
      <alignment horizontal="center"/>
      <protection locked="0"/>
    </xf>
    <xf numFmtId="0" fontId="17" fillId="64" borderId="0" xfId="46" applyFont="1" applyFill="1" applyBorder="1" applyAlignment="1" applyProtection="1">
      <alignment horizontal="center"/>
      <protection locked="0"/>
    </xf>
    <xf numFmtId="0" fontId="17" fillId="64" borderId="66" xfId="46" applyFont="1" applyFill="1" applyBorder="1" applyAlignment="1" applyProtection="1">
      <alignment vertical="center"/>
      <protection locked="0"/>
    </xf>
    <xf numFmtId="0" fontId="17" fillId="64" borderId="46" xfId="46" applyFont="1" applyFill="1" applyBorder="1" applyAlignment="1" applyProtection="1">
      <alignment horizontal="center"/>
      <protection locked="0"/>
    </xf>
    <xf numFmtId="0" fontId="17" fillId="64" borderId="34" xfId="46" applyFont="1" applyFill="1" applyBorder="1" applyAlignment="1" applyProtection="1">
      <alignment horizontal="center"/>
      <protection locked="0"/>
    </xf>
    <xf numFmtId="0" fontId="17" fillId="64" borderId="30" xfId="46" applyFont="1" applyFill="1" applyBorder="1" applyAlignment="1" applyProtection="1">
      <alignment horizontal="center"/>
      <protection locked="0"/>
    </xf>
    <xf numFmtId="0" fontId="17" fillId="64" borderId="35" xfId="46" applyFont="1" applyFill="1" applyBorder="1" applyAlignment="1" applyProtection="1">
      <alignment horizontal="center" wrapText="1"/>
      <protection locked="0"/>
    </xf>
    <xf numFmtId="0" fontId="17" fillId="64" borderId="30" xfId="46" applyFont="1" applyFill="1" applyBorder="1" applyAlignment="1" applyProtection="1">
      <alignment horizontal="center" wrapText="1"/>
      <protection locked="0"/>
    </xf>
    <xf numFmtId="0" fontId="17" fillId="64" borderId="34" xfId="46" applyFont="1" applyFill="1" applyBorder="1" applyAlignment="1" applyProtection="1">
      <alignment horizontal="center" wrapText="1"/>
      <protection locked="0"/>
    </xf>
    <xf numFmtId="0" fontId="14" fillId="0" borderId="109" xfId="46" applyBorder="1" applyProtection="1">
      <protection locked="0"/>
    </xf>
    <xf numFmtId="170" fontId="14" fillId="29" borderId="75" xfId="29" applyNumberFormat="1" applyFill="1" applyBorder="1" applyProtection="1">
      <protection locked="0"/>
    </xf>
    <xf numFmtId="170" fontId="14" fillId="29" borderId="19" xfId="29" applyNumberFormat="1" applyFill="1" applyBorder="1" applyProtection="1">
      <protection locked="0"/>
    </xf>
    <xf numFmtId="170" fontId="14" fillId="29" borderId="16" xfId="29" applyNumberFormat="1" applyFill="1" applyBorder="1" applyProtection="1">
      <protection locked="0"/>
    </xf>
    <xf numFmtId="170" fontId="14" fillId="0" borderId="50" xfId="29" applyNumberFormat="1" applyFill="1" applyBorder="1" applyProtection="1">
      <protection locked="0"/>
    </xf>
    <xf numFmtId="170" fontId="14" fillId="29" borderId="27" xfId="29" applyNumberFormat="1" applyFill="1" applyBorder="1" applyProtection="1">
      <protection locked="0"/>
    </xf>
    <xf numFmtId="170" fontId="14" fillId="29" borderId="33" xfId="29" applyNumberFormat="1" applyFill="1" applyBorder="1" applyProtection="1">
      <protection locked="0"/>
    </xf>
    <xf numFmtId="0" fontId="14" fillId="0" borderId="77" xfId="46" applyBorder="1" applyProtection="1">
      <protection locked="0"/>
    </xf>
    <xf numFmtId="170" fontId="14" fillId="0" borderId="41" xfId="29" applyNumberFormat="1" applyBorder="1" applyProtection="1">
      <protection locked="0"/>
    </xf>
    <xf numFmtId="170" fontId="14" fillId="0" borderId="31" xfId="29" applyNumberFormat="1" applyBorder="1" applyProtection="1">
      <protection locked="0"/>
    </xf>
    <xf numFmtId="166" fontId="14" fillId="29" borderId="22" xfId="0" applyNumberFormat="1" applyFont="1" applyFill="1" applyBorder="1" applyAlignment="1" applyProtection="1">
      <alignment horizontal="center" vertical="center" wrapText="1"/>
      <protection locked="0"/>
    </xf>
    <xf numFmtId="0" fontId="0" fillId="29" borderId="33" xfId="0" applyFill="1" applyBorder="1" applyAlignment="1" applyProtection="1">
      <alignment horizontal="left"/>
      <protection locked="0"/>
    </xf>
    <xf numFmtId="0" fontId="0" fillId="29" borderId="85" xfId="0" applyFill="1" applyBorder="1" applyAlignment="1" applyProtection="1">
      <alignment horizontal="left"/>
      <protection locked="0"/>
    </xf>
    <xf numFmtId="0" fontId="0" fillId="29" borderId="17" xfId="0" applyFill="1" applyBorder="1" applyAlignment="1" applyProtection="1">
      <alignment vertical="top"/>
      <protection locked="0"/>
    </xf>
    <xf numFmtId="170" fontId="0" fillId="29" borderId="17" xfId="29" applyNumberFormat="1" applyFont="1" applyFill="1" applyBorder="1" applyAlignment="1" applyProtection="1">
      <alignment vertical="top"/>
      <protection locked="0"/>
    </xf>
    <xf numFmtId="170" fontId="17" fillId="29" borderId="25" xfId="29" applyNumberFormat="1" applyFont="1" applyFill="1" applyBorder="1" applyAlignment="1" applyProtection="1">
      <alignment horizontal="center"/>
      <protection locked="0"/>
    </xf>
    <xf numFmtId="170" fontId="0" fillId="29" borderId="67" xfId="29" applyNumberFormat="1" applyFont="1" applyFill="1" applyBorder="1" applyProtection="1">
      <protection locked="0"/>
    </xf>
    <xf numFmtId="0" fontId="0" fillId="29" borderId="67" xfId="0" applyFill="1" applyBorder="1" applyProtection="1">
      <protection locked="0"/>
    </xf>
    <xf numFmtId="0" fontId="14" fillId="29" borderId="17" xfId="0" applyFont="1" applyFill="1" applyBorder="1" applyAlignment="1" applyProtection="1">
      <alignment vertical="top"/>
      <protection locked="0"/>
    </xf>
    <xf numFmtId="170" fontId="60" fillId="62" borderId="24" xfId="29" applyNumberFormat="1" applyFont="1" applyFill="1" applyBorder="1" applyAlignment="1" applyProtection="1">
      <alignment vertical="center" wrapText="1"/>
      <protection locked="0"/>
    </xf>
    <xf numFmtId="170" fontId="60" fillId="62" borderId="10" xfId="29" applyNumberFormat="1" applyFont="1" applyFill="1" applyBorder="1" applyAlignment="1" applyProtection="1">
      <alignment vertical="center" wrapText="1"/>
      <protection locked="0"/>
    </xf>
    <xf numFmtId="194" fontId="137" fillId="0" borderId="170" xfId="138" applyFont="1" applyFill="1" applyBorder="1" applyAlignment="1" applyProtection="1">
      <alignment horizontal="center" vertical="center" wrapText="1"/>
    </xf>
    <xf numFmtId="37" fontId="137" fillId="0" borderId="170" xfId="138" applyNumberFormat="1" applyFont="1" applyFill="1" applyBorder="1" applyAlignment="1" applyProtection="1">
      <alignment horizontal="center" vertical="center"/>
    </xf>
    <xf numFmtId="195" fontId="137" fillId="0" borderId="170" xfId="138" applyNumberFormat="1" applyFont="1" applyFill="1" applyBorder="1" applyAlignment="1" applyProtection="1">
      <alignment horizontal="center" vertical="center" wrapText="1"/>
    </xf>
    <xf numFmtId="196" fontId="142" fillId="0" borderId="170" xfId="138" applyNumberFormat="1" applyFont="1" applyFill="1" applyBorder="1" applyAlignment="1" applyProtection="1">
      <alignment horizontal="right" vertical="center"/>
    </xf>
    <xf numFmtId="196" fontId="14" fillId="84" borderId="170" xfId="138" applyNumberFormat="1" applyFont="1" applyFill="1" applyBorder="1" applyAlignment="1" applyProtection="1">
      <alignment horizontal="right" vertical="center"/>
    </xf>
    <xf numFmtId="37" fontId="142" fillId="0" borderId="170" xfId="138" applyNumberFormat="1" applyFont="1" applyFill="1" applyBorder="1" applyAlignment="1" applyProtection="1">
      <alignment horizontal="right" vertical="center"/>
    </xf>
    <xf numFmtId="37" fontId="137" fillId="0" borderId="170" xfId="138" applyNumberFormat="1" applyFont="1" applyFill="1" applyBorder="1" applyAlignment="1" applyProtection="1">
      <alignment horizontal="right" vertical="center"/>
    </xf>
    <xf numFmtId="37" fontId="17" fillId="64" borderId="170" xfId="138" applyNumberFormat="1" applyFont="1" applyFill="1" applyBorder="1" applyAlignment="1" applyProtection="1">
      <alignment horizontal="right" vertical="center"/>
    </xf>
    <xf numFmtId="199" fontId="142" fillId="0" borderId="170" xfId="138" applyNumberFormat="1" applyFont="1" applyFill="1" applyBorder="1" applyAlignment="1" applyProtection="1">
      <alignment horizontal="right" vertical="center"/>
    </xf>
    <xf numFmtId="0" fontId="136" fillId="0" borderId="0" xfId="0" applyFont="1" applyAlignment="1" applyProtection="1">
      <alignment horizontal="left" vertical="center"/>
    </xf>
    <xf numFmtId="194" fontId="137" fillId="0" borderId="171" xfId="138" applyFont="1" applyFill="1" applyBorder="1" applyAlignment="1" applyProtection="1">
      <alignment horizontal="center" vertical="center" wrapText="1"/>
    </xf>
    <xf numFmtId="194" fontId="17" fillId="0" borderId="176" xfId="138" applyFont="1" applyFill="1" applyBorder="1" applyAlignment="1" applyProtection="1">
      <alignment horizontal="center" vertical="center" wrapText="1"/>
    </xf>
    <xf numFmtId="37" fontId="137" fillId="0" borderId="177" xfId="138" applyNumberFormat="1" applyFont="1" applyFill="1" applyBorder="1" applyAlignment="1" applyProtection="1">
      <alignment horizontal="center" vertical="center"/>
    </xf>
    <xf numFmtId="37" fontId="137" fillId="0" borderId="171" xfId="138" applyNumberFormat="1" applyFont="1" applyFill="1" applyBorder="1" applyAlignment="1" applyProtection="1">
      <alignment horizontal="center" vertical="center"/>
    </xf>
    <xf numFmtId="0" fontId="137" fillId="83" borderId="171" xfId="0" applyFont="1" applyFill="1" applyBorder="1" applyAlignment="1" applyProtection="1">
      <alignment vertical="center"/>
    </xf>
    <xf numFmtId="0" fontId="142" fillId="0" borderId="170" xfId="0" applyFont="1" applyFill="1" applyBorder="1" applyAlignment="1" applyProtection="1">
      <alignment vertical="center"/>
    </xf>
    <xf numFmtId="0" fontId="137" fillId="0" borderId="170" xfId="0" applyFont="1" applyFill="1" applyBorder="1" applyAlignment="1" applyProtection="1">
      <alignment horizontal="left" vertical="center" indent="1"/>
    </xf>
    <xf numFmtId="10" fontId="143" fillId="0" borderId="168" xfId="139" applyNumberFormat="1" applyFont="1" applyFill="1" applyBorder="1" applyAlignment="1" applyProtection="1">
      <alignment horizontal="right"/>
    </xf>
    <xf numFmtId="10" fontId="143" fillId="0" borderId="30" xfId="139" applyNumberFormat="1" applyFont="1" applyFill="1" applyBorder="1" applyAlignment="1" applyProtection="1">
      <alignment horizontal="right"/>
    </xf>
    <xf numFmtId="10" fontId="143" fillId="0" borderId="0" xfId="139" applyNumberFormat="1" applyFont="1" applyFill="1" applyBorder="1" applyAlignment="1" applyProtection="1">
      <alignment horizontal="right"/>
    </xf>
    <xf numFmtId="197" fontId="142" fillId="0" borderId="10" xfId="0" applyNumberFormat="1" applyFont="1" applyFill="1" applyBorder="1" applyProtection="1"/>
    <xf numFmtId="10" fontId="0" fillId="0" borderId="56" xfId="42" applyNumberFormat="1" applyFont="1" applyBorder="1" applyProtection="1">
      <protection locked="0"/>
    </xf>
    <xf numFmtId="0" fontId="55" fillId="0" borderId="0" xfId="0" applyFont="1" applyAlignment="1" applyProtection="1">
      <alignment horizontal="right" vertical="center" wrapText="1" indent="1"/>
    </xf>
    <xf numFmtId="0" fontId="0" fillId="0" borderId="0" xfId="0" applyAlignment="1" applyProtection="1">
      <alignment vertical="top"/>
    </xf>
    <xf numFmtId="0" fontId="14" fillId="0" borderId="0" xfId="0" applyFont="1" applyProtection="1"/>
    <xf numFmtId="0" fontId="54" fillId="0" borderId="0" xfId="0" applyFont="1" applyFill="1" applyBorder="1" applyAlignment="1" applyProtection="1">
      <alignment vertical="top"/>
    </xf>
    <xf numFmtId="0" fontId="85" fillId="0" borderId="0" xfId="0" applyFont="1" applyProtection="1"/>
    <xf numFmtId="0" fontId="36" fillId="0" borderId="0" xfId="0" applyFont="1" applyAlignment="1" applyProtection="1">
      <alignment horizontal="right" indent="1"/>
    </xf>
    <xf numFmtId="0" fontId="41" fillId="0" borderId="0" xfId="0" applyFont="1" applyFill="1" applyProtection="1"/>
    <xf numFmtId="190" fontId="47" fillId="0" borderId="0" xfId="0" applyNumberFormat="1" applyFont="1" applyAlignment="1" applyProtection="1">
      <alignment horizontal="center" vertical="center"/>
    </xf>
    <xf numFmtId="0" fontId="0" fillId="0" borderId="159" xfId="0" applyBorder="1" applyProtection="1"/>
    <xf numFmtId="0" fontId="20" fillId="0" borderId="0" xfId="0" applyFont="1" applyProtection="1"/>
    <xf numFmtId="0" fontId="0" fillId="29" borderId="44" xfId="0" applyFill="1" applyBorder="1" applyProtection="1"/>
    <xf numFmtId="0" fontId="0" fillId="28" borderId="44" xfId="0" applyFill="1" applyBorder="1" applyProtection="1"/>
    <xf numFmtId="0" fontId="0" fillId="0" borderId="0" xfId="0" applyAlignment="1" applyProtection="1">
      <alignment wrapText="1"/>
    </xf>
    <xf numFmtId="0" fontId="0" fillId="0" borderId="44" xfId="0" applyBorder="1" applyProtection="1"/>
    <xf numFmtId="0" fontId="0" fillId="0" borderId="0" xfId="0" applyAlignment="1" applyProtection="1">
      <alignment horizontal="left" wrapText="1"/>
    </xf>
    <xf numFmtId="0" fontId="94" fillId="0" borderId="0" xfId="0" applyFont="1" applyProtection="1"/>
    <xf numFmtId="0" fontId="0" fillId="64" borderId="0" xfId="0" applyFill="1" applyProtection="1"/>
    <xf numFmtId="0" fontId="94" fillId="64" borderId="0" xfId="0" applyFont="1" applyFill="1" applyAlignment="1" applyProtection="1">
      <alignment vertical="center"/>
    </xf>
    <xf numFmtId="0" fontId="17" fillId="0" borderId="0" xfId="0" applyFont="1" applyProtection="1"/>
    <xf numFmtId="0" fontId="16" fillId="0" borderId="0" xfId="0" applyFont="1" applyAlignment="1" applyProtection="1">
      <alignment horizontal="right" vertical="top"/>
    </xf>
    <xf numFmtId="0" fontId="16" fillId="29" borderId="99" xfId="0" applyFont="1" applyFill="1" applyBorder="1" applyAlignment="1" applyProtection="1">
      <alignment horizontal="right" vertical="top"/>
    </xf>
    <xf numFmtId="0" fontId="133" fillId="0" borderId="0" xfId="0" applyFont="1" applyProtection="1"/>
    <xf numFmtId="0" fontId="16" fillId="29" borderId="0" xfId="0" applyFont="1" applyFill="1" applyAlignment="1" applyProtection="1">
      <alignment horizontal="right" vertical="top"/>
    </xf>
    <xf numFmtId="0" fontId="17" fillId="0" borderId="0" xfId="0" applyFont="1" applyAlignment="1" applyProtection="1">
      <alignment horizontal="right" vertical="center"/>
    </xf>
    <xf numFmtId="0" fontId="135" fillId="0" borderId="0" xfId="0" applyFont="1" applyAlignment="1" applyProtection="1">
      <alignment horizontal="center" vertical="center"/>
    </xf>
    <xf numFmtId="0" fontId="14" fillId="0" borderId="0" xfId="0" applyFont="1" applyFill="1" applyProtection="1"/>
    <xf numFmtId="0" fontId="61" fillId="0" borderId="31" xfId="0" applyFont="1" applyFill="1" applyBorder="1" applyAlignment="1" applyProtection="1">
      <alignment horizontal="center" vertical="center" wrapText="1"/>
    </xf>
    <xf numFmtId="0" fontId="61" fillId="0" borderId="44" xfId="0" applyFont="1" applyFill="1" applyBorder="1" applyAlignment="1" applyProtection="1">
      <alignment horizontal="center" vertical="center" wrapText="1"/>
    </xf>
    <xf numFmtId="0" fontId="14" fillId="0" borderId="44" xfId="0" applyFont="1" applyFill="1" applyBorder="1" applyAlignment="1" applyProtection="1">
      <alignment horizontal="center" vertical="center" wrapText="1"/>
    </xf>
    <xf numFmtId="0" fontId="19" fillId="0" borderId="137" xfId="0" applyFont="1" applyFill="1" applyBorder="1" applyAlignment="1" applyProtection="1">
      <alignment horizontal="right" vertical="center" wrapText="1" indent="1"/>
    </xf>
    <xf numFmtId="169" fontId="14" fillId="0" borderId="31" xfId="0" applyNumberFormat="1" applyFont="1" applyFill="1" applyBorder="1" applyAlignment="1" applyProtection="1">
      <alignment horizontal="center" vertical="center" wrapText="1"/>
    </xf>
    <xf numFmtId="166" fontId="14" fillId="0" borderId="29" xfId="0" applyNumberFormat="1" applyFont="1" applyFill="1" applyBorder="1" applyAlignment="1" applyProtection="1">
      <alignment horizontal="center" vertical="center" wrapText="1"/>
    </xf>
    <xf numFmtId="169" fontId="14" fillId="0" borderId="29" xfId="0" applyNumberFormat="1" applyFont="1" applyFill="1" applyBorder="1" applyAlignment="1" applyProtection="1">
      <alignment horizontal="center" vertical="center" wrapText="1"/>
    </xf>
    <xf numFmtId="166" fontId="14" fillId="0" borderId="45" xfId="0" applyNumberFormat="1" applyFont="1" applyFill="1" applyBorder="1" applyAlignment="1" applyProtection="1">
      <alignment horizontal="center" vertical="center" wrapText="1"/>
    </xf>
    <xf numFmtId="166" fontId="14" fillId="0" borderId="166" xfId="0" applyNumberFormat="1" applyFont="1" applyFill="1" applyBorder="1" applyAlignment="1" applyProtection="1">
      <alignment horizontal="center" vertical="center" wrapText="1"/>
    </xf>
    <xf numFmtId="169" fontId="14" fillId="0" borderId="44" xfId="0" applyNumberFormat="1" applyFont="1" applyFill="1" applyBorder="1" applyAlignment="1" applyProtection="1">
      <alignment horizontal="center" vertical="center" wrapText="1"/>
    </xf>
    <xf numFmtId="169" fontId="14" fillId="0" borderId="41" xfId="0" applyNumberFormat="1" applyFont="1" applyFill="1" applyBorder="1" applyAlignment="1" applyProtection="1">
      <alignment horizontal="center" vertical="center" wrapText="1"/>
    </xf>
    <xf numFmtId="0" fontId="19" fillId="0" borderId="140" xfId="0" applyFont="1" applyFill="1" applyBorder="1" applyAlignment="1" applyProtection="1">
      <alignment horizontal="right" vertical="center" wrapText="1" indent="1"/>
    </xf>
    <xf numFmtId="169" fontId="14" fillId="0" borderId="142" xfId="0" applyNumberFormat="1" applyFont="1" applyFill="1" applyBorder="1" applyAlignment="1" applyProtection="1">
      <alignment horizontal="center" vertical="center" wrapText="1"/>
    </xf>
    <xf numFmtId="0" fontId="14" fillId="0" borderId="0" xfId="46" applyProtection="1"/>
    <xf numFmtId="0" fontId="14" fillId="0" borderId="0" xfId="46" applyFont="1" applyProtection="1"/>
    <xf numFmtId="0" fontId="14" fillId="0" borderId="0" xfId="46" applyAlignment="1" applyProtection="1">
      <alignment horizontal="left" wrapText="1"/>
    </xf>
    <xf numFmtId="0" fontId="17" fillId="66" borderId="42" xfId="46" applyFont="1" applyFill="1" applyBorder="1" applyAlignment="1" applyProtection="1">
      <alignment horizontal="center" wrapText="1"/>
    </xf>
    <xf numFmtId="0" fontId="14" fillId="0" borderId="0" xfId="46" applyFont="1" applyAlignment="1" applyProtection="1">
      <alignment horizontal="left" vertical="center" indent="2"/>
    </xf>
    <xf numFmtId="0" fontId="17" fillId="66" borderId="42" xfId="46" applyFont="1" applyFill="1" applyBorder="1" applyAlignment="1" applyProtection="1">
      <alignment wrapText="1"/>
    </xf>
    <xf numFmtId="0" fontId="94" fillId="0" borderId="0" xfId="46" applyFont="1" applyProtection="1"/>
    <xf numFmtId="0" fontId="17" fillId="66" borderId="70" xfId="46" applyFont="1" applyFill="1" applyBorder="1" applyProtection="1"/>
    <xf numFmtId="0" fontId="17" fillId="66" borderId="45" xfId="46" applyFont="1" applyFill="1" applyBorder="1" applyProtection="1"/>
    <xf numFmtId="0" fontId="14" fillId="0" borderId="42" xfId="46" applyBorder="1" applyAlignment="1" applyProtection="1">
      <alignment horizontal="center"/>
    </xf>
    <xf numFmtId="0" fontId="14" fillId="0" borderId="147" xfId="46" applyBorder="1" applyAlignment="1" applyProtection="1">
      <alignment horizontal="center"/>
    </xf>
    <xf numFmtId="0" fontId="17" fillId="66" borderId="0" xfId="46" applyFont="1" applyFill="1" applyBorder="1" applyProtection="1"/>
    <xf numFmtId="0" fontId="17" fillId="66" borderId="29" xfId="46" applyFont="1" applyFill="1" applyBorder="1" applyProtection="1"/>
    <xf numFmtId="0" fontId="14" fillId="0" borderId="91" xfId="46" applyBorder="1" applyAlignment="1" applyProtection="1">
      <alignment horizontal="center"/>
    </xf>
    <xf numFmtId="0" fontId="14" fillId="0" borderId="54" xfId="46" applyBorder="1" applyAlignment="1" applyProtection="1">
      <alignment horizontal="center"/>
    </xf>
    <xf numFmtId="0" fontId="103" fillId="0" borderId="124" xfId="31" applyFont="1" applyFill="1" applyBorder="1" applyAlignment="1" applyProtection="1">
      <alignment horizontal="center"/>
    </xf>
    <xf numFmtId="0" fontId="29" fillId="4" borderId="124" xfId="31" applyBorder="1" applyAlignment="1" applyProtection="1">
      <alignment horizontal="center"/>
    </xf>
    <xf numFmtId="0" fontId="14" fillId="0" borderId="124" xfId="46" applyBorder="1" applyAlignment="1" applyProtection="1">
      <alignment horizontal="center"/>
    </xf>
    <xf numFmtId="0" fontId="14" fillId="0" borderId="50" xfId="46" applyBorder="1" applyAlignment="1" applyProtection="1">
      <alignment horizontal="center"/>
    </xf>
    <xf numFmtId="0" fontId="29" fillId="4" borderId="101" xfId="31" applyBorder="1" applyAlignment="1" applyProtection="1">
      <alignment horizontal="center"/>
    </xf>
    <xf numFmtId="0" fontId="14" fillId="0" borderId="81" xfId="46" applyBorder="1" applyAlignment="1" applyProtection="1">
      <alignment horizontal="center"/>
    </xf>
    <xf numFmtId="0" fontId="14" fillId="0" borderId="0" xfId="46" applyFont="1" applyAlignment="1" applyProtection="1">
      <alignment vertical="center" wrapText="1"/>
    </xf>
    <xf numFmtId="0" fontId="92" fillId="0" borderId="0" xfId="46" applyFont="1" applyAlignment="1" applyProtection="1">
      <alignment horizontal="left" vertical="center" wrapText="1"/>
    </xf>
    <xf numFmtId="0" fontId="14" fillId="0" borderId="0" xfId="46" applyFont="1" applyAlignment="1" applyProtection="1">
      <alignment horizontal="left" vertical="center" wrapText="1"/>
    </xf>
    <xf numFmtId="0" fontId="20" fillId="0" borderId="0" xfId="46" applyFont="1" applyAlignment="1" applyProtection="1">
      <alignment horizontal="left"/>
    </xf>
    <xf numFmtId="0" fontId="14" fillId="0" borderId="0" xfId="46" applyFont="1" applyAlignment="1" applyProtection="1">
      <alignment horizontal="left"/>
    </xf>
    <xf numFmtId="0" fontId="84" fillId="0" borderId="0" xfId="46" applyFont="1" applyProtection="1"/>
    <xf numFmtId="0" fontId="20" fillId="0" borderId="0" xfId="46" applyFont="1" applyProtection="1"/>
    <xf numFmtId="0" fontId="17" fillId="0" borderId="0" xfId="46" applyFont="1" applyProtection="1"/>
    <xf numFmtId="0" fontId="14" fillId="0" borderId="0" xfId="46" applyFont="1" applyFill="1" applyProtection="1"/>
    <xf numFmtId="0" fontId="17" fillId="0" borderId="0" xfId="46" applyFont="1" applyFill="1" applyProtection="1"/>
    <xf numFmtId="0" fontId="14" fillId="0" borderId="0" xfId="46" applyFill="1" applyProtection="1"/>
    <xf numFmtId="0" fontId="20" fillId="0" borderId="0" xfId="46" applyFont="1" applyFill="1" applyAlignment="1" applyProtection="1">
      <alignment horizontal="left"/>
    </xf>
    <xf numFmtId="0" fontId="14" fillId="0" borderId="0" xfId="46" applyFont="1" applyFill="1" applyAlignment="1" applyProtection="1">
      <alignment horizontal="left"/>
    </xf>
    <xf numFmtId="0" fontId="92" fillId="0" borderId="0" xfId="46" applyFont="1" applyAlignment="1" applyProtection="1">
      <alignment horizontal="left" vertical="center" indent="4"/>
    </xf>
    <xf numFmtId="0" fontId="14" fillId="0" borderId="0" xfId="46" applyFont="1" applyFill="1" applyAlignment="1" applyProtection="1">
      <alignment vertical="center" wrapText="1"/>
    </xf>
    <xf numFmtId="0" fontId="20" fillId="0" borderId="0" xfId="46" applyFont="1" applyFill="1" applyProtection="1"/>
    <xf numFmtId="0" fontId="23" fillId="0" borderId="0" xfId="47" applyProtection="1"/>
    <xf numFmtId="0" fontId="16" fillId="0" borderId="0" xfId="46" applyFont="1" applyAlignment="1" applyProtection="1">
      <alignment horizontal="right" vertical="top"/>
    </xf>
    <xf numFmtId="0" fontId="133" fillId="64" borderId="0" xfId="46" applyFont="1" applyFill="1" applyProtection="1"/>
    <xf numFmtId="0" fontId="86" fillId="0" borderId="0" xfId="47" applyFont="1" applyProtection="1"/>
    <xf numFmtId="0" fontId="21" fillId="0" borderId="0" xfId="46" applyFont="1" applyAlignment="1" applyProtection="1"/>
    <xf numFmtId="0" fontId="12" fillId="0" borderId="0" xfId="90" applyProtection="1"/>
    <xf numFmtId="0" fontId="14" fillId="0" borderId="0" xfId="0" applyFont="1" applyAlignment="1" applyProtection="1">
      <alignment horizontal="left" vertical="top" wrapText="1"/>
    </xf>
    <xf numFmtId="0" fontId="103" fillId="0" borderId="0" xfId="0" applyFont="1" applyAlignment="1" applyProtection="1">
      <alignment horizontal="left" vertical="top"/>
    </xf>
    <xf numFmtId="0" fontId="7" fillId="0" borderId="0" xfId="90" applyFont="1" applyProtection="1"/>
    <xf numFmtId="0" fontId="88" fillId="0" borderId="0" xfId="0" applyFont="1" applyAlignment="1" applyProtection="1"/>
    <xf numFmtId="0" fontId="88" fillId="0" borderId="0" xfId="90" applyFont="1" applyProtection="1"/>
    <xf numFmtId="0" fontId="6" fillId="0" borderId="0" xfId="90" applyFont="1" applyProtection="1"/>
    <xf numFmtId="0" fontId="8" fillId="0" borderId="0" xfId="90" applyFont="1" applyProtection="1"/>
    <xf numFmtId="0" fontId="21" fillId="0" borderId="0" xfId="0" applyFont="1" applyProtection="1"/>
    <xf numFmtId="0" fontId="17" fillId="0" borderId="0" xfId="0" applyFont="1" applyAlignment="1" applyProtection="1">
      <alignment horizontal="center"/>
    </xf>
    <xf numFmtId="0" fontId="17" fillId="0" borderId="10" xfId="0" applyFont="1" applyBorder="1" applyAlignment="1" applyProtection="1">
      <alignment horizontal="center"/>
    </xf>
    <xf numFmtId="0" fontId="42" fillId="0" borderId="0" xfId="0" applyFont="1" applyProtection="1"/>
    <xf numFmtId="170" fontId="14" fillId="0" borderId="0" xfId="29" applyNumberFormat="1" applyFont="1" applyProtection="1"/>
    <xf numFmtId="170" fontId="17" fillId="0" borderId="0" xfId="29" applyNumberFormat="1" applyFont="1" applyProtection="1"/>
    <xf numFmtId="0" fontId="17" fillId="0" borderId="0" xfId="0" applyFont="1" applyFill="1" applyBorder="1" applyProtection="1"/>
    <xf numFmtId="170" fontId="17" fillId="0" borderId="0" xfId="0" applyNumberFormat="1" applyFont="1" applyFill="1" applyBorder="1" applyProtection="1"/>
    <xf numFmtId="0" fontId="0" fillId="66" borderId="0" xfId="0" applyFill="1" applyBorder="1" applyProtection="1"/>
    <xf numFmtId="0" fontId="97" fillId="66" borderId="0" xfId="0" applyFont="1" applyFill="1" applyBorder="1" applyAlignment="1" applyProtection="1">
      <alignment horizontal="center"/>
    </xf>
    <xf numFmtId="170" fontId="94" fillId="66" borderId="0" xfId="0" applyNumberFormat="1" applyFont="1" applyFill="1" applyBorder="1" applyProtection="1"/>
    <xf numFmtId="170" fontId="94" fillId="66" borderId="0" xfId="0" applyNumberFormat="1" applyFont="1" applyFill="1" applyBorder="1" applyAlignment="1" applyProtection="1">
      <alignment horizontal="center"/>
    </xf>
    <xf numFmtId="0" fontId="0" fillId="0" borderId="0" xfId="0" applyFill="1" applyBorder="1" applyProtection="1"/>
    <xf numFmtId="0" fontId="97" fillId="0" borderId="0" xfId="0" applyFont="1" applyFill="1" applyBorder="1" applyAlignment="1" applyProtection="1">
      <alignment horizontal="center"/>
    </xf>
    <xf numFmtId="170" fontId="0" fillId="0" borderId="0" xfId="29" applyNumberFormat="1" applyFont="1" applyFill="1" applyBorder="1" applyProtection="1"/>
    <xf numFmtId="0" fontId="14" fillId="0" borderId="0" xfId="0" applyFont="1" applyFill="1" applyBorder="1" applyProtection="1"/>
    <xf numFmtId="9" fontId="14" fillId="0" borderId="0" xfId="0" applyNumberFormat="1" applyFont="1" applyFill="1" applyBorder="1" applyAlignment="1" applyProtection="1">
      <alignment horizontal="center"/>
    </xf>
    <xf numFmtId="170" fontId="14" fillId="0" borderId="0" xfId="29" applyNumberFormat="1" applyFont="1" applyFill="1" applyBorder="1" applyProtection="1"/>
    <xf numFmtId="170" fontId="14" fillId="0" borderId="0" xfId="29" applyNumberFormat="1" applyFont="1" applyFill="1" applyBorder="1" applyAlignment="1" applyProtection="1">
      <alignment horizontal="center"/>
    </xf>
    <xf numFmtId="9" fontId="14" fillId="0" borderId="0" xfId="28" applyNumberFormat="1" applyFont="1" applyFill="1" applyBorder="1" applyAlignment="1" applyProtection="1">
      <alignment horizontal="center"/>
    </xf>
    <xf numFmtId="170" fontId="14" fillId="0" borderId="0" xfId="0" applyNumberFormat="1" applyFont="1" applyFill="1" applyBorder="1" applyProtection="1"/>
    <xf numFmtId="9" fontId="14" fillId="0" borderId="0" xfId="42" applyFont="1" applyFill="1" applyBorder="1" applyAlignment="1" applyProtection="1">
      <alignment horizontal="center"/>
    </xf>
    <xf numFmtId="0" fontId="41" fillId="0" borderId="0" xfId="0" applyFont="1" applyFill="1" applyBorder="1" applyAlignment="1" applyProtection="1">
      <alignment horizontal="center"/>
    </xf>
    <xf numFmtId="170" fontId="14" fillId="0" borderId="0" xfId="0" applyNumberFormat="1" applyFont="1" applyFill="1" applyBorder="1" applyAlignment="1" applyProtection="1">
      <alignment horizontal="center"/>
    </xf>
    <xf numFmtId="0" fontId="14" fillId="66" borderId="0" xfId="0" applyFont="1" applyFill="1" applyBorder="1" applyProtection="1"/>
    <xf numFmtId="0" fontId="41" fillId="66" borderId="0" xfId="0" applyFont="1" applyFill="1" applyBorder="1" applyAlignment="1" applyProtection="1">
      <alignment horizontal="center"/>
    </xf>
    <xf numFmtId="170" fontId="14" fillId="66" borderId="0" xfId="0" applyNumberFormat="1" applyFont="1" applyFill="1" applyBorder="1" applyProtection="1"/>
    <xf numFmtId="170" fontId="14" fillId="66" borderId="0" xfId="0" applyNumberFormat="1" applyFont="1" applyFill="1" applyBorder="1" applyAlignment="1" applyProtection="1">
      <alignment horizontal="center"/>
    </xf>
    <xf numFmtId="0" fontId="134" fillId="64" borderId="0" xfId="46" applyFont="1" applyFill="1" applyProtection="1"/>
    <xf numFmtId="0" fontId="90" fillId="0" borderId="0" xfId="90" applyFont="1" applyProtection="1"/>
    <xf numFmtId="0" fontId="17" fillId="0" borderId="0" xfId="0" applyFont="1" applyBorder="1" applyAlignment="1" applyProtection="1"/>
    <xf numFmtId="0" fontId="14" fillId="0" borderId="0" xfId="0" applyFont="1" applyBorder="1" applyProtection="1"/>
    <xf numFmtId="0" fontId="12" fillId="0" borderId="0" xfId="90" applyBorder="1" applyProtection="1"/>
    <xf numFmtId="0" fontId="14" fillId="0" borderId="0" xfId="0" applyFont="1" applyAlignment="1" applyProtection="1">
      <alignment horizontal="right"/>
    </xf>
    <xf numFmtId="0" fontId="17" fillId="0" borderId="0" xfId="97" applyFont="1" applyFill="1" applyBorder="1" applyAlignment="1" applyProtection="1">
      <alignment horizontal="center"/>
    </xf>
    <xf numFmtId="9" fontId="17" fillId="0" borderId="0" xfId="97" applyNumberFormat="1" applyFont="1" applyFill="1" applyBorder="1" applyAlignment="1" applyProtection="1">
      <alignment horizontal="center"/>
    </xf>
    <xf numFmtId="9" fontId="14" fillId="0" borderId="0" xfId="0" applyNumberFormat="1" applyFont="1" applyAlignment="1" applyProtection="1">
      <alignment horizontal="center"/>
    </xf>
    <xf numFmtId="170" fontId="14" fillId="64" borderId="0" xfId="29" applyNumberFormat="1" applyFont="1" applyFill="1" applyProtection="1"/>
    <xf numFmtId="170" fontId="14" fillId="0" borderId="0" xfId="29" applyNumberFormat="1" applyFont="1" applyAlignment="1" applyProtection="1">
      <alignment horizontal="center"/>
    </xf>
    <xf numFmtId="170" fontId="14" fillId="0" borderId="0" xfId="29" applyNumberFormat="1" applyFont="1" applyFill="1" applyProtection="1"/>
    <xf numFmtId="165" fontId="14" fillId="0" borderId="0" xfId="0" applyNumberFormat="1" applyFont="1" applyAlignment="1" applyProtection="1">
      <alignment horizontal="center"/>
    </xf>
    <xf numFmtId="180" fontId="14" fillId="0" borderId="0" xfId="28" applyNumberFormat="1" applyFont="1" applyFill="1" applyBorder="1" applyAlignment="1" applyProtection="1">
      <alignment horizontal="center"/>
    </xf>
    <xf numFmtId="170" fontId="14" fillId="0" borderId="0" xfId="0" applyNumberFormat="1" applyFont="1" applyFill="1" applyProtection="1"/>
    <xf numFmtId="165" fontId="14" fillId="0" borderId="0" xfId="0" applyNumberFormat="1" applyFont="1" applyFill="1" applyAlignment="1" applyProtection="1">
      <alignment horizontal="center"/>
    </xf>
    <xf numFmtId="169" fontId="14" fillId="0" borderId="0" xfId="0" applyNumberFormat="1" applyFont="1" applyAlignment="1" applyProtection="1">
      <alignment horizontal="center"/>
    </xf>
    <xf numFmtId="170" fontId="14" fillId="0" borderId="12" xfId="0" applyNumberFormat="1" applyFont="1" applyBorder="1" applyProtection="1"/>
    <xf numFmtId="170" fontId="14" fillId="0" borderId="12" xfId="29" applyNumberFormat="1" applyFont="1" applyBorder="1" applyAlignment="1" applyProtection="1">
      <alignment horizontal="center"/>
    </xf>
    <xf numFmtId="170" fontId="14" fillId="0" borderId="0" xfId="0" applyNumberFormat="1" applyFont="1" applyProtection="1"/>
    <xf numFmtId="9" fontId="14" fillId="0" borderId="0" xfId="42" applyFont="1" applyBorder="1" applyAlignment="1" applyProtection="1">
      <alignment horizontal="center"/>
    </xf>
    <xf numFmtId="9" fontId="14" fillId="0" borderId="0" xfId="42" applyFont="1" applyAlignment="1" applyProtection="1">
      <alignment horizontal="center"/>
    </xf>
    <xf numFmtId="167" fontId="14" fillId="0" borderId="0" xfId="29" applyFont="1" applyProtection="1"/>
    <xf numFmtId="10" fontId="14" fillId="0" borderId="0" xfId="42" applyNumberFormat="1" applyFont="1" applyAlignment="1" applyProtection="1">
      <alignment horizontal="center"/>
    </xf>
    <xf numFmtId="0" fontId="17" fillId="0" borderId="0" xfId="0" applyFont="1" applyAlignment="1" applyProtection="1">
      <alignment horizontal="left"/>
    </xf>
    <xf numFmtId="170" fontId="14" fillId="0" borderId="13" xfId="0" applyNumberFormat="1" applyFont="1" applyBorder="1" applyProtection="1"/>
    <xf numFmtId="170" fontId="14" fillId="64" borderId="0" xfId="0" applyNumberFormat="1" applyFont="1" applyFill="1" applyProtection="1"/>
    <xf numFmtId="0" fontId="41" fillId="0" borderId="0" xfId="0" applyFont="1" applyAlignment="1" applyProtection="1">
      <alignment horizontal="center"/>
    </xf>
    <xf numFmtId="170" fontId="14" fillId="0" borderId="0" xfId="0" applyNumberFormat="1" applyFont="1" applyAlignment="1" applyProtection="1">
      <alignment horizontal="center"/>
    </xf>
    <xf numFmtId="170" fontId="14" fillId="0" borderId="102" xfId="0" applyNumberFormat="1" applyFont="1" applyBorder="1" applyProtection="1"/>
    <xf numFmtId="0" fontId="14" fillId="64" borderId="0" xfId="0" applyFont="1" applyFill="1" applyBorder="1" applyProtection="1"/>
    <xf numFmtId="170" fontId="14" fillId="0" borderId="0" xfId="0" applyNumberFormat="1" applyFont="1" applyBorder="1" applyProtection="1"/>
    <xf numFmtId="0" fontId="17" fillId="64" borderId="0" xfId="0" applyFont="1" applyFill="1" applyBorder="1" applyAlignment="1" applyProtection="1">
      <alignment horizontal="center"/>
    </xf>
    <xf numFmtId="170" fontId="14" fillId="0" borderId="13" xfId="0" applyNumberFormat="1" applyFont="1" applyFill="1" applyBorder="1" applyProtection="1"/>
    <xf numFmtId="171" fontId="14" fillId="64" borderId="0" xfId="28" applyNumberFormat="1" applyFont="1" applyFill="1" applyBorder="1" applyAlignment="1" applyProtection="1">
      <alignment horizontal="center"/>
    </xf>
    <xf numFmtId="0" fontId="14" fillId="0" borderId="0" xfId="0" applyFont="1" applyAlignment="1" applyProtection="1">
      <alignment horizontal="center"/>
    </xf>
    <xf numFmtId="172" fontId="14" fillId="0" borderId="0" xfId="0" applyNumberFormat="1" applyFont="1" applyProtection="1"/>
    <xf numFmtId="167" fontId="14" fillId="0" borderId="0" xfId="0" applyNumberFormat="1" applyFont="1" applyFill="1" applyBorder="1" applyProtection="1"/>
    <xf numFmtId="0" fontId="54" fillId="0" borderId="0" xfId="0" applyFont="1" applyFill="1" applyProtection="1"/>
    <xf numFmtId="0" fontId="53" fillId="0" borderId="0" xfId="0" applyFont="1" applyBorder="1" applyAlignment="1" applyProtection="1">
      <alignment horizontal="left"/>
    </xf>
    <xf numFmtId="0" fontId="14" fillId="0" borderId="0" xfId="0" applyFont="1" applyFill="1" applyBorder="1" applyAlignment="1" applyProtection="1"/>
    <xf numFmtId="0" fontId="14" fillId="0" borderId="0" xfId="0" applyFont="1" applyFill="1" applyBorder="1" applyAlignment="1" applyProtection="1">
      <alignment horizontal="right"/>
    </xf>
    <xf numFmtId="0" fontId="95" fillId="0" borderId="0" xfId="97" applyFont="1" applyFill="1" applyProtection="1"/>
    <xf numFmtId="0" fontId="14" fillId="0" borderId="0" xfId="97" applyFont="1" applyFill="1" applyBorder="1" applyProtection="1"/>
    <xf numFmtId="0" fontId="20" fillId="0" borderId="0" xfId="97" applyFont="1" applyFill="1" applyProtection="1"/>
    <xf numFmtId="0" fontId="17" fillId="0" borderId="0" xfId="97" applyFont="1" applyFill="1" applyProtection="1"/>
    <xf numFmtId="0" fontId="14" fillId="0" borderId="0" xfId="97" applyFont="1" applyFill="1" applyProtection="1"/>
    <xf numFmtId="170" fontId="14" fillId="0" borderId="0" xfId="97" applyNumberFormat="1" applyFont="1" applyFill="1" applyBorder="1" applyAlignment="1" applyProtection="1">
      <alignment horizontal="center"/>
    </xf>
    <xf numFmtId="10" fontId="98" fillId="0" borderId="0" xfId="97" applyNumberFormat="1" applyFont="1" applyFill="1" applyBorder="1" applyAlignment="1" applyProtection="1">
      <alignment horizontal="center"/>
    </xf>
    <xf numFmtId="170" fontId="14" fillId="0" borderId="13" xfId="29" applyNumberFormat="1" applyFont="1" applyFill="1" applyBorder="1" applyProtection="1"/>
    <xf numFmtId="167" fontId="14" fillId="0" borderId="13" xfId="29" applyNumberFormat="1" applyFont="1" applyFill="1" applyBorder="1" applyProtection="1"/>
    <xf numFmtId="0" fontId="17" fillId="0" borderId="0" xfId="97" applyFont="1" applyFill="1" applyAlignment="1" applyProtection="1">
      <alignment horizontal="left"/>
    </xf>
    <xf numFmtId="167" fontId="14" fillId="0" borderId="0" xfId="29" applyFont="1" applyFill="1" applyProtection="1"/>
    <xf numFmtId="167" fontId="14" fillId="0" borderId="0" xfId="29" applyFont="1" applyFill="1" applyBorder="1" applyProtection="1"/>
    <xf numFmtId="170" fontId="49" fillId="0" borderId="13" xfId="29" applyNumberFormat="1" applyFont="1" applyFill="1" applyBorder="1" applyProtection="1"/>
    <xf numFmtId="167" fontId="49" fillId="0" borderId="0" xfId="29" applyFont="1" applyFill="1" applyBorder="1" applyProtection="1"/>
    <xf numFmtId="181" fontId="53" fillId="0" borderId="0" xfId="0" applyNumberFormat="1" applyFont="1" applyBorder="1" applyAlignment="1" applyProtection="1">
      <alignment horizontal="right"/>
    </xf>
    <xf numFmtId="0" fontId="14" fillId="0" borderId="0" xfId="98" applyFont="1" applyFill="1" applyProtection="1"/>
    <xf numFmtId="0" fontId="17" fillId="0" borderId="86" xfId="29" applyNumberFormat="1" applyFont="1" applyFill="1" applyBorder="1" applyAlignment="1" applyProtection="1">
      <alignment horizontal="center"/>
    </xf>
    <xf numFmtId="0" fontId="17" fillId="0" borderId="44" xfId="29" applyNumberFormat="1" applyFont="1" applyFill="1" applyBorder="1" applyAlignment="1" applyProtection="1">
      <alignment horizontal="center"/>
    </xf>
    <xf numFmtId="0" fontId="94" fillId="0" borderId="0" xfId="0" applyFont="1" applyFill="1" applyProtection="1"/>
    <xf numFmtId="0" fontId="0" fillId="0" borderId="0" xfId="0" applyFill="1" applyProtection="1"/>
    <xf numFmtId="0" fontId="20" fillId="0" borderId="0" xfId="98" applyFont="1" applyFill="1" applyProtection="1"/>
    <xf numFmtId="0" fontId="17" fillId="0" borderId="0" xfId="98" applyFont="1" applyFill="1" applyProtection="1"/>
    <xf numFmtId="170" fontId="14" fillId="0" borderId="0" xfId="29" applyNumberFormat="1" applyFont="1" applyFill="1" applyAlignment="1" applyProtection="1">
      <alignment horizontal="center"/>
    </xf>
    <xf numFmtId="0" fontId="44" fillId="0" borderId="0" xfId="0" applyFont="1" applyFill="1" applyProtection="1"/>
    <xf numFmtId="0" fontId="84" fillId="0" borderId="0" xfId="0" applyFont="1" applyFill="1" applyProtection="1"/>
    <xf numFmtId="9" fontId="14" fillId="64" borderId="0" xfId="42" applyFont="1" applyFill="1" applyBorder="1" applyAlignment="1" applyProtection="1">
      <alignment horizontal="right"/>
    </xf>
    <xf numFmtId="164" fontId="14" fillId="0" borderId="0" xfId="0" applyNumberFormat="1" applyFont="1" applyFill="1" applyProtection="1"/>
    <xf numFmtId="170" fontId="14" fillId="0" borderId="102" xfId="29" applyNumberFormat="1" applyFont="1" applyFill="1" applyBorder="1" applyProtection="1"/>
    <xf numFmtId="0" fontId="133" fillId="0" borderId="0" xfId="46" applyFont="1" applyProtection="1"/>
    <xf numFmtId="9" fontId="14" fillId="0" borderId="0" xfId="28" applyNumberFormat="1" applyFont="1" applyFill="1" applyBorder="1" applyAlignment="1" applyProtection="1">
      <alignment horizontal="left" vertical="center" wrapText="1"/>
    </xf>
    <xf numFmtId="180" fontId="94" fillId="0" borderId="0" xfId="28" applyNumberFormat="1" applyFont="1" applyFill="1" applyBorder="1" applyAlignment="1" applyProtection="1">
      <alignment horizontal="center"/>
    </xf>
    <xf numFmtId="0" fontId="17" fillId="0" borderId="0" xfId="0" applyFont="1" applyFill="1" applyBorder="1" applyAlignment="1" applyProtection="1"/>
    <xf numFmtId="0" fontId="41" fillId="0" borderId="0" xfId="0" applyFont="1" applyFill="1" applyAlignment="1" applyProtection="1">
      <alignment horizontal="center"/>
    </xf>
    <xf numFmtId="0" fontId="14" fillId="0" borderId="0" xfId="0" applyFont="1" applyFill="1" applyAlignment="1" applyProtection="1">
      <alignment horizontal="right"/>
    </xf>
    <xf numFmtId="167" fontId="14" fillId="0" borderId="0" xfId="29" applyFont="1" applyBorder="1" applyProtection="1"/>
    <xf numFmtId="170" fontId="17" fillId="64" borderId="0" xfId="0" applyNumberFormat="1" applyFont="1" applyFill="1" applyBorder="1" applyProtection="1"/>
    <xf numFmtId="170" fontId="14" fillId="0" borderId="0" xfId="29" applyNumberFormat="1" applyFont="1" applyBorder="1" applyProtection="1"/>
    <xf numFmtId="0" fontId="94" fillId="0" borderId="0" xfId="0" applyFont="1" applyFill="1" applyBorder="1" applyAlignment="1" applyProtection="1">
      <alignment horizontal="right"/>
    </xf>
    <xf numFmtId="0" fontId="0" fillId="0" borderId="0" xfId="0" applyFill="1" applyBorder="1" applyAlignment="1" applyProtection="1"/>
    <xf numFmtId="10" fontId="14" fillId="0" borderId="0" xfId="42" applyNumberFormat="1" applyFont="1" applyFill="1" applyAlignment="1" applyProtection="1">
      <alignment horizontal="center"/>
    </xf>
    <xf numFmtId="0" fontId="14" fillId="0" borderId="0" xfId="29" applyNumberFormat="1" applyFont="1" applyFill="1" applyAlignment="1" applyProtection="1">
      <alignment horizontal="center"/>
    </xf>
    <xf numFmtId="0" fontId="17" fillId="82" borderId="86" xfId="29" applyNumberFormat="1" applyFont="1" applyFill="1" applyBorder="1" applyAlignment="1" applyProtection="1">
      <alignment horizontal="center"/>
    </xf>
    <xf numFmtId="0" fontId="17" fillId="82" borderId="44" xfId="29" applyNumberFormat="1" applyFont="1" applyFill="1" applyBorder="1" applyAlignment="1" applyProtection="1">
      <alignment horizontal="center"/>
    </xf>
    <xf numFmtId="0" fontId="14" fillId="0" borderId="0" xfId="42" applyNumberFormat="1" applyFont="1" applyFill="1" applyAlignment="1" applyProtection="1">
      <alignment horizontal="center"/>
    </xf>
    <xf numFmtId="170" fontId="14" fillId="82" borderId="0" xfId="29" applyNumberFormat="1" applyFont="1" applyFill="1" applyProtection="1"/>
    <xf numFmtId="170" fontId="14" fillId="82" borderId="13" xfId="29" applyNumberFormat="1" applyFont="1" applyFill="1" applyBorder="1" applyProtection="1"/>
    <xf numFmtId="170" fontId="98" fillId="0" borderId="0" xfId="29" applyNumberFormat="1" applyFont="1" applyFill="1" applyBorder="1" applyProtection="1"/>
    <xf numFmtId="170" fontId="14" fillId="82" borderId="0" xfId="29" applyNumberFormat="1" applyFont="1" applyFill="1" applyAlignment="1" applyProtection="1">
      <alignment horizontal="center"/>
    </xf>
    <xf numFmtId="170" fontId="14" fillId="82" borderId="0" xfId="29" applyNumberFormat="1" applyFont="1" applyFill="1" applyBorder="1" applyProtection="1"/>
    <xf numFmtId="191" fontId="14" fillId="0" borderId="0" xfId="29" applyNumberFormat="1" applyFont="1" applyFill="1" applyProtection="1"/>
    <xf numFmtId="170" fontId="14" fillId="82" borderId="102" xfId="29" applyNumberFormat="1" applyFont="1" applyFill="1" applyBorder="1" applyProtection="1"/>
    <xf numFmtId="9" fontId="14" fillId="0" borderId="0" xfId="42" applyFont="1" applyFill="1" applyAlignment="1" applyProtection="1">
      <alignment horizontal="center"/>
    </xf>
    <xf numFmtId="0" fontId="0" fillId="0" borderId="0" xfId="0" applyAlignment="1" applyProtection="1">
      <alignment horizontal="left"/>
    </xf>
    <xf numFmtId="0" fontId="17" fillId="0" borderId="32" xfId="0" applyFont="1" applyBorder="1" applyProtection="1"/>
    <xf numFmtId="0" fontId="17" fillId="0" borderId="24" xfId="0" applyFont="1" applyBorder="1" applyProtection="1"/>
    <xf numFmtId="0" fontId="17" fillId="0" borderId="24" xfId="0" applyFont="1" applyFill="1" applyBorder="1" applyAlignment="1" applyProtection="1">
      <alignment horizontal="center"/>
    </xf>
    <xf numFmtId="0" fontId="17" fillId="25" borderId="24" xfId="0" applyFont="1" applyFill="1" applyBorder="1" applyAlignment="1" applyProtection="1">
      <alignment horizontal="center"/>
    </xf>
    <xf numFmtId="0" fontId="17" fillId="25" borderId="61" xfId="0" applyFont="1" applyFill="1" applyBorder="1" applyAlignment="1" applyProtection="1">
      <alignment horizontal="center"/>
    </xf>
    <xf numFmtId="0" fontId="17" fillId="0" borderId="75" xfId="0" applyFont="1" applyBorder="1" applyProtection="1"/>
    <xf numFmtId="0" fontId="17" fillId="0" borderId="19" xfId="0" applyFont="1" applyBorder="1" applyProtection="1"/>
    <xf numFmtId="0" fontId="17" fillId="25" borderId="19" xfId="0" applyFont="1" applyFill="1" applyBorder="1" applyAlignment="1" applyProtection="1">
      <alignment horizontal="center"/>
    </xf>
    <xf numFmtId="0" fontId="17" fillId="25" borderId="76" xfId="0" applyFont="1" applyFill="1" applyBorder="1" applyAlignment="1" applyProtection="1">
      <alignment horizontal="center"/>
    </xf>
    <xf numFmtId="0" fontId="17" fillId="25" borderId="63" xfId="0" applyFont="1" applyFill="1" applyBorder="1" applyAlignment="1" applyProtection="1">
      <alignment horizontal="center"/>
    </xf>
    <xf numFmtId="0" fontId="42" fillId="0" borderId="19" xfId="0" applyFont="1" applyBorder="1" applyProtection="1"/>
    <xf numFmtId="0" fontId="17" fillId="0" borderId="11" xfId="0" applyFont="1" applyFill="1" applyBorder="1" applyAlignment="1" applyProtection="1">
      <alignment horizontal="center"/>
    </xf>
    <xf numFmtId="0" fontId="17" fillId="0" borderId="27" xfId="0" applyFont="1" applyBorder="1" applyAlignment="1" applyProtection="1">
      <alignment horizontal="center"/>
    </xf>
    <xf numFmtId="0" fontId="17" fillId="0" borderId="10" xfId="0" applyFont="1" applyBorder="1" applyProtection="1"/>
    <xf numFmtId="0" fontId="131" fillId="69" borderId="0" xfId="0" applyFont="1" applyFill="1" applyProtection="1"/>
    <xf numFmtId="170" fontId="0" fillId="0" borderId="10" xfId="0" applyNumberFormat="1" applyFill="1" applyBorder="1" applyProtection="1"/>
    <xf numFmtId="170" fontId="0" fillId="0" borderId="10" xfId="0" applyNumberFormat="1" applyBorder="1" applyProtection="1"/>
    <xf numFmtId="170" fontId="0" fillId="0" borderId="25" xfId="0" applyNumberFormat="1" applyBorder="1" applyProtection="1"/>
    <xf numFmtId="170" fontId="0" fillId="0" borderId="34" xfId="29" applyNumberFormat="1" applyFont="1" applyBorder="1" applyProtection="1"/>
    <xf numFmtId="170" fontId="0" fillId="0" borderId="35" xfId="29" applyNumberFormat="1" applyFont="1" applyBorder="1" applyProtection="1"/>
    <xf numFmtId="170" fontId="0" fillId="0" borderId="44" xfId="29" applyNumberFormat="1" applyFont="1" applyBorder="1" applyProtection="1"/>
    <xf numFmtId="0" fontId="19" fillId="0" borderId="0" xfId="0" applyFont="1" applyProtection="1"/>
    <xf numFmtId="0" fontId="94" fillId="0" borderId="0" xfId="0" applyFont="1" applyAlignment="1" applyProtection="1">
      <alignment wrapText="1"/>
    </xf>
    <xf numFmtId="0" fontId="14" fillId="0" borderId="0" xfId="0" applyFont="1" applyAlignment="1" applyProtection="1">
      <alignment wrapText="1"/>
    </xf>
    <xf numFmtId="0" fontId="45" fillId="0" borderId="0" xfId="0" applyFont="1" applyProtection="1"/>
    <xf numFmtId="0" fontId="46" fillId="0" borderId="0" xfId="0" applyFont="1" applyProtection="1"/>
    <xf numFmtId="0" fontId="0" fillId="0" borderId="48" xfId="0" applyBorder="1" applyProtection="1"/>
    <xf numFmtId="0" fontId="0" fillId="0" borderId="49" xfId="0" applyBorder="1" applyProtection="1"/>
    <xf numFmtId="0" fontId="17" fillId="0" borderId="61" xfId="0" applyFont="1" applyFill="1" applyBorder="1" applyAlignment="1" applyProtection="1">
      <alignment horizontal="center"/>
    </xf>
    <xf numFmtId="0" fontId="0" fillId="0" borderId="52" xfId="0" applyBorder="1" applyProtection="1"/>
    <xf numFmtId="0" fontId="0" fillId="0" borderId="16" xfId="0" applyBorder="1" applyProtection="1"/>
    <xf numFmtId="0" fontId="17" fillId="0" borderId="10" xfId="0" applyFont="1" applyFill="1" applyBorder="1" applyAlignment="1" applyProtection="1">
      <alignment horizontal="center"/>
    </xf>
    <xf numFmtId="0" fontId="17" fillId="0" borderId="25" xfId="0" applyFont="1" applyFill="1" applyBorder="1" applyAlignment="1" applyProtection="1">
      <alignment horizontal="center"/>
    </xf>
    <xf numFmtId="170" fontId="0" fillId="0" borderId="31" xfId="29" applyNumberFormat="1" applyFont="1" applyBorder="1" applyProtection="1"/>
    <xf numFmtId="0" fontId="0" fillId="0" borderId="0" xfId="0" applyAlignment="1" applyProtection="1">
      <alignment horizontal="center" vertical="top"/>
    </xf>
    <xf numFmtId="0" fontId="14" fillId="0" borderId="0" xfId="0" applyFont="1" applyAlignment="1" applyProtection="1">
      <alignment vertical="top"/>
    </xf>
    <xf numFmtId="0" fontId="0" fillId="0" borderId="0" xfId="0" applyAlignment="1" applyProtection="1">
      <alignment horizontal="center" vertical="center"/>
    </xf>
    <xf numFmtId="0" fontId="16" fillId="0" borderId="0" xfId="46" applyFont="1" applyAlignment="1" applyProtection="1">
      <alignment vertical="top"/>
    </xf>
    <xf numFmtId="0" fontId="14" fillId="0" borderId="43" xfId="0" applyFont="1" applyBorder="1" applyProtection="1"/>
    <xf numFmtId="0" fontId="17" fillId="0" borderId="43" xfId="0" applyFont="1" applyBorder="1" applyProtection="1"/>
    <xf numFmtId="0" fontId="17" fillId="0" borderId="70" xfId="0" applyFont="1" applyBorder="1" applyProtection="1"/>
    <xf numFmtId="0" fontId="17" fillId="0" borderId="45" xfId="0" applyFont="1" applyBorder="1" applyProtection="1"/>
    <xf numFmtId="0" fontId="17" fillId="0" borderId="69" xfId="0" applyFont="1" applyBorder="1" applyProtection="1"/>
    <xf numFmtId="0" fontId="0" fillId="0" borderId="41" xfId="0" applyBorder="1" applyProtection="1"/>
    <xf numFmtId="0" fontId="17" fillId="0" borderId="41" xfId="0" applyFont="1" applyBorder="1" applyAlignment="1" applyProtection="1">
      <alignment horizontal="center" vertical="center" wrapText="1"/>
    </xf>
    <xf numFmtId="0" fontId="17" fillId="0" borderId="40" xfId="0" applyFont="1" applyBorder="1" applyProtection="1"/>
    <xf numFmtId="0" fontId="17" fillId="0" borderId="30" xfId="0" applyFont="1" applyBorder="1" applyProtection="1"/>
    <xf numFmtId="0" fontId="17" fillId="0" borderId="31" xfId="0" applyFont="1" applyBorder="1" applyProtection="1"/>
    <xf numFmtId="0" fontId="17" fillId="0" borderId="28" xfId="0" applyFont="1" applyBorder="1" applyAlignment="1" applyProtection="1">
      <alignment horizontal="center" vertical="center" wrapText="1"/>
    </xf>
    <xf numFmtId="0" fontId="17" fillId="0" borderId="31" xfId="0" applyFont="1" applyBorder="1" applyAlignment="1" applyProtection="1">
      <alignment horizontal="center" vertical="center" wrapText="1"/>
    </xf>
    <xf numFmtId="0" fontId="0" fillId="0" borderId="40" xfId="0" applyBorder="1" applyAlignment="1" applyProtection="1">
      <alignment horizontal="center" vertical="center"/>
    </xf>
    <xf numFmtId="0" fontId="0" fillId="0" borderId="40" xfId="0" applyBorder="1" applyProtection="1"/>
    <xf numFmtId="0" fontId="14" fillId="0" borderId="92" xfId="0" applyFont="1" applyBorder="1" applyAlignment="1" applyProtection="1">
      <alignment horizontal="center" vertical="center"/>
    </xf>
    <xf numFmtId="0" fontId="0" fillId="66" borderId="29" xfId="0" applyFill="1" applyBorder="1" applyProtection="1"/>
    <xf numFmtId="0" fontId="14" fillId="0" borderId="108" xfId="0" applyFont="1" applyBorder="1" applyAlignment="1" applyProtection="1">
      <alignment horizontal="center" vertical="center"/>
    </xf>
    <xf numFmtId="0" fontId="14" fillId="0" borderId="0" xfId="0" applyFont="1" applyBorder="1" applyAlignment="1" applyProtection="1">
      <alignment horizontal="center" vertical="center" wrapText="1"/>
    </xf>
    <xf numFmtId="0" fontId="0" fillId="66" borderId="45" xfId="0" applyFill="1" applyBorder="1" applyProtection="1"/>
    <xf numFmtId="0" fontId="14" fillId="0" borderId="0" xfId="0" applyFont="1" applyBorder="1" applyAlignment="1" applyProtection="1">
      <alignment horizontal="center" vertical="center"/>
    </xf>
    <xf numFmtId="0" fontId="14" fillId="0" borderId="29" xfId="0" applyFont="1" applyBorder="1" applyAlignment="1" applyProtection="1">
      <alignment horizontal="center" vertical="center"/>
    </xf>
    <xf numFmtId="0" fontId="0" fillId="66" borderId="108" xfId="0" applyFill="1" applyBorder="1" applyProtection="1"/>
    <xf numFmtId="0" fontId="17" fillId="0" borderId="41" xfId="0" applyFont="1" applyBorder="1" applyProtection="1"/>
    <xf numFmtId="0" fontId="0" fillId="0" borderId="41" xfId="0" applyBorder="1" applyAlignment="1" applyProtection="1">
      <alignment horizontal="center" vertical="center"/>
    </xf>
    <xf numFmtId="0" fontId="14" fillId="0" borderId="38" xfId="0" applyFont="1" applyBorder="1" applyAlignment="1" applyProtection="1">
      <alignment horizontal="center" vertical="center"/>
    </xf>
    <xf numFmtId="0" fontId="0" fillId="66" borderId="31" xfId="0" applyFill="1" applyBorder="1" applyProtection="1"/>
    <xf numFmtId="0" fontId="0" fillId="66" borderId="38" xfId="0" applyFill="1" applyBorder="1" applyProtection="1"/>
    <xf numFmtId="0" fontId="14" fillId="0" borderId="30" xfId="0" applyFont="1" applyBorder="1" applyAlignment="1" applyProtection="1">
      <alignment horizontal="center" vertical="center" wrapText="1"/>
    </xf>
    <xf numFmtId="0" fontId="14" fillId="0" borderId="30" xfId="0" applyFont="1" applyBorder="1" applyAlignment="1" applyProtection="1">
      <alignment horizontal="center" vertical="center"/>
    </xf>
    <xf numFmtId="0" fontId="14" fillId="0" borderId="31" xfId="0" applyFont="1" applyBorder="1" applyAlignment="1" applyProtection="1">
      <alignment horizontal="center" vertical="center"/>
    </xf>
    <xf numFmtId="0" fontId="48" fillId="0" borderId="0" xfId="0" quotePrefix="1" applyFont="1" applyAlignment="1" applyProtection="1">
      <alignment horizontal="left" vertical="top"/>
    </xf>
    <xf numFmtId="0" fontId="109" fillId="0" borderId="0" xfId="0" applyFont="1" applyProtection="1"/>
    <xf numFmtId="0" fontId="60" fillId="0" borderId="92" xfId="46" applyFont="1" applyFill="1" applyBorder="1" applyAlignment="1" applyProtection="1">
      <alignment vertical="center" wrapText="1"/>
    </xf>
    <xf numFmtId="0" fontId="17" fillId="0" borderId="21" xfId="0" applyFont="1" applyFill="1" applyBorder="1" applyAlignment="1" applyProtection="1">
      <alignment horizontal="center" vertical="center" wrapText="1"/>
    </xf>
    <xf numFmtId="0" fontId="17" fillId="0" borderId="65" xfId="0" applyFont="1" applyFill="1" applyBorder="1" applyAlignment="1" applyProtection="1">
      <alignment horizontal="center" vertical="center" wrapText="1"/>
    </xf>
    <xf numFmtId="0" fontId="79" fillId="0" borderId="20" xfId="51" applyFont="1" applyBorder="1" applyAlignment="1" applyProtection="1">
      <alignment horizontal="center" vertical="center" wrapText="1"/>
    </xf>
    <xf numFmtId="0" fontId="79" fillId="0" borderId="23" xfId="51" applyFont="1" applyBorder="1" applyAlignment="1" applyProtection="1">
      <alignment horizontal="center" vertical="center" wrapText="1"/>
    </xf>
    <xf numFmtId="0" fontId="83" fillId="0" borderId="20" xfId="46" applyFont="1" applyFill="1" applyBorder="1" applyAlignment="1" applyProtection="1">
      <alignment vertical="center" wrapText="1"/>
    </xf>
    <xf numFmtId="0" fontId="61" fillId="0" borderId="0" xfId="46" applyFont="1" applyFill="1" applyBorder="1" applyAlignment="1" applyProtection="1">
      <alignment horizontal="center" vertical="center" wrapText="1"/>
    </xf>
    <xf numFmtId="0" fontId="80" fillId="0" borderId="75" xfId="51" applyFont="1" applyBorder="1" applyAlignment="1" applyProtection="1">
      <alignment vertical="center" wrapText="1"/>
    </xf>
    <xf numFmtId="170" fontId="80" fillId="0" borderId="16" xfId="51" applyNumberFormat="1" applyFont="1" applyBorder="1" applyAlignment="1" applyProtection="1">
      <alignment vertical="center" wrapText="1"/>
    </xf>
    <xf numFmtId="0" fontId="60" fillId="0" borderId="32" xfId="46" applyFont="1" applyBorder="1" applyAlignment="1" applyProtection="1">
      <alignment vertical="center" wrapText="1"/>
    </xf>
    <xf numFmtId="170" fontId="60" fillId="62" borderId="24" xfId="29" applyNumberFormat="1" applyFont="1" applyFill="1" applyBorder="1" applyAlignment="1" applyProtection="1">
      <alignment vertical="center" wrapText="1"/>
    </xf>
    <xf numFmtId="3" fontId="60" fillId="0" borderId="0" xfId="46" applyNumberFormat="1" applyFont="1" applyFill="1" applyBorder="1" applyAlignment="1" applyProtection="1">
      <alignment vertical="center" wrapText="1"/>
    </xf>
    <xf numFmtId="0" fontId="80" fillId="0" borderId="27" xfId="51" applyFont="1" applyBorder="1" applyAlignment="1" applyProtection="1">
      <alignment vertical="center" wrapText="1"/>
    </xf>
    <xf numFmtId="170" fontId="80" fillId="0" borderId="33" xfId="51" applyNumberFormat="1" applyFont="1" applyBorder="1" applyAlignment="1" applyProtection="1">
      <alignment vertical="center" wrapText="1"/>
    </xf>
    <xf numFmtId="0" fontId="60" fillId="0" borderId="27" xfId="46" applyFont="1" applyBorder="1" applyAlignment="1" applyProtection="1">
      <alignment vertical="center" wrapText="1"/>
    </xf>
    <xf numFmtId="170" fontId="60" fillId="62" borderId="10" xfId="29" applyNumberFormat="1" applyFont="1" applyFill="1" applyBorder="1" applyAlignment="1" applyProtection="1">
      <alignment vertical="center" wrapText="1"/>
    </xf>
    <xf numFmtId="0" fontId="61" fillId="0" borderId="27" xfId="46" applyFont="1" applyBorder="1" applyAlignment="1" applyProtection="1">
      <alignment vertical="center" wrapText="1"/>
    </xf>
    <xf numFmtId="170" fontId="61" fillId="0" borderId="10" xfId="29" applyNumberFormat="1" applyFont="1" applyBorder="1" applyAlignment="1" applyProtection="1">
      <alignment vertical="center" wrapText="1"/>
    </xf>
    <xf numFmtId="170" fontId="61" fillId="0" borderId="25" xfId="29" applyNumberFormat="1" applyFont="1" applyBorder="1" applyAlignment="1" applyProtection="1">
      <alignment vertical="center" wrapText="1"/>
    </xf>
    <xf numFmtId="3" fontId="61" fillId="0" borderId="0" xfId="28" applyNumberFormat="1" applyFont="1" applyFill="1" applyBorder="1" applyAlignment="1" applyProtection="1">
      <alignment vertical="center" wrapText="1"/>
    </xf>
    <xf numFmtId="169" fontId="60" fillId="62" borderId="10" xfId="42" applyNumberFormat="1" applyFont="1" applyFill="1" applyBorder="1" applyAlignment="1" applyProtection="1">
      <alignment vertical="center" wrapText="1"/>
    </xf>
    <xf numFmtId="169" fontId="60" fillId="0" borderId="10" xfId="42" applyNumberFormat="1" applyFont="1" applyBorder="1" applyAlignment="1" applyProtection="1">
      <alignment vertical="center" wrapText="1"/>
    </xf>
    <xf numFmtId="169" fontId="60" fillId="0" borderId="25" xfId="42" applyNumberFormat="1" applyFont="1" applyBorder="1" applyAlignment="1" applyProtection="1">
      <alignment vertical="center" wrapText="1"/>
    </xf>
    <xf numFmtId="3" fontId="60" fillId="0" borderId="0" xfId="42" applyNumberFormat="1" applyFont="1" applyFill="1" applyBorder="1" applyAlignment="1" applyProtection="1">
      <alignment vertical="center" wrapText="1"/>
    </xf>
    <xf numFmtId="169" fontId="60" fillId="0" borderId="74" xfId="42" applyNumberFormat="1" applyFont="1" applyBorder="1" applyAlignment="1" applyProtection="1">
      <alignment vertical="center" wrapText="1"/>
    </xf>
    <xf numFmtId="169" fontId="60" fillId="0" borderId="13" xfId="42" applyNumberFormat="1" applyFont="1" applyBorder="1" applyAlignment="1" applyProtection="1">
      <alignment vertical="center" wrapText="1"/>
    </xf>
    <xf numFmtId="169" fontId="60" fillId="0" borderId="33" xfId="42" applyNumberFormat="1" applyFont="1" applyBorder="1" applyAlignment="1" applyProtection="1">
      <alignment vertical="center" wrapText="1"/>
    </xf>
    <xf numFmtId="0" fontId="80" fillId="0" borderId="33" xfId="51" applyFont="1" applyBorder="1" applyAlignment="1" applyProtection="1">
      <alignment vertical="center" wrapText="1"/>
    </xf>
    <xf numFmtId="0" fontId="80" fillId="66" borderId="82" xfId="51" applyFont="1" applyFill="1" applyBorder="1" applyAlignment="1" applyProtection="1">
      <alignment vertical="center" wrapText="1"/>
    </xf>
    <xf numFmtId="0" fontId="80" fillId="0" borderId="82" xfId="51" applyFont="1" applyBorder="1" applyAlignment="1" applyProtection="1">
      <alignment vertical="center" wrapText="1"/>
    </xf>
    <xf numFmtId="0" fontId="80" fillId="0" borderId="82" xfId="51" applyFont="1" applyFill="1" applyBorder="1" applyAlignment="1" applyProtection="1">
      <alignment vertical="center" wrapText="1"/>
    </xf>
    <xf numFmtId="170" fontId="79" fillId="0" borderId="10" xfId="29" applyNumberFormat="1" applyFont="1" applyFill="1" applyBorder="1" applyAlignment="1" applyProtection="1">
      <alignment vertical="center" wrapText="1"/>
    </xf>
    <xf numFmtId="0" fontId="80" fillId="0" borderId="18" xfId="51" applyFont="1" applyFill="1" applyBorder="1" applyAlignment="1" applyProtection="1">
      <alignment vertical="center" wrapText="1"/>
    </xf>
    <xf numFmtId="0" fontId="80" fillId="66" borderId="0" xfId="51" applyFont="1" applyFill="1" applyBorder="1" applyAlignment="1" applyProtection="1">
      <alignment vertical="center" wrapText="1"/>
    </xf>
    <xf numFmtId="0" fontId="80" fillId="0" borderId="0" xfId="51" applyFont="1" applyBorder="1" applyAlignment="1" applyProtection="1">
      <alignment vertical="center" wrapText="1"/>
    </xf>
    <xf numFmtId="0" fontId="80" fillId="0" borderId="0" xfId="51" applyFont="1" applyFill="1" applyBorder="1" applyAlignment="1" applyProtection="1">
      <alignment vertical="center" wrapText="1"/>
    </xf>
    <xf numFmtId="9" fontId="79" fillId="0" borderId="10" xfId="42" applyFont="1" applyFill="1" applyBorder="1" applyAlignment="1" applyProtection="1">
      <alignment vertical="center" wrapText="1"/>
    </xf>
    <xf numFmtId="0" fontId="80" fillId="0" borderId="15" xfId="51" applyFont="1" applyFill="1" applyBorder="1" applyAlignment="1" applyProtection="1">
      <alignment vertical="center" wrapText="1"/>
    </xf>
    <xf numFmtId="169" fontId="60" fillId="81" borderId="10" xfId="42" applyNumberFormat="1" applyFont="1" applyFill="1" applyBorder="1" applyAlignment="1" applyProtection="1">
      <alignment vertical="center" wrapText="1"/>
    </xf>
    <xf numFmtId="0" fontId="80" fillId="66" borderId="12" xfId="51" applyFont="1" applyFill="1" applyBorder="1" applyAlignment="1" applyProtection="1">
      <alignment vertical="center" wrapText="1"/>
    </xf>
    <xf numFmtId="0" fontId="80" fillId="0" borderId="12" xfId="51" applyFont="1" applyBorder="1" applyAlignment="1" applyProtection="1">
      <alignment vertical="center" wrapText="1"/>
    </xf>
    <xf numFmtId="0" fontId="80" fillId="0" borderId="12" xfId="51" applyFont="1" applyFill="1" applyBorder="1" applyAlignment="1" applyProtection="1">
      <alignment vertical="center" wrapText="1"/>
    </xf>
    <xf numFmtId="10" fontId="79" fillId="0" borderId="10" xfId="51" applyNumberFormat="1" applyFont="1" applyFill="1" applyBorder="1" applyAlignment="1" applyProtection="1">
      <alignment vertical="center" wrapText="1"/>
    </xf>
    <xf numFmtId="0" fontId="80" fillId="0" borderId="16" xfId="51" applyFont="1" applyFill="1" applyBorder="1" applyAlignment="1" applyProtection="1">
      <alignment vertical="center" wrapText="1"/>
    </xf>
    <xf numFmtId="169" fontId="79" fillId="0" borderId="10" xfId="42" applyNumberFormat="1" applyFont="1" applyFill="1" applyBorder="1" applyAlignment="1" applyProtection="1">
      <alignment vertical="center" wrapText="1"/>
    </xf>
    <xf numFmtId="0" fontId="60" fillId="0" borderId="28" xfId="46" applyFont="1" applyBorder="1" applyAlignment="1" applyProtection="1">
      <alignment vertical="center" wrapText="1"/>
    </xf>
    <xf numFmtId="169" fontId="60" fillId="0" borderId="62" xfId="42" applyNumberFormat="1" applyFont="1" applyBorder="1" applyAlignment="1" applyProtection="1">
      <alignment vertical="center" wrapText="1"/>
    </xf>
    <xf numFmtId="0" fontId="80" fillId="0" borderId="28" xfId="51" applyFont="1" applyBorder="1" applyAlignment="1" applyProtection="1">
      <alignment vertical="center" wrapText="1"/>
    </xf>
    <xf numFmtId="0" fontId="80" fillId="0" borderId="30" xfId="51" applyFont="1" applyBorder="1" applyAlignment="1" applyProtection="1">
      <alignment vertical="center" wrapText="1"/>
    </xf>
    <xf numFmtId="0" fontId="80" fillId="0" borderId="30" xfId="51" applyFont="1" applyFill="1" applyBorder="1" applyAlignment="1" applyProtection="1">
      <alignment vertical="center" wrapText="1"/>
    </xf>
    <xf numFmtId="10" fontId="79" fillId="0" borderId="26" xfId="51" applyNumberFormat="1" applyFont="1" applyFill="1" applyBorder="1" applyAlignment="1" applyProtection="1">
      <alignment vertical="center" wrapText="1"/>
    </xf>
    <xf numFmtId="0" fontId="80" fillId="0" borderId="39" xfId="51" applyFont="1" applyFill="1" applyBorder="1" applyAlignment="1" applyProtection="1">
      <alignment vertical="center" wrapText="1"/>
    </xf>
    <xf numFmtId="0" fontId="14" fillId="0" borderId="0" xfId="46" applyAlignment="1" applyProtection="1">
      <alignment vertical="center" wrapText="1"/>
    </xf>
    <xf numFmtId="171" fontId="14" fillId="0" borderId="0" xfId="28" applyNumberFormat="1" applyFont="1" applyAlignment="1" applyProtection="1">
      <alignment vertical="center" wrapText="1"/>
    </xf>
    <xf numFmtId="171" fontId="16" fillId="0" borderId="0" xfId="28" applyNumberFormat="1" applyFont="1" applyAlignment="1" applyProtection="1">
      <alignment vertical="center" wrapText="1"/>
    </xf>
    <xf numFmtId="0" fontId="0" fillId="0" borderId="0" xfId="0" applyFill="1" applyBorder="1" applyAlignment="1" applyProtection="1">
      <alignment vertical="center" wrapText="1"/>
    </xf>
    <xf numFmtId="0" fontId="0" fillId="0" borderId="0" xfId="0" applyAlignment="1" applyProtection="1">
      <alignment vertical="center" wrapText="1"/>
    </xf>
    <xf numFmtId="0" fontId="60" fillId="0" borderId="32" xfId="46" applyFont="1" applyFill="1" applyBorder="1" applyAlignment="1" applyProtection="1">
      <alignment vertical="center" wrapText="1"/>
    </xf>
    <xf numFmtId="0" fontId="61" fillId="0" borderId="24" xfId="46" applyFont="1" applyFill="1" applyBorder="1" applyAlignment="1" applyProtection="1">
      <alignment horizontal="center" vertical="center" wrapText="1"/>
    </xf>
    <xf numFmtId="170" fontId="60" fillId="0" borderId="10" xfId="29" applyNumberFormat="1" applyFont="1" applyBorder="1" applyAlignment="1" applyProtection="1">
      <alignment vertical="center" wrapText="1"/>
    </xf>
    <xf numFmtId="0" fontId="17" fillId="0" borderId="0" xfId="0" applyFont="1" applyAlignment="1" applyProtection="1">
      <alignment vertical="center" wrapText="1"/>
    </xf>
    <xf numFmtId="0" fontId="14" fillId="0" borderId="0" xfId="0" applyFont="1" applyAlignment="1" applyProtection="1">
      <alignment vertical="top" wrapText="1"/>
    </xf>
    <xf numFmtId="0" fontId="14" fillId="0" borderId="0" xfId="0" applyFont="1" applyAlignment="1" applyProtection="1">
      <alignment horizontal="left" vertical="top"/>
    </xf>
    <xf numFmtId="0" fontId="0" fillId="0" borderId="20" xfId="0" applyBorder="1" applyProtection="1"/>
    <xf numFmtId="0" fontId="0" fillId="0" borderId="0" xfId="0" applyAlignment="1" applyProtection="1">
      <alignment horizontal="center" vertical="center" wrapText="1"/>
    </xf>
    <xf numFmtId="0" fontId="0" fillId="0" borderId="10" xfId="0" applyBorder="1" applyProtection="1"/>
    <xf numFmtId="171" fontId="14" fillId="0" borderId="10" xfId="28" applyNumberFormat="1" applyBorder="1" applyProtection="1"/>
    <xf numFmtId="170" fontId="14" fillId="0" borderId="10" xfId="29" applyNumberFormat="1" applyBorder="1" applyProtection="1"/>
    <xf numFmtId="0" fontId="17" fillId="0" borderId="24" xfId="0" applyFont="1" applyBorder="1" applyAlignment="1" applyProtection="1">
      <alignment horizontal="center" vertical="center" wrapText="1"/>
    </xf>
    <xf numFmtId="0" fontId="17" fillId="0" borderId="24" xfId="0" applyFont="1" applyFill="1" applyBorder="1" applyAlignment="1" applyProtection="1">
      <alignment horizontal="center" vertical="center" wrapText="1"/>
    </xf>
    <xf numFmtId="0" fontId="17" fillId="0" borderId="61" xfId="0" applyFont="1" applyBorder="1" applyAlignment="1" applyProtection="1">
      <alignment horizontal="center" vertical="center" wrapText="1"/>
    </xf>
    <xf numFmtId="0" fontId="0" fillId="0" borderId="10" xfId="0" quotePrefix="1" applyBorder="1" applyAlignment="1" applyProtection="1">
      <alignment horizontal="center"/>
    </xf>
    <xf numFmtId="0" fontId="14" fillId="0" borderId="10" xfId="0" quotePrefix="1" applyFont="1" applyBorder="1" applyAlignment="1" applyProtection="1">
      <alignment horizontal="center"/>
    </xf>
    <xf numFmtId="0" fontId="14" fillId="0" borderId="25" xfId="0" quotePrefix="1" applyFont="1" applyBorder="1" applyAlignment="1" applyProtection="1">
      <alignment horizontal="center"/>
    </xf>
    <xf numFmtId="0" fontId="0" fillId="0" borderId="25" xfId="0" quotePrefix="1" applyBorder="1" applyAlignment="1" applyProtection="1">
      <alignment horizontal="center"/>
    </xf>
    <xf numFmtId="0" fontId="17" fillId="0" borderId="27" xfId="0" applyFont="1" applyBorder="1" applyAlignment="1" applyProtection="1">
      <alignment horizontal="center" vertical="top"/>
    </xf>
    <xf numFmtId="0" fontId="0" fillId="0" borderId="10" xfId="0" applyBorder="1" applyAlignment="1" applyProtection="1">
      <alignment vertical="top" wrapText="1"/>
    </xf>
    <xf numFmtId="10" fontId="0" fillId="0" borderId="10" xfId="42" applyNumberFormat="1" applyFont="1" applyBorder="1" applyAlignment="1" applyProtection="1">
      <alignment vertical="top"/>
    </xf>
    <xf numFmtId="10" fontId="0" fillId="0" borderId="25" xfId="42" applyNumberFormat="1" applyFont="1" applyBorder="1" applyAlignment="1" applyProtection="1">
      <alignment vertical="top"/>
    </xf>
    <xf numFmtId="0" fontId="0" fillId="0" borderId="17" xfId="0" applyBorder="1" applyAlignment="1" applyProtection="1">
      <alignment vertical="top" wrapText="1"/>
    </xf>
    <xf numFmtId="0" fontId="0" fillId="0" borderId="17" xfId="0" applyFill="1" applyBorder="1" applyAlignment="1" applyProtection="1">
      <alignment vertical="top"/>
    </xf>
    <xf numFmtId="170" fontId="0" fillId="0" borderId="17" xfId="29" applyNumberFormat="1" applyFont="1" applyFill="1" applyBorder="1" applyAlignment="1" applyProtection="1">
      <alignment vertical="top"/>
    </xf>
    <xf numFmtId="10" fontId="0" fillId="0" borderId="10" xfId="42" applyNumberFormat="1" applyFont="1" applyFill="1" applyBorder="1" applyAlignment="1" applyProtection="1">
      <alignment vertical="top"/>
    </xf>
    <xf numFmtId="10" fontId="0" fillId="0" borderId="25" xfId="42" applyNumberFormat="1" applyFont="1" applyFill="1" applyBorder="1" applyAlignment="1" applyProtection="1">
      <alignment vertical="top"/>
    </xf>
    <xf numFmtId="0" fontId="17" fillId="0" borderId="89" xfId="0" applyFont="1" applyBorder="1" applyAlignment="1" applyProtection="1">
      <alignment horizontal="center" vertical="top"/>
    </xf>
    <xf numFmtId="0" fontId="14" fillId="0" borderId="10" xfId="0" applyFont="1" applyBorder="1" applyAlignment="1" applyProtection="1">
      <alignment vertical="top" wrapText="1"/>
    </xf>
    <xf numFmtId="0" fontId="14" fillId="0" borderId="74" xfId="0" applyFont="1" applyBorder="1" applyAlignment="1" applyProtection="1">
      <alignment vertical="top" wrapText="1"/>
    </xf>
    <xf numFmtId="0" fontId="0" fillId="0" borderId="105" xfId="0" applyBorder="1" applyAlignment="1" applyProtection="1">
      <alignment vertical="top" wrapText="1"/>
    </xf>
    <xf numFmtId="10" fontId="0" fillId="0" borderId="26" xfId="42" applyNumberFormat="1" applyFont="1" applyBorder="1" applyAlignment="1" applyProtection="1">
      <alignment vertical="top"/>
    </xf>
    <xf numFmtId="10" fontId="0" fillId="0" borderId="62" xfId="42" applyNumberFormat="1" applyFont="1" applyBorder="1" applyAlignment="1" applyProtection="1">
      <alignment vertical="top"/>
    </xf>
    <xf numFmtId="0" fontId="14" fillId="0" borderId="19" xfId="0" applyFont="1" applyBorder="1" applyAlignment="1" applyProtection="1">
      <alignment vertical="top" wrapText="1"/>
    </xf>
    <xf numFmtId="0" fontId="0" fillId="62" borderId="19" xfId="0" applyFill="1" applyBorder="1" applyAlignment="1" applyProtection="1">
      <alignment vertical="top"/>
    </xf>
    <xf numFmtId="170" fontId="0" fillId="0" borderId="19" xfId="29" applyNumberFormat="1" applyFont="1" applyBorder="1" applyAlignment="1" applyProtection="1">
      <alignment vertical="top"/>
    </xf>
    <xf numFmtId="10" fontId="0" fillId="0" borderId="19" xfId="42" applyNumberFormat="1" applyFont="1" applyBorder="1" applyAlignment="1" applyProtection="1">
      <alignment vertical="top"/>
    </xf>
    <xf numFmtId="10" fontId="0" fillId="0" borderId="63" xfId="42" applyNumberFormat="1" applyFont="1" applyBorder="1" applyAlignment="1" applyProtection="1">
      <alignment vertical="top"/>
    </xf>
    <xf numFmtId="0" fontId="14" fillId="0" borderId="36" xfId="0" applyFont="1" applyBorder="1" applyAlignment="1" applyProtection="1">
      <alignment vertical="top" wrapText="1"/>
    </xf>
    <xf numFmtId="0" fontId="0" fillId="62" borderId="36" xfId="0" applyFill="1" applyBorder="1" applyAlignment="1" applyProtection="1">
      <alignment vertical="top"/>
    </xf>
    <xf numFmtId="170" fontId="0" fillId="0" borderId="36" xfId="29" applyNumberFormat="1" applyFont="1" applyBorder="1" applyAlignment="1" applyProtection="1">
      <alignment vertical="top"/>
    </xf>
    <xf numFmtId="10" fontId="0" fillId="0" borderId="36" xfId="42" applyNumberFormat="1" applyFont="1" applyBorder="1" applyAlignment="1" applyProtection="1">
      <alignment vertical="top"/>
    </xf>
    <xf numFmtId="10" fontId="0" fillId="0" borderId="37" xfId="42" applyNumberFormat="1" applyFont="1" applyBorder="1" applyAlignment="1" applyProtection="1">
      <alignment vertical="top"/>
    </xf>
    <xf numFmtId="0" fontId="17" fillId="0" borderId="28" xfId="0" applyFont="1" applyBorder="1" applyAlignment="1" applyProtection="1">
      <alignment horizontal="center" vertical="top"/>
    </xf>
    <xf numFmtId="0" fontId="0" fillId="0" borderId="34" xfId="0" applyBorder="1" applyAlignment="1" applyProtection="1">
      <alignment vertical="top" wrapText="1"/>
    </xf>
    <xf numFmtId="0" fontId="0" fillId="62" borderId="34" xfId="0" applyFill="1" applyBorder="1" applyAlignment="1" applyProtection="1">
      <alignment vertical="top"/>
    </xf>
    <xf numFmtId="170" fontId="0" fillId="0" borderId="34" xfId="29" applyNumberFormat="1" applyFont="1" applyBorder="1" applyAlignment="1" applyProtection="1">
      <alignment vertical="top"/>
    </xf>
    <xf numFmtId="10" fontId="0" fillId="0" borderId="34" xfId="42" applyNumberFormat="1" applyFont="1" applyBorder="1" applyAlignment="1" applyProtection="1">
      <alignment vertical="top"/>
    </xf>
    <xf numFmtId="10" fontId="0" fillId="0" borderId="35" xfId="42" applyNumberFormat="1" applyFont="1" applyBorder="1" applyAlignment="1" applyProtection="1">
      <alignment vertical="top"/>
    </xf>
    <xf numFmtId="0" fontId="17" fillId="0" borderId="20" xfId="0" applyFont="1" applyBorder="1" applyProtection="1"/>
    <xf numFmtId="0" fontId="17" fillId="0" borderId="65" xfId="0" applyFont="1" applyBorder="1" applyAlignment="1" applyProtection="1">
      <alignment horizontal="center"/>
    </xf>
    <xf numFmtId="0" fontId="0" fillId="0" borderId="91" xfId="0" applyBorder="1" applyAlignment="1" applyProtection="1">
      <alignment horizontal="left" wrapText="1"/>
    </xf>
    <xf numFmtId="170" fontId="0" fillId="0" borderId="31" xfId="0" applyNumberFormat="1" applyFill="1" applyBorder="1" applyProtection="1"/>
    <xf numFmtId="0" fontId="0" fillId="0" borderId="101" xfId="0" applyFill="1" applyBorder="1" applyProtection="1"/>
    <xf numFmtId="0" fontId="0" fillId="0" borderId="31" xfId="0" applyFill="1" applyBorder="1" applyProtection="1"/>
    <xf numFmtId="0" fontId="0" fillId="0" borderId="0" xfId="0" applyBorder="1" applyProtection="1"/>
    <xf numFmtId="0" fontId="17" fillId="0" borderId="0" xfId="0" applyFont="1" applyFill="1" applyBorder="1" applyAlignment="1" applyProtection="1">
      <alignment horizontal="center" vertical="center" wrapText="1"/>
    </xf>
    <xf numFmtId="0" fontId="17" fillId="0" borderId="0" xfId="0" applyFont="1" applyBorder="1" applyAlignment="1" applyProtection="1">
      <alignment horizontal="center" vertical="top"/>
    </xf>
    <xf numFmtId="0" fontId="0" fillId="0" borderId="0" xfId="0" applyFill="1" applyBorder="1" applyAlignment="1" applyProtection="1">
      <alignment horizontal="right" vertical="center"/>
    </xf>
    <xf numFmtId="0" fontId="22" fillId="0" borderId="0" xfId="0" quotePrefix="1" applyFont="1" applyAlignment="1" applyProtection="1">
      <alignment horizontal="center"/>
    </xf>
    <xf numFmtId="0" fontId="0" fillId="0" borderId="27" xfId="0" applyFill="1" applyBorder="1" applyProtection="1"/>
    <xf numFmtId="0" fontId="17" fillId="0" borderId="27" xfId="0" applyFont="1" applyBorder="1" applyAlignment="1" applyProtection="1">
      <alignment vertical="top"/>
    </xf>
    <xf numFmtId="171" fontId="0" fillId="0" borderId="25" xfId="28" applyNumberFormat="1" applyFont="1" applyBorder="1" applyAlignment="1" applyProtection="1">
      <alignment horizontal="right" vertical="center"/>
    </xf>
    <xf numFmtId="171" fontId="0" fillId="0" borderId="10" xfId="28" applyNumberFormat="1" applyFont="1" applyFill="1" applyBorder="1" applyAlignment="1" applyProtection="1">
      <alignment horizontal="right" vertical="center"/>
    </xf>
    <xf numFmtId="171" fontId="0" fillId="0" borderId="25" xfId="28" applyNumberFormat="1" applyFont="1" applyFill="1" applyBorder="1" applyAlignment="1" applyProtection="1">
      <alignment horizontal="right" vertical="center"/>
    </xf>
    <xf numFmtId="182" fontId="0" fillId="0" borderId="10" xfId="0" applyNumberFormat="1" applyFill="1" applyBorder="1" applyAlignment="1" applyProtection="1">
      <alignment horizontal="right" vertical="center"/>
    </xf>
    <xf numFmtId="182" fontId="0" fillId="0" borderId="25" xfId="0" applyNumberFormat="1" applyFill="1" applyBorder="1" applyAlignment="1" applyProtection="1">
      <alignment horizontal="right" vertical="center"/>
    </xf>
    <xf numFmtId="0" fontId="0" fillId="0" borderId="27" xfId="0" applyFill="1" applyBorder="1" applyAlignment="1" applyProtection="1">
      <alignment vertical="top"/>
    </xf>
    <xf numFmtId="182" fontId="0" fillId="0" borderId="25" xfId="0" applyNumberFormat="1" applyBorder="1" applyAlignment="1" applyProtection="1">
      <alignment horizontal="right" vertical="center"/>
    </xf>
    <xf numFmtId="0" fontId="0" fillId="0" borderId="28" xfId="0" applyBorder="1" applyAlignment="1" applyProtection="1">
      <alignment vertical="top"/>
    </xf>
    <xf numFmtId="0" fontId="0" fillId="0" borderId="26" xfId="0" applyBorder="1" applyAlignment="1" applyProtection="1">
      <alignment vertical="top" wrapText="1"/>
    </xf>
    <xf numFmtId="182" fontId="0" fillId="0" borderId="26" xfId="0" applyNumberFormat="1" applyBorder="1" applyAlignment="1" applyProtection="1">
      <alignment horizontal="right" vertical="center"/>
    </xf>
    <xf numFmtId="182" fontId="0" fillId="0" borderId="62" xfId="0" applyNumberFormat="1" applyBorder="1" applyAlignment="1" applyProtection="1">
      <alignment horizontal="right" vertical="center"/>
    </xf>
    <xf numFmtId="0" fontId="36" fillId="0" borderId="0" xfId="0" applyFont="1" applyAlignment="1" applyProtection="1">
      <alignment horizontal="center"/>
    </xf>
    <xf numFmtId="0" fontId="147" fillId="0" borderId="0" xfId="0" applyFont="1" applyFill="1" applyAlignment="1" applyProtection="1">
      <alignment horizontal="center" vertical="top"/>
    </xf>
    <xf numFmtId="0" fontId="147" fillId="0" borderId="0" xfId="0" applyFont="1" applyFill="1" applyBorder="1" applyAlignment="1" applyProtection="1">
      <alignment horizontal="center" vertical="top"/>
    </xf>
    <xf numFmtId="0" fontId="0" fillId="0" borderId="0" xfId="0" applyAlignment="1" applyProtection="1">
      <alignment horizontal="center"/>
    </xf>
    <xf numFmtId="0" fontId="138" fillId="0" borderId="0" xfId="0" applyFont="1" applyBorder="1" applyAlignment="1" applyProtection="1">
      <alignment vertical="top"/>
    </xf>
    <xf numFmtId="0" fontId="148" fillId="0" borderId="0" xfId="0" applyFont="1" applyBorder="1" applyProtection="1"/>
    <xf numFmtId="0" fontId="139" fillId="0" borderId="0" xfId="0" applyFont="1" applyBorder="1" applyProtection="1"/>
    <xf numFmtId="0" fontId="137" fillId="0" borderId="167" xfId="0" applyFont="1" applyFill="1" applyBorder="1" applyAlignment="1" applyProtection="1">
      <alignment vertical="center"/>
    </xf>
    <xf numFmtId="0" fontId="137" fillId="83" borderId="0" xfId="0" applyFont="1" applyFill="1" applyBorder="1" applyAlignment="1" applyProtection="1">
      <alignment vertical="center"/>
    </xf>
    <xf numFmtId="0" fontId="141" fillId="0" borderId="0" xfId="0" applyFont="1" applyProtection="1"/>
    <xf numFmtId="0" fontId="137" fillId="83" borderId="170" xfId="0" applyFont="1" applyFill="1" applyBorder="1" applyAlignment="1" applyProtection="1">
      <alignment vertical="center"/>
    </xf>
    <xf numFmtId="196" fontId="141" fillId="0" borderId="0" xfId="0" applyNumberFormat="1" applyFont="1" applyProtection="1"/>
    <xf numFmtId="0" fontId="137" fillId="0" borderId="170" xfId="0" applyFont="1" applyFill="1" applyBorder="1" applyAlignment="1" applyProtection="1">
      <alignment vertical="center"/>
    </xf>
    <xf numFmtId="10" fontId="141" fillId="0" borderId="0" xfId="0" applyNumberFormat="1" applyFont="1" applyProtection="1"/>
    <xf numFmtId="0" fontId="143" fillId="0" borderId="170" xfId="0" applyFont="1" applyFill="1" applyBorder="1" applyAlignment="1" applyProtection="1">
      <alignment horizontal="left" indent="1"/>
    </xf>
    <xf numFmtId="0" fontId="143" fillId="0" borderId="170" xfId="0" applyFont="1" applyFill="1" applyBorder="1" applyProtection="1"/>
    <xf numFmtId="10" fontId="149" fillId="0" borderId="10" xfId="0" applyNumberFormat="1" applyFont="1" applyBorder="1" applyProtection="1"/>
    <xf numFmtId="0" fontId="141" fillId="0" borderId="30" xfId="0" applyFont="1" applyBorder="1" applyProtection="1"/>
    <xf numFmtId="0" fontId="143" fillId="0" borderId="30" xfId="0" applyFont="1" applyFill="1" applyBorder="1" applyAlignment="1" applyProtection="1">
      <alignment horizontal="left" indent="1"/>
    </xf>
    <xf numFmtId="0" fontId="143" fillId="0" borderId="30" xfId="0" applyFont="1" applyFill="1" applyBorder="1" applyProtection="1"/>
    <xf numFmtId="10" fontId="149" fillId="0" borderId="30" xfId="0" applyNumberFormat="1" applyFont="1" applyBorder="1" applyProtection="1"/>
    <xf numFmtId="0" fontId="143" fillId="0" borderId="0" xfId="0" applyFont="1" applyFill="1" applyBorder="1" applyAlignment="1" applyProtection="1">
      <alignment horizontal="left" indent="1"/>
    </xf>
    <xf numFmtId="0" fontId="143" fillId="0" borderId="0" xfId="0" applyFont="1" applyFill="1" applyBorder="1" applyProtection="1"/>
    <xf numFmtId="10" fontId="149" fillId="0" borderId="0" xfId="0" applyNumberFormat="1" applyFont="1" applyBorder="1" applyProtection="1"/>
    <xf numFmtId="0" fontId="150" fillId="0" borderId="0" xfId="0" applyFont="1" applyProtection="1"/>
    <xf numFmtId="0" fontId="141" fillId="0" borderId="0" xfId="0" applyFont="1" applyFill="1" applyBorder="1" applyProtection="1"/>
    <xf numFmtId="0" fontId="141" fillId="0" borderId="0" xfId="0" applyFont="1" applyAlignment="1" applyProtection="1">
      <alignment horizontal="right"/>
    </xf>
    <xf numFmtId="0" fontId="144" fillId="0" borderId="0" xfId="0" applyFont="1" applyAlignment="1" applyProtection="1">
      <alignment horizontal="center" vertical="top"/>
    </xf>
    <xf numFmtId="0" fontId="151" fillId="0" borderId="44" xfId="0" applyFont="1" applyFill="1" applyBorder="1" applyProtection="1"/>
    <xf numFmtId="167" fontId="141" fillId="0" borderId="0" xfId="29" applyFont="1" applyFill="1" applyBorder="1" applyProtection="1"/>
    <xf numFmtId="0" fontId="139" fillId="0" borderId="0" xfId="0" applyFont="1" applyFill="1" applyBorder="1" applyProtection="1"/>
    <xf numFmtId="0" fontId="141" fillId="0" borderId="70" xfId="0" applyFont="1" applyBorder="1" applyProtection="1"/>
    <xf numFmtId="0" fontId="141" fillId="0" borderId="0" xfId="0" applyFont="1" applyBorder="1" applyProtection="1"/>
    <xf numFmtId="0" fontId="151" fillId="0" borderId="0" xfId="0" applyFont="1" applyFill="1" applyBorder="1" applyProtection="1"/>
    <xf numFmtId="0" fontId="141" fillId="64" borderId="0" xfId="0" applyFont="1" applyFill="1" applyProtection="1"/>
    <xf numFmtId="0" fontId="47" fillId="0" borderId="19" xfId="0" applyFont="1" applyFill="1" applyBorder="1" applyProtection="1"/>
    <xf numFmtId="0" fontId="142" fillId="0" borderId="168" xfId="0" applyFont="1" applyFill="1" applyBorder="1" applyProtection="1"/>
    <xf numFmtId="0" fontId="141" fillId="67" borderId="18" xfId="0" applyFont="1" applyFill="1" applyBorder="1" applyAlignment="1" applyProtection="1"/>
    <xf numFmtId="0" fontId="141" fillId="64" borderId="109" xfId="0" applyFont="1" applyFill="1" applyBorder="1" applyProtection="1"/>
    <xf numFmtId="0" fontId="142" fillId="0" borderId="0" xfId="0" applyFont="1" applyBorder="1" applyAlignment="1" applyProtection="1">
      <alignment horizontal="left" vertical="top"/>
    </xf>
    <xf numFmtId="0" fontId="141" fillId="67" borderId="15" xfId="0" applyFont="1" applyFill="1" applyBorder="1" applyAlignment="1" applyProtection="1">
      <alignment horizontal="center"/>
    </xf>
    <xf numFmtId="0" fontId="137" fillId="0" borderId="168" xfId="0" applyFont="1" applyFill="1" applyBorder="1" applyAlignment="1" applyProtection="1">
      <alignment horizontal="left" indent="1"/>
    </xf>
    <xf numFmtId="197" fontId="137" fillId="0" borderId="10" xfId="0" applyNumberFormat="1" applyFont="1" applyFill="1" applyBorder="1" applyProtection="1"/>
    <xf numFmtId="0" fontId="141" fillId="67" borderId="0" xfId="0" applyFont="1" applyFill="1" applyProtection="1"/>
    <xf numFmtId="0" fontId="145" fillId="0" borderId="168" xfId="0" applyFont="1" applyFill="1" applyBorder="1" applyAlignment="1" applyProtection="1">
      <alignment horizontal="left" indent="1"/>
    </xf>
    <xf numFmtId="0" fontId="141" fillId="67" borderId="15" xfId="0" applyFont="1" applyFill="1" applyBorder="1" applyProtection="1"/>
    <xf numFmtId="198" fontId="145" fillId="0" borderId="10" xfId="0" applyNumberFormat="1" applyFont="1" applyFill="1" applyBorder="1" applyProtection="1"/>
    <xf numFmtId="0" fontId="141" fillId="0" borderId="168" xfId="0" applyFont="1" applyFill="1" applyBorder="1" applyProtection="1"/>
    <xf numFmtId="10" fontId="141" fillId="0" borderId="10" xfId="0" applyNumberFormat="1" applyFont="1" applyFill="1" applyBorder="1" applyProtection="1"/>
    <xf numFmtId="10" fontId="141" fillId="0" borderId="170" xfId="0" applyNumberFormat="1" applyFont="1" applyFill="1" applyBorder="1" applyProtection="1"/>
    <xf numFmtId="201" fontId="141" fillId="87" borderId="74" xfId="29" applyNumberFormat="1" applyFont="1" applyFill="1" applyBorder="1" applyProtection="1"/>
    <xf numFmtId="0" fontId="141" fillId="67" borderId="0" xfId="0" applyFont="1" applyFill="1" applyBorder="1" applyProtection="1"/>
    <xf numFmtId="195" fontId="137" fillId="0" borderId="33" xfId="0" applyNumberFormat="1" applyFont="1" applyFill="1" applyBorder="1" applyProtection="1"/>
    <xf numFmtId="195" fontId="137" fillId="0" borderId="10" xfId="0" applyNumberFormat="1" applyFont="1" applyFill="1" applyBorder="1" applyProtection="1"/>
    <xf numFmtId="195" fontId="137" fillId="0" borderId="170" xfId="0" applyNumberFormat="1" applyFont="1" applyFill="1" applyBorder="1" applyProtection="1"/>
    <xf numFmtId="0" fontId="146" fillId="0" borderId="0" xfId="0" applyFont="1" applyBorder="1" applyProtection="1"/>
    <xf numFmtId="0" fontId="137" fillId="0" borderId="170" xfId="0" applyFont="1" applyBorder="1" applyProtection="1"/>
    <xf numFmtId="0" fontId="0" fillId="0" borderId="170" xfId="0" applyBorder="1" applyAlignment="1" applyProtection="1">
      <alignment horizontal="center"/>
    </xf>
    <xf numFmtId="0" fontId="137" fillId="0" borderId="170" xfId="0" applyFont="1" applyBorder="1" applyAlignment="1" applyProtection="1">
      <alignment horizontal="center"/>
    </xf>
    <xf numFmtId="200" fontId="0" fillId="0" borderId="170" xfId="0" applyNumberFormat="1" applyFill="1" applyBorder="1" applyAlignment="1" applyProtection="1">
      <alignment horizontal="right"/>
    </xf>
    <xf numFmtId="0" fontId="137" fillId="0" borderId="168" xfId="0" applyFont="1" applyBorder="1" applyAlignment="1" applyProtection="1">
      <alignment horizontal="center"/>
    </xf>
    <xf numFmtId="0" fontId="137" fillId="0" borderId="10" xfId="0" applyFont="1" applyBorder="1" applyAlignment="1" applyProtection="1">
      <alignment horizontal="center"/>
    </xf>
    <xf numFmtId="0" fontId="137" fillId="0" borderId="0" xfId="0" applyFont="1" applyProtection="1"/>
    <xf numFmtId="0" fontId="0" fillId="0" borderId="170" xfId="0" applyFont="1" applyBorder="1" applyProtection="1"/>
    <xf numFmtId="0" fontId="0" fillId="0" borderId="168" xfId="0" applyBorder="1" applyAlignment="1" applyProtection="1">
      <alignment horizontal="center"/>
    </xf>
    <xf numFmtId="0" fontId="0" fillId="0" borderId="10" xfId="0" applyBorder="1" applyAlignment="1" applyProtection="1">
      <alignment horizontal="center"/>
    </xf>
    <xf numFmtId="0" fontId="142" fillId="0" borderId="10" xfId="0" applyFont="1" applyBorder="1" applyAlignment="1" applyProtection="1">
      <alignment horizontal="center"/>
    </xf>
    <xf numFmtId="200" fontId="0" fillId="0" borderId="10" xfId="0" applyNumberFormat="1" applyFill="1" applyBorder="1" applyAlignment="1" applyProtection="1">
      <alignment horizontal="right"/>
    </xf>
    <xf numFmtId="0" fontId="0" fillId="0" borderId="10" xfId="0" applyFill="1" applyBorder="1" applyAlignment="1" applyProtection="1">
      <alignment horizontal="right"/>
    </xf>
    <xf numFmtId="195" fontId="0" fillId="0" borderId="10" xfId="0" applyNumberFormat="1" applyFill="1" applyBorder="1" applyAlignment="1" applyProtection="1">
      <alignment horizontal="right"/>
    </xf>
    <xf numFmtId="0" fontId="0" fillId="0" borderId="0" xfId="0" quotePrefix="1" applyProtection="1"/>
    <xf numFmtId="37" fontId="137" fillId="0" borderId="10" xfId="0" applyNumberFormat="1" applyFont="1" applyBorder="1" applyAlignment="1" applyProtection="1">
      <alignment horizontal="right"/>
    </xf>
    <xf numFmtId="0" fontId="137" fillId="0" borderId="10" xfId="0" applyFont="1" applyFill="1" applyBorder="1" applyAlignment="1" applyProtection="1">
      <alignment horizontal="right"/>
    </xf>
    <xf numFmtId="200" fontId="137" fillId="0" borderId="10" xfId="0" applyNumberFormat="1" applyFont="1" applyBorder="1" applyAlignment="1" applyProtection="1">
      <alignment horizontal="right"/>
    </xf>
    <xf numFmtId="195" fontId="137" fillId="0" borderId="10" xfId="0" applyNumberFormat="1" applyFont="1" applyFill="1" applyBorder="1" applyAlignment="1" applyProtection="1">
      <alignment horizontal="right"/>
    </xf>
    <xf numFmtId="0" fontId="0" fillId="0" borderId="0" xfId="0" applyBorder="1" applyAlignment="1" applyProtection="1">
      <alignment horizontal="center"/>
    </xf>
    <xf numFmtId="37" fontId="0" fillId="0" borderId="10" xfId="0" quotePrefix="1" applyNumberFormat="1" applyFill="1" applyBorder="1" applyAlignment="1" applyProtection="1">
      <alignment horizontal="right"/>
    </xf>
    <xf numFmtId="182" fontId="0" fillId="0" borderId="10" xfId="0" applyNumberFormat="1" applyFill="1" applyBorder="1" applyAlignment="1" applyProtection="1">
      <alignment horizontal="right"/>
    </xf>
    <xf numFmtId="196" fontId="140" fillId="0" borderId="0" xfId="138" applyNumberFormat="1" applyProtection="1"/>
    <xf numFmtId="49" fontId="0" fillId="0" borderId="170" xfId="0" applyNumberFormat="1" applyBorder="1" applyAlignment="1" applyProtection="1">
      <alignment horizontal="center"/>
    </xf>
    <xf numFmtId="200" fontId="0" fillId="0" borderId="0" xfId="0" applyNumberFormat="1" applyProtection="1"/>
    <xf numFmtId="43" fontId="0" fillId="0" borderId="0" xfId="0" applyNumberFormat="1" applyProtection="1"/>
    <xf numFmtId="196" fontId="0" fillId="0" borderId="0" xfId="0" applyNumberFormat="1" applyProtection="1"/>
    <xf numFmtId="37" fontId="142" fillId="29" borderId="170" xfId="138" applyNumberFormat="1" applyFont="1" applyFill="1" applyBorder="1" applyAlignment="1" applyProtection="1">
      <alignment horizontal="right" vertical="center"/>
      <protection locked="0"/>
    </xf>
    <xf numFmtId="196" fontId="142" fillId="86" borderId="170" xfId="138" applyNumberFormat="1" applyFont="1" applyFill="1" applyBorder="1" applyAlignment="1" applyProtection="1">
      <alignment horizontal="right" vertical="center"/>
      <protection locked="0"/>
    </xf>
    <xf numFmtId="197" fontId="142" fillId="86" borderId="10" xfId="0" applyNumberFormat="1" applyFont="1" applyFill="1" applyBorder="1" applyProtection="1">
      <protection locked="0"/>
    </xf>
    <xf numFmtId="196" fontId="140" fillId="29" borderId="170" xfId="138" applyNumberFormat="1" applyFill="1" applyBorder="1" applyAlignment="1" applyProtection="1">
      <alignment horizontal="center"/>
      <protection locked="0"/>
    </xf>
    <xf numFmtId="0" fontId="0" fillId="29" borderId="170" xfId="0" applyFill="1" applyBorder="1" applyAlignment="1" applyProtection="1">
      <alignment horizontal="center"/>
      <protection locked="0"/>
    </xf>
    <xf numFmtId="37" fontId="0" fillId="29" borderId="10" xfId="0" quotePrefix="1" applyNumberFormat="1" applyFill="1" applyBorder="1" applyAlignment="1" applyProtection="1">
      <alignment horizontal="right"/>
      <protection locked="0"/>
    </xf>
    <xf numFmtId="195" fontId="0" fillId="29" borderId="10" xfId="0" applyNumberFormat="1" applyFill="1" applyBorder="1" applyAlignment="1" applyProtection="1">
      <alignment horizontal="right"/>
      <protection locked="0"/>
    </xf>
    <xf numFmtId="0" fontId="0" fillId="80" borderId="170" xfId="0" applyFill="1" applyBorder="1" applyAlignment="1" applyProtection="1">
      <alignment horizontal="center"/>
      <protection locked="0"/>
    </xf>
    <xf numFmtId="196" fontId="0" fillId="80" borderId="170" xfId="0" applyNumberFormat="1" applyFill="1" applyBorder="1" applyAlignment="1" applyProtection="1">
      <alignment horizontal="center"/>
      <protection locked="0"/>
    </xf>
    <xf numFmtId="0" fontId="0" fillId="80" borderId="168" xfId="0" applyFill="1" applyBorder="1" applyAlignment="1" applyProtection="1">
      <alignment horizontal="center"/>
      <protection locked="0"/>
    </xf>
    <xf numFmtId="49" fontId="0" fillId="80" borderId="170" xfId="0" applyNumberFormat="1" applyFill="1" applyBorder="1" applyAlignment="1" applyProtection="1">
      <alignment horizontal="center"/>
      <protection locked="0"/>
    </xf>
    <xf numFmtId="0" fontId="137" fillId="80" borderId="170" xfId="0" applyFont="1" applyFill="1" applyBorder="1" applyAlignment="1" applyProtection="1">
      <alignment horizontal="center"/>
      <protection locked="0"/>
    </xf>
    <xf numFmtId="0" fontId="137" fillId="80" borderId="168" xfId="0" applyFont="1" applyFill="1" applyBorder="1" applyAlignment="1" applyProtection="1">
      <alignment horizontal="center"/>
      <protection locked="0"/>
    </xf>
    <xf numFmtId="195" fontId="137" fillId="0" borderId="168" xfId="138" applyNumberFormat="1" applyFont="1" applyFill="1" applyBorder="1" applyAlignment="1" applyProtection="1">
      <alignment horizontal="center" vertical="center" wrapText="1"/>
    </xf>
    <xf numFmtId="0" fontId="138" fillId="0" borderId="0" xfId="0" applyFont="1" applyBorder="1" applyAlignment="1" applyProtection="1">
      <alignment horizontal="center" vertical="top"/>
    </xf>
    <xf numFmtId="10" fontId="143" fillId="0" borderId="170" xfId="139" applyNumberFormat="1" applyFont="1" applyFill="1" applyBorder="1" applyAlignment="1" applyProtection="1">
      <alignment horizontal="right"/>
    </xf>
    <xf numFmtId="0" fontId="137" fillId="67" borderId="15" xfId="0" applyFont="1" applyFill="1" applyBorder="1" applyAlignment="1" applyProtection="1">
      <alignment horizontal="center"/>
    </xf>
    <xf numFmtId="198" fontId="145" fillId="0" borderId="171" xfId="0" applyNumberFormat="1" applyFont="1" applyFill="1" applyBorder="1" applyProtection="1"/>
    <xf numFmtId="0" fontId="14" fillId="0" borderId="0" xfId="46" applyAlignment="1" applyProtection="1">
      <protection locked="0"/>
    </xf>
    <xf numFmtId="0" fontId="14" fillId="0" borderId="0" xfId="46" applyAlignment="1" applyProtection="1">
      <alignment horizontal="center"/>
      <protection locked="0"/>
    </xf>
    <xf numFmtId="0" fontId="14" fillId="29" borderId="33" xfId="0" applyFont="1" applyFill="1" applyBorder="1" applyProtection="1">
      <protection locked="0"/>
    </xf>
    <xf numFmtId="0" fontId="14" fillId="65" borderId="0" xfId="46" applyFill="1"/>
    <xf numFmtId="202" fontId="153" fillId="65" borderId="170" xfId="46" applyNumberFormat="1" applyFont="1" applyFill="1" applyBorder="1" applyAlignment="1">
      <alignment horizontal="center"/>
    </xf>
    <xf numFmtId="0" fontId="14" fillId="0" borderId="0" xfId="46"/>
    <xf numFmtId="0" fontId="14" fillId="0" borderId="170" xfId="46" applyFont="1" applyFill="1" applyBorder="1" applyAlignment="1">
      <alignment horizontal="center" vertical="center"/>
    </xf>
    <xf numFmtId="0" fontId="14" fillId="0" borderId="168" xfId="46" applyFont="1" applyFill="1" applyBorder="1" applyAlignment="1">
      <alignment vertical="center" wrapText="1"/>
    </xf>
    <xf numFmtId="170" fontId="0" fillId="29" borderId="10" xfId="140" applyNumberFormat="1" applyFont="1" applyFill="1" applyBorder="1"/>
    <xf numFmtId="0" fontId="14" fillId="0" borderId="179" xfId="46" applyBorder="1"/>
    <xf numFmtId="202" fontId="153" fillId="0" borderId="170" xfId="46" applyNumberFormat="1" applyFont="1" applyBorder="1" applyAlignment="1">
      <alignment horizontal="center"/>
    </xf>
    <xf numFmtId="0" fontId="14" fillId="0" borderId="170" xfId="46" applyBorder="1" applyAlignment="1">
      <alignment horizontal="center" vertical="center"/>
    </xf>
    <xf numFmtId="0" fontId="142" fillId="0" borderId="170" xfId="46" applyFont="1" applyBorder="1" applyAlignment="1">
      <alignment vertical="center" wrapText="1"/>
    </xf>
    <xf numFmtId="0" fontId="0" fillId="0" borderId="168" xfId="46" applyFont="1" applyFill="1" applyBorder="1" applyAlignment="1">
      <alignment vertical="center" wrapText="1"/>
    </xf>
    <xf numFmtId="0" fontId="142" fillId="0" borderId="168" xfId="46" applyFont="1" applyBorder="1" applyAlignment="1">
      <alignment vertical="center" wrapText="1"/>
    </xf>
    <xf numFmtId="0" fontId="14" fillId="0" borderId="0" xfId="141" applyBorder="1" applyAlignment="1">
      <alignment vertical="center" wrapText="1"/>
    </xf>
    <xf numFmtId="0" fontId="14" fillId="0" borderId="0" xfId="141" applyAlignment="1">
      <alignment horizontal="left"/>
    </xf>
    <xf numFmtId="0" fontId="0" fillId="0" borderId="0" xfId="141" applyFont="1" applyAlignment="1"/>
    <xf numFmtId="0" fontId="14" fillId="0" borderId="10" xfId="141" applyBorder="1"/>
    <xf numFmtId="170" fontId="0" fillId="0" borderId="13" xfId="140" applyNumberFormat="1" applyFont="1" applyBorder="1"/>
    <xf numFmtId="201" fontId="0" fillId="86" borderId="10" xfId="0" applyNumberFormat="1" applyFill="1" applyBorder="1" applyAlignment="1" applyProtection="1">
      <alignment horizontal="right"/>
      <protection locked="0"/>
    </xf>
    <xf numFmtId="43" fontId="0" fillId="29" borderId="170" xfId="0" applyNumberFormat="1" applyFill="1" applyBorder="1" applyAlignment="1" applyProtection="1">
      <alignment horizontal="center"/>
      <protection locked="0"/>
    </xf>
    <xf numFmtId="0" fontId="21" fillId="0" borderId="0" xfId="46" applyFont="1" applyAlignment="1" applyProtection="1">
      <alignment horizontal="center" vertical="top"/>
      <protection locked="0"/>
    </xf>
    <xf numFmtId="0" fontId="82" fillId="0" borderId="0" xfId="46" applyFont="1" applyBorder="1" applyAlignment="1" applyProtection="1">
      <alignment horizontal="center" vertical="center"/>
      <protection locked="0"/>
    </xf>
    <xf numFmtId="0" fontId="14" fillId="0" borderId="17" xfId="46" applyBorder="1" applyAlignment="1" applyProtection="1">
      <alignment horizontal="center" vertical="center"/>
      <protection locked="0"/>
    </xf>
    <xf numFmtId="0" fontId="87" fillId="63" borderId="10" xfId="46" applyFont="1" applyFill="1" applyBorder="1" applyAlignment="1" applyProtection="1">
      <alignment horizontal="center" vertical="center" wrapText="1"/>
      <protection locked="0"/>
    </xf>
    <xf numFmtId="0" fontId="17" fillId="63" borderId="10" xfId="46" applyFont="1" applyFill="1" applyBorder="1" applyAlignment="1" applyProtection="1">
      <alignment horizontal="center" vertical="center"/>
      <protection locked="0"/>
    </xf>
    <xf numFmtId="0" fontId="21" fillId="0" borderId="0" xfId="46" applyFont="1" applyBorder="1" applyAlignment="1" applyProtection="1">
      <alignment horizontal="center" vertical="center" wrapText="1"/>
      <protection locked="0"/>
    </xf>
    <xf numFmtId="0" fontId="17" fillId="63" borderId="105" xfId="46" applyFont="1" applyFill="1" applyBorder="1" applyAlignment="1" applyProtection="1">
      <alignment horizontal="center" vertical="center"/>
      <protection locked="0"/>
    </xf>
    <xf numFmtId="0" fontId="14" fillId="0" borderId="10" xfId="46" applyBorder="1" applyAlignment="1" applyProtection="1">
      <alignment horizontal="left" vertical="center"/>
      <protection locked="0"/>
    </xf>
    <xf numFmtId="0" fontId="14" fillId="0" borderId="10" xfId="46" applyBorder="1" applyAlignment="1" applyProtection="1">
      <alignment horizontal="center" vertical="center"/>
      <protection locked="0"/>
    </xf>
    <xf numFmtId="0" fontId="14" fillId="0" borderId="10" xfId="46" applyFont="1" applyBorder="1" applyAlignment="1" applyProtection="1">
      <alignment horizontal="left"/>
      <protection locked="0"/>
    </xf>
    <xf numFmtId="0" fontId="16" fillId="0" borderId="0" xfId="46" applyFont="1" applyAlignment="1" applyProtection="1">
      <alignment horizontal="right" vertical="top"/>
      <protection locked="0"/>
    </xf>
    <xf numFmtId="0" fontId="17" fillId="63" borderId="17" xfId="46" applyFont="1" applyFill="1" applyBorder="1" applyAlignment="1" applyProtection="1">
      <alignment horizontal="center" vertical="center"/>
      <protection locked="0"/>
    </xf>
    <xf numFmtId="0" fontId="14" fillId="0" borderId="24" xfId="46" applyBorder="1" applyAlignment="1" applyProtection="1">
      <alignment horizontal="center" vertical="center"/>
      <protection locked="0"/>
    </xf>
    <xf numFmtId="0" fontId="21" fillId="0" borderId="0" xfId="46" applyFont="1" applyAlignment="1" applyProtection="1">
      <alignment horizontal="center"/>
      <protection locked="0"/>
    </xf>
    <xf numFmtId="0" fontId="14" fillId="0" borderId="0" xfId="46" applyAlignment="1" applyProtection="1">
      <alignment horizontal="center"/>
      <protection locked="0"/>
    </xf>
    <xf numFmtId="0" fontId="14" fillId="0" borderId="0" xfId="46" applyAlignment="1" applyProtection="1">
      <protection locked="0"/>
    </xf>
    <xf numFmtId="0" fontId="47" fillId="0" borderId="42" xfId="93" applyFont="1" applyBorder="1" applyAlignment="1" applyProtection="1">
      <alignment horizontal="center" vertical="center"/>
      <protection locked="0"/>
    </xf>
    <xf numFmtId="0" fontId="60" fillId="0" borderId="0" xfId="93" applyFont="1" applyAlignment="1" applyProtection="1">
      <alignment horizontal="left"/>
      <protection locked="0"/>
    </xf>
    <xf numFmtId="0" fontId="0" fillId="0" borderId="0" xfId="0" applyAlignment="1" applyProtection="1">
      <alignment wrapText="1"/>
      <protection locked="0"/>
    </xf>
    <xf numFmtId="0" fontId="14" fillId="29" borderId="88" xfId="46" applyFill="1" applyBorder="1" applyAlignment="1" applyProtection="1">
      <alignment horizontal="left" wrapText="1"/>
      <protection locked="0"/>
    </xf>
    <xf numFmtId="169" fontId="3" fillId="29" borderId="24" xfId="42" applyNumberFormat="1" applyFont="1" applyFill="1" applyBorder="1" applyAlignment="1" applyProtection="1">
      <alignment horizontal="center" vertical="center"/>
      <protection locked="0"/>
    </xf>
    <xf numFmtId="0" fontId="154" fillId="0" borderId="0" xfId="0" applyFont="1" applyProtection="1">
      <protection locked="0"/>
    </xf>
    <xf numFmtId="170" fontId="14" fillId="29" borderId="10" xfId="29" applyNumberFormat="1" applyFont="1" applyFill="1" applyBorder="1" applyProtection="1">
      <protection locked="0"/>
    </xf>
    <xf numFmtId="0" fontId="14" fillId="29" borderId="10" xfId="0" applyFont="1" applyFill="1" applyBorder="1" applyProtection="1">
      <protection locked="0"/>
    </xf>
    <xf numFmtId="170" fontId="14" fillId="0" borderId="19" xfId="29" applyNumberFormat="1" applyFont="1" applyFill="1" applyBorder="1" applyProtection="1">
      <protection locked="0"/>
    </xf>
    <xf numFmtId="171" fontId="14" fillId="29" borderId="19" xfId="28" applyNumberFormat="1" applyFont="1" applyFill="1" applyBorder="1" applyProtection="1">
      <protection locked="0"/>
    </xf>
    <xf numFmtId="168" fontId="14" fillId="0" borderId="10" xfId="28" applyFont="1" applyBorder="1" applyProtection="1">
      <protection locked="0"/>
    </xf>
    <xf numFmtId="167" fontId="14" fillId="0" borderId="10" xfId="29" applyFont="1" applyBorder="1" applyProtection="1">
      <protection locked="0"/>
    </xf>
    <xf numFmtId="167" fontId="14" fillId="0" borderId="25" xfId="29" applyFont="1" applyBorder="1" applyProtection="1">
      <protection locked="0"/>
    </xf>
    <xf numFmtId="0" fontId="0" fillId="29" borderId="27" xfId="0" applyFill="1" applyBorder="1" applyAlignment="1" applyProtection="1">
      <alignment wrapText="1"/>
      <protection locked="0"/>
    </xf>
    <xf numFmtId="0" fontId="0" fillId="29" borderId="53" xfId="0" applyFill="1" applyBorder="1" applyAlignment="1" applyProtection="1">
      <alignment wrapText="1"/>
      <protection locked="0"/>
    </xf>
    <xf numFmtId="0" fontId="0" fillId="29" borderId="74" xfId="0" applyFill="1" applyBorder="1" applyProtection="1">
      <protection locked="0"/>
    </xf>
    <xf numFmtId="0" fontId="0" fillId="29" borderId="79" xfId="0" applyFill="1" applyBorder="1" applyProtection="1">
      <protection locked="0"/>
    </xf>
    <xf numFmtId="0" fontId="0" fillId="29" borderId="42" xfId="0" applyFill="1" applyBorder="1" applyAlignment="1" applyProtection="1">
      <alignment wrapText="1"/>
      <protection locked="0"/>
    </xf>
    <xf numFmtId="0" fontId="0" fillId="29" borderId="124" xfId="0" applyFill="1" applyBorder="1" applyAlignment="1" applyProtection="1">
      <alignment wrapText="1"/>
      <protection locked="0"/>
    </xf>
    <xf numFmtId="0" fontId="0" fillId="29" borderId="103" xfId="0" applyFill="1" applyBorder="1" applyAlignment="1" applyProtection="1">
      <alignment wrapText="1"/>
      <protection locked="0"/>
    </xf>
    <xf numFmtId="0" fontId="17" fillId="25" borderId="74" xfId="0" applyFont="1" applyFill="1" applyBorder="1" applyAlignment="1" applyProtection="1">
      <alignment horizontal="center"/>
      <protection locked="0"/>
    </xf>
    <xf numFmtId="0" fontId="137" fillId="83" borderId="43" xfId="0" applyFont="1" applyFill="1" applyBorder="1" applyAlignment="1">
      <alignment horizontal="center" wrapText="1"/>
    </xf>
    <xf numFmtId="0" fontId="137" fillId="83" borderId="40" xfId="0" applyFont="1" applyFill="1" applyBorder="1" applyAlignment="1">
      <alignment horizontal="center" wrapText="1"/>
    </xf>
    <xf numFmtId="0" fontId="137" fillId="83" borderId="103" xfId="0" applyFont="1" applyFill="1" applyBorder="1" applyAlignment="1">
      <alignment horizontal="center" wrapText="1"/>
    </xf>
    <xf numFmtId="0" fontId="0" fillId="29" borderId="101" xfId="0" applyFill="1" applyBorder="1" applyAlignment="1" applyProtection="1">
      <alignment wrapText="1"/>
      <protection locked="0"/>
    </xf>
    <xf numFmtId="0" fontId="154" fillId="0" borderId="0" xfId="46" applyFont="1" applyProtection="1">
      <protection locked="0"/>
    </xf>
    <xf numFmtId="0" fontId="17" fillId="0" borderId="12" xfId="46" applyFont="1" applyBorder="1" applyAlignment="1" applyProtection="1">
      <alignment horizontal="center" vertical="center"/>
      <protection locked="0"/>
    </xf>
    <xf numFmtId="0" fontId="0" fillId="0" borderId="0" xfId="0" applyAlignment="1" applyProtection="1">
      <alignment wrapText="1"/>
      <protection locked="0"/>
    </xf>
    <xf numFmtId="0" fontId="41" fillId="29" borderId="27" xfId="0" applyFont="1" applyFill="1" applyBorder="1" applyAlignment="1" applyProtection="1">
      <alignment wrapText="1"/>
      <protection locked="0"/>
    </xf>
    <xf numFmtId="0" fontId="0" fillId="29" borderId="10" xfId="0" applyFont="1" applyFill="1" applyBorder="1" applyAlignment="1" applyProtection="1">
      <alignment horizontal="left" vertical="top" wrapText="1"/>
      <protection locked="0"/>
    </xf>
    <xf numFmtId="0" fontId="14" fillId="0" borderId="10" xfId="46" applyBorder="1" applyAlignment="1" applyProtection="1">
      <alignment horizontal="center" vertical="center"/>
      <protection locked="0"/>
    </xf>
    <xf numFmtId="0" fontId="142" fillId="0" borderId="170" xfId="46" applyFont="1" applyFill="1" applyBorder="1" applyAlignment="1">
      <alignment vertical="center" wrapText="1"/>
    </xf>
    <xf numFmtId="170" fontId="0" fillId="0" borderId="10" xfId="29" applyNumberFormat="1" applyFont="1" applyFill="1" applyBorder="1" applyProtection="1">
      <protection locked="0"/>
    </xf>
    <xf numFmtId="0" fontId="14" fillId="0" borderId="179" xfId="46" applyFill="1" applyBorder="1"/>
    <xf numFmtId="170" fontId="14" fillId="0" borderId="10" xfId="46" applyNumberFormat="1" applyFill="1" applyBorder="1" applyProtection="1">
      <protection locked="0"/>
    </xf>
    <xf numFmtId="0" fontId="14" fillId="0" borderId="0" xfId="46" applyFill="1"/>
    <xf numFmtId="10" fontId="111" fillId="0" borderId="0" xfId="132" applyNumberFormat="1" applyFont="1" applyFill="1" applyBorder="1" applyProtection="1">
      <protection locked="0"/>
    </xf>
    <xf numFmtId="0" fontId="14" fillId="28" borderId="47" xfId="0" applyFont="1" applyFill="1" applyBorder="1" applyAlignment="1">
      <alignment horizontal="center" vertical="center"/>
    </xf>
    <xf numFmtId="0" fontId="0" fillId="67" borderId="47" xfId="0" applyFill="1" applyBorder="1" applyAlignment="1">
      <alignment horizontal="center" vertical="center"/>
    </xf>
    <xf numFmtId="0" fontId="0" fillId="67" borderId="46" xfId="0" applyFill="1" applyBorder="1" applyAlignment="1">
      <alignment horizontal="center" vertical="center"/>
    </xf>
    <xf numFmtId="171" fontId="14" fillId="29" borderId="69" xfId="28" applyNumberFormat="1" applyFont="1" applyFill="1" applyBorder="1" applyAlignment="1">
      <alignment horizontal="center" vertical="center"/>
    </xf>
    <xf numFmtId="171" fontId="14" fillId="29" borderId="70" xfId="28" applyNumberFormat="1" applyFont="1" applyFill="1" applyBorder="1" applyAlignment="1">
      <alignment horizontal="center" vertical="center"/>
    </xf>
    <xf numFmtId="171" fontId="14" fillId="29" borderId="47" xfId="28" applyNumberFormat="1" applyFont="1" applyFill="1" applyBorder="1" applyAlignment="1">
      <alignment horizontal="center" vertical="center"/>
    </xf>
    <xf numFmtId="171" fontId="14" fillId="29" borderId="29" xfId="28" applyNumberFormat="1" applyFont="1" applyFill="1" applyBorder="1" applyAlignment="1">
      <alignment horizontal="center" vertical="center"/>
    </xf>
    <xf numFmtId="0" fontId="14" fillId="0" borderId="47" xfId="0" applyFont="1" applyBorder="1" applyAlignment="1">
      <alignment horizontal="center" vertical="center"/>
    </xf>
    <xf numFmtId="0" fontId="14" fillId="0" borderId="46" xfId="0" applyFont="1" applyBorder="1" applyAlignment="1">
      <alignment horizontal="center" vertical="center"/>
    </xf>
    <xf numFmtId="0" fontId="14" fillId="0" borderId="70" xfId="0" applyFont="1" applyBorder="1" applyAlignment="1">
      <alignment horizontal="center" vertical="center" wrapText="1"/>
    </xf>
    <xf numFmtId="0" fontId="0" fillId="29" borderId="47" xfId="0" applyFill="1" applyBorder="1"/>
    <xf numFmtId="0" fontId="0" fillId="29" borderId="46" xfId="0" applyFill="1" applyBorder="1"/>
    <xf numFmtId="170" fontId="14" fillId="29" borderId="70" xfId="29" applyNumberFormat="1" applyFont="1" applyFill="1" applyBorder="1" applyAlignment="1">
      <alignment horizontal="center" vertical="center"/>
    </xf>
    <xf numFmtId="170" fontId="14" fillId="29" borderId="29" xfId="29" applyNumberFormat="1" applyFont="1" applyFill="1" applyBorder="1" applyAlignment="1">
      <alignment horizontal="center" vertical="center"/>
    </xf>
    <xf numFmtId="0" fontId="0" fillId="66" borderId="47" xfId="0" applyFill="1" applyBorder="1"/>
    <xf numFmtId="0" fontId="0" fillId="66" borderId="46" xfId="0" applyFill="1" applyBorder="1"/>
    <xf numFmtId="171" fontId="14" fillId="66" borderId="47" xfId="28" applyNumberFormat="1" applyFont="1" applyFill="1" applyBorder="1" applyAlignment="1">
      <alignment horizontal="center" vertical="center"/>
    </xf>
    <xf numFmtId="171" fontId="14" fillId="66" borderId="46" xfId="28" applyNumberFormat="1" applyFont="1" applyFill="1" applyBorder="1" applyAlignment="1">
      <alignment horizontal="center" vertical="center"/>
    </xf>
    <xf numFmtId="3" fontId="14" fillId="29" borderId="0" xfId="0" applyNumberFormat="1" applyFont="1" applyFill="1" applyBorder="1" applyAlignment="1">
      <alignment horizontal="center" vertical="center"/>
    </xf>
    <xf numFmtId="0" fontId="17" fillId="0" borderId="0" xfId="0" applyFont="1" applyBorder="1" applyAlignment="1">
      <alignment horizontal="center" vertical="center" wrapText="1"/>
    </xf>
    <xf numFmtId="0" fontId="17" fillId="0" borderId="82" xfId="0" applyFont="1" applyBorder="1" applyAlignment="1">
      <alignment vertical="center" wrapText="1"/>
    </xf>
    <xf numFmtId="0" fontId="17" fillId="0" borderId="58" xfId="0" applyFont="1" applyBorder="1" applyAlignment="1">
      <alignment vertical="center" wrapText="1"/>
    </xf>
    <xf numFmtId="171" fontId="14" fillId="29" borderId="46" xfId="28" applyNumberFormat="1" applyFont="1" applyFill="1" applyBorder="1" applyAlignment="1">
      <alignment horizontal="center" vertical="center"/>
    </xf>
    <xf numFmtId="3" fontId="14" fillId="66" borderId="0" xfId="0" applyNumberFormat="1" applyFont="1" applyFill="1" applyBorder="1" applyAlignment="1">
      <alignment horizontal="center" vertical="center"/>
    </xf>
    <xf numFmtId="0" fontId="14" fillId="0" borderId="92" xfId="0" applyFont="1" applyBorder="1" applyAlignment="1">
      <alignment horizontal="center" vertical="center"/>
    </xf>
    <xf numFmtId="3" fontId="14" fillId="29" borderId="70" xfId="0" applyNumberFormat="1" applyFont="1" applyFill="1" applyBorder="1" applyAlignment="1">
      <alignment horizontal="center" vertical="center"/>
    </xf>
    <xf numFmtId="3" fontId="14" fillId="66" borderId="30" xfId="0" applyNumberFormat="1" applyFont="1" applyFill="1" applyBorder="1" applyAlignment="1">
      <alignment horizontal="center" vertical="center"/>
    </xf>
    <xf numFmtId="3" fontId="14" fillId="29" borderId="30" xfId="0" applyNumberFormat="1" applyFont="1" applyFill="1" applyBorder="1" applyAlignment="1">
      <alignment horizontal="center" vertical="center"/>
    </xf>
    <xf numFmtId="3" fontId="14" fillId="29" borderId="69" xfId="0" applyNumberFormat="1" applyFont="1" applyFill="1" applyBorder="1" applyAlignment="1">
      <alignment horizontal="center" vertical="center"/>
    </xf>
    <xf numFmtId="3" fontId="14" fillId="29" borderId="47" xfId="0" applyNumberFormat="1" applyFont="1" applyFill="1" applyBorder="1" applyAlignment="1">
      <alignment horizontal="center" vertical="center"/>
    </xf>
    <xf numFmtId="3" fontId="14" fillId="29" borderId="29" xfId="0" applyNumberFormat="1" applyFont="1" applyFill="1" applyBorder="1" applyAlignment="1">
      <alignment horizontal="center" vertical="center"/>
    </xf>
    <xf numFmtId="3" fontId="14" fillId="29" borderId="46" xfId="0" applyNumberFormat="1" applyFont="1" applyFill="1" applyBorder="1" applyAlignment="1">
      <alignment horizontal="center" vertical="center"/>
    </xf>
    <xf numFmtId="3" fontId="14" fillId="66" borderId="47" xfId="0" applyNumberFormat="1" applyFont="1" applyFill="1" applyBorder="1" applyAlignment="1">
      <alignment horizontal="center" vertical="center"/>
    </xf>
    <xf numFmtId="3" fontId="14" fillId="66" borderId="46" xfId="0" applyNumberFormat="1" applyFont="1" applyFill="1" applyBorder="1" applyAlignment="1">
      <alignment horizontal="center" vertical="center"/>
    </xf>
    <xf numFmtId="10" fontId="0" fillId="29" borderId="10" xfId="139" applyNumberFormat="1" applyFont="1" applyFill="1" applyBorder="1" applyProtection="1">
      <protection locked="0"/>
    </xf>
    <xf numFmtId="167" fontId="14" fillId="0" borderId="10" xfId="29" applyFont="1" applyFill="1" applyBorder="1" applyProtection="1">
      <protection locked="0"/>
    </xf>
    <xf numFmtId="171" fontId="14" fillId="0" borderId="10" xfId="28" applyNumberFormat="1" applyFont="1" applyFill="1" applyBorder="1" applyProtection="1">
      <protection locked="0"/>
    </xf>
    <xf numFmtId="171" fontId="14" fillId="0" borderId="10" xfId="28" applyNumberFormat="1" applyFont="1" applyBorder="1" applyProtection="1">
      <protection locked="0"/>
    </xf>
    <xf numFmtId="171" fontId="14" fillId="0" borderId="25" xfId="28" applyNumberFormat="1" applyFont="1" applyBorder="1" applyProtection="1">
      <protection locked="0"/>
    </xf>
    <xf numFmtId="0" fontId="14" fillId="0" borderId="10" xfId="46" applyBorder="1" applyAlignment="1" applyProtection="1">
      <alignment horizontal="center" vertical="center"/>
      <protection locked="0"/>
    </xf>
    <xf numFmtId="0" fontId="155" fillId="0" borderId="0" xfId="46" applyFont="1" applyProtection="1">
      <protection locked="0"/>
    </xf>
    <xf numFmtId="0" fontId="156" fillId="0" borderId="0" xfId="0" applyFont="1"/>
    <xf numFmtId="0" fontId="14" fillId="28" borderId="10" xfId="0" applyFont="1" applyFill="1" applyBorder="1" applyProtection="1">
      <protection locked="0"/>
    </xf>
    <xf numFmtId="10" fontId="41" fillId="29" borderId="27" xfId="0" applyNumberFormat="1" applyFont="1" applyFill="1" applyBorder="1" applyAlignment="1" applyProtection="1">
      <alignment wrapText="1"/>
      <protection locked="0"/>
    </xf>
    <xf numFmtId="9" fontId="41" fillId="29" borderId="27" xfId="0" applyNumberFormat="1" applyFont="1" applyFill="1" applyBorder="1" applyAlignment="1" applyProtection="1">
      <alignment wrapText="1"/>
      <protection locked="0"/>
    </xf>
    <xf numFmtId="0" fontId="55" fillId="0" borderId="0" xfId="0" applyFont="1" applyAlignment="1" applyProtection="1">
      <alignment horizontal="right" vertical="center" wrapText="1"/>
    </xf>
    <xf numFmtId="0" fontId="55" fillId="0" borderId="143" xfId="0" applyFont="1" applyBorder="1" applyAlignment="1" applyProtection="1">
      <alignment horizontal="right" vertical="center" wrapText="1"/>
    </xf>
    <xf numFmtId="0" fontId="0" fillId="0" borderId="0" xfId="0" applyAlignment="1" applyProtection="1">
      <alignment horizontal="left"/>
    </xf>
    <xf numFmtId="0" fontId="14" fillId="0" borderId="0" xfId="0" applyFont="1" applyAlignment="1" applyProtection="1">
      <alignment horizontal="left" wrapText="1"/>
    </xf>
    <xf numFmtId="0" fontId="0" fillId="0" borderId="0" xfId="0" applyAlignment="1" applyProtection="1">
      <alignment horizontal="left" wrapText="1"/>
    </xf>
    <xf numFmtId="0" fontId="36" fillId="0" borderId="47" xfId="0" applyFont="1" applyBorder="1" applyAlignment="1" applyProtection="1">
      <alignment horizontal="left" vertical="top" wrapText="1"/>
    </xf>
    <xf numFmtId="0" fontId="36" fillId="0" borderId="0" xfId="0" applyFont="1" applyBorder="1" applyAlignment="1" applyProtection="1">
      <alignment horizontal="left" vertical="top" wrapText="1"/>
    </xf>
    <xf numFmtId="0" fontId="0" fillId="28" borderId="93" xfId="0" applyNumberFormat="1" applyFill="1" applyBorder="1" applyAlignment="1" applyProtection="1">
      <alignment horizontal="center" vertical="center"/>
      <protection locked="0"/>
    </xf>
    <xf numFmtId="0" fontId="0" fillId="28" borderId="94" xfId="0" applyNumberFormat="1" applyFill="1" applyBorder="1" applyAlignment="1" applyProtection="1">
      <alignment horizontal="center" vertical="center"/>
      <protection locked="0"/>
    </xf>
    <xf numFmtId="0" fontId="0" fillId="28" borderId="95" xfId="0" applyNumberFormat="1" applyFill="1" applyBorder="1" applyAlignment="1" applyProtection="1">
      <alignment horizontal="center" vertical="center"/>
      <protection locked="0"/>
    </xf>
    <xf numFmtId="0" fontId="55" fillId="0" borderId="0" xfId="0" applyFont="1" applyAlignment="1" applyProtection="1">
      <alignment horizontal="right" vertical="center" wrapText="1" indent="1"/>
    </xf>
    <xf numFmtId="0" fontId="55" fillId="0" borderId="0" xfId="0" applyFont="1" applyBorder="1" applyAlignment="1" applyProtection="1">
      <alignment horizontal="center" vertical="top" wrapText="1"/>
    </xf>
    <xf numFmtId="0" fontId="55" fillId="0" borderId="143" xfId="0" applyFont="1" applyBorder="1" applyAlignment="1" applyProtection="1">
      <alignment horizontal="center" vertical="top" wrapText="1"/>
    </xf>
    <xf numFmtId="0" fontId="14" fillId="29" borderId="96" xfId="0" applyFont="1" applyFill="1" applyBorder="1" applyAlignment="1" applyProtection="1">
      <alignment vertical="center"/>
      <protection locked="0"/>
    </xf>
    <xf numFmtId="0" fontId="0" fillId="29" borderId="97" xfId="0" applyFill="1" applyBorder="1" applyAlignment="1" applyProtection="1">
      <alignment vertical="center"/>
      <protection locked="0"/>
    </xf>
    <xf numFmtId="0" fontId="0" fillId="29" borderId="98" xfId="0" applyFill="1" applyBorder="1" applyAlignment="1" applyProtection="1">
      <alignment vertical="center"/>
      <protection locked="0"/>
    </xf>
    <xf numFmtId="0" fontId="0" fillId="28" borderId="93" xfId="0" applyFill="1" applyBorder="1" applyAlignment="1" applyProtection="1">
      <alignment horizontal="left" vertical="center" wrapText="1"/>
      <protection locked="0"/>
    </xf>
    <xf numFmtId="0" fontId="0" fillId="28" borderId="94" xfId="0" applyFill="1" applyBorder="1" applyAlignment="1" applyProtection="1">
      <alignment horizontal="left" vertical="center" wrapText="1"/>
      <protection locked="0"/>
    </xf>
    <xf numFmtId="0" fontId="0" fillId="28" borderId="95" xfId="0" applyFill="1" applyBorder="1" applyAlignment="1" applyProtection="1">
      <alignment horizontal="left" vertical="center" wrapText="1"/>
      <protection locked="0"/>
    </xf>
    <xf numFmtId="0" fontId="14" fillId="29" borderId="93" xfId="0" applyFont="1" applyFill="1" applyBorder="1" applyAlignment="1" applyProtection="1">
      <alignment vertical="center"/>
      <protection locked="0"/>
    </xf>
    <xf numFmtId="0" fontId="0" fillId="29" borderId="94" xfId="0" applyFill="1" applyBorder="1" applyAlignment="1" applyProtection="1">
      <alignment vertical="center"/>
      <protection locked="0"/>
    </xf>
    <xf numFmtId="0" fontId="0" fillId="29" borderId="95" xfId="0" applyFill="1" applyBorder="1" applyAlignment="1" applyProtection="1">
      <alignment vertical="center"/>
      <protection locked="0"/>
    </xf>
    <xf numFmtId="0" fontId="0" fillId="64" borderId="93" xfId="0" applyNumberFormat="1" applyFill="1" applyBorder="1" applyAlignment="1" applyProtection="1">
      <alignment horizontal="center" vertical="center"/>
    </xf>
    <xf numFmtId="0" fontId="0" fillId="64" borderId="94" xfId="0" applyNumberFormat="1" applyFill="1" applyBorder="1" applyAlignment="1" applyProtection="1">
      <alignment horizontal="center" vertical="center"/>
    </xf>
    <xf numFmtId="0" fontId="0" fillId="64" borderId="95" xfId="0" applyNumberFormat="1" applyFill="1" applyBorder="1" applyAlignment="1" applyProtection="1">
      <alignment horizontal="center" vertical="center"/>
    </xf>
    <xf numFmtId="0" fontId="14" fillId="29" borderId="93" xfId="0" applyNumberFormat="1" applyFont="1" applyFill="1" applyBorder="1" applyAlignment="1" applyProtection="1">
      <alignment horizontal="left" vertical="top"/>
      <protection locked="0"/>
    </xf>
    <xf numFmtId="0" fontId="0" fillId="29" borderId="94" xfId="0" applyNumberFormat="1" applyFill="1" applyBorder="1" applyAlignment="1" applyProtection="1">
      <alignment horizontal="left" vertical="top"/>
      <protection locked="0"/>
    </xf>
    <xf numFmtId="0" fontId="0" fillId="29" borderId="95" xfId="0" applyNumberFormat="1" applyFill="1" applyBorder="1" applyAlignment="1" applyProtection="1">
      <alignment horizontal="left" vertical="top"/>
      <protection locked="0"/>
    </xf>
    <xf numFmtId="0" fontId="14" fillId="0" borderId="0" xfId="0" applyFont="1" applyAlignment="1">
      <alignment horizontal="left" vertical="top" wrapText="1"/>
    </xf>
    <xf numFmtId="0" fontId="21" fillId="0" borderId="0" xfId="0" applyFont="1" applyAlignment="1" applyProtection="1">
      <alignment horizontal="center"/>
    </xf>
    <xf numFmtId="0" fontId="21" fillId="64" borderId="0" xfId="0" applyFont="1" applyFill="1" applyAlignment="1" applyProtection="1">
      <alignment horizontal="center" vertical="center"/>
    </xf>
    <xf numFmtId="0" fontId="94" fillId="64" borderId="0" xfId="0" applyFont="1" applyFill="1" applyAlignment="1" applyProtection="1">
      <alignment vertical="center" wrapText="1"/>
    </xf>
    <xf numFmtId="0" fontId="0" fillId="64" borderId="0" xfId="0" applyFill="1" applyAlignment="1" applyProtection="1">
      <alignment wrapText="1"/>
    </xf>
    <xf numFmtId="0" fontId="21" fillId="0" borderId="0" xfId="46" applyFont="1" applyAlignment="1">
      <alignment horizontal="center"/>
    </xf>
    <xf numFmtId="0" fontId="14" fillId="29" borderId="0" xfId="0" applyFont="1" applyFill="1" applyAlignment="1">
      <alignment horizontal="left" vertical="top" wrapText="1"/>
    </xf>
    <xf numFmtId="0" fontId="0" fillId="29" borderId="0" xfId="0" applyFill="1" applyAlignment="1">
      <alignment horizontal="left" vertical="top" wrapText="1"/>
    </xf>
    <xf numFmtId="0" fontId="21" fillId="0" borderId="0" xfId="0" applyFont="1" applyAlignment="1">
      <alignment horizontal="center" vertical="center"/>
    </xf>
    <xf numFmtId="0" fontId="17" fillId="0" borderId="0" xfId="0" applyFont="1" applyAlignment="1">
      <alignment horizontal="left" vertical="top"/>
    </xf>
    <xf numFmtId="0" fontId="0" fillId="0" borderId="0" xfId="0" applyAlignment="1" applyProtection="1">
      <alignment horizontal="left" wrapText="1"/>
      <protection locked="0"/>
    </xf>
    <xf numFmtId="0" fontId="17" fillId="0" borderId="0" xfId="0" applyFont="1" applyAlignment="1" applyProtection="1">
      <alignment horizontal="left" wrapText="1"/>
      <protection locked="0"/>
    </xf>
    <xf numFmtId="0" fontId="21" fillId="0" borderId="0" xfId="0" applyFont="1" applyAlignment="1" applyProtection="1">
      <alignment horizontal="center" vertical="top"/>
    </xf>
    <xf numFmtId="0" fontId="14" fillId="0" borderId="0" xfId="0" applyFont="1" applyAlignment="1" applyProtection="1">
      <alignment horizontal="left" vertical="top" wrapText="1"/>
      <protection locked="0"/>
    </xf>
    <xf numFmtId="0" fontId="36" fillId="0" borderId="0" xfId="0" applyFont="1" applyAlignment="1" applyProtection="1">
      <alignment horizontal="left" vertical="top" wrapText="1"/>
      <protection locked="0"/>
    </xf>
    <xf numFmtId="0" fontId="100" fillId="29" borderId="105" xfId="0" applyFont="1" applyFill="1" applyBorder="1" applyAlignment="1" applyProtection="1">
      <alignment horizontal="left" vertical="top"/>
      <protection locked="0"/>
    </xf>
    <xf numFmtId="0" fontId="100" fillId="29" borderId="82" xfId="0" applyFont="1" applyFill="1" applyBorder="1" applyAlignment="1" applyProtection="1">
      <alignment horizontal="left" vertical="top"/>
      <protection locked="0"/>
    </xf>
    <xf numFmtId="0" fontId="100" fillId="29" borderId="18" xfId="0" applyFont="1" applyFill="1" applyBorder="1" applyAlignment="1" applyProtection="1">
      <alignment horizontal="left" vertical="top"/>
      <protection locked="0"/>
    </xf>
    <xf numFmtId="0" fontId="100" fillId="29" borderId="76" xfId="0" applyFont="1" applyFill="1" applyBorder="1" applyAlignment="1" applyProtection="1">
      <alignment horizontal="left" vertical="top"/>
      <protection locked="0"/>
    </xf>
    <xf numFmtId="0" fontId="100" fillId="29" borderId="12" xfId="0" applyFont="1" applyFill="1" applyBorder="1" applyAlignment="1" applyProtection="1">
      <alignment horizontal="left" vertical="top"/>
      <protection locked="0"/>
    </xf>
    <xf numFmtId="0" fontId="100" fillId="29" borderId="16" xfId="0" applyFont="1" applyFill="1" applyBorder="1" applyAlignment="1" applyProtection="1">
      <alignment horizontal="left" vertical="top"/>
      <protection locked="0"/>
    </xf>
    <xf numFmtId="0" fontId="76" fillId="0" borderId="74" xfId="0" applyFont="1" applyBorder="1" applyProtection="1"/>
    <xf numFmtId="0" fontId="76" fillId="0" borderId="13" xfId="0" applyFont="1" applyBorder="1" applyProtection="1"/>
    <xf numFmtId="0" fontId="76" fillId="0" borderId="33" xfId="0" applyFont="1" applyBorder="1" applyProtection="1"/>
    <xf numFmtId="0" fontId="99" fillId="0" borderId="74" xfId="0" applyFont="1" applyBorder="1" applyProtection="1"/>
    <xf numFmtId="0" fontId="99" fillId="0" borderId="13" xfId="0" applyFont="1" applyBorder="1" applyProtection="1"/>
    <xf numFmtId="0" fontId="99" fillId="0" borderId="33" xfId="0" applyFont="1" applyBorder="1" applyProtection="1"/>
    <xf numFmtId="0" fontId="21" fillId="0" borderId="0" xfId="0" applyFont="1" applyAlignment="1" applyProtection="1">
      <alignment horizontal="center" vertical="center" wrapText="1"/>
    </xf>
    <xf numFmtId="0" fontId="17" fillId="0" borderId="46" xfId="0" applyFont="1" applyFill="1" applyBorder="1" applyAlignment="1" applyProtection="1">
      <alignment horizontal="center" vertical="center" wrapText="1"/>
    </xf>
    <xf numFmtId="0" fontId="17" fillId="0" borderId="30" xfId="0" applyFont="1" applyFill="1" applyBorder="1" applyAlignment="1" applyProtection="1">
      <alignment horizontal="center" vertical="center" wrapText="1"/>
    </xf>
    <xf numFmtId="0" fontId="17" fillId="0" borderId="31" xfId="0" applyFont="1" applyFill="1" applyBorder="1" applyAlignment="1" applyProtection="1">
      <alignment horizontal="center" vertical="center" wrapText="1"/>
    </xf>
    <xf numFmtId="0" fontId="61" fillId="0" borderId="43" xfId="0" applyFont="1" applyFill="1" applyBorder="1" applyAlignment="1" applyProtection="1">
      <alignment horizontal="center" vertical="center" wrapText="1"/>
    </xf>
    <xf numFmtId="0" fontId="61" fillId="0" borderId="41" xfId="0" applyFont="1" applyFill="1" applyBorder="1" applyAlignment="1" applyProtection="1">
      <alignment horizontal="center" vertical="center" wrapText="1"/>
    </xf>
    <xf numFmtId="0" fontId="17" fillId="0" borderId="86" xfId="0" applyFont="1" applyFill="1" applyBorder="1" applyAlignment="1" applyProtection="1">
      <alignment horizontal="center" vertical="center" wrapText="1"/>
    </xf>
    <xf numFmtId="0" fontId="17" fillId="0" borderId="64" xfId="0" applyFont="1" applyFill="1" applyBorder="1" applyAlignment="1" applyProtection="1">
      <alignment horizontal="center" vertical="center" wrapText="1"/>
    </xf>
    <xf numFmtId="0" fontId="17" fillId="0" borderId="22" xfId="0" applyFont="1" applyFill="1" applyBorder="1" applyAlignment="1" applyProtection="1">
      <alignment horizontal="center" vertical="center" wrapText="1"/>
    </xf>
    <xf numFmtId="0" fontId="21" fillId="0" borderId="132" xfId="0" applyFont="1" applyFill="1" applyBorder="1" applyAlignment="1" applyProtection="1">
      <alignment horizontal="center" vertical="center" wrapText="1"/>
    </xf>
    <xf numFmtId="0" fontId="21" fillId="0" borderId="136" xfId="0" applyFont="1" applyFill="1" applyBorder="1" applyAlignment="1" applyProtection="1">
      <alignment horizontal="center" vertical="center" wrapText="1"/>
    </xf>
    <xf numFmtId="0" fontId="14" fillId="0" borderId="137" xfId="0" applyFont="1" applyFill="1" applyBorder="1" applyAlignment="1" applyProtection="1">
      <alignment vertical="center" wrapText="1"/>
    </xf>
    <xf numFmtId="0" fontId="17" fillId="0" borderId="133" xfId="0" applyFont="1" applyFill="1" applyBorder="1" applyAlignment="1" applyProtection="1">
      <alignment horizontal="center" vertical="center" wrapText="1"/>
    </xf>
    <xf numFmtId="0" fontId="17" fillId="0" borderId="134" xfId="0" applyFont="1" applyFill="1" applyBorder="1" applyAlignment="1" applyProtection="1">
      <alignment horizontal="center" vertical="center" wrapText="1"/>
    </xf>
    <xf numFmtId="0" fontId="17" fillId="0" borderId="135" xfId="0" applyFont="1" applyFill="1" applyBorder="1" applyAlignment="1" applyProtection="1">
      <alignment horizontal="center" vertical="center" wrapText="1"/>
    </xf>
    <xf numFmtId="0" fontId="14" fillId="0" borderId="0" xfId="0" applyFont="1" applyAlignment="1" applyProtection="1">
      <alignment horizontal="left" vertical="center"/>
    </xf>
    <xf numFmtId="0" fontId="76" fillId="0" borderId="0" xfId="0" applyFont="1" applyAlignment="1" applyProtection="1">
      <alignment horizontal="left"/>
    </xf>
    <xf numFmtId="0" fontId="41" fillId="0" borderId="44" xfId="0" applyFont="1" applyFill="1" applyBorder="1" applyAlignment="1" applyProtection="1">
      <alignment horizontal="center" vertical="center" wrapText="1"/>
    </xf>
    <xf numFmtId="0" fontId="14" fillId="0" borderId="44" xfId="0" applyFont="1" applyFill="1" applyBorder="1" applyAlignment="1" applyProtection="1">
      <alignment horizontal="center" vertical="center" wrapText="1"/>
    </xf>
    <xf numFmtId="0" fontId="41" fillId="0" borderId="86" xfId="0" applyFont="1" applyFill="1" applyBorder="1" applyAlignment="1" applyProtection="1">
      <alignment horizontal="center" vertical="center" wrapText="1"/>
    </xf>
    <xf numFmtId="0" fontId="41" fillId="0" borderId="64" xfId="0" applyFont="1" applyFill="1" applyBorder="1" applyAlignment="1" applyProtection="1">
      <alignment horizontal="center" vertical="center" wrapText="1"/>
    </xf>
    <xf numFmtId="0" fontId="41" fillId="0" borderId="138" xfId="0" applyFont="1" applyFill="1" applyBorder="1" applyAlignment="1" applyProtection="1">
      <alignment horizontal="center" vertical="center" wrapText="1"/>
    </xf>
    <xf numFmtId="0" fontId="41" fillId="0" borderId="22" xfId="0" applyFont="1" applyFill="1" applyBorder="1" applyAlignment="1" applyProtection="1">
      <alignment horizontal="center" vertical="center" wrapText="1"/>
    </xf>
    <xf numFmtId="0" fontId="14" fillId="0" borderId="0" xfId="0" applyFont="1" applyAlignment="1" applyProtection="1">
      <alignment horizontal="left" vertical="top" wrapText="1"/>
    </xf>
    <xf numFmtId="0" fontId="21" fillId="0" borderId="0" xfId="0" applyFont="1" applyAlignment="1" applyProtection="1">
      <alignment horizontal="center" vertical="center"/>
      <protection locked="0"/>
    </xf>
    <xf numFmtId="0" fontId="14" fillId="0" borderId="0" xfId="46" applyFont="1" applyAlignment="1" applyProtection="1">
      <alignment horizontal="left" vertical="center" wrapText="1"/>
    </xf>
    <xf numFmtId="0" fontId="14" fillId="0" borderId="0" xfId="46" applyFont="1" applyAlignment="1" applyProtection="1">
      <alignment horizontal="left" wrapText="1"/>
    </xf>
    <xf numFmtId="0" fontId="14" fillId="0" borderId="0" xfId="46" applyAlignment="1" applyProtection="1">
      <alignment horizontal="left" wrapText="1"/>
    </xf>
    <xf numFmtId="0" fontId="14" fillId="0" borderId="0" xfId="46" applyFont="1" applyFill="1" applyAlignment="1" applyProtection="1">
      <alignment horizontal="left" wrapText="1"/>
    </xf>
    <xf numFmtId="0" fontId="14" fillId="0" borderId="0" xfId="46" applyFont="1" applyFill="1" applyAlignment="1" applyProtection="1">
      <alignment horizontal="left" vertical="top" wrapText="1"/>
    </xf>
    <xf numFmtId="0" fontId="21" fillId="0" borderId="0" xfId="46" applyFont="1" applyAlignment="1" applyProtection="1">
      <alignment horizontal="center"/>
    </xf>
    <xf numFmtId="0" fontId="17" fillId="66" borderId="86" xfId="46" applyFont="1" applyFill="1" applyBorder="1" applyAlignment="1" applyProtection="1">
      <alignment horizontal="center" wrapText="1"/>
    </xf>
    <xf numFmtId="0" fontId="17" fillId="66" borderId="22" xfId="46" applyFont="1" applyFill="1" applyBorder="1" applyAlignment="1" applyProtection="1">
      <alignment horizontal="center" wrapText="1"/>
    </xf>
    <xf numFmtId="0" fontId="17" fillId="66" borderId="0" xfId="46" applyFont="1" applyFill="1" applyBorder="1" applyAlignment="1" applyProtection="1">
      <alignment horizontal="center" vertical="center" wrapText="1"/>
    </xf>
    <xf numFmtId="0" fontId="92" fillId="0" borderId="0" xfId="46" applyFont="1" applyAlignment="1" applyProtection="1">
      <alignment horizontal="left" vertical="center" wrapText="1"/>
    </xf>
    <xf numFmtId="0" fontId="14" fillId="0" borderId="0" xfId="46" applyFont="1" applyAlignment="1" applyProtection="1">
      <alignment horizontal="left" vertical="top" wrapText="1"/>
    </xf>
    <xf numFmtId="0" fontId="14" fillId="0" borderId="0" xfId="46" applyFont="1" applyAlignment="1" applyProtection="1">
      <alignment horizontal="left" vertical="center" wrapText="1" indent="2"/>
    </xf>
    <xf numFmtId="0" fontId="17" fillId="0" borderId="74" xfId="46" applyFont="1" applyFill="1" applyBorder="1" applyAlignment="1" applyProtection="1">
      <alignment horizontal="left"/>
      <protection locked="0"/>
    </xf>
    <xf numFmtId="0" fontId="17" fillId="0" borderId="13" xfId="46" applyFont="1" applyFill="1" applyBorder="1" applyAlignment="1" applyProtection="1">
      <alignment horizontal="left"/>
      <protection locked="0"/>
    </xf>
    <xf numFmtId="0" fontId="17" fillId="0" borderId="33" xfId="46" applyFont="1" applyFill="1" applyBorder="1" applyAlignment="1" applyProtection="1">
      <alignment horizontal="left"/>
      <protection locked="0"/>
    </xf>
    <xf numFmtId="0" fontId="17" fillId="25" borderId="74" xfId="46" applyFont="1" applyFill="1" applyBorder="1" applyAlignment="1" applyProtection="1">
      <alignment horizontal="center"/>
      <protection locked="0"/>
    </xf>
    <xf numFmtId="0" fontId="17" fillId="25" borderId="13" xfId="46" applyFont="1" applyFill="1" applyBorder="1" applyAlignment="1" applyProtection="1">
      <alignment horizontal="center"/>
      <protection locked="0"/>
    </xf>
    <xf numFmtId="0" fontId="17" fillId="25" borderId="33" xfId="46" applyFont="1" applyFill="1" applyBorder="1" applyAlignment="1" applyProtection="1">
      <alignment horizontal="center"/>
      <protection locked="0"/>
    </xf>
    <xf numFmtId="0" fontId="14" fillId="0" borderId="0" xfId="46" applyAlignment="1" applyProtection="1">
      <alignment horizontal="left" wrapText="1"/>
      <protection locked="0"/>
    </xf>
    <xf numFmtId="0" fontId="14" fillId="0" borderId="0" xfId="46" applyFont="1" applyAlignment="1" applyProtection="1">
      <alignment horizontal="left" vertical="top" wrapText="1"/>
      <protection locked="0"/>
    </xf>
    <xf numFmtId="0" fontId="21" fillId="0" borderId="0" xfId="46" applyFont="1" applyAlignment="1" applyProtection="1">
      <alignment horizontal="center" vertical="top"/>
      <protection locked="0"/>
    </xf>
    <xf numFmtId="0" fontId="14" fillId="0" borderId="0" xfId="46" applyAlignment="1" applyProtection="1">
      <alignment horizontal="left" vertical="top" wrapText="1"/>
      <protection locked="0"/>
    </xf>
    <xf numFmtId="0" fontId="82" fillId="0" borderId="0" xfId="46" applyFont="1" applyBorder="1" applyAlignment="1" applyProtection="1">
      <alignment horizontal="center" vertical="center"/>
      <protection locked="0"/>
    </xf>
    <xf numFmtId="0" fontId="14" fillId="0" borderId="17" xfId="46" applyBorder="1" applyAlignment="1" applyProtection="1">
      <alignment horizontal="center" vertical="center"/>
      <protection locked="0"/>
    </xf>
    <xf numFmtId="0" fontId="14" fillId="0" borderId="19" xfId="46" applyBorder="1" applyAlignment="1" applyProtection="1">
      <alignment horizontal="center" vertical="center"/>
      <protection locked="0"/>
    </xf>
    <xf numFmtId="0" fontId="14" fillId="0" borderId="17" xfId="46" applyFont="1" applyBorder="1" applyAlignment="1" applyProtection="1">
      <alignment horizontal="left" vertical="center"/>
      <protection locked="0"/>
    </xf>
    <xf numFmtId="0" fontId="14" fillId="0" borderId="19" xfId="46" applyFont="1" applyBorder="1" applyAlignment="1" applyProtection="1">
      <alignment horizontal="left" vertical="center"/>
      <protection locked="0"/>
    </xf>
    <xf numFmtId="0" fontId="14" fillId="0" borderId="74" xfId="46" applyFont="1" applyBorder="1" applyAlignment="1" applyProtection="1">
      <alignment horizontal="left" vertical="center"/>
      <protection locked="0"/>
    </xf>
    <xf numFmtId="0" fontId="14" fillId="0" borderId="33" xfId="46" applyFont="1" applyBorder="1" applyAlignment="1" applyProtection="1">
      <alignment horizontal="left" vertical="center"/>
      <protection locked="0"/>
    </xf>
    <xf numFmtId="1" fontId="14" fillId="0" borderId="10" xfId="46" applyNumberFormat="1" applyBorder="1" applyAlignment="1" applyProtection="1">
      <alignment horizontal="center" vertical="center"/>
      <protection locked="0"/>
    </xf>
    <xf numFmtId="0" fontId="15" fillId="0" borderId="0" xfId="36" applyAlignment="1" applyProtection="1">
      <alignment horizontal="left" vertical="top"/>
      <protection locked="0"/>
    </xf>
    <xf numFmtId="0" fontId="14" fillId="0" borderId="13" xfId="46" applyFont="1" applyBorder="1" applyAlignment="1" applyProtection="1">
      <alignment horizontal="left" vertical="center"/>
      <protection locked="0"/>
    </xf>
    <xf numFmtId="0" fontId="14" fillId="0" borderId="11" xfId="46" applyBorder="1" applyAlignment="1" applyProtection="1">
      <alignment horizontal="center" vertical="center"/>
      <protection locked="0"/>
    </xf>
    <xf numFmtId="0" fontId="14" fillId="0" borderId="11" xfId="46" applyFont="1" applyBorder="1" applyAlignment="1" applyProtection="1">
      <alignment horizontal="left" vertical="center"/>
      <protection locked="0"/>
    </xf>
    <xf numFmtId="2" fontId="14" fillId="0" borderId="10" xfId="46" quotePrefix="1" applyNumberFormat="1" applyFont="1" applyBorder="1" applyAlignment="1" applyProtection="1">
      <alignment horizontal="center" vertical="center"/>
      <protection locked="0"/>
    </xf>
    <xf numFmtId="0" fontId="87" fillId="63" borderId="121" xfId="46" applyFont="1" applyFill="1" applyBorder="1" applyAlignment="1" applyProtection="1">
      <alignment horizontal="center" vertical="center" wrapText="1"/>
      <protection locked="0"/>
    </xf>
    <xf numFmtId="0" fontId="87" fillId="63" borderId="120" xfId="46" applyFont="1" applyFill="1" applyBorder="1" applyAlignment="1" applyProtection="1">
      <alignment horizontal="center" vertical="center" wrapText="1"/>
      <protection locked="0"/>
    </xf>
    <xf numFmtId="0" fontId="87" fillId="63" borderId="10" xfId="46" applyFont="1" applyFill="1" applyBorder="1" applyAlignment="1" applyProtection="1">
      <alignment horizontal="center" vertical="center" wrapText="1"/>
      <protection locked="0"/>
    </xf>
    <xf numFmtId="0" fontId="17" fillId="63" borderId="10" xfId="46" applyFont="1" applyFill="1" applyBorder="1" applyAlignment="1" applyProtection="1">
      <alignment horizontal="center" vertical="center"/>
      <protection locked="0"/>
    </xf>
    <xf numFmtId="0" fontId="17" fillId="63" borderId="10" xfId="46" applyFont="1" applyFill="1" applyBorder="1" applyAlignment="1" applyProtection="1">
      <alignment horizontal="center" vertical="center" wrapText="1"/>
      <protection locked="0"/>
    </xf>
    <xf numFmtId="0" fontId="17" fillId="63" borderId="17" xfId="46" applyFont="1" applyFill="1" applyBorder="1" applyAlignment="1" applyProtection="1">
      <alignment horizontal="center" vertical="center" wrapText="1"/>
      <protection locked="0"/>
    </xf>
    <xf numFmtId="0" fontId="21" fillId="0" borderId="0" xfId="46" applyFont="1" applyBorder="1" applyAlignment="1" applyProtection="1">
      <alignment horizontal="center" vertical="center" wrapText="1"/>
      <protection locked="0"/>
    </xf>
    <xf numFmtId="0" fontId="17" fillId="63" borderId="105" xfId="46" applyFont="1" applyFill="1" applyBorder="1" applyAlignment="1" applyProtection="1">
      <alignment horizontal="center" vertical="center"/>
      <protection locked="0"/>
    </xf>
    <xf numFmtId="0" fontId="17" fillId="63" borderId="82" xfId="46" applyFont="1" applyFill="1" applyBorder="1" applyAlignment="1" applyProtection="1">
      <alignment horizontal="center" vertical="center"/>
      <protection locked="0"/>
    </xf>
    <xf numFmtId="0" fontId="17" fillId="63" borderId="18" xfId="46" applyFont="1" applyFill="1" applyBorder="1" applyAlignment="1" applyProtection="1">
      <alignment horizontal="center" vertical="center"/>
      <protection locked="0"/>
    </xf>
    <xf numFmtId="0" fontId="17" fillId="63" borderId="76" xfId="46" applyFont="1" applyFill="1" applyBorder="1" applyAlignment="1" applyProtection="1">
      <alignment horizontal="center" vertical="center"/>
      <protection locked="0"/>
    </xf>
    <xf numFmtId="0" fontId="17" fillId="63" borderId="12" xfId="46" applyFont="1" applyFill="1" applyBorder="1" applyAlignment="1" applyProtection="1">
      <alignment horizontal="center" vertical="center"/>
      <protection locked="0"/>
    </xf>
    <xf numFmtId="0" fontId="17" fillId="63" borderId="16" xfId="46" applyFont="1" applyFill="1" applyBorder="1" applyAlignment="1" applyProtection="1">
      <alignment horizontal="center" vertical="center"/>
      <protection locked="0"/>
    </xf>
    <xf numFmtId="0" fontId="14" fillId="0" borderId="21" xfId="46" applyFont="1" applyBorder="1" applyAlignment="1" applyProtection="1">
      <alignment horizontal="left" vertical="center"/>
      <protection locked="0"/>
    </xf>
    <xf numFmtId="0" fontId="14" fillId="0" borderId="21" xfId="46" applyBorder="1" applyAlignment="1" applyProtection="1">
      <alignment horizontal="left" vertical="center"/>
      <protection locked="0"/>
    </xf>
    <xf numFmtId="0" fontId="14" fillId="0" borderId="74" xfId="46" applyFont="1" applyBorder="1" applyAlignment="1" applyProtection="1">
      <alignment horizontal="left"/>
      <protection locked="0"/>
    </xf>
    <xf numFmtId="0" fontId="14" fillId="0" borderId="33" xfId="46" applyFont="1" applyBorder="1" applyAlignment="1" applyProtection="1">
      <alignment horizontal="left"/>
      <protection locked="0"/>
    </xf>
    <xf numFmtId="0" fontId="14" fillId="0" borderId="79" xfId="46" applyFont="1" applyBorder="1" applyAlignment="1" applyProtection="1">
      <alignment horizontal="left" vertical="center"/>
      <protection locked="0"/>
    </xf>
    <xf numFmtId="0" fontId="14" fillId="0" borderId="102" xfId="46" applyBorder="1" applyAlignment="1" applyProtection="1">
      <alignment horizontal="left" vertical="center"/>
      <protection locked="0"/>
    </xf>
    <xf numFmtId="0" fontId="14" fillId="0" borderId="80" xfId="46" applyBorder="1" applyAlignment="1" applyProtection="1">
      <alignment horizontal="left" vertical="center"/>
      <protection locked="0"/>
    </xf>
    <xf numFmtId="0" fontId="17" fillId="0" borderId="32" xfId="46" applyFont="1" applyBorder="1" applyAlignment="1" applyProtection="1">
      <alignment horizontal="center" vertical="center"/>
      <protection locked="0"/>
    </xf>
    <xf numFmtId="0" fontId="14" fillId="0" borderId="27" xfId="46" applyBorder="1" applyAlignment="1" applyProtection="1">
      <alignment horizontal="center" vertical="center"/>
      <protection locked="0"/>
    </xf>
    <xf numFmtId="0" fontId="14" fillId="0" borderId="28" xfId="46" applyBorder="1" applyAlignment="1" applyProtection="1">
      <alignment horizontal="center" vertical="center"/>
      <protection locked="0"/>
    </xf>
    <xf numFmtId="0" fontId="14" fillId="0" borderId="78" xfId="46" applyFont="1" applyBorder="1" applyAlignment="1" applyProtection="1">
      <alignment horizontal="left" vertical="center"/>
      <protection locked="0"/>
    </xf>
    <xf numFmtId="0" fontId="14" fillId="0" borderId="87" xfId="46" applyBorder="1" applyAlignment="1" applyProtection="1">
      <alignment horizontal="left" vertical="center"/>
      <protection locked="0"/>
    </xf>
    <xf numFmtId="0" fontId="14" fillId="0" borderId="49" xfId="46" applyBorder="1" applyAlignment="1" applyProtection="1">
      <alignment horizontal="left" vertical="center"/>
      <protection locked="0"/>
    </xf>
    <xf numFmtId="0" fontId="14" fillId="0" borderId="13" xfId="46" applyBorder="1" applyAlignment="1" applyProtection="1">
      <alignment horizontal="left" vertical="center"/>
      <protection locked="0"/>
    </xf>
    <xf numFmtId="0" fontId="14" fillId="0" borderId="33" xfId="46" applyBorder="1" applyAlignment="1" applyProtection="1">
      <alignment horizontal="left" vertical="center"/>
      <protection locked="0"/>
    </xf>
    <xf numFmtId="0" fontId="14" fillId="0" borderId="74" xfId="46" applyFont="1" applyBorder="1" applyAlignment="1" applyProtection="1">
      <alignment horizontal="left" vertical="center" wrapText="1"/>
      <protection locked="0"/>
    </xf>
    <xf numFmtId="0" fontId="14" fillId="0" borderId="13" xfId="46" applyBorder="1" applyAlignment="1" applyProtection="1">
      <alignment horizontal="left" vertical="center" wrapText="1"/>
      <protection locked="0"/>
    </xf>
    <xf numFmtId="0" fontId="14" fillId="0" borderId="33" xfId="46" applyBorder="1" applyAlignment="1" applyProtection="1">
      <alignment horizontal="left" vertical="center" wrapText="1"/>
      <protection locked="0"/>
    </xf>
    <xf numFmtId="0" fontId="14" fillId="0" borderId="10" xfId="46" applyFont="1" applyBorder="1" applyAlignment="1" applyProtection="1">
      <alignment horizontal="left" vertical="center"/>
      <protection locked="0"/>
    </xf>
    <xf numFmtId="0" fontId="14" fillId="0" borderId="10" xfId="46" applyBorder="1" applyAlignment="1" applyProtection="1">
      <alignment horizontal="left" vertical="center"/>
      <protection locked="0"/>
    </xf>
    <xf numFmtId="0" fontId="14" fillId="0" borderId="26" xfId="46" applyFont="1" applyBorder="1" applyAlignment="1" applyProtection="1">
      <alignment horizontal="left" vertical="center"/>
      <protection locked="0"/>
    </xf>
    <xf numFmtId="0" fontId="14" fillId="0" borderId="26" xfId="46" applyBorder="1" applyAlignment="1" applyProtection="1">
      <alignment horizontal="left" vertical="center"/>
      <protection locked="0"/>
    </xf>
    <xf numFmtId="0" fontId="17" fillId="0" borderId="27" xfId="46" applyFont="1" applyBorder="1" applyAlignment="1" applyProtection="1">
      <alignment horizontal="center" vertical="center"/>
      <protection locked="0"/>
    </xf>
    <xf numFmtId="0" fontId="17" fillId="0" borderId="28" xfId="46" applyFont="1" applyBorder="1" applyAlignment="1" applyProtection="1">
      <alignment horizontal="center" vertical="center"/>
      <protection locked="0"/>
    </xf>
    <xf numFmtId="0" fontId="14" fillId="0" borderId="72" xfId="46" applyBorder="1" applyAlignment="1" applyProtection="1">
      <alignment horizontal="center" vertical="center"/>
      <protection locked="0"/>
    </xf>
    <xf numFmtId="0" fontId="14" fillId="0" borderId="24" xfId="46" applyBorder="1" applyAlignment="1" applyProtection="1">
      <alignment horizontal="left" vertical="center"/>
      <protection locked="0"/>
    </xf>
    <xf numFmtId="0" fontId="14" fillId="0" borderId="49" xfId="46" applyFont="1" applyBorder="1" applyAlignment="1" applyProtection="1">
      <alignment horizontal="left" vertical="center"/>
      <protection locked="0"/>
    </xf>
    <xf numFmtId="0" fontId="14" fillId="0" borderId="74" xfId="46" applyBorder="1" applyAlignment="1" applyProtection="1">
      <alignment horizontal="left" vertical="center"/>
      <protection locked="0"/>
    </xf>
    <xf numFmtId="0" fontId="14" fillId="0" borderId="105" xfId="46" applyFont="1" applyBorder="1" applyAlignment="1" applyProtection="1">
      <alignment horizontal="left"/>
      <protection locked="0"/>
    </xf>
    <xf numFmtId="0" fontId="14" fillId="0" borderId="82" xfId="46" applyFont="1" applyBorder="1" applyAlignment="1" applyProtection="1">
      <alignment horizontal="left"/>
      <protection locked="0"/>
    </xf>
    <xf numFmtId="0" fontId="14" fillId="0" borderId="18" xfId="46" applyFont="1" applyBorder="1" applyAlignment="1" applyProtection="1">
      <alignment horizontal="left"/>
      <protection locked="0"/>
    </xf>
    <xf numFmtId="0" fontId="14" fillId="0" borderId="10" xfId="143" applyFont="1" applyBorder="1" applyAlignment="1">
      <alignment horizontal="left" vertical="center"/>
    </xf>
    <xf numFmtId="0" fontId="14" fillId="0" borderId="10" xfId="143" applyBorder="1" applyAlignment="1">
      <alignment horizontal="left" vertical="center"/>
    </xf>
    <xf numFmtId="0" fontId="14" fillId="0" borderId="13" xfId="46" applyFont="1" applyBorder="1" applyAlignment="1" applyProtection="1">
      <alignment horizontal="left"/>
      <protection locked="0"/>
    </xf>
    <xf numFmtId="0" fontId="14" fillId="0" borderId="10" xfId="46" applyBorder="1" applyAlignment="1" applyProtection="1">
      <alignment horizontal="center" vertical="center"/>
      <protection locked="0"/>
    </xf>
    <xf numFmtId="0" fontId="14" fillId="0" borderId="10" xfId="46" applyFont="1" applyBorder="1" applyAlignment="1" applyProtection="1">
      <alignment horizontal="left"/>
      <protection locked="0"/>
    </xf>
    <xf numFmtId="0" fontId="17" fillId="0" borderId="92" xfId="46" applyFont="1" applyBorder="1" applyAlignment="1" applyProtection="1">
      <alignment horizontal="center" vertical="center"/>
      <protection locked="0"/>
    </xf>
    <xf numFmtId="0" fontId="17" fillId="0" borderId="108" xfId="46" applyFont="1" applyBorder="1" applyAlignment="1" applyProtection="1">
      <alignment horizontal="center" vertical="center"/>
      <protection locked="0"/>
    </xf>
    <xf numFmtId="0" fontId="14" fillId="0" borderId="24" xfId="46" applyBorder="1" applyAlignment="1" applyProtection="1">
      <alignment horizontal="center" vertical="center"/>
      <protection locked="0"/>
    </xf>
    <xf numFmtId="0" fontId="16" fillId="0" borderId="0" xfId="46" applyFont="1" applyAlignment="1" applyProtection="1">
      <alignment horizontal="right" vertical="top"/>
      <protection locked="0"/>
    </xf>
    <xf numFmtId="0" fontId="16" fillId="29" borderId="0" xfId="46" applyFont="1" applyFill="1" applyBorder="1" applyAlignment="1" applyProtection="1">
      <alignment horizontal="left" vertical="top"/>
      <protection locked="0"/>
    </xf>
    <xf numFmtId="0" fontId="16" fillId="29" borderId="0" xfId="46" applyFont="1" applyFill="1" applyAlignment="1" applyProtection="1">
      <alignment horizontal="left" vertical="top"/>
      <protection locked="0"/>
    </xf>
    <xf numFmtId="0" fontId="17" fillId="63" borderId="74" xfId="46" applyFont="1" applyFill="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0" xfId="46" applyFont="1" applyAlignment="1" applyProtection="1">
      <alignment horizontal="center" vertical="center" wrapText="1"/>
      <protection locked="0"/>
    </xf>
    <xf numFmtId="0" fontId="17" fillId="63" borderId="17" xfId="46" applyFont="1" applyFill="1" applyBorder="1" applyAlignment="1" applyProtection="1">
      <alignment horizontal="center" vertical="center"/>
      <protection locked="0"/>
    </xf>
    <xf numFmtId="0" fontId="14" fillId="0" borderId="24" xfId="46" applyFont="1" applyBorder="1" applyAlignment="1" applyProtection="1">
      <alignment horizontal="left" vertical="center"/>
      <protection locked="0"/>
    </xf>
    <xf numFmtId="0" fontId="14" fillId="0" borderId="24" xfId="46" applyFont="1" applyBorder="1" applyAlignment="1" applyProtection="1">
      <alignment horizontal="left"/>
      <protection locked="0"/>
    </xf>
    <xf numFmtId="0" fontId="14" fillId="0" borderId="33" xfId="46" applyFont="1" applyBorder="1" applyAlignment="1" applyProtection="1">
      <alignment horizontal="left" vertical="center" wrapText="1"/>
      <protection locked="0"/>
    </xf>
    <xf numFmtId="0" fontId="14" fillId="0" borderId="10" xfId="46" applyFont="1" applyBorder="1" applyAlignment="1" applyProtection="1">
      <alignment horizontal="left" vertical="center" wrapText="1"/>
      <protection locked="0"/>
    </xf>
    <xf numFmtId="0" fontId="21" fillId="0" borderId="0" xfId="46" applyFont="1" applyAlignment="1" applyProtection="1">
      <alignment horizontal="center"/>
      <protection locked="0"/>
    </xf>
    <xf numFmtId="0" fontId="17" fillId="0" borderId="74" xfId="46" applyFont="1" applyBorder="1" applyAlignment="1" applyProtection="1">
      <alignment horizontal="center" vertical="center"/>
      <protection locked="0"/>
    </xf>
    <xf numFmtId="0" fontId="17" fillId="0" borderId="33" xfId="46" applyFont="1" applyBorder="1" applyAlignment="1" applyProtection="1">
      <alignment horizontal="center" vertical="center"/>
      <protection locked="0"/>
    </xf>
    <xf numFmtId="0" fontId="17" fillId="0" borderId="10" xfId="46" applyFont="1" applyBorder="1" applyAlignment="1" applyProtection="1">
      <alignment horizontal="left" vertical="center" wrapText="1"/>
      <protection locked="0"/>
    </xf>
    <xf numFmtId="0" fontId="19" fillId="0" borderId="86" xfId="46" applyFont="1" applyBorder="1" applyAlignment="1" applyProtection="1">
      <alignment horizontal="center" vertical="center"/>
      <protection locked="0"/>
    </xf>
    <xf numFmtId="0" fontId="19" fillId="0" borderId="64" xfId="46" applyFont="1" applyBorder="1" applyAlignment="1" applyProtection="1">
      <alignment horizontal="center" vertical="center"/>
      <protection locked="0"/>
    </xf>
    <xf numFmtId="0" fontId="19" fillId="0" borderId="22" xfId="46" applyFont="1" applyBorder="1" applyAlignment="1" applyProtection="1">
      <alignment horizontal="center" vertical="center"/>
      <protection locked="0"/>
    </xf>
    <xf numFmtId="0" fontId="19" fillId="0" borderId="86" xfId="46" applyFont="1" applyBorder="1" applyAlignment="1" applyProtection="1">
      <alignment horizontal="center" wrapText="1"/>
      <protection locked="0"/>
    </xf>
    <xf numFmtId="0" fontId="19" fillId="0" borderId="64" xfId="46" applyFont="1" applyBorder="1" applyAlignment="1" applyProtection="1">
      <alignment horizontal="center" wrapText="1"/>
      <protection locked="0"/>
    </xf>
    <xf numFmtId="0" fontId="19" fillId="0" borderId="22" xfId="46" applyFont="1" applyBorder="1" applyAlignment="1" applyProtection="1">
      <alignment horizontal="center" wrapText="1"/>
      <protection locked="0"/>
    </xf>
    <xf numFmtId="0" fontId="17" fillId="25" borderId="92" xfId="46" applyFont="1" applyFill="1" applyBorder="1" applyAlignment="1" applyProtection="1">
      <alignment vertical="center"/>
      <protection locked="0"/>
    </xf>
    <xf numFmtId="0" fontId="17" fillId="25" borderId="38" xfId="46" applyFont="1" applyFill="1" applyBorder="1" applyAlignment="1" applyProtection="1">
      <alignment vertical="center"/>
      <protection locked="0"/>
    </xf>
    <xf numFmtId="0" fontId="17" fillId="25" borderId="100" xfId="46" applyFont="1" applyFill="1" applyBorder="1" applyAlignment="1" applyProtection="1">
      <alignment vertical="center"/>
      <protection locked="0"/>
    </xf>
    <xf numFmtId="0" fontId="17" fillId="25" borderId="77" xfId="46" applyFont="1" applyFill="1" applyBorder="1" applyAlignment="1" applyProtection="1">
      <alignment vertical="center"/>
      <protection locked="0"/>
    </xf>
    <xf numFmtId="0" fontId="14" fillId="0" borderId="0" xfId="46" applyFont="1" applyAlignment="1" applyProtection="1">
      <alignment horizontal="left" wrapText="1"/>
      <protection locked="0"/>
    </xf>
    <xf numFmtId="0" fontId="17" fillId="0" borderId="69" xfId="46" applyFont="1" applyFill="1" applyBorder="1" applyAlignment="1" applyProtection="1">
      <alignment vertical="center" wrapText="1"/>
      <protection locked="0"/>
    </xf>
    <xf numFmtId="0" fontId="17" fillId="0" borderId="47" xfId="46" applyFont="1" applyFill="1" applyBorder="1" applyAlignment="1" applyProtection="1">
      <alignment vertical="center" wrapText="1"/>
      <protection locked="0"/>
    </xf>
    <xf numFmtId="0" fontId="17" fillId="0" borderId="52" xfId="46" applyFont="1" applyFill="1" applyBorder="1" applyAlignment="1" applyProtection="1">
      <alignment vertical="center" wrapText="1"/>
      <protection locked="0"/>
    </xf>
    <xf numFmtId="0" fontId="17" fillId="0" borderId="43" xfId="46" applyFont="1" applyFill="1" applyBorder="1" applyAlignment="1" applyProtection="1">
      <alignment vertical="center" wrapText="1"/>
      <protection locked="0"/>
    </xf>
    <xf numFmtId="0" fontId="17" fillId="0" borderId="40" xfId="46" applyFont="1" applyFill="1" applyBorder="1" applyAlignment="1" applyProtection="1">
      <alignment vertical="center" wrapText="1"/>
      <protection locked="0"/>
    </xf>
    <xf numFmtId="0" fontId="17" fillId="0" borderId="91" xfId="46" applyFont="1" applyFill="1" applyBorder="1" applyAlignment="1" applyProtection="1">
      <alignment vertical="center" wrapText="1"/>
      <protection locked="0"/>
    </xf>
    <xf numFmtId="170" fontId="17" fillId="0" borderId="43" xfId="29" applyNumberFormat="1" applyFont="1" applyBorder="1" applyAlignment="1" applyProtection="1">
      <alignment horizontal="center"/>
      <protection locked="0"/>
    </xf>
    <xf numFmtId="170" fontId="17" fillId="0" borderId="40" xfId="29" applyNumberFormat="1" applyFont="1" applyBorder="1" applyAlignment="1" applyProtection="1">
      <alignment horizontal="center"/>
      <protection locked="0"/>
    </xf>
    <xf numFmtId="170" fontId="17" fillId="0" borderId="91" xfId="29" applyNumberFormat="1" applyFont="1" applyBorder="1" applyAlignment="1" applyProtection="1">
      <alignment horizontal="center"/>
      <protection locked="0"/>
    </xf>
    <xf numFmtId="0" fontId="14" fillId="0" borderId="0" xfId="46" applyFont="1" applyFill="1" applyBorder="1" applyAlignment="1" applyProtection="1">
      <alignment horizontal="left" vertical="top" wrapText="1"/>
      <protection locked="0"/>
    </xf>
    <xf numFmtId="0" fontId="17" fillId="0" borderId="0" xfId="46" applyFont="1" applyAlignment="1" applyProtection="1">
      <alignment horizontal="center" vertical="top"/>
      <protection locked="0"/>
    </xf>
    <xf numFmtId="0" fontId="14" fillId="0" borderId="0" xfId="46" applyFont="1" applyAlignment="1" applyProtection="1">
      <alignment wrapText="1"/>
      <protection locked="0"/>
    </xf>
    <xf numFmtId="0" fontId="17" fillId="0" borderId="0" xfId="46" applyFont="1" applyAlignment="1" applyProtection="1">
      <alignment horizontal="center" vertical="top" wrapText="1"/>
      <protection locked="0"/>
    </xf>
    <xf numFmtId="0" fontId="53" fillId="0" borderId="13" xfId="47" applyFont="1" applyBorder="1" applyAlignment="1" applyProtection="1">
      <alignment horizontal="center"/>
      <protection locked="0"/>
    </xf>
    <xf numFmtId="0" fontId="53" fillId="0" borderId="33" xfId="47" applyFont="1" applyBorder="1" applyAlignment="1" applyProtection="1">
      <alignment horizontal="center"/>
      <protection locked="0"/>
    </xf>
    <xf numFmtId="0" fontId="14" fillId="0" borderId="0" xfId="46" applyAlignment="1" applyProtection="1">
      <alignment horizontal="center"/>
      <protection locked="0"/>
    </xf>
    <xf numFmtId="0" fontId="14" fillId="0" borderId="0" xfId="46" applyAlignment="1" applyProtection="1">
      <protection locked="0"/>
    </xf>
    <xf numFmtId="0" fontId="57" fillId="0" borderId="0" xfId="47" applyFont="1" applyAlignment="1" applyProtection="1">
      <alignment horizontal="center" vertical="center"/>
      <protection locked="0"/>
    </xf>
    <xf numFmtId="0" fontId="53" fillId="0" borderId="0" xfId="47" applyFont="1" applyAlignment="1" applyProtection="1">
      <alignment horizontal="left" wrapText="1"/>
      <protection locked="0"/>
    </xf>
    <xf numFmtId="0" fontId="53" fillId="0" borderId="0" xfId="47" applyFont="1" applyAlignment="1" applyProtection="1">
      <alignment horizontal="left" vertical="center" wrapText="1"/>
      <protection locked="0"/>
    </xf>
    <xf numFmtId="0" fontId="53" fillId="0" borderId="82" xfId="47" applyFont="1" applyBorder="1" applyAlignment="1" applyProtection="1">
      <alignment horizontal="center"/>
      <protection locked="0"/>
    </xf>
    <xf numFmtId="0" fontId="53" fillId="0" borderId="18" xfId="47" applyFont="1" applyBorder="1" applyAlignment="1" applyProtection="1">
      <alignment horizontal="center"/>
      <protection locked="0"/>
    </xf>
    <xf numFmtId="0" fontId="53" fillId="0" borderId="12" xfId="47" applyFont="1" applyBorder="1" applyAlignment="1" applyProtection="1">
      <alignment horizontal="center"/>
      <protection locked="0"/>
    </xf>
    <xf numFmtId="0" fontId="53" fillId="0" borderId="16" xfId="47" applyFont="1" applyBorder="1" applyAlignment="1" applyProtection="1">
      <alignment horizontal="center"/>
      <protection locked="0"/>
    </xf>
    <xf numFmtId="0" fontId="57" fillId="0" borderId="0" xfId="47" applyFont="1" applyAlignment="1" applyProtection="1">
      <alignment horizontal="right" wrapText="1"/>
      <protection locked="0"/>
    </xf>
    <xf numFmtId="171" fontId="53" fillId="29" borderId="123" xfId="28" applyNumberFormat="1" applyFont="1" applyFill="1" applyBorder="1" applyAlignment="1" applyProtection="1">
      <alignment horizontal="center"/>
      <protection locked="0"/>
    </xf>
    <xf numFmtId="171" fontId="53" fillId="29" borderId="99" xfId="28" applyNumberFormat="1" applyFont="1" applyFill="1" applyBorder="1" applyAlignment="1" applyProtection="1">
      <alignment horizontal="center"/>
      <protection locked="0"/>
    </xf>
    <xf numFmtId="0" fontId="53" fillId="0" borderId="0" xfId="47" applyFont="1" applyAlignment="1" applyProtection="1">
      <alignment horizontal="left" vertical="top" wrapText="1"/>
      <protection locked="0"/>
    </xf>
    <xf numFmtId="0" fontId="17" fillId="0" borderId="0" xfId="46" applyFont="1" applyAlignment="1" applyProtection="1">
      <alignment horizontal="left" vertical="center" wrapText="1"/>
      <protection locked="0"/>
    </xf>
    <xf numFmtId="0" fontId="53" fillId="0" borderId="74" xfId="47" applyFont="1" applyBorder="1" applyAlignment="1" applyProtection="1">
      <alignment horizontal="center"/>
      <protection locked="0"/>
    </xf>
    <xf numFmtId="0" fontId="53" fillId="0" borderId="105" xfId="47" applyFont="1" applyBorder="1" applyAlignment="1" applyProtection="1">
      <alignment horizontal="center"/>
      <protection locked="0"/>
    </xf>
    <xf numFmtId="0" fontId="53" fillId="0" borderId="76" xfId="47" applyFont="1" applyBorder="1" applyAlignment="1" applyProtection="1">
      <alignment horizontal="center"/>
      <protection locked="0"/>
    </xf>
    <xf numFmtId="0" fontId="14" fillId="0" borderId="0" xfId="0" applyFont="1" applyAlignment="1" applyProtection="1">
      <alignment horizontal="left" vertical="top"/>
    </xf>
    <xf numFmtId="0" fontId="14" fillId="0" borderId="0" xfId="0" applyFont="1" applyAlignment="1" applyProtection="1">
      <alignment horizontal="left" vertical="top" indent="2"/>
    </xf>
    <xf numFmtId="0" fontId="17" fillId="0" borderId="86" xfId="0" applyFont="1" applyBorder="1" applyAlignment="1" applyProtection="1">
      <alignment horizontal="center"/>
    </xf>
    <xf numFmtId="0" fontId="17" fillId="0" borderId="22" xfId="0" applyFont="1" applyBorder="1" applyAlignment="1" applyProtection="1">
      <alignment horizontal="center"/>
    </xf>
    <xf numFmtId="0" fontId="53" fillId="0" borderId="0" xfId="0" applyFont="1" applyBorder="1" applyAlignment="1" applyProtection="1">
      <alignment horizontal="left"/>
    </xf>
    <xf numFmtId="0" fontId="14" fillId="0" borderId="0" xfId="0" applyFont="1" applyFill="1" applyBorder="1" applyAlignment="1" applyProtection="1"/>
    <xf numFmtId="0" fontId="17" fillId="0" borderId="86" xfId="0" applyFont="1" applyBorder="1" applyAlignment="1" applyProtection="1">
      <alignment horizontal="center" vertical="center"/>
    </xf>
    <xf numFmtId="0" fontId="17" fillId="0" borderId="64" xfId="0" applyFont="1" applyBorder="1" applyAlignment="1" applyProtection="1">
      <alignment horizontal="center" vertical="center"/>
    </xf>
    <xf numFmtId="0" fontId="17" fillId="0" borderId="22" xfId="0" applyFont="1" applyBorder="1" applyAlignment="1" applyProtection="1">
      <alignment horizontal="center" vertical="center"/>
    </xf>
    <xf numFmtId="0" fontId="17" fillId="0" borderId="64" xfId="0" applyFont="1" applyBorder="1" applyAlignment="1" applyProtection="1">
      <alignment horizontal="center"/>
    </xf>
    <xf numFmtId="0" fontId="21" fillId="0" borderId="0" xfId="46" applyFont="1" applyAlignment="1" applyProtection="1">
      <alignment horizontal="center" vertical="center" wrapText="1"/>
    </xf>
    <xf numFmtId="9" fontId="103" fillId="0" borderId="0" xfId="28" applyNumberFormat="1" applyFont="1" applyFill="1" applyBorder="1" applyAlignment="1" applyProtection="1">
      <alignment horizontal="left" vertical="top"/>
    </xf>
    <xf numFmtId="0" fontId="14" fillId="0" borderId="0" xfId="0" applyFont="1" applyAlignment="1" applyProtection="1">
      <alignment horizontal="left"/>
    </xf>
    <xf numFmtId="0" fontId="0" fillId="0" borderId="0" xfId="0" applyFill="1" applyBorder="1" applyAlignment="1" applyProtection="1"/>
    <xf numFmtId="9" fontId="103" fillId="0" borderId="0" xfId="28" applyNumberFormat="1" applyFont="1" applyFill="1" applyBorder="1" applyAlignment="1" applyProtection="1">
      <alignment horizontal="left"/>
    </xf>
    <xf numFmtId="9" fontId="103" fillId="0" borderId="0" xfId="28" applyNumberFormat="1" applyFont="1" applyFill="1" applyBorder="1" applyAlignment="1" applyProtection="1">
      <alignment horizontal="left" vertical="center" wrapText="1"/>
    </xf>
    <xf numFmtId="0" fontId="11" fillId="70" borderId="22" xfId="93" applyFill="1" applyBorder="1" applyAlignment="1" applyProtection="1">
      <alignment horizontal="center"/>
      <protection locked="0"/>
    </xf>
    <xf numFmtId="0" fontId="11" fillId="70" borderId="44" xfId="93" applyFill="1" applyBorder="1" applyAlignment="1" applyProtection="1">
      <alignment horizontal="center"/>
      <protection locked="0"/>
    </xf>
    <xf numFmtId="0" fontId="47" fillId="0" borderId="42" xfId="93" applyFont="1" applyBorder="1" applyAlignment="1" applyProtection="1">
      <alignment horizontal="center" vertical="center"/>
      <protection locked="0"/>
    </xf>
    <xf numFmtId="0" fontId="47" fillId="0" borderId="124" xfId="93" applyFont="1" applyBorder="1" applyAlignment="1" applyProtection="1">
      <alignment horizontal="center" vertical="center"/>
      <protection locked="0"/>
    </xf>
    <xf numFmtId="0" fontId="17" fillId="0" borderId="86" xfId="93" applyFont="1" applyBorder="1" applyAlignment="1" applyProtection="1">
      <alignment horizontal="center" vertical="center"/>
      <protection locked="0"/>
    </xf>
    <xf numFmtId="0" fontId="17" fillId="0" borderId="64" xfId="93" applyFont="1" applyBorder="1" applyAlignment="1" applyProtection="1">
      <alignment horizontal="center" vertical="center"/>
      <protection locked="0"/>
    </xf>
    <xf numFmtId="0" fontId="17" fillId="0" borderId="129" xfId="93" applyFont="1" applyBorder="1" applyAlignment="1" applyProtection="1">
      <alignment horizontal="center" vertical="center"/>
      <protection locked="0"/>
    </xf>
    <xf numFmtId="0" fontId="17" fillId="0" borderId="22" xfId="93" applyFont="1" applyBorder="1" applyAlignment="1" applyProtection="1">
      <alignment horizontal="center" vertical="center"/>
      <protection locked="0"/>
    </xf>
    <xf numFmtId="0" fontId="16" fillId="0" borderId="0" xfId="46" applyFont="1" applyAlignment="1" applyProtection="1">
      <alignment horizontal="left" vertical="top"/>
      <protection locked="0"/>
    </xf>
    <xf numFmtId="0" fontId="16" fillId="29" borderId="0" xfId="0" applyFont="1" applyFill="1" applyBorder="1" applyAlignment="1" applyProtection="1">
      <alignment horizontal="left" vertical="top"/>
      <protection locked="0"/>
    </xf>
    <xf numFmtId="0" fontId="16" fillId="29" borderId="0" xfId="0" applyFont="1" applyFill="1" applyAlignment="1" applyProtection="1">
      <alignment horizontal="left" vertical="top"/>
      <protection locked="0"/>
    </xf>
    <xf numFmtId="0" fontId="47" fillId="0" borderId="86" xfId="93" applyFont="1" applyBorder="1" applyAlignment="1" applyProtection="1">
      <alignment horizontal="left" vertical="center" wrapText="1"/>
      <protection locked="0"/>
    </xf>
    <xf numFmtId="0" fontId="47" fillId="0" borderId="64" xfId="93" applyFont="1" applyBorder="1" applyAlignment="1" applyProtection="1">
      <alignment horizontal="left" vertical="center" wrapText="1"/>
      <protection locked="0"/>
    </xf>
    <xf numFmtId="0" fontId="47" fillId="0" borderId="22" xfId="93" applyFont="1" applyBorder="1" applyAlignment="1" applyProtection="1">
      <alignment horizontal="left" vertical="center" wrapText="1"/>
      <protection locked="0"/>
    </xf>
    <xf numFmtId="0" fontId="11" fillId="70" borderId="31" xfId="93" applyFill="1" applyBorder="1" applyAlignment="1" applyProtection="1">
      <alignment horizontal="center"/>
      <protection locked="0"/>
    </xf>
    <xf numFmtId="0" fontId="11" fillId="70" borderId="41" xfId="93" applyFill="1" applyBorder="1" applyAlignment="1" applyProtection="1">
      <alignment horizontal="center"/>
      <protection locked="0"/>
    </xf>
    <xf numFmtId="0" fontId="76" fillId="0" borderId="30" xfId="0" applyFont="1" applyBorder="1" applyAlignment="1" applyProtection="1">
      <alignment horizontal="center"/>
      <protection locked="0"/>
    </xf>
    <xf numFmtId="0" fontId="19" fillId="0" borderId="0" xfId="46" applyFont="1" applyAlignment="1" applyProtection="1">
      <alignment horizontal="center"/>
      <protection locked="0"/>
    </xf>
    <xf numFmtId="0" fontId="60" fillId="0" borderId="0" xfId="93" applyFont="1" applyAlignment="1" applyProtection="1">
      <alignment horizontal="left"/>
      <protection locked="0"/>
    </xf>
    <xf numFmtId="169" fontId="12" fillId="0" borderId="74" xfId="90" applyNumberFormat="1" applyBorder="1" applyAlignment="1" applyProtection="1">
      <alignment horizontal="center" vertical="center"/>
      <protection locked="0"/>
    </xf>
    <xf numFmtId="169" fontId="12" fillId="0" borderId="33" xfId="90" applyNumberFormat="1" applyBorder="1" applyAlignment="1" applyProtection="1">
      <alignment horizontal="center" vertical="center"/>
      <protection locked="0"/>
    </xf>
    <xf numFmtId="0" fontId="47" fillId="0" borderId="86" xfId="93" applyFont="1" applyBorder="1" applyAlignment="1" applyProtection="1">
      <alignment horizontal="center" vertical="center" wrapText="1"/>
      <protection locked="0"/>
    </xf>
    <xf numFmtId="0" fontId="47" fillId="0" borderId="22" xfId="93" applyFont="1" applyBorder="1" applyAlignment="1" applyProtection="1">
      <alignment horizontal="center" vertical="center" wrapText="1"/>
      <protection locked="0"/>
    </xf>
    <xf numFmtId="169" fontId="12" fillId="0" borderId="78" xfId="90" applyNumberFormat="1" applyBorder="1" applyAlignment="1" applyProtection="1">
      <alignment horizontal="center" vertical="center"/>
      <protection locked="0"/>
    </xf>
    <xf numFmtId="169" fontId="12" fillId="0" borderId="49" xfId="90" applyNumberFormat="1" applyBorder="1" applyAlignment="1" applyProtection="1">
      <alignment horizontal="center" vertical="center"/>
      <protection locked="0"/>
    </xf>
    <xf numFmtId="169" fontId="12" fillId="0" borderId="79" xfId="90" applyNumberFormat="1" applyBorder="1" applyAlignment="1" applyProtection="1">
      <alignment horizontal="center" vertical="center"/>
      <protection locked="0"/>
    </xf>
    <xf numFmtId="169" fontId="12" fillId="0" borderId="80" xfId="90" applyNumberFormat="1" applyBorder="1" applyAlignment="1" applyProtection="1">
      <alignment horizontal="center" vertical="center"/>
      <protection locked="0"/>
    </xf>
    <xf numFmtId="0" fontId="76" fillId="0" borderId="48" xfId="90" applyFont="1" applyBorder="1" applyAlignment="1" applyProtection="1">
      <alignment horizontal="left" vertical="center"/>
      <protection locked="0"/>
    </xf>
    <xf numFmtId="0" fontId="76" fillId="0" borderId="87" xfId="90" applyFont="1" applyBorder="1" applyAlignment="1" applyProtection="1">
      <alignment horizontal="left" vertical="center"/>
      <protection locked="0"/>
    </xf>
    <xf numFmtId="0" fontId="76" fillId="0" borderId="49" xfId="90" applyFont="1" applyBorder="1" applyAlignment="1" applyProtection="1">
      <alignment horizontal="left" vertical="center"/>
      <protection locked="0"/>
    </xf>
    <xf numFmtId="0" fontId="76" fillId="0" borderId="53" xfId="90" applyFont="1" applyBorder="1" applyAlignment="1" applyProtection="1">
      <alignment horizontal="left" vertical="center"/>
      <protection locked="0"/>
    </xf>
    <xf numFmtId="0" fontId="76" fillId="0" borderId="13" xfId="90" applyFont="1" applyBorder="1" applyAlignment="1" applyProtection="1">
      <alignment horizontal="left" vertical="center"/>
      <protection locked="0"/>
    </xf>
    <xf numFmtId="0" fontId="76" fillId="0" borderId="33" xfId="90" applyFont="1" applyBorder="1" applyAlignment="1" applyProtection="1">
      <alignment horizontal="left" vertical="center"/>
      <protection locked="0"/>
    </xf>
    <xf numFmtId="0" fontId="76" fillId="0" borderId="90" xfId="90" applyFont="1" applyBorder="1" applyAlignment="1" applyProtection="1">
      <alignment horizontal="left" vertical="center"/>
      <protection locked="0"/>
    </xf>
    <xf numFmtId="0" fontId="76" fillId="0" borderId="102" xfId="90" applyFont="1" applyBorder="1" applyAlignment="1" applyProtection="1">
      <alignment horizontal="left" vertical="center"/>
      <protection locked="0"/>
    </xf>
    <xf numFmtId="0" fontId="76" fillId="0" borderId="80" xfId="90" applyFont="1" applyBorder="1" applyAlignment="1" applyProtection="1">
      <alignment horizontal="left" vertical="center"/>
      <protection locked="0"/>
    </xf>
    <xf numFmtId="0" fontId="17" fillId="0" borderId="71" xfId="0" applyFont="1" applyBorder="1" applyAlignment="1" applyProtection="1">
      <alignment horizontal="left"/>
    </xf>
    <xf numFmtId="0" fontId="17" fillId="0" borderId="36" xfId="0" applyFont="1" applyBorder="1" applyAlignment="1" applyProtection="1">
      <alignment horizontal="left"/>
    </xf>
    <xf numFmtId="0" fontId="17" fillId="0" borderId="38" xfId="0" applyFont="1" applyBorder="1" applyAlignment="1" applyProtection="1">
      <alignment horizontal="left"/>
    </xf>
    <xf numFmtId="0" fontId="17" fillId="0" borderId="34" xfId="0" applyFont="1" applyBorder="1" applyAlignment="1" applyProtection="1">
      <alignment horizontal="left"/>
    </xf>
    <xf numFmtId="0" fontId="17" fillId="0" borderId="27" xfId="0" applyFont="1" applyBorder="1" applyAlignment="1" applyProtection="1">
      <alignment horizontal="left"/>
    </xf>
    <xf numFmtId="0" fontId="17" fillId="0" borderId="10" xfId="0" applyFont="1" applyBorder="1" applyAlignment="1" applyProtection="1">
      <alignment horizontal="left"/>
    </xf>
    <xf numFmtId="0" fontId="20" fillId="0" borderId="0" xfId="0" applyFont="1" applyAlignment="1" applyProtection="1">
      <alignment horizontal="left"/>
    </xf>
    <xf numFmtId="0" fontId="0" fillId="26" borderId="27" xfId="0" applyFill="1" applyBorder="1" applyAlignment="1" applyProtection="1">
      <alignment horizontal="center"/>
    </xf>
    <xf numFmtId="0" fontId="0" fillId="26" borderId="10" xfId="0" applyFill="1" applyBorder="1" applyAlignment="1" applyProtection="1">
      <alignment horizontal="center"/>
    </xf>
    <xf numFmtId="0" fontId="0" fillId="26" borderId="74" xfId="0" applyFill="1" applyBorder="1" applyAlignment="1" applyProtection="1">
      <alignment horizontal="center"/>
    </xf>
    <xf numFmtId="0" fontId="0" fillId="26" borderId="25" xfId="0" applyFill="1" applyBorder="1" applyAlignment="1" applyProtection="1">
      <alignment horizontal="center"/>
    </xf>
    <xf numFmtId="0" fontId="14" fillId="0" borderId="0" xfId="0" applyFont="1" applyAlignment="1" applyProtection="1">
      <alignment horizontal="left" vertical="center" wrapText="1"/>
    </xf>
    <xf numFmtId="0" fontId="0" fillId="0" borderId="0" xfId="0" applyAlignment="1" applyProtection="1">
      <alignment horizontal="left" vertical="center" wrapText="1"/>
    </xf>
    <xf numFmtId="0" fontId="0" fillId="29" borderId="52" xfId="0" applyFill="1" applyBorder="1" applyAlignment="1" applyProtection="1">
      <alignment horizontal="left"/>
      <protection locked="0"/>
    </xf>
    <xf numFmtId="0" fontId="0" fillId="29" borderId="16" xfId="0" applyFill="1" applyBorder="1" applyAlignment="1" applyProtection="1">
      <alignment horizontal="left"/>
      <protection locked="0"/>
    </xf>
    <xf numFmtId="0" fontId="46" fillId="0" borderId="0" xfId="0" applyFont="1" applyAlignment="1" applyProtection="1">
      <alignment wrapText="1"/>
    </xf>
    <xf numFmtId="0" fontId="17" fillId="0" borderId="52" xfId="0" applyFont="1" applyBorder="1" applyAlignment="1" applyProtection="1">
      <alignment horizontal="left"/>
    </xf>
    <xf numFmtId="0" fontId="17" fillId="0" borderId="16" xfId="0" applyFont="1" applyBorder="1" applyAlignment="1" applyProtection="1">
      <alignment horizontal="left"/>
    </xf>
    <xf numFmtId="0" fontId="17" fillId="0" borderId="46" xfId="0" applyFont="1" applyBorder="1" applyAlignment="1" applyProtection="1">
      <alignment horizontal="left"/>
    </xf>
    <xf numFmtId="0" fontId="17" fillId="0" borderId="39" xfId="0" applyFont="1" applyBorder="1" applyAlignment="1" applyProtection="1">
      <alignment horizontal="left"/>
    </xf>
    <xf numFmtId="0" fontId="0" fillId="29" borderId="53" xfId="0" applyFill="1" applyBorder="1" applyAlignment="1" applyProtection="1">
      <alignment horizontal="left"/>
      <protection locked="0"/>
    </xf>
    <xf numFmtId="0" fontId="0" fillId="29" borderId="33" xfId="0" applyFill="1" applyBorder="1" applyAlignment="1" applyProtection="1">
      <alignment horizontal="left"/>
      <protection locked="0"/>
    </xf>
    <xf numFmtId="0" fontId="0" fillId="29" borderId="10" xfId="0" applyFill="1" applyBorder="1" applyAlignment="1" applyProtection="1">
      <alignment horizontal="left"/>
      <protection locked="0"/>
    </xf>
    <xf numFmtId="0" fontId="17" fillId="0" borderId="52" xfId="0" applyFont="1" applyBorder="1" applyAlignment="1" applyProtection="1">
      <alignment horizontal="left"/>
      <protection locked="0"/>
    </xf>
    <xf numFmtId="0" fontId="17" fillId="0" borderId="16" xfId="0" applyFont="1" applyBorder="1" applyAlignment="1" applyProtection="1">
      <alignment horizontal="left"/>
      <protection locked="0"/>
    </xf>
    <xf numFmtId="0" fontId="0" fillId="29" borderId="74" xfId="0" applyFill="1" applyBorder="1" applyAlignment="1" applyProtection="1">
      <alignment horizontal="center"/>
      <protection locked="0"/>
    </xf>
    <xf numFmtId="0" fontId="0" fillId="29" borderId="33" xfId="0" applyFill="1" applyBorder="1" applyAlignment="1" applyProtection="1">
      <alignment horizontal="center"/>
      <protection locked="0"/>
    </xf>
    <xf numFmtId="0" fontId="49" fillId="0" borderId="0" xfId="0" applyFont="1" applyAlignment="1" applyProtection="1">
      <alignment horizontal="left" vertical="top" wrapText="1"/>
    </xf>
    <xf numFmtId="0" fontId="117" fillId="73" borderId="47" xfId="130" applyFont="1" applyFill="1" applyBorder="1" applyAlignment="1" applyProtection="1">
      <alignment horizontal="center" vertical="top"/>
      <protection locked="0"/>
    </xf>
    <xf numFmtId="0" fontId="117" fillId="73" borderId="0" xfId="130" applyFont="1" applyFill="1" applyBorder="1" applyAlignment="1" applyProtection="1">
      <alignment horizontal="center" vertical="top"/>
      <protection locked="0"/>
    </xf>
    <xf numFmtId="0" fontId="117" fillId="73" borderId="29" xfId="130" applyFont="1" applyFill="1" applyBorder="1" applyAlignment="1" applyProtection="1">
      <alignment horizontal="center" vertical="top"/>
      <protection locked="0"/>
    </xf>
    <xf numFmtId="0" fontId="117" fillId="73" borderId="53" xfId="130" applyFont="1" applyFill="1" applyBorder="1" applyAlignment="1" applyProtection="1">
      <alignment horizontal="center" vertical="center"/>
      <protection locked="0"/>
    </xf>
    <xf numFmtId="0" fontId="117" fillId="73" borderId="13" xfId="130" applyFont="1" applyFill="1" applyBorder="1" applyAlignment="1" applyProtection="1">
      <alignment horizontal="center" vertical="center"/>
      <protection locked="0"/>
    </xf>
    <xf numFmtId="0" fontId="117" fillId="73" borderId="50" xfId="130" applyFont="1" applyFill="1" applyBorder="1" applyAlignment="1" applyProtection="1">
      <alignment horizontal="center" vertical="center"/>
      <protection locked="0"/>
    </xf>
    <xf numFmtId="0" fontId="115" fillId="0" borderId="0" xfId="130" applyFont="1" applyFill="1" applyBorder="1" applyAlignment="1" applyProtection="1">
      <alignment horizontal="left" vertical="top" wrapText="1"/>
      <protection locked="0"/>
    </xf>
    <xf numFmtId="0" fontId="123" fillId="0" borderId="0" xfId="130" applyFont="1" applyFill="1" applyBorder="1" applyAlignment="1" applyProtection="1">
      <alignment horizontal="center" vertical="top" wrapText="1"/>
      <protection locked="0"/>
    </xf>
    <xf numFmtId="0" fontId="111" fillId="0" borderId="0" xfId="130" applyFont="1" applyFill="1" applyBorder="1" applyAlignment="1" applyProtection="1">
      <alignment horizontal="left" vertical="top" wrapText="1"/>
      <protection locked="0"/>
    </xf>
    <xf numFmtId="0" fontId="115" fillId="0" borderId="70" xfId="130" applyFont="1" applyFill="1" applyBorder="1" applyAlignment="1" applyProtection="1">
      <alignment horizontal="center" wrapText="1"/>
      <protection locked="0"/>
    </xf>
    <xf numFmtId="0" fontId="117" fillId="0" borderId="0" xfId="130" applyFont="1" applyFill="1" applyBorder="1" applyAlignment="1" applyProtection="1">
      <alignment horizontal="left" vertical="top" wrapText="1"/>
      <protection locked="0"/>
    </xf>
    <xf numFmtId="0" fontId="123" fillId="0" borderId="0" xfId="130" applyFont="1" applyFill="1" applyBorder="1" applyAlignment="1" applyProtection="1">
      <alignment horizontal="center"/>
      <protection locked="0"/>
    </xf>
    <xf numFmtId="0" fontId="14" fillId="0" borderId="0" xfId="130" applyFont="1" applyFill="1" applyBorder="1" applyAlignment="1" applyProtection="1">
      <alignment horizontal="left" vertical="top" wrapText="1"/>
      <protection locked="0"/>
    </xf>
    <xf numFmtId="0" fontId="119" fillId="0" borderId="0" xfId="130" applyFont="1" applyFill="1" applyBorder="1" applyAlignment="1" applyProtection="1">
      <alignment horizontal="center" vertical="top" wrapText="1"/>
      <protection locked="0"/>
    </xf>
    <xf numFmtId="0" fontId="54" fillId="0" borderId="0" xfId="130" applyFont="1" applyFill="1" applyBorder="1" applyAlignment="1" applyProtection="1">
      <alignment horizontal="left" vertical="top" wrapText="1"/>
      <protection locked="0"/>
    </xf>
    <xf numFmtId="0" fontId="117" fillId="72" borderId="69" xfId="130" applyFont="1" applyFill="1" applyBorder="1" applyAlignment="1" applyProtection="1">
      <alignment horizontal="center" vertical="top"/>
      <protection locked="0"/>
    </xf>
    <xf numFmtId="0" fontId="117" fillId="72" borderId="70" xfId="130" applyFont="1" applyFill="1" applyBorder="1" applyAlignment="1" applyProtection="1">
      <alignment horizontal="center" vertical="top"/>
      <protection locked="0"/>
    </xf>
    <xf numFmtId="0" fontId="117" fillId="72" borderId="45" xfId="130" applyFont="1" applyFill="1" applyBorder="1" applyAlignment="1" applyProtection="1">
      <alignment horizontal="center" vertical="top"/>
      <protection locked="0"/>
    </xf>
    <xf numFmtId="178" fontId="111" fillId="71" borderId="47" xfId="131" applyNumberFormat="1" applyFont="1" applyFill="1" applyBorder="1" applyAlignment="1" applyProtection="1">
      <alignment horizontal="center" vertical="top"/>
      <protection locked="0"/>
    </xf>
    <xf numFmtId="178" fontId="111" fillId="71" borderId="0" xfId="131" applyNumberFormat="1" applyFont="1" applyFill="1" applyBorder="1" applyAlignment="1" applyProtection="1">
      <alignment horizontal="center" vertical="top"/>
      <protection locked="0"/>
    </xf>
    <xf numFmtId="178" fontId="111" fillId="71" borderId="29" xfId="131" applyNumberFormat="1" applyFont="1" applyFill="1" applyBorder="1" applyAlignment="1" applyProtection="1">
      <alignment horizontal="center" vertical="top"/>
      <protection locked="0"/>
    </xf>
    <xf numFmtId="0" fontId="116" fillId="0" borderId="0" xfId="130" applyFont="1" applyFill="1" applyBorder="1" applyAlignment="1" applyProtection="1">
      <alignment horizontal="center" vertical="top"/>
      <protection locked="0"/>
    </xf>
    <xf numFmtId="0" fontId="21" fillId="0" borderId="0" xfId="46" applyFont="1" applyFill="1" applyBorder="1" applyAlignment="1" applyProtection="1">
      <alignment horizontal="center"/>
      <protection locked="0"/>
    </xf>
    <xf numFmtId="0" fontId="126" fillId="0" borderId="0" xfId="130" applyFont="1" applyFill="1" applyBorder="1" applyAlignment="1" applyProtection="1">
      <alignment horizontal="left" vertical="top" wrapText="1"/>
      <protection locked="0"/>
    </xf>
    <xf numFmtId="0" fontId="117" fillId="73" borderId="69" xfId="130" applyFont="1" applyFill="1" applyBorder="1" applyAlignment="1" applyProtection="1">
      <alignment horizontal="center"/>
      <protection locked="0"/>
    </xf>
    <xf numFmtId="0" fontId="117" fillId="73" borderId="70" xfId="130" applyFont="1" applyFill="1" applyBorder="1" applyAlignment="1" applyProtection="1">
      <alignment horizontal="center"/>
      <protection locked="0"/>
    </xf>
    <xf numFmtId="0" fontId="117" fillId="73" borderId="45" xfId="130" applyFont="1" applyFill="1" applyBorder="1" applyAlignment="1" applyProtection="1">
      <alignment horizontal="center"/>
      <protection locked="0"/>
    </xf>
    <xf numFmtId="0" fontId="117" fillId="73" borderId="47" xfId="130" applyFont="1" applyFill="1" applyBorder="1" applyAlignment="1" applyProtection="1">
      <alignment horizontal="left" vertical="center"/>
      <protection locked="0"/>
    </xf>
    <xf numFmtId="0" fontId="117" fillId="73" borderId="0" xfId="130" applyFont="1" applyFill="1" applyBorder="1" applyAlignment="1" applyProtection="1">
      <alignment horizontal="left" vertical="center"/>
      <protection locked="0"/>
    </xf>
    <xf numFmtId="0" fontId="14" fillId="73" borderId="52" xfId="130" applyFont="1" applyFill="1" applyBorder="1" applyAlignment="1" applyProtection="1">
      <alignment vertical="top" wrapText="1"/>
      <protection locked="0"/>
    </xf>
    <xf numFmtId="0" fontId="115" fillId="73" borderId="12" xfId="130" applyFont="1" applyFill="1" applyBorder="1" applyAlignment="1" applyProtection="1">
      <alignment vertical="top" wrapText="1"/>
      <protection locked="0"/>
    </xf>
    <xf numFmtId="0" fontId="119" fillId="0" borderId="46" xfId="130" applyFont="1" applyFill="1" applyBorder="1" applyAlignment="1" applyProtection="1">
      <alignment vertical="top" wrapText="1"/>
      <protection locked="0"/>
    </xf>
    <xf numFmtId="0" fontId="119" fillId="0" borderId="30" xfId="130" applyFont="1" applyFill="1" applyBorder="1" applyAlignment="1" applyProtection="1">
      <alignment vertical="top" wrapText="1"/>
      <protection locked="0"/>
    </xf>
    <xf numFmtId="0" fontId="111" fillId="0" borderId="0" xfId="0" applyFont="1" applyAlignment="1" applyProtection="1">
      <alignment horizontal="left" vertical="top" wrapText="1"/>
    </xf>
    <xf numFmtId="0" fontId="17" fillId="0" borderId="48" xfId="0" applyFont="1" applyBorder="1" applyAlignment="1" applyProtection="1">
      <alignment horizontal="center" vertical="top" wrapText="1"/>
    </xf>
    <xf numFmtId="0" fontId="17" fillId="0" borderId="87" xfId="0" applyFont="1" applyBorder="1" applyAlignment="1" applyProtection="1">
      <alignment horizontal="center" vertical="top" wrapText="1"/>
    </xf>
    <xf numFmtId="0" fontId="17" fillId="0" borderId="147" xfId="0" applyFont="1" applyBorder="1" applyAlignment="1" applyProtection="1">
      <alignment horizontal="center" vertical="top" wrapText="1"/>
    </xf>
    <xf numFmtId="0" fontId="17" fillId="0" borderId="74" xfId="0" applyFont="1" applyBorder="1" applyAlignment="1" applyProtection="1">
      <alignment horizontal="center" vertical="top" wrapText="1"/>
    </xf>
    <xf numFmtId="0" fontId="17" fillId="0" borderId="13" xfId="0" applyFont="1" applyBorder="1" applyAlignment="1" applyProtection="1">
      <alignment horizontal="center" vertical="top" wrapText="1"/>
    </xf>
    <xf numFmtId="0" fontId="17" fillId="0" borderId="33" xfId="0" applyFont="1" applyBorder="1" applyAlignment="1" applyProtection="1">
      <alignment horizontal="center" vertical="top" wrapText="1"/>
    </xf>
    <xf numFmtId="0" fontId="17" fillId="0" borderId="30" xfId="0" applyFont="1" applyBorder="1" applyAlignment="1" applyProtection="1">
      <alignment horizontal="center" vertical="center"/>
    </xf>
    <xf numFmtId="0" fontId="17" fillId="0" borderId="31" xfId="0" applyFont="1" applyBorder="1" applyAlignment="1" applyProtection="1">
      <alignment horizontal="center" vertical="center"/>
    </xf>
    <xf numFmtId="0" fontId="17" fillId="0" borderId="30" xfId="0" applyFont="1" applyBorder="1" applyAlignment="1" applyProtection="1">
      <alignment horizontal="center" vertical="center" wrapText="1"/>
    </xf>
    <xf numFmtId="0" fontId="17" fillId="0" borderId="31" xfId="0" applyFont="1" applyBorder="1" applyAlignment="1" applyProtection="1">
      <alignment horizontal="center" vertical="center" wrapText="1"/>
    </xf>
    <xf numFmtId="0" fontId="17" fillId="0" borderId="48" xfId="0" applyFont="1" applyBorder="1" applyAlignment="1" applyProtection="1">
      <alignment horizontal="center"/>
    </xf>
    <xf numFmtId="0" fontId="17" fillId="0" borderId="147" xfId="0" applyFont="1" applyBorder="1" applyAlignment="1" applyProtection="1">
      <alignment horizontal="center"/>
    </xf>
    <xf numFmtId="0" fontId="21" fillId="0" borderId="0" xfId="46" applyFont="1" applyAlignment="1" applyProtection="1">
      <alignment horizontal="center" vertical="top" wrapText="1"/>
    </xf>
    <xf numFmtId="0" fontId="17" fillId="0" borderId="46" xfId="0" applyFont="1" applyBorder="1" applyAlignment="1">
      <alignment horizontal="center"/>
    </xf>
    <xf numFmtId="0" fontId="17" fillId="0" borderId="30" xfId="0" applyFont="1" applyBorder="1" applyAlignment="1">
      <alignment horizontal="center"/>
    </xf>
    <xf numFmtId="0" fontId="17" fillId="0" borderId="64" xfId="0" applyFont="1" applyBorder="1" applyAlignment="1">
      <alignment horizontal="center" vertical="center"/>
    </xf>
    <xf numFmtId="0" fontId="17" fillId="0" borderId="31" xfId="0" applyFont="1" applyBorder="1" applyAlignment="1">
      <alignment horizontal="center"/>
    </xf>
    <xf numFmtId="0" fontId="17" fillId="0" borderId="69" xfId="0" applyFont="1" applyFill="1" applyBorder="1" applyAlignment="1">
      <alignment horizontal="center" wrapText="1"/>
    </xf>
    <xf numFmtId="0" fontId="17" fillId="0" borderId="70" xfId="0" applyFont="1" applyFill="1" applyBorder="1" applyAlignment="1">
      <alignment horizontal="center" wrapText="1"/>
    </xf>
    <xf numFmtId="0" fontId="17" fillId="0" borderId="45" xfId="0" applyFont="1" applyFill="1" applyBorder="1" applyAlignment="1">
      <alignment horizontal="center" wrapText="1"/>
    </xf>
    <xf numFmtId="0" fontId="17" fillId="0" borderId="48" xfId="0" applyFont="1" applyBorder="1" applyAlignment="1">
      <alignment horizontal="center" vertical="top" wrapText="1"/>
    </xf>
    <xf numFmtId="0" fontId="17" fillId="0" borderId="87" xfId="0" applyFont="1" applyBorder="1" applyAlignment="1">
      <alignment horizontal="center" vertical="top" wrapText="1"/>
    </xf>
    <xf numFmtId="0" fontId="17" fillId="0" borderId="147" xfId="0" applyFont="1" applyBorder="1" applyAlignment="1">
      <alignment horizontal="center" vertical="top" wrapText="1"/>
    </xf>
    <xf numFmtId="0" fontId="17" fillId="0" borderId="48" xfId="0" applyFont="1" applyBorder="1" applyAlignment="1">
      <alignment horizontal="center"/>
    </xf>
    <xf numFmtId="0" fontId="17" fillId="0" borderId="87" xfId="0" applyFont="1" applyBorder="1" applyAlignment="1">
      <alignment horizontal="center"/>
    </xf>
    <xf numFmtId="0" fontId="17" fillId="0" borderId="147" xfId="0" applyFont="1" applyBorder="1" applyAlignment="1">
      <alignment horizontal="center"/>
    </xf>
    <xf numFmtId="0" fontId="14" fillId="29" borderId="86" xfId="0" applyFont="1" applyFill="1" applyBorder="1" applyAlignment="1">
      <alignment horizontal="left" vertical="top"/>
    </xf>
    <xf numFmtId="0" fontId="0" fillId="29" borderId="64" xfId="0" applyFill="1" applyBorder="1" applyAlignment="1">
      <alignment horizontal="left" vertical="top"/>
    </xf>
    <xf numFmtId="0" fontId="0" fillId="29" borderId="22" xfId="0" applyFill="1" applyBorder="1" applyAlignment="1">
      <alignment horizontal="left" vertical="top"/>
    </xf>
    <xf numFmtId="0" fontId="17" fillId="28" borderId="69" xfId="0" applyFont="1" applyFill="1" applyBorder="1" applyAlignment="1">
      <alignment horizontal="center" wrapText="1"/>
    </xf>
    <xf numFmtId="0" fontId="17" fillId="28" borderId="70" xfId="0" applyFont="1" applyFill="1" applyBorder="1" applyAlignment="1">
      <alignment horizontal="center" wrapText="1"/>
    </xf>
    <xf numFmtId="0" fontId="17" fillId="28" borderId="45" xfId="0" applyFont="1" applyFill="1" applyBorder="1" applyAlignment="1">
      <alignment horizontal="center" wrapText="1"/>
    </xf>
    <xf numFmtId="0" fontId="14" fillId="65" borderId="0" xfId="0" applyFont="1" applyFill="1" applyAlignment="1">
      <alignment horizontal="left" vertical="top" wrapText="1"/>
    </xf>
    <xf numFmtId="0" fontId="21" fillId="0" borderId="0" xfId="46" applyFont="1" applyAlignment="1" applyProtection="1">
      <alignment horizontal="center" vertical="top" wrapText="1"/>
      <protection locked="0"/>
    </xf>
    <xf numFmtId="0" fontId="111" fillId="65" borderId="0" xfId="0" applyFont="1" applyFill="1" applyAlignment="1">
      <alignment horizontal="left" vertical="top" wrapText="1"/>
    </xf>
    <xf numFmtId="0" fontId="17" fillId="0" borderId="30" xfId="0" applyFont="1" applyFill="1" applyBorder="1" applyAlignment="1">
      <alignment horizontal="center"/>
    </xf>
    <xf numFmtId="0" fontId="111" fillId="0" borderId="0" xfId="0" applyFont="1" applyAlignment="1">
      <alignment horizontal="left" vertical="top"/>
    </xf>
    <xf numFmtId="0" fontId="17" fillId="0" borderId="47" xfId="0" applyFont="1" applyBorder="1" applyAlignment="1">
      <alignment horizontal="center"/>
    </xf>
    <xf numFmtId="0" fontId="17" fillId="0" borderId="0" xfId="0" applyFont="1" applyBorder="1" applyAlignment="1">
      <alignment horizontal="center"/>
    </xf>
    <xf numFmtId="0" fontId="17" fillId="0" borderId="29" xfId="0" applyFont="1" applyBorder="1" applyAlignment="1">
      <alignment horizontal="center"/>
    </xf>
    <xf numFmtId="0" fontId="17" fillId="0" borderId="30" xfId="0" applyFont="1" applyBorder="1" applyAlignment="1" applyProtection="1">
      <alignment horizontal="center"/>
    </xf>
    <xf numFmtId="0" fontId="14" fillId="0" borderId="0" xfId="0" applyFont="1" applyFill="1" applyAlignment="1" applyProtection="1">
      <alignment horizontal="left" vertical="top" wrapText="1"/>
    </xf>
    <xf numFmtId="0" fontId="21" fillId="0" borderId="0" xfId="0" applyFont="1" applyAlignment="1" applyProtection="1">
      <alignment horizontal="center" vertical="center"/>
    </xf>
    <xf numFmtId="0" fontId="61" fillId="0" borderId="0" xfId="46" applyFont="1" applyFill="1" applyBorder="1" applyAlignment="1" applyProtection="1">
      <alignment horizontal="center" vertical="center" wrapText="1"/>
    </xf>
    <xf numFmtId="0" fontId="0" fillId="0" borderId="30" xfId="0" applyBorder="1" applyAlignment="1" applyProtection="1">
      <alignment horizontal="center"/>
    </xf>
    <xf numFmtId="0" fontId="21" fillId="0" borderId="0" xfId="0" applyFont="1" applyAlignment="1" applyProtection="1">
      <alignment horizontal="center"/>
      <protection locked="0"/>
    </xf>
    <xf numFmtId="0" fontId="0" fillId="0" borderId="0" xfId="0" applyAlignment="1" applyProtection="1">
      <alignment horizontal="left" vertical="top" wrapText="1"/>
      <protection locked="0"/>
    </xf>
    <xf numFmtId="0" fontId="21" fillId="0" borderId="0" xfId="0" applyFont="1" applyAlignment="1" applyProtection="1">
      <alignment horizontal="center" vertical="top"/>
      <protection locked="0"/>
    </xf>
    <xf numFmtId="0" fontId="133" fillId="0" borderId="0" xfId="46" applyFont="1" applyAlignment="1" applyProtection="1">
      <alignment horizontal="left"/>
    </xf>
    <xf numFmtId="0" fontId="14" fillId="0" borderId="0" xfId="0" quotePrefix="1" applyFont="1" applyAlignment="1" applyProtection="1">
      <alignment horizontal="left" vertical="top" wrapText="1"/>
    </xf>
    <xf numFmtId="0" fontId="17" fillId="27" borderId="74" xfId="0" applyFont="1" applyFill="1" applyBorder="1" applyAlignment="1" applyProtection="1">
      <alignment horizontal="left"/>
    </xf>
    <xf numFmtId="0" fontId="17" fillId="27" borderId="13" xfId="0" applyFont="1" applyFill="1" applyBorder="1" applyAlignment="1" applyProtection="1">
      <alignment horizontal="left"/>
    </xf>
    <xf numFmtId="0" fontId="17" fillId="27" borderId="33" xfId="0" applyFont="1" applyFill="1" applyBorder="1" applyAlignment="1" applyProtection="1">
      <alignment horizontal="left"/>
    </xf>
    <xf numFmtId="0" fontId="17" fillId="27" borderId="76" xfId="0" applyFont="1" applyFill="1" applyBorder="1" applyAlignment="1" applyProtection="1">
      <alignment horizontal="left"/>
    </xf>
    <xf numFmtId="0" fontId="17" fillId="27" borderId="12" xfId="0" applyFont="1" applyFill="1" applyBorder="1" applyAlignment="1" applyProtection="1">
      <alignment horizontal="left"/>
    </xf>
    <xf numFmtId="0" fontId="17" fillId="27" borderId="16" xfId="0" applyFont="1" applyFill="1" applyBorder="1" applyAlignment="1" applyProtection="1">
      <alignment horizontal="left"/>
    </xf>
    <xf numFmtId="0" fontId="17" fillId="0" borderId="0" xfId="0" applyFont="1" applyFill="1" applyBorder="1" applyAlignment="1" applyProtection="1">
      <alignment horizontal="left" vertical="top"/>
    </xf>
    <xf numFmtId="0" fontId="22" fillId="0" borderId="0" xfId="0" applyFont="1" applyFill="1" applyBorder="1" applyAlignment="1" applyProtection="1">
      <alignment horizontal="left"/>
    </xf>
    <xf numFmtId="0" fontId="14" fillId="0" borderId="0" xfId="0" applyFont="1" applyAlignment="1" applyProtection="1">
      <alignment horizontal="left" vertical="top"/>
      <protection locked="0"/>
    </xf>
    <xf numFmtId="0" fontId="17" fillId="0" borderId="53" xfId="0" quotePrefix="1" applyFont="1" applyBorder="1" applyAlignment="1" applyProtection="1">
      <alignment horizontal="left"/>
      <protection locked="0"/>
    </xf>
    <xf numFmtId="0" fontId="17" fillId="0" borderId="33" xfId="0" applyFont="1" applyBorder="1" applyAlignment="1" applyProtection="1">
      <alignment horizontal="left"/>
      <protection locked="0"/>
    </xf>
    <xf numFmtId="0" fontId="17" fillId="0" borderId="53" xfId="0" applyFont="1" applyBorder="1" applyAlignment="1" applyProtection="1">
      <alignment horizontal="left"/>
      <protection locked="0"/>
    </xf>
    <xf numFmtId="0" fontId="17" fillId="0" borderId="53" xfId="0" quotePrefix="1" applyFont="1" applyBorder="1" applyAlignment="1" applyProtection="1">
      <alignment horizontal="left" vertical="top" wrapText="1"/>
      <protection locked="0"/>
    </xf>
    <xf numFmtId="0" fontId="17" fillId="0" borderId="33" xfId="0" quotePrefix="1" applyFont="1" applyBorder="1" applyAlignment="1" applyProtection="1">
      <alignment horizontal="left" vertical="top" wrapText="1"/>
      <protection locked="0"/>
    </xf>
    <xf numFmtId="0" fontId="82" fillId="0" borderId="86" xfId="0" applyFont="1" applyBorder="1" applyAlignment="1" applyProtection="1">
      <alignment horizontal="left" vertical="center"/>
      <protection locked="0"/>
    </xf>
    <xf numFmtId="0" fontId="82" fillId="0" borderId="23" xfId="0" applyFont="1" applyBorder="1" applyAlignment="1" applyProtection="1">
      <alignment horizontal="left" vertical="center"/>
      <protection locked="0"/>
    </xf>
    <xf numFmtId="0" fontId="17" fillId="0" borderId="53" xfId="0" applyFont="1" applyBorder="1" applyAlignment="1" applyProtection="1">
      <alignment horizontal="left" vertical="top" wrapText="1"/>
      <protection locked="0"/>
    </xf>
    <xf numFmtId="0" fontId="17" fillId="0" borderId="33" xfId="0" applyFont="1" applyBorder="1" applyAlignment="1" applyProtection="1">
      <alignment horizontal="left" vertical="top" wrapText="1"/>
      <protection locked="0"/>
    </xf>
    <xf numFmtId="0" fontId="14" fillId="0" borderId="0" xfId="0" applyFont="1" applyAlignment="1" applyProtection="1">
      <alignment horizontal="left"/>
      <protection locked="0"/>
    </xf>
    <xf numFmtId="0" fontId="0" fillId="0" borderId="0" xfId="0" applyAlignment="1" applyProtection="1">
      <alignment horizontal="left"/>
      <protection locked="0"/>
    </xf>
    <xf numFmtId="0" fontId="17" fillId="0" borderId="86" xfId="0" applyFont="1" applyBorder="1" applyAlignment="1" applyProtection="1">
      <alignment horizontal="center"/>
      <protection locked="0"/>
    </xf>
    <xf numFmtId="0" fontId="17" fillId="0" borderId="64" xfId="0" applyFont="1" applyBorder="1" applyAlignment="1" applyProtection="1">
      <alignment horizontal="center"/>
      <protection locked="0"/>
    </xf>
    <xf numFmtId="0" fontId="17" fillId="0" borderId="22" xfId="0" applyFont="1" applyBorder="1" applyAlignment="1" applyProtection="1">
      <alignment horizontal="center"/>
      <protection locked="0"/>
    </xf>
    <xf numFmtId="0" fontId="17" fillId="0" borderId="88" xfId="0" quotePrefix="1" applyFont="1" applyBorder="1" applyAlignment="1" applyProtection="1">
      <alignment horizontal="center"/>
    </xf>
    <xf numFmtId="0" fontId="17" fillId="0" borderId="18" xfId="0" quotePrefix="1" applyFont="1" applyBorder="1" applyAlignment="1" applyProtection="1">
      <alignment horizontal="center"/>
    </xf>
    <xf numFmtId="0" fontId="17" fillId="0" borderId="32" xfId="0" applyFont="1" applyBorder="1" applyAlignment="1" applyProtection="1">
      <alignment horizontal="center" vertical="center"/>
    </xf>
    <xf numFmtId="0" fontId="17" fillId="0" borderId="24" xfId="0" applyFont="1" applyBorder="1" applyAlignment="1" applyProtection="1">
      <alignment horizontal="center" vertical="center"/>
    </xf>
    <xf numFmtId="0" fontId="0" fillId="0" borderId="27" xfId="0" quotePrefix="1" applyBorder="1" applyAlignment="1" applyProtection="1">
      <alignment horizontal="center"/>
    </xf>
    <xf numFmtId="0" fontId="0" fillId="0" borderId="10" xfId="0" quotePrefix="1" applyBorder="1" applyAlignment="1" applyProtection="1">
      <alignment horizontal="center"/>
    </xf>
    <xf numFmtId="0" fontId="17" fillId="0" borderId="53" xfId="0" quotePrefix="1" applyFont="1" applyBorder="1" applyAlignment="1" applyProtection="1">
      <alignment horizontal="center"/>
    </xf>
    <xf numFmtId="0" fontId="17" fillId="0" borderId="33" xfId="0" quotePrefix="1" applyFont="1" applyBorder="1" applyAlignment="1" applyProtection="1">
      <alignment horizontal="center"/>
    </xf>
    <xf numFmtId="0" fontId="19" fillId="0" borderId="0" xfId="0" applyFont="1" applyAlignment="1" applyProtection="1">
      <alignment horizontal="center"/>
      <protection locked="0"/>
    </xf>
    <xf numFmtId="0" fontId="17" fillId="25" borderId="32" xfId="0" applyFont="1" applyFill="1" applyBorder="1" applyAlignment="1" applyProtection="1">
      <alignment horizontal="center"/>
      <protection locked="0"/>
    </xf>
    <xf numFmtId="0" fontId="17" fillId="25" borderId="24" xfId="0" applyFont="1" applyFill="1" applyBorder="1" applyAlignment="1" applyProtection="1">
      <alignment horizontal="center"/>
      <protection locked="0"/>
    </xf>
    <xf numFmtId="0" fontId="17" fillId="25" borderId="24" xfId="0" applyFont="1" applyFill="1" applyBorder="1" applyAlignment="1" applyProtection="1">
      <alignment horizontal="center" vertical="center" wrapText="1"/>
      <protection locked="0"/>
    </xf>
    <xf numFmtId="0" fontId="17" fillId="25" borderId="10" xfId="0" applyFont="1" applyFill="1" applyBorder="1" applyAlignment="1" applyProtection="1">
      <alignment horizontal="center" vertical="center" wrapText="1"/>
      <protection locked="0"/>
    </xf>
    <xf numFmtId="0" fontId="0" fillId="25" borderId="10" xfId="0" applyFill="1" applyBorder="1" applyAlignment="1" applyProtection="1">
      <alignment horizontal="center" vertical="center" wrapText="1"/>
      <protection locked="0"/>
    </xf>
    <xf numFmtId="0" fontId="17" fillId="25" borderId="24" xfId="0" applyFont="1" applyFill="1" applyBorder="1" applyAlignment="1" applyProtection="1">
      <alignment horizontal="center" wrapText="1"/>
      <protection locked="0"/>
    </xf>
    <xf numFmtId="0" fontId="17" fillId="25" borderId="10" xfId="0" applyFont="1" applyFill="1" applyBorder="1" applyAlignment="1" applyProtection="1">
      <alignment horizontal="center" wrapText="1"/>
      <protection locked="0"/>
    </xf>
    <xf numFmtId="0" fontId="17" fillId="25" borderId="61" xfId="0" applyFont="1" applyFill="1" applyBorder="1" applyAlignment="1" applyProtection="1">
      <alignment horizontal="center" wrapText="1"/>
      <protection locked="0"/>
    </xf>
    <xf numFmtId="0" fontId="17" fillId="25" borderId="25" xfId="0" applyFont="1" applyFill="1" applyBorder="1" applyAlignment="1" applyProtection="1">
      <alignment horizontal="center" wrapText="1"/>
      <protection locked="0"/>
    </xf>
    <xf numFmtId="0" fontId="17" fillId="25" borderId="27" xfId="0" applyFont="1" applyFill="1" applyBorder="1" applyAlignment="1" applyProtection="1">
      <protection locked="0"/>
    </xf>
    <xf numFmtId="0" fontId="0" fillId="25" borderId="27" xfId="0" applyFill="1" applyBorder="1" applyAlignment="1" applyProtection="1">
      <protection locked="0"/>
    </xf>
    <xf numFmtId="0" fontId="17" fillId="25" borderId="10" xfId="0" applyFont="1" applyFill="1" applyBorder="1" applyAlignment="1" applyProtection="1">
      <protection locked="0"/>
    </xf>
    <xf numFmtId="0" fontId="0" fillId="25" borderId="10" xfId="0" applyFill="1" applyBorder="1" applyAlignment="1" applyProtection="1">
      <protection locked="0"/>
    </xf>
    <xf numFmtId="0" fontId="17" fillId="25" borderId="72" xfId="0" applyFont="1" applyFill="1" applyBorder="1" applyAlignment="1" applyProtection="1">
      <alignment horizontal="center" vertical="center" wrapText="1"/>
      <protection locked="0"/>
    </xf>
    <xf numFmtId="0" fontId="17" fillId="25" borderId="11" xfId="0" applyFont="1" applyFill="1" applyBorder="1" applyAlignment="1" applyProtection="1">
      <alignment horizontal="center" vertical="center" wrapText="1"/>
      <protection locked="0"/>
    </xf>
    <xf numFmtId="0" fontId="0" fillId="25" borderId="19" xfId="0" applyFill="1" applyBorder="1" applyAlignment="1" applyProtection="1">
      <alignment horizontal="center" vertical="center" wrapText="1"/>
      <protection locked="0"/>
    </xf>
    <xf numFmtId="0" fontId="17" fillId="25" borderId="78" xfId="0" applyFont="1" applyFill="1" applyBorder="1" applyAlignment="1" applyProtection="1">
      <alignment horizontal="center" wrapText="1"/>
      <protection locked="0"/>
    </xf>
    <xf numFmtId="0" fontId="17" fillId="25" borderId="74" xfId="0" applyFont="1" applyFill="1" applyBorder="1" applyAlignment="1" applyProtection="1">
      <alignment horizontal="center" wrapText="1"/>
      <protection locked="0"/>
    </xf>
    <xf numFmtId="0" fontId="17" fillId="25" borderId="89" xfId="0" applyFont="1" applyFill="1" applyBorder="1" applyAlignment="1" applyProtection="1">
      <protection locked="0"/>
    </xf>
    <xf numFmtId="0" fontId="0" fillId="25" borderId="75" xfId="0" applyFill="1" applyBorder="1" applyAlignment="1" applyProtection="1">
      <protection locked="0"/>
    </xf>
    <xf numFmtId="0" fontId="17" fillId="25" borderId="17" xfId="0" applyFont="1" applyFill="1" applyBorder="1" applyAlignment="1" applyProtection="1">
      <protection locked="0"/>
    </xf>
    <xf numFmtId="0" fontId="0" fillId="25" borderId="19" xfId="0" applyFill="1" applyBorder="1" applyAlignment="1" applyProtection="1">
      <protection locked="0"/>
    </xf>
    <xf numFmtId="0" fontId="17" fillId="0" borderId="0" xfId="0" applyFont="1" applyAlignment="1" applyProtection="1">
      <alignment horizontal="left" vertical="center" wrapText="1" indent="4"/>
      <protection locked="0"/>
    </xf>
    <xf numFmtId="0" fontId="0" fillId="0" borderId="0" xfId="0" applyAlignment="1" applyProtection="1">
      <alignment horizontal="left" wrapText="1" indent="4"/>
      <protection locked="0"/>
    </xf>
    <xf numFmtId="0" fontId="17" fillId="0" borderId="0" xfId="0" applyFont="1" applyAlignment="1" applyProtection="1">
      <alignment horizontal="left" vertical="top" wrapText="1"/>
      <protection locked="0"/>
    </xf>
    <xf numFmtId="0" fontId="14" fillId="29" borderId="0" xfId="46" applyFill="1" applyAlignment="1" applyProtection="1">
      <protection locked="0"/>
    </xf>
    <xf numFmtId="0" fontId="20" fillId="0" borderId="0" xfId="46" applyFont="1" applyBorder="1" applyAlignment="1" applyProtection="1">
      <alignment horizontal="left"/>
      <protection locked="0"/>
    </xf>
    <xf numFmtId="0" fontId="44" fillId="29" borderId="0" xfId="0" applyFont="1" applyFill="1" applyAlignment="1" applyProtection="1">
      <alignment horizontal="center"/>
      <protection locked="0"/>
    </xf>
    <xf numFmtId="0" fontId="17" fillId="0" borderId="0" xfId="46" applyFont="1" applyBorder="1" applyAlignment="1" applyProtection="1">
      <alignment horizontal="right" wrapText="1"/>
      <protection locked="0"/>
    </xf>
    <xf numFmtId="0" fontId="14" fillId="0" borderId="12" xfId="46" applyBorder="1" applyAlignment="1" applyProtection="1">
      <alignment wrapText="1"/>
      <protection locked="0"/>
    </xf>
    <xf numFmtId="0" fontId="17" fillId="0" borderId="12" xfId="46" applyFont="1" applyBorder="1" applyAlignment="1" applyProtection="1">
      <alignment horizontal="center" vertical="center"/>
      <protection locked="0"/>
    </xf>
    <xf numFmtId="0" fontId="21" fillId="0" borderId="0" xfId="46" applyFont="1" applyFill="1" applyAlignment="1" applyProtection="1">
      <alignment horizontal="center" vertical="center"/>
      <protection locked="0"/>
    </xf>
    <xf numFmtId="0" fontId="17" fillId="0" borderId="0" xfId="46" applyFont="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0" xfId="0" applyFont="1" applyFill="1" applyAlignment="1" applyProtection="1">
      <alignment horizontal="left" vertical="center" wrapText="1"/>
      <protection locked="0"/>
    </xf>
    <xf numFmtId="0" fontId="14" fillId="29" borderId="0" xfId="0" applyFont="1" applyFill="1" applyBorder="1" applyAlignment="1" applyProtection="1">
      <alignment horizontal="left" vertical="center" wrapText="1"/>
      <protection locked="0"/>
    </xf>
    <xf numFmtId="0" fontId="14" fillId="24" borderId="0" xfId="0" applyFont="1" applyFill="1" applyBorder="1" applyAlignment="1" applyProtection="1">
      <alignment horizontal="left" vertical="center" wrapText="1"/>
      <protection locked="0"/>
    </xf>
    <xf numFmtId="0" fontId="14" fillId="0" borderId="43" xfId="0" applyFont="1" applyBorder="1" applyAlignment="1" applyProtection="1">
      <alignment wrapText="1"/>
      <protection locked="0"/>
    </xf>
    <xf numFmtId="0" fontId="14" fillId="0" borderId="41" xfId="0" applyFont="1" applyBorder="1" applyAlignment="1" applyProtection="1">
      <alignment wrapText="1"/>
      <protection locked="0"/>
    </xf>
    <xf numFmtId="0" fontId="108" fillId="0" borderId="0" xfId="0" applyFont="1" applyFill="1" applyAlignment="1" applyProtection="1">
      <alignment horizontal="center" vertical="center"/>
      <protection locked="0"/>
    </xf>
    <xf numFmtId="9" fontId="14" fillId="29" borderId="29" xfId="42" applyFont="1" applyFill="1" applyBorder="1" applyAlignment="1" applyProtection="1">
      <alignment wrapText="1"/>
      <protection locked="0"/>
    </xf>
    <xf numFmtId="9" fontId="14" fillId="24" borderId="31" xfId="42" applyFont="1" applyFill="1" applyBorder="1" applyAlignment="1" applyProtection="1">
      <alignment wrapText="1"/>
      <protection locked="0"/>
    </xf>
    <xf numFmtId="10" fontId="14" fillId="0" borderId="43" xfId="42" applyNumberFormat="1" applyFont="1" applyBorder="1" applyAlignment="1" applyProtection="1">
      <alignment horizontal="center" vertical="center"/>
      <protection locked="0"/>
    </xf>
    <xf numFmtId="10" fontId="14" fillId="0" borderId="41" xfId="42" applyNumberFormat="1" applyFont="1" applyBorder="1" applyAlignment="1" applyProtection="1">
      <alignment horizontal="center" vertical="center"/>
      <protection locked="0"/>
    </xf>
    <xf numFmtId="0" fontId="20" fillId="0" borderId="0" xfId="0" applyFont="1" applyAlignment="1" applyProtection="1">
      <alignment horizontal="center"/>
    </xf>
    <xf numFmtId="0" fontId="0" fillId="0" borderId="32" xfId="0" applyFill="1" applyBorder="1" applyAlignment="1" applyProtection="1">
      <alignment horizontal="center"/>
    </xf>
    <xf numFmtId="0" fontId="0" fillId="0" borderId="24" xfId="0" applyFill="1" applyBorder="1" applyAlignment="1" applyProtection="1">
      <alignment horizontal="center"/>
    </xf>
    <xf numFmtId="0" fontId="0" fillId="0" borderId="27" xfId="0" applyFill="1" applyBorder="1" applyAlignment="1" applyProtection="1">
      <alignment horizontal="center"/>
    </xf>
    <xf numFmtId="0" fontId="0" fillId="0" borderId="10" xfId="0" applyFill="1" applyBorder="1" applyAlignment="1" applyProtection="1">
      <alignment horizontal="center"/>
    </xf>
    <xf numFmtId="0" fontId="17" fillId="0" borderId="78" xfId="0" applyFont="1" applyFill="1" applyBorder="1" applyAlignment="1" applyProtection="1">
      <alignment horizontal="center"/>
    </xf>
    <xf numFmtId="0" fontId="17" fillId="0" borderId="87" xfId="0" applyFont="1" applyFill="1" applyBorder="1" applyAlignment="1" applyProtection="1">
      <alignment horizontal="center"/>
    </xf>
    <xf numFmtId="0" fontId="17" fillId="0" borderId="49" xfId="0" applyFont="1" applyFill="1" applyBorder="1" applyAlignment="1" applyProtection="1">
      <alignment horizontal="center"/>
    </xf>
    <xf numFmtId="0" fontId="17" fillId="0" borderId="73" xfId="0" applyFont="1" applyFill="1" applyBorder="1" applyAlignment="1" applyProtection="1">
      <alignment horizontal="center" vertical="center" wrapText="1"/>
    </xf>
    <xf numFmtId="0" fontId="0" fillId="0" borderId="63" xfId="0" applyFill="1" applyBorder="1" applyAlignment="1" applyProtection="1">
      <alignment horizontal="center" vertical="center" wrapText="1"/>
    </xf>
    <xf numFmtId="0" fontId="42" fillId="27" borderId="74" xfId="0" applyFont="1" applyFill="1" applyBorder="1" applyAlignment="1" applyProtection="1">
      <alignment horizontal="left"/>
    </xf>
    <xf numFmtId="0" fontId="42" fillId="27" borderId="13" xfId="0" applyFont="1" applyFill="1" applyBorder="1" applyAlignment="1" applyProtection="1">
      <alignment horizontal="left"/>
    </xf>
    <xf numFmtId="0" fontId="42" fillId="27" borderId="50" xfId="0" applyFont="1" applyFill="1" applyBorder="1" applyAlignment="1" applyProtection="1">
      <alignment horizontal="left"/>
    </xf>
    <xf numFmtId="0" fontId="42" fillId="27" borderId="74" xfId="0" applyFont="1" applyFill="1" applyBorder="1" applyAlignment="1" applyProtection="1">
      <alignment horizontal="left" vertical="top" wrapText="1"/>
    </xf>
    <xf numFmtId="0" fontId="42" fillId="27" borderId="13" xfId="0" applyFont="1" applyFill="1" applyBorder="1" applyAlignment="1" applyProtection="1">
      <alignment horizontal="left" vertical="top" wrapText="1"/>
    </xf>
    <xf numFmtId="0" fontId="42" fillId="27" borderId="50" xfId="0" applyFont="1" applyFill="1" applyBorder="1" applyAlignment="1" applyProtection="1">
      <alignment horizontal="left" vertical="top" wrapText="1"/>
    </xf>
    <xf numFmtId="0" fontId="36" fillId="0" borderId="0" xfId="0" applyFont="1" applyAlignment="1" applyProtection="1">
      <alignment vertical="top" wrapText="1"/>
    </xf>
    <xf numFmtId="0" fontId="14" fillId="0" borderId="0" xfId="0" applyFont="1" applyAlignment="1" applyProtection="1">
      <alignment vertical="top" wrapText="1"/>
    </xf>
    <xf numFmtId="0" fontId="36" fillId="0" borderId="0" xfId="0" applyFont="1" applyAlignment="1" applyProtection="1">
      <alignment horizontal="left"/>
    </xf>
    <xf numFmtId="0" fontId="41" fillId="0" borderId="0" xfId="0" applyFont="1" applyAlignment="1" applyProtection="1">
      <alignment horizontal="left"/>
    </xf>
    <xf numFmtId="0" fontId="0" fillId="0" borderId="0" xfId="0" applyAlignment="1" applyProtection="1">
      <alignment vertical="top" wrapText="1"/>
      <protection locked="0"/>
    </xf>
    <xf numFmtId="0" fontId="14" fillId="0" borderId="0" xfId="0" applyFont="1" applyAlignment="1" applyProtection="1">
      <alignment wrapText="1"/>
      <protection locked="0"/>
    </xf>
    <xf numFmtId="0" fontId="0" fillId="0" borderId="0" xfId="0" applyAlignment="1" applyProtection="1">
      <alignment wrapText="1"/>
      <protection locked="0"/>
    </xf>
    <xf numFmtId="0" fontId="42" fillId="0" borderId="0" xfId="0" applyFont="1" applyAlignment="1" applyProtection="1">
      <alignment vertical="top" wrapText="1"/>
      <protection locked="0"/>
    </xf>
    <xf numFmtId="0" fontId="41" fillId="0" borderId="0" xfId="0" applyFont="1" applyAlignment="1" applyProtection="1">
      <alignment vertical="top" wrapText="1"/>
      <protection locked="0"/>
    </xf>
    <xf numFmtId="0" fontId="14" fillId="0" borderId="0" xfId="0" applyFont="1" applyAlignment="1" applyProtection="1">
      <alignment vertical="top" wrapText="1"/>
      <protection locked="0"/>
    </xf>
    <xf numFmtId="0" fontId="14" fillId="0" borderId="53" xfId="46" applyBorder="1" applyAlignment="1" applyProtection="1">
      <alignment horizontal="left" wrapText="1"/>
      <protection locked="0"/>
    </xf>
    <xf numFmtId="0" fontId="14" fillId="0" borderId="13" xfId="46" applyBorder="1" applyAlignment="1" applyProtection="1">
      <alignment horizontal="left" wrapText="1"/>
      <protection locked="0"/>
    </xf>
    <xf numFmtId="0" fontId="14" fillId="0" borderId="50" xfId="46" applyBorder="1" applyAlignment="1" applyProtection="1">
      <alignment horizontal="left" wrapText="1"/>
      <protection locked="0"/>
    </xf>
    <xf numFmtId="170" fontId="14" fillId="29" borderId="53" xfId="29" applyNumberFormat="1" applyFill="1" applyBorder="1" applyAlignment="1" applyProtection="1">
      <protection locked="0"/>
    </xf>
    <xf numFmtId="0" fontId="14" fillId="29" borderId="13" xfId="46" applyFill="1" applyBorder="1" applyAlignment="1" applyProtection="1">
      <protection locked="0"/>
    </xf>
    <xf numFmtId="0" fontId="14" fillId="29" borderId="50" xfId="46" applyFill="1" applyBorder="1" applyAlignment="1" applyProtection="1">
      <protection locked="0"/>
    </xf>
    <xf numFmtId="0" fontId="14" fillId="0" borderId="47" xfId="46" applyBorder="1" applyAlignment="1" applyProtection="1">
      <alignment horizontal="left" wrapText="1"/>
      <protection locked="0"/>
    </xf>
    <xf numFmtId="0" fontId="14" fillId="0" borderId="0" xfId="46" applyBorder="1" applyAlignment="1" applyProtection="1">
      <alignment horizontal="left" wrapText="1"/>
      <protection locked="0"/>
    </xf>
    <xf numFmtId="0" fontId="14" fillId="0" borderId="29" xfId="46" applyBorder="1" applyAlignment="1" applyProtection="1">
      <alignment horizontal="left" wrapText="1"/>
      <protection locked="0"/>
    </xf>
    <xf numFmtId="0" fontId="14" fillId="29" borderId="88" xfId="46" applyFill="1" applyBorder="1" applyAlignment="1" applyProtection="1">
      <alignment horizontal="left" wrapText="1"/>
      <protection locked="0"/>
    </xf>
    <xf numFmtId="0" fontId="14" fillId="29" borderId="82" xfId="46" applyFill="1" applyBorder="1" applyAlignment="1" applyProtection="1">
      <alignment horizontal="left" wrapText="1"/>
      <protection locked="0"/>
    </xf>
    <xf numFmtId="0" fontId="14" fillId="29" borderId="58" xfId="46" applyFill="1" applyBorder="1" applyAlignment="1" applyProtection="1">
      <alignment horizontal="left" wrapText="1"/>
      <protection locked="0"/>
    </xf>
    <xf numFmtId="170" fontId="14" fillId="29" borderId="88" xfId="29" applyNumberFormat="1" applyFill="1" applyBorder="1" applyAlignment="1" applyProtection="1">
      <protection locked="0"/>
    </xf>
    <xf numFmtId="0" fontId="14" fillId="29" borderId="82" xfId="46" applyFill="1" applyBorder="1" applyAlignment="1" applyProtection="1">
      <protection locked="0"/>
    </xf>
    <xf numFmtId="0" fontId="14" fillId="29" borderId="58" xfId="46" applyFill="1" applyBorder="1" applyAlignment="1" applyProtection="1">
      <protection locked="0"/>
    </xf>
    <xf numFmtId="0" fontId="17" fillId="0" borderId="60" xfId="46" applyFont="1" applyBorder="1" applyAlignment="1" applyProtection="1">
      <alignment horizontal="left"/>
      <protection locked="0"/>
    </xf>
    <xf numFmtId="0" fontId="17" fillId="0" borderId="106" xfId="46" applyFont="1" applyBorder="1" applyAlignment="1" applyProtection="1">
      <alignment horizontal="left"/>
      <protection locked="0"/>
    </xf>
    <xf numFmtId="0" fontId="17" fillId="0" borderId="107" xfId="46" applyFont="1" applyBorder="1" applyAlignment="1" applyProtection="1">
      <alignment horizontal="left"/>
      <protection locked="0"/>
    </xf>
    <xf numFmtId="170" fontId="14" fillId="29" borderId="60" xfId="29" applyNumberFormat="1" applyFill="1" applyBorder="1" applyAlignment="1" applyProtection="1">
      <protection locked="0"/>
    </xf>
    <xf numFmtId="0" fontId="14" fillId="29" borderId="106" xfId="46" applyFill="1" applyBorder="1" applyAlignment="1" applyProtection="1">
      <protection locked="0"/>
    </xf>
    <xf numFmtId="0" fontId="14" fillId="29" borderId="107" xfId="46" applyFill="1" applyBorder="1" applyAlignment="1" applyProtection="1">
      <protection locked="0"/>
    </xf>
    <xf numFmtId="0" fontId="14" fillId="0" borderId="88" xfId="46" applyBorder="1" applyAlignment="1" applyProtection="1">
      <alignment horizontal="left" wrapText="1"/>
      <protection locked="0"/>
    </xf>
    <xf numFmtId="0" fontId="14" fillId="0" borderId="82" xfId="46" applyBorder="1" applyAlignment="1" applyProtection="1">
      <alignment horizontal="left" wrapText="1"/>
      <protection locked="0"/>
    </xf>
    <xf numFmtId="0" fontId="14" fillId="0" borderId="58" xfId="46" applyBorder="1" applyAlignment="1" applyProtection="1">
      <alignment horizontal="left" wrapText="1"/>
      <protection locked="0"/>
    </xf>
    <xf numFmtId="0" fontId="17" fillId="0" borderId="53" xfId="46" applyFont="1" applyBorder="1" applyAlignment="1" applyProtection="1">
      <alignment horizontal="left" wrapText="1"/>
      <protection locked="0"/>
    </xf>
    <xf numFmtId="0" fontId="17" fillId="0" borderId="13" xfId="46" applyFont="1" applyBorder="1" applyAlignment="1" applyProtection="1">
      <alignment horizontal="left" wrapText="1"/>
      <protection locked="0"/>
    </xf>
    <xf numFmtId="0" fontId="17" fillId="0" borderId="50" xfId="46" applyFont="1" applyBorder="1" applyAlignment="1" applyProtection="1">
      <alignment horizontal="left" wrapText="1"/>
      <protection locked="0"/>
    </xf>
    <xf numFmtId="0" fontId="14" fillId="0" borderId="52" xfId="46" applyFont="1" applyFill="1" applyBorder="1" applyAlignment="1" applyProtection="1">
      <alignment horizontal="left" vertical="center" wrapText="1"/>
      <protection locked="0"/>
    </xf>
    <xf numFmtId="0" fontId="14" fillId="0" borderId="12" xfId="46" applyFont="1" applyFill="1" applyBorder="1" applyAlignment="1" applyProtection="1">
      <alignment horizontal="left" vertical="center" wrapText="1"/>
      <protection locked="0"/>
    </xf>
    <xf numFmtId="0" fontId="14" fillId="0" borderId="54" xfId="46" applyFont="1" applyFill="1" applyBorder="1" applyAlignment="1" applyProtection="1">
      <alignment horizontal="left" vertical="center" wrapText="1"/>
      <protection locked="0"/>
    </xf>
    <xf numFmtId="170" fontId="14" fillId="29" borderId="13" xfId="29" applyNumberFormat="1" applyFill="1" applyBorder="1" applyAlignment="1" applyProtection="1">
      <protection locked="0"/>
    </xf>
    <xf numFmtId="0" fontId="14" fillId="0" borderId="51" xfId="46" applyBorder="1" applyAlignment="1" applyProtection="1">
      <alignment horizontal="left" wrapText="1"/>
      <protection locked="0"/>
    </xf>
    <xf numFmtId="0" fontId="14" fillId="0" borderId="119" xfId="46" applyBorder="1" applyAlignment="1" applyProtection="1">
      <alignment horizontal="left" wrapText="1"/>
      <protection locked="0"/>
    </xf>
    <xf numFmtId="0" fontId="14" fillId="0" borderId="55" xfId="46" applyBorder="1" applyAlignment="1" applyProtection="1">
      <alignment horizontal="left" wrapText="1"/>
      <protection locked="0"/>
    </xf>
    <xf numFmtId="170" fontId="14" fillId="0" borderId="51" xfId="29" applyNumberFormat="1" applyFill="1" applyBorder="1" applyAlignment="1" applyProtection="1">
      <protection locked="0"/>
    </xf>
    <xf numFmtId="0" fontId="14" fillId="0" borderId="119" xfId="46" applyFill="1" applyBorder="1" applyAlignment="1" applyProtection="1">
      <protection locked="0"/>
    </xf>
    <xf numFmtId="0" fontId="14" fillId="0" borderId="55" xfId="46" applyFill="1" applyBorder="1" applyAlignment="1" applyProtection="1">
      <protection locked="0"/>
    </xf>
    <xf numFmtId="0" fontId="14" fillId="0" borderId="125" xfId="46" applyBorder="1" applyAlignment="1" applyProtection="1">
      <alignment horizontal="left" wrapText="1"/>
      <protection locked="0"/>
    </xf>
    <xf numFmtId="0" fontId="14" fillId="0" borderId="126" xfId="46" applyBorder="1" applyAlignment="1" applyProtection="1">
      <alignment horizontal="left" wrapText="1"/>
      <protection locked="0"/>
    </xf>
    <xf numFmtId="0" fontId="14" fillId="0" borderId="127" xfId="46" applyBorder="1" applyAlignment="1" applyProtection="1">
      <alignment horizontal="left" wrapText="1"/>
      <protection locked="0"/>
    </xf>
    <xf numFmtId="0" fontId="14" fillId="0" borderId="47" xfId="46" applyFont="1" applyFill="1" applyBorder="1" applyAlignment="1" applyProtection="1">
      <alignment horizontal="left" vertical="center" wrapText="1"/>
      <protection locked="0"/>
    </xf>
    <xf numFmtId="0" fontId="14" fillId="0" borderId="0" xfId="46" applyFont="1" applyFill="1" applyBorder="1" applyAlignment="1" applyProtection="1">
      <alignment horizontal="left" vertical="center" wrapText="1"/>
      <protection locked="0"/>
    </xf>
    <xf numFmtId="0" fontId="14" fillId="0" borderId="29" xfId="46" applyFont="1" applyFill="1" applyBorder="1" applyAlignment="1" applyProtection="1">
      <alignment horizontal="left" vertical="center" wrapText="1"/>
      <protection locked="0"/>
    </xf>
    <xf numFmtId="170" fontId="14" fillId="29" borderId="52" xfId="29" applyNumberFormat="1" applyFill="1" applyBorder="1" applyAlignment="1" applyProtection="1">
      <protection locked="0"/>
    </xf>
    <xf numFmtId="0" fontId="14" fillId="29" borderId="12" xfId="46" applyFill="1" applyBorder="1" applyAlignment="1" applyProtection="1">
      <protection locked="0"/>
    </xf>
    <xf numFmtId="0" fontId="14" fillId="29" borderId="54" xfId="46" applyFill="1" applyBorder="1" applyAlignment="1" applyProtection="1">
      <protection locked="0"/>
    </xf>
    <xf numFmtId="0" fontId="14" fillId="0" borderId="88" xfId="46" applyFont="1" applyFill="1" applyBorder="1" applyAlignment="1" applyProtection="1">
      <alignment horizontal="left" vertical="center" wrapText="1"/>
      <protection locked="0"/>
    </xf>
    <xf numFmtId="0" fontId="14" fillId="0" borderId="82" xfId="46" applyFont="1" applyFill="1" applyBorder="1" applyAlignment="1" applyProtection="1">
      <alignment horizontal="left" vertical="center" wrapText="1"/>
      <protection locked="0"/>
    </xf>
    <xf numFmtId="0" fontId="14" fillId="0" borderId="58" xfId="46" applyFont="1" applyFill="1" applyBorder="1" applyAlignment="1" applyProtection="1">
      <alignment horizontal="left" vertical="center" wrapText="1"/>
      <protection locked="0"/>
    </xf>
    <xf numFmtId="0" fontId="14" fillId="0" borderId="53" xfId="46" applyFont="1" applyFill="1" applyBorder="1" applyAlignment="1" applyProtection="1">
      <alignment horizontal="left" vertical="center" wrapText="1"/>
      <protection locked="0"/>
    </xf>
    <xf numFmtId="0" fontId="14" fillId="0" borderId="13" xfId="46" applyFont="1" applyFill="1" applyBorder="1" applyAlignment="1" applyProtection="1">
      <alignment horizontal="left" vertical="center" wrapText="1"/>
      <protection locked="0"/>
    </xf>
    <xf numFmtId="0" fontId="14" fillId="0" borderId="50" xfId="46" applyFont="1" applyFill="1" applyBorder="1" applyAlignment="1" applyProtection="1">
      <alignment horizontal="left" vertical="center" wrapText="1"/>
      <protection locked="0"/>
    </xf>
    <xf numFmtId="0" fontId="17" fillId="0" borderId="70" xfId="46" applyFont="1" applyFill="1" applyBorder="1" applyAlignment="1" applyProtection="1">
      <alignment vertical="center" wrapText="1"/>
      <protection locked="0"/>
    </xf>
    <xf numFmtId="0" fontId="17" fillId="0" borderId="45" xfId="46" applyFont="1" applyFill="1" applyBorder="1" applyAlignment="1" applyProtection="1">
      <alignment vertical="center" wrapText="1"/>
      <protection locked="0"/>
    </xf>
    <xf numFmtId="0" fontId="17" fillId="0" borderId="0" xfId="46" applyFont="1" applyFill="1" applyBorder="1" applyAlignment="1" applyProtection="1">
      <alignment vertical="center" wrapText="1"/>
      <protection locked="0"/>
    </xf>
    <xf numFmtId="0" fontId="17" fillId="0" borderId="29" xfId="46" applyFont="1" applyFill="1" applyBorder="1" applyAlignment="1" applyProtection="1">
      <alignment vertical="center" wrapText="1"/>
      <protection locked="0"/>
    </xf>
    <xf numFmtId="0" fontId="17" fillId="0" borderId="46" xfId="46" applyFont="1" applyFill="1" applyBorder="1" applyAlignment="1" applyProtection="1">
      <alignment vertical="center" wrapText="1"/>
      <protection locked="0"/>
    </xf>
    <xf numFmtId="0" fontId="17" fillId="0" borderId="30" xfId="46" applyFont="1" applyFill="1" applyBorder="1" applyAlignment="1" applyProtection="1">
      <alignment vertical="center" wrapText="1"/>
      <protection locked="0"/>
    </xf>
    <xf numFmtId="0" fontId="17" fillId="0" borderId="31" xfId="46" applyFont="1" applyFill="1" applyBorder="1" applyAlignment="1" applyProtection="1">
      <alignment vertical="center" wrapText="1"/>
      <protection locked="0"/>
    </xf>
    <xf numFmtId="0" fontId="17" fillId="0" borderId="69" xfId="46" applyFont="1" applyFill="1" applyBorder="1" applyAlignment="1" applyProtection="1">
      <alignment horizontal="center"/>
      <protection locked="0"/>
    </xf>
    <xf numFmtId="0" fontId="14" fillId="0" borderId="70" xfId="46" applyFill="1" applyBorder="1" applyAlignment="1" applyProtection="1">
      <protection locked="0"/>
    </xf>
    <xf numFmtId="0" fontId="14" fillId="0" borderId="45" xfId="46" applyFill="1" applyBorder="1" applyAlignment="1" applyProtection="1">
      <protection locked="0"/>
    </xf>
    <xf numFmtId="0" fontId="17" fillId="0" borderId="47" xfId="46" applyFont="1" applyFill="1" applyBorder="1" applyAlignment="1" applyProtection="1">
      <alignment horizontal="center"/>
      <protection locked="0"/>
    </xf>
    <xf numFmtId="0" fontId="14" fillId="0" borderId="0" xfId="46" applyFill="1" applyBorder="1" applyAlignment="1" applyProtection="1">
      <protection locked="0"/>
    </xf>
    <xf numFmtId="0" fontId="14" fillId="0" borderId="29" xfId="46" applyFill="1" applyBorder="1" applyAlignment="1" applyProtection="1">
      <protection locked="0"/>
    </xf>
    <xf numFmtId="0" fontId="14" fillId="0" borderId="0" xfId="46" applyFont="1" applyAlignment="1" applyProtection="1">
      <alignment horizontal="center" wrapText="1"/>
      <protection locked="0"/>
    </xf>
    <xf numFmtId="0" fontId="14" fillId="29" borderId="0" xfId="46" applyFill="1" applyAlignment="1" applyProtection="1">
      <alignment horizontal="left" vertical="top"/>
      <protection locked="0"/>
    </xf>
    <xf numFmtId="0" fontId="14" fillId="0" borderId="0" xfId="46" applyFont="1" applyAlignment="1" applyProtection="1">
      <alignment vertical="top" wrapText="1"/>
      <protection locked="0"/>
    </xf>
    <xf numFmtId="0" fontId="17" fillId="0" borderId="46" xfId="46" applyFont="1" applyBorder="1" applyAlignment="1" applyProtection="1">
      <alignment horizontal="left" wrapText="1"/>
      <protection locked="0"/>
    </xf>
    <xf numFmtId="0" fontId="17" fillId="0" borderId="30" xfId="46" applyFont="1" applyBorder="1" applyAlignment="1" applyProtection="1">
      <alignment horizontal="left" wrapText="1"/>
      <protection locked="0"/>
    </xf>
    <xf numFmtId="0" fontId="17" fillId="0" borderId="39" xfId="46" applyFont="1" applyBorder="1" applyAlignment="1" applyProtection="1">
      <alignment horizontal="left" wrapText="1"/>
      <protection locked="0"/>
    </xf>
    <xf numFmtId="0" fontId="14" fillId="0" borderId="53" xfId="46" applyBorder="1" applyAlignment="1" applyProtection="1">
      <alignment horizontal="left" vertical="center" wrapText="1"/>
      <protection locked="0"/>
    </xf>
    <xf numFmtId="0" fontId="14" fillId="0" borderId="47" xfId="46" applyBorder="1" applyAlignment="1" applyProtection="1">
      <alignment horizontal="left" vertical="center" wrapText="1"/>
      <protection locked="0"/>
    </xf>
    <xf numFmtId="0" fontId="14" fillId="0" borderId="0" xfId="46" applyBorder="1" applyAlignment="1" applyProtection="1">
      <alignment horizontal="left" vertical="center" wrapText="1"/>
      <protection locked="0"/>
    </xf>
    <xf numFmtId="0" fontId="14" fillId="0" borderId="15" xfId="46" applyBorder="1" applyAlignment="1" applyProtection="1">
      <alignment horizontal="left" vertical="center" wrapText="1"/>
      <protection locked="0"/>
    </xf>
    <xf numFmtId="0" fontId="14" fillId="0" borderId="88" xfId="46" applyBorder="1" applyAlignment="1" applyProtection="1">
      <alignment horizontal="left" vertical="center" wrapText="1"/>
      <protection locked="0"/>
    </xf>
    <xf numFmtId="0" fontId="14" fillId="0" borderId="82" xfId="46" applyBorder="1" applyAlignment="1" applyProtection="1">
      <alignment horizontal="left" vertical="center" wrapText="1"/>
      <protection locked="0"/>
    </xf>
    <xf numFmtId="0" fontId="14" fillId="0" borderId="18" xfId="46" applyBorder="1" applyAlignment="1" applyProtection="1">
      <alignment horizontal="left" vertical="center" wrapText="1"/>
      <protection locked="0"/>
    </xf>
    <xf numFmtId="0" fontId="14" fillId="29" borderId="47" xfId="46" applyFill="1" applyBorder="1" applyAlignment="1" applyProtection="1">
      <alignment horizontal="left" wrapText="1"/>
      <protection locked="0"/>
    </xf>
    <xf numFmtId="0" fontId="14" fillId="29" borderId="0" xfId="46" applyFill="1" applyBorder="1" applyAlignment="1" applyProtection="1">
      <alignment horizontal="left" wrapText="1"/>
      <protection locked="0"/>
    </xf>
    <xf numFmtId="0" fontId="14" fillId="29" borderId="15" xfId="46" applyFill="1" applyBorder="1" applyAlignment="1" applyProtection="1">
      <alignment horizontal="left" wrapText="1"/>
      <protection locked="0"/>
    </xf>
    <xf numFmtId="0" fontId="14" fillId="29" borderId="18" xfId="46" applyFill="1" applyBorder="1" applyAlignment="1" applyProtection="1">
      <alignment horizontal="left" wrapText="1"/>
      <protection locked="0"/>
    </xf>
    <xf numFmtId="0" fontId="14" fillId="0" borderId="33" xfId="46" applyBorder="1" applyAlignment="1" applyProtection="1">
      <alignment horizontal="left" wrapText="1"/>
      <protection locked="0"/>
    </xf>
    <xf numFmtId="0" fontId="14" fillId="29" borderId="57" xfId="46" applyFill="1" applyBorder="1" applyAlignment="1" applyProtection="1">
      <alignment horizontal="left" wrapText="1"/>
      <protection locked="0"/>
    </xf>
    <xf numFmtId="0" fontId="14" fillId="29" borderId="14" xfId="46" applyFill="1" applyBorder="1" applyAlignment="1" applyProtection="1">
      <alignment horizontal="left" wrapText="1"/>
      <protection locked="0"/>
    </xf>
    <xf numFmtId="0" fontId="14" fillId="29" borderId="85" xfId="46" applyFill="1" applyBorder="1" applyAlignment="1" applyProtection="1">
      <alignment horizontal="left" wrapText="1"/>
      <protection locked="0"/>
    </xf>
    <xf numFmtId="0" fontId="17" fillId="64" borderId="72" xfId="46" applyFont="1" applyFill="1" applyBorder="1" applyAlignment="1" applyProtection="1">
      <alignment horizontal="center" vertical="center"/>
      <protection locked="0"/>
    </xf>
    <xf numFmtId="0" fontId="17" fillId="64" borderId="11" xfId="46" applyFont="1" applyFill="1" applyBorder="1" applyAlignment="1" applyProtection="1">
      <alignment horizontal="center" vertical="center"/>
      <protection locked="0"/>
    </xf>
    <xf numFmtId="0" fontId="17" fillId="64" borderId="43" xfId="46" applyFont="1" applyFill="1" applyBorder="1" applyAlignment="1" applyProtection="1">
      <alignment horizontal="center" vertical="center" wrapText="1"/>
      <protection locked="0"/>
    </xf>
    <xf numFmtId="0" fontId="14" fillId="64" borderId="40" xfId="46" applyFill="1" applyBorder="1" applyAlignment="1" applyProtection="1">
      <alignment horizontal="center" vertical="center" wrapText="1"/>
      <protection locked="0"/>
    </xf>
    <xf numFmtId="0" fontId="14" fillId="64" borderId="91" xfId="46" applyFill="1" applyBorder="1" applyAlignment="1" applyProtection="1">
      <alignment horizontal="center" vertical="center" wrapText="1"/>
      <protection locked="0"/>
    </xf>
    <xf numFmtId="0" fontId="17" fillId="0" borderId="32" xfId="46" applyFont="1" applyFill="1" applyBorder="1" applyAlignment="1" applyProtection="1">
      <alignment vertical="center" wrapText="1"/>
      <protection locked="0"/>
    </xf>
    <xf numFmtId="0" fontId="17" fillId="0" borderId="24" xfId="46" applyFont="1" applyFill="1" applyBorder="1" applyAlignment="1" applyProtection="1">
      <alignment vertical="center" wrapText="1"/>
      <protection locked="0"/>
    </xf>
    <xf numFmtId="0" fontId="17" fillId="0" borderId="27" xfId="46" applyFont="1" applyFill="1" applyBorder="1" applyAlignment="1" applyProtection="1">
      <alignment vertical="center" wrapText="1"/>
      <protection locked="0"/>
    </xf>
    <xf numFmtId="0" fontId="17" fillId="0" borderId="10" xfId="46" applyFont="1" applyFill="1" applyBorder="1" applyAlignment="1" applyProtection="1">
      <alignment vertical="center" wrapText="1"/>
      <protection locked="0"/>
    </xf>
    <xf numFmtId="0" fontId="17" fillId="64" borderId="45" xfId="46" applyFont="1" applyFill="1" applyBorder="1" applyAlignment="1" applyProtection="1">
      <alignment horizontal="center" vertical="center" wrapText="1"/>
      <protection locked="0"/>
    </xf>
    <xf numFmtId="0" fontId="17" fillId="64" borderId="29" xfId="46" applyFont="1" applyFill="1" applyBorder="1" applyAlignment="1" applyProtection="1">
      <alignment horizontal="center" vertical="center" wrapText="1"/>
      <protection locked="0"/>
    </xf>
    <xf numFmtId="0" fontId="17" fillId="64" borderId="54" xfId="46" applyFont="1" applyFill="1" applyBorder="1" applyAlignment="1" applyProtection="1">
      <alignment horizontal="center" vertical="center" wrapText="1"/>
      <protection locked="0"/>
    </xf>
    <xf numFmtId="0" fontId="17" fillId="64" borderId="70" xfId="46" applyFont="1" applyFill="1" applyBorder="1" applyAlignment="1" applyProtection="1">
      <alignment horizontal="center" vertical="center"/>
      <protection locked="0"/>
    </xf>
    <xf numFmtId="0" fontId="17" fillId="64" borderId="0" xfId="46" applyFont="1" applyFill="1" applyBorder="1" applyAlignment="1" applyProtection="1">
      <alignment horizontal="center" vertical="center"/>
      <protection locked="0"/>
    </xf>
    <xf numFmtId="0" fontId="17" fillId="64" borderId="45" xfId="46" applyFont="1" applyFill="1" applyBorder="1" applyAlignment="1" applyProtection="1">
      <alignment horizontal="center" wrapText="1"/>
      <protection locked="0"/>
    </xf>
    <xf numFmtId="0" fontId="17" fillId="64" borderId="29" xfId="46" applyFont="1" applyFill="1" applyBorder="1" applyAlignment="1" applyProtection="1">
      <alignment horizontal="center" wrapText="1"/>
      <protection locked="0"/>
    </xf>
    <xf numFmtId="0" fontId="17" fillId="64" borderId="31" xfId="46" applyFont="1" applyFill="1" applyBorder="1" applyAlignment="1" applyProtection="1">
      <alignment horizontal="center" wrapText="1"/>
      <protection locked="0"/>
    </xf>
    <xf numFmtId="0" fontId="142" fillId="67" borderId="105" xfId="0" applyFont="1" applyFill="1" applyBorder="1" applyAlignment="1" applyProtection="1">
      <alignment horizontal="center"/>
    </xf>
    <xf numFmtId="0" fontId="142" fillId="67" borderId="18" xfId="0" applyFont="1" applyFill="1" applyBorder="1" applyAlignment="1" applyProtection="1">
      <alignment horizontal="center"/>
    </xf>
    <xf numFmtId="0" fontId="142" fillId="67" borderId="109" xfId="0" applyFont="1" applyFill="1" applyBorder="1" applyAlignment="1" applyProtection="1">
      <alignment horizontal="center"/>
    </xf>
    <xf numFmtId="0" fontId="142" fillId="67" borderId="15" xfId="0" applyFont="1" applyFill="1" applyBorder="1" applyAlignment="1" applyProtection="1">
      <alignment horizontal="center"/>
    </xf>
    <xf numFmtId="0" fontId="142" fillId="67" borderId="76" xfId="0" applyFont="1" applyFill="1" applyBorder="1" applyAlignment="1" applyProtection="1">
      <alignment horizontal="center"/>
    </xf>
    <xf numFmtId="0" fontId="142" fillId="67" borderId="16" xfId="0" applyFont="1" applyFill="1" applyBorder="1" applyAlignment="1" applyProtection="1">
      <alignment horizontal="center"/>
    </xf>
    <xf numFmtId="1" fontId="137" fillId="85" borderId="10" xfId="0" applyNumberFormat="1" applyFont="1" applyFill="1" applyBorder="1" applyAlignment="1" applyProtection="1">
      <alignment horizontal="center"/>
      <protection locked="0"/>
    </xf>
    <xf numFmtId="0" fontId="137" fillId="67" borderId="105" xfId="0" applyFont="1" applyFill="1" applyBorder="1" applyAlignment="1" applyProtection="1">
      <alignment horizontal="center"/>
    </xf>
    <xf numFmtId="0" fontId="137" fillId="67" borderId="18" xfId="0" applyFont="1" applyFill="1" applyBorder="1" applyAlignment="1" applyProtection="1">
      <alignment horizontal="center"/>
    </xf>
    <xf numFmtId="0" fontId="137" fillId="67" borderId="109" xfId="0" applyFont="1" applyFill="1" applyBorder="1" applyAlignment="1" applyProtection="1">
      <alignment horizontal="center"/>
    </xf>
    <xf numFmtId="0" fontId="137" fillId="67" borderId="15" xfId="0" applyFont="1" applyFill="1" applyBorder="1" applyAlignment="1" applyProtection="1">
      <alignment horizontal="center"/>
    </xf>
    <xf numFmtId="0" fontId="137" fillId="67" borderId="76" xfId="0" applyFont="1" applyFill="1" applyBorder="1" applyAlignment="1" applyProtection="1">
      <alignment horizontal="center"/>
    </xf>
    <xf numFmtId="0" fontId="137" fillId="67" borderId="16" xfId="0" applyFont="1" applyFill="1" applyBorder="1" applyAlignment="1" applyProtection="1">
      <alignment horizontal="center"/>
    </xf>
    <xf numFmtId="195" fontId="137" fillId="0" borderId="10" xfId="0" applyNumberFormat="1" applyFont="1" applyFill="1" applyBorder="1" applyAlignment="1" applyProtection="1">
      <alignment horizontal="left" vertical="center"/>
    </xf>
    <xf numFmtId="1" fontId="137" fillId="85" borderId="174" xfId="0" applyNumberFormat="1" applyFont="1" applyFill="1" applyBorder="1" applyAlignment="1" applyProtection="1">
      <alignment horizontal="center"/>
      <protection locked="0"/>
    </xf>
    <xf numFmtId="1" fontId="137" fillId="85" borderId="175" xfId="0" applyNumberFormat="1" applyFont="1" applyFill="1" applyBorder="1" applyAlignment="1" applyProtection="1">
      <alignment horizontal="center"/>
      <protection locked="0"/>
    </xf>
    <xf numFmtId="0" fontId="141" fillId="0" borderId="10" xfId="0" applyFont="1" applyFill="1" applyBorder="1" applyAlignment="1" applyProtection="1">
      <alignment horizontal="left" vertical="center" wrapText="1"/>
    </xf>
    <xf numFmtId="0" fontId="145" fillId="0" borderId="10" xfId="0" applyFont="1" applyFill="1" applyBorder="1" applyAlignment="1" applyProtection="1">
      <alignment horizontal="left" vertical="center"/>
    </xf>
    <xf numFmtId="0" fontId="142" fillId="0" borderId="10" xfId="0" applyFont="1" applyFill="1" applyBorder="1" applyAlignment="1" applyProtection="1">
      <alignment horizontal="left" vertical="center" wrapText="1"/>
    </xf>
    <xf numFmtId="0" fontId="142" fillId="67" borderId="105" xfId="0" applyFont="1" applyFill="1" applyBorder="1" applyAlignment="1" applyProtection="1">
      <alignment horizontal="center" wrapText="1"/>
    </xf>
    <xf numFmtId="0" fontId="142" fillId="67" borderId="109" xfId="0" applyFont="1" applyFill="1" applyBorder="1" applyAlignment="1" applyProtection="1">
      <alignment horizontal="center" wrapText="1"/>
    </xf>
    <xf numFmtId="0" fontId="142" fillId="67" borderId="76" xfId="0" applyFont="1" applyFill="1" applyBorder="1" applyAlignment="1" applyProtection="1">
      <alignment horizontal="center" wrapText="1"/>
    </xf>
    <xf numFmtId="0" fontId="141" fillId="0" borderId="10" xfId="0" applyFont="1" applyFill="1" applyBorder="1" applyAlignment="1" applyProtection="1">
      <alignment horizontal="left" vertical="center"/>
    </xf>
    <xf numFmtId="196" fontId="142" fillId="29" borderId="170" xfId="138" applyNumberFormat="1" applyFont="1" applyFill="1" applyBorder="1" applyAlignment="1" applyProtection="1">
      <alignment horizontal="center" vertical="center" wrapText="1"/>
      <protection locked="0"/>
    </xf>
    <xf numFmtId="196" fontId="137" fillId="0" borderId="170" xfId="138" applyNumberFormat="1" applyFont="1" applyFill="1" applyBorder="1" applyAlignment="1" applyProtection="1">
      <alignment horizontal="center" vertical="center" wrapText="1"/>
    </xf>
    <xf numFmtId="10" fontId="143" fillId="0" borderId="170" xfId="139" applyNumberFormat="1" applyFont="1" applyFill="1" applyBorder="1" applyAlignment="1" applyProtection="1">
      <alignment horizontal="right"/>
    </xf>
    <xf numFmtId="44" fontId="17" fillId="0" borderId="32" xfId="0" applyNumberFormat="1" applyFont="1" applyFill="1" applyBorder="1" applyAlignment="1" applyProtection="1">
      <alignment horizontal="center"/>
    </xf>
    <xf numFmtId="44" fontId="17" fillId="0" borderId="61" xfId="0" applyNumberFormat="1" applyFont="1" applyFill="1" applyBorder="1" applyAlignment="1" applyProtection="1">
      <alignment horizontal="center"/>
    </xf>
    <xf numFmtId="0" fontId="138" fillId="0" borderId="0" xfId="0" applyFont="1" applyBorder="1" applyAlignment="1" applyProtection="1">
      <alignment horizontal="center" vertical="top"/>
    </xf>
    <xf numFmtId="0" fontId="19" fillId="0" borderId="86" xfId="0" applyFont="1" applyBorder="1" applyAlignment="1" applyProtection="1">
      <alignment horizontal="center"/>
    </xf>
    <xf numFmtId="0" fontId="19" fillId="0" borderId="64" xfId="0" applyFont="1" applyBorder="1" applyAlignment="1" applyProtection="1">
      <alignment horizontal="center"/>
    </xf>
    <xf numFmtId="0" fontId="19" fillId="0" borderId="22" xfId="0" applyFont="1" applyBorder="1" applyAlignment="1" applyProtection="1">
      <alignment horizontal="center"/>
    </xf>
    <xf numFmtId="0" fontId="17" fillId="0" borderId="43" xfId="0" applyFont="1" applyBorder="1" applyAlignment="1" applyProtection="1">
      <alignment horizontal="center" vertical="top"/>
    </xf>
    <xf numFmtId="0" fontId="17" fillId="0" borderId="41" xfId="0" applyFont="1" applyBorder="1" applyAlignment="1" applyProtection="1">
      <alignment horizontal="center" vertical="top"/>
    </xf>
    <xf numFmtId="0" fontId="137" fillId="0" borderId="167" xfId="138" applyNumberFormat="1" applyFont="1" applyFill="1" applyBorder="1" applyAlignment="1" applyProtection="1">
      <alignment horizontal="center" vertical="center"/>
    </xf>
    <xf numFmtId="197" fontId="141" fillId="64" borderId="178" xfId="0" applyNumberFormat="1" applyFont="1" applyFill="1" applyBorder="1" applyAlignment="1" applyProtection="1">
      <alignment horizontal="center"/>
    </xf>
    <xf numFmtId="197" fontId="141" fillId="64" borderId="173" xfId="0" applyNumberFormat="1" applyFont="1" applyFill="1" applyBorder="1" applyAlignment="1" applyProtection="1">
      <alignment horizontal="center"/>
    </xf>
    <xf numFmtId="195" fontId="137" fillId="0" borderId="168" xfId="138" applyNumberFormat="1" applyFont="1" applyFill="1" applyBorder="1" applyAlignment="1" applyProtection="1">
      <alignment horizontal="center" vertical="center" wrapText="1"/>
    </xf>
    <xf numFmtId="195" fontId="137" fillId="0" borderId="169" xfId="138" applyNumberFormat="1" applyFont="1" applyFill="1" applyBorder="1" applyAlignment="1" applyProtection="1">
      <alignment horizontal="center" vertical="center" wrapText="1"/>
    </xf>
    <xf numFmtId="0" fontId="141" fillId="0" borderId="86" xfId="0" applyFont="1" applyFill="1" applyBorder="1" applyAlignment="1" applyProtection="1">
      <alignment horizontal="left" vertical="center"/>
    </xf>
    <xf numFmtId="0" fontId="141" fillId="0" borderId="64" xfId="0" applyFont="1" applyFill="1" applyBorder="1" applyAlignment="1" applyProtection="1">
      <alignment horizontal="left" vertical="center"/>
    </xf>
    <xf numFmtId="0" fontId="141" fillId="0" borderId="23" xfId="0" applyFont="1" applyFill="1" applyBorder="1" applyAlignment="1" applyProtection="1">
      <alignment horizontal="left" vertical="center"/>
    </xf>
    <xf numFmtId="0" fontId="141" fillId="64" borderId="109" xfId="0" applyFont="1" applyFill="1" applyBorder="1" applyAlignment="1" applyProtection="1">
      <alignment horizontal="center" vertical="center"/>
    </xf>
    <xf numFmtId="0" fontId="141" fillId="64" borderId="15" xfId="0" applyFont="1" applyFill="1" applyBorder="1" applyAlignment="1" applyProtection="1">
      <alignment horizontal="center" vertical="center"/>
    </xf>
    <xf numFmtId="44" fontId="141" fillId="29" borderId="102" xfId="29" applyNumberFormat="1" applyFont="1" applyFill="1" applyBorder="1" applyAlignment="1" applyProtection="1">
      <alignment horizontal="center" vertical="center"/>
      <protection locked="0"/>
    </xf>
    <xf numFmtId="44" fontId="141" fillId="29" borderId="81" xfId="29" applyNumberFormat="1" applyFont="1" applyFill="1" applyBorder="1" applyAlignment="1" applyProtection="1">
      <alignment horizontal="center" vertical="center"/>
      <protection locked="0"/>
    </xf>
    <xf numFmtId="167" fontId="17" fillId="0" borderId="86" xfId="29" applyFont="1" applyFill="1" applyBorder="1" applyAlignment="1" applyProtection="1">
      <alignment horizontal="center"/>
    </xf>
    <xf numFmtId="167" fontId="17" fillId="0" borderId="22" xfId="29" applyFont="1" applyFill="1" applyBorder="1" applyAlignment="1" applyProtection="1">
      <alignment horizontal="center"/>
    </xf>
    <xf numFmtId="0" fontId="47" fillId="64" borderId="43" xfId="0" applyFont="1" applyFill="1" applyBorder="1" applyAlignment="1" applyProtection="1">
      <alignment horizontal="center" vertical="top"/>
    </xf>
    <xf numFmtId="0" fontId="47" fillId="64" borderId="41" xfId="0" applyFont="1" applyFill="1" applyBorder="1" applyAlignment="1" applyProtection="1">
      <alignment horizontal="center" vertical="top"/>
    </xf>
    <xf numFmtId="194" fontId="137" fillId="0" borderId="168" xfId="138" applyFont="1" applyFill="1" applyBorder="1" applyAlignment="1" applyProtection="1">
      <alignment horizontal="center" vertical="center" wrapText="1"/>
    </xf>
    <xf numFmtId="194" fontId="137" fillId="0" borderId="172" xfId="138" applyFont="1" applyFill="1" applyBorder="1" applyAlignment="1" applyProtection="1">
      <alignment horizontal="center" vertical="center" wrapText="1"/>
    </xf>
    <xf numFmtId="194" fontId="137" fillId="0" borderId="169" xfId="138" applyFont="1" applyFill="1" applyBorder="1" applyAlignment="1" applyProtection="1">
      <alignment horizontal="center" vertical="center" wrapText="1"/>
    </xf>
  </cellXfs>
  <cellStyles count="169">
    <cellStyle name="$" xfId="103" xr:uid="{00000000-0005-0000-0000-000000000000}"/>
    <cellStyle name="$.00" xfId="104" xr:uid="{00000000-0005-0000-0000-000001000000}"/>
    <cellStyle name="$_9. Rev2Cost_GDPIPI" xfId="105" xr:uid="{00000000-0005-0000-0000-000002000000}"/>
    <cellStyle name="$_lists" xfId="106" xr:uid="{00000000-0005-0000-0000-000003000000}"/>
    <cellStyle name="$_lists_4. Current Monthly Fixed Charge" xfId="107" xr:uid="{00000000-0005-0000-0000-000004000000}"/>
    <cellStyle name="$_Sheet4" xfId="108" xr:uid="{00000000-0005-0000-0000-000005000000}"/>
    <cellStyle name="$M" xfId="109" xr:uid="{00000000-0005-0000-0000-000006000000}"/>
    <cellStyle name="$M.00" xfId="110" xr:uid="{00000000-0005-0000-0000-000007000000}"/>
    <cellStyle name="$M_9. Rev2Cost_GDPIPI" xfId="111" xr:uid="{00000000-0005-0000-0000-000008000000}"/>
    <cellStyle name="20% - Accent1" xfId="1" builtinId="30" customBuiltin="1"/>
    <cellStyle name="20% - Accent1 2" xfId="67" xr:uid="{00000000-0005-0000-0000-00000A000000}"/>
    <cellStyle name="20% - Accent1 2 2" xfId="147" xr:uid="{00000000-0005-0000-0000-00000A000000}"/>
    <cellStyle name="20% - Accent2" xfId="2" builtinId="34" customBuiltin="1"/>
    <cellStyle name="20% - Accent2 2" xfId="71" xr:uid="{00000000-0005-0000-0000-00000C000000}"/>
    <cellStyle name="20% - Accent2 2 2" xfId="149" xr:uid="{00000000-0005-0000-0000-00000C000000}"/>
    <cellStyle name="20% - Accent3" xfId="3" builtinId="38" customBuiltin="1"/>
    <cellStyle name="20% - Accent3 2" xfId="75" xr:uid="{00000000-0005-0000-0000-00000E000000}"/>
    <cellStyle name="20% - Accent3 2 2" xfId="151" xr:uid="{00000000-0005-0000-0000-00000E000000}"/>
    <cellStyle name="20% - Accent4" xfId="4" builtinId="42" customBuiltin="1"/>
    <cellStyle name="20% - Accent4 2" xfId="79" xr:uid="{00000000-0005-0000-0000-000010000000}"/>
    <cellStyle name="20% - Accent4 2 2" xfId="153" xr:uid="{00000000-0005-0000-0000-000010000000}"/>
    <cellStyle name="20% - Accent5" xfId="5" builtinId="46" customBuiltin="1"/>
    <cellStyle name="20% - Accent5 2" xfId="83" xr:uid="{00000000-0005-0000-0000-000012000000}"/>
    <cellStyle name="20% - Accent5 2 2" xfId="155" xr:uid="{00000000-0005-0000-0000-000012000000}"/>
    <cellStyle name="20% - Accent6" xfId="6" builtinId="50" customBuiltin="1"/>
    <cellStyle name="20% - Accent6 2" xfId="87" xr:uid="{00000000-0005-0000-0000-000014000000}"/>
    <cellStyle name="20% - Accent6 2 2" xfId="157" xr:uid="{00000000-0005-0000-0000-000014000000}"/>
    <cellStyle name="40% - Accent1" xfId="7" builtinId="31" customBuiltin="1"/>
    <cellStyle name="40% - Accent1 2" xfId="68" xr:uid="{00000000-0005-0000-0000-000016000000}"/>
    <cellStyle name="40% - Accent1 2 2" xfId="148" xr:uid="{00000000-0005-0000-0000-000016000000}"/>
    <cellStyle name="40% - Accent2" xfId="8" builtinId="35" customBuiltin="1"/>
    <cellStyle name="40% - Accent2 2" xfId="72" xr:uid="{00000000-0005-0000-0000-000018000000}"/>
    <cellStyle name="40% - Accent2 2 2" xfId="150" xr:uid="{00000000-0005-0000-0000-000018000000}"/>
    <cellStyle name="40% - Accent3" xfId="9" builtinId="39" customBuiltin="1"/>
    <cellStyle name="40% - Accent3 2" xfId="76" xr:uid="{00000000-0005-0000-0000-00001A000000}"/>
    <cellStyle name="40% - Accent3 2 2" xfId="152" xr:uid="{00000000-0005-0000-0000-00001A000000}"/>
    <cellStyle name="40% - Accent4" xfId="10" builtinId="43" customBuiltin="1"/>
    <cellStyle name="40% - Accent4 2" xfId="80" xr:uid="{00000000-0005-0000-0000-00001C000000}"/>
    <cellStyle name="40% - Accent4 2 2" xfId="154" xr:uid="{00000000-0005-0000-0000-00001C000000}"/>
    <cellStyle name="40% - Accent5" xfId="11" builtinId="47" customBuiltin="1"/>
    <cellStyle name="40% - Accent5 2" xfId="84" xr:uid="{00000000-0005-0000-0000-00001E000000}"/>
    <cellStyle name="40% - Accent5 2 2" xfId="156" xr:uid="{00000000-0005-0000-0000-00001E000000}"/>
    <cellStyle name="40% - Accent6" xfId="12" builtinId="51" customBuiltin="1"/>
    <cellStyle name="40% - Accent6 2" xfId="88" xr:uid="{00000000-0005-0000-0000-000020000000}"/>
    <cellStyle name="40% - Accent6 2 2" xfId="158" xr:uid="{00000000-0005-0000-0000-000020000000}"/>
    <cellStyle name="60% - Accent1" xfId="13" builtinId="32" customBuiltin="1"/>
    <cellStyle name="60% - Accent1 2" xfId="69" xr:uid="{00000000-0005-0000-0000-000022000000}"/>
    <cellStyle name="60% - Accent2" xfId="14" builtinId="36" customBuiltin="1"/>
    <cellStyle name="60% - Accent2 2" xfId="73" xr:uid="{00000000-0005-0000-0000-000024000000}"/>
    <cellStyle name="60% - Accent3" xfId="15" builtinId="40" customBuiltin="1"/>
    <cellStyle name="60% - Accent3 2" xfId="77" xr:uid="{00000000-0005-0000-0000-000026000000}"/>
    <cellStyle name="60% - Accent4" xfId="16" builtinId="44" customBuiltin="1"/>
    <cellStyle name="60% - Accent4 2" xfId="81" xr:uid="{00000000-0005-0000-0000-000028000000}"/>
    <cellStyle name="60% - Accent5" xfId="17" builtinId="48" customBuiltin="1"/>
    <cellStyle name="60% - Accent5 2" xfId="85" xr:uid="{00000000-0005-0000-0000-00002A000000}"/>
    <cellStyle name="60% - Accent6" xfId="18" builtinId="52" customBuiltin="1"/>
    <cellStyle name="60% - Accent6 2" xfId="89" xr:uid="{00000000-0005-0000-0000-00002C000000}"/>
    <cellStyle name="Accent1" xfId="19" builtinId="29" customBuiltin="1"/>
    <cellStyle name="Accent1 2" xfId="66" xr:uid="{00000000-0005-0000-0000-00002E000000}"/>
    <cellStyle name="Accent2" xfId="20" builtinId="33" customBuiltin="1"/>
    <cellStyle name="Accent2 2" xfId="70" xr:uid="{00000000-0005-0000-0000-000030000000}"/>
    <cellStyle name="Accent3" xfId="21" builtinId="37" customBuiltin="1"/>
    <cellStyle name="Accent3 2" xfId="74" xr:uid="{00000000-0005-0000-0000-000032000000}"/>
    <cellStyle name="Accent4" xfId="22" builtinId="41" customBuiltin="1"/>
    <cellStyle name="Accent4 2" xfId="78" xr:uid="{00000000-0005-0000-0000-000034000000}"/>
    <cellStyle name="Accent5" xfId="23" builtinId="45" customBuiltin="1"/>
    <cellStyle name="Accent5 2" xfId="82" xr:uid="{00000000-0005-0000-0000-000036000000}"/>
    <cellStyle name="Accent6" xfId="24" builtinId="49" customBuiltin="1"/>
    <cellStyle name="Accent6 2" xfId="86" xr:uid="{00000000-0005-0000-0000-000038000000}"/>
    <cellStyle name="Bad" xfId="25" builtinId="27" customBuiltin="1"/>
    <cellStyle name="Bad 2" xfId="55" xr:uid="{00000000-0005-0000-0000-00003A000000}"/>
    <cellStyle name="Calculation" xfId="26" builtinId="22" customBuiltin="1"/>
    <cellStyle name="Calculation 2" xfId="59" xr:uid="{00000000-0005-0000-0000-00003C000000}"/>
    <cellStyle name="Check Cell" xfId="27" builtinId="23" customBuiltin="1"/>
    <cellStyle name="Check Cell 2" xfId="61" xr:uid="{00000000-0005-0000-0000-00003E000000}"/>
    <cellStyle name="Comma" xfId="28" builtinId="3"/>
    <cellStyle name="Comma 2" xfId="91" xr:uid="{00000000-0005-0000-0000-000040000000}"/>
    <cellStyle name="Comma 2 2" xfId="160" xr:uid="{00000000-0005-0000-0000-000040000000}"/>
    <cellStyle name="Comma 3" xfId="94" xr:uid="{00000000-0005-0000-0000-000041000000}"/>
    <cellStyle name="Comma 3 2" xfId="127" xr:uid="{00000000-0005-0000-0000-000042000000}"/>
    <cellStyle name="Comma 3 2 2" xfId="131" xr:uid="{00000000-0005-0000-0000-000043000000}"/>
    <cellStyle name="Comma 3 3" xfId="163" xr:uid="{00000000-0005-0000-0000-000041000000}"/>
    <cellStyle name="Comma 4" xfId="102" xr:uid="{00000000-0005-0000-0000-000044000000}"/>
    <cellStyle name="Comma 4 2" xfId="168" xr:uid="{00000000-0005-0000-0000-000042000000}"/>
    <cellStyle name="Comma 5" xfId="135" xr:uid="{00000000-0005-0000-0000-000045000000}"/>
    <cellStyle name="Comma 6" xfId="138" xr:uid="{00000000-0005-0000-0000-000046000000}"/>
    <cellStyle name="Comma0" xfId="112" xr:uid="{00000000-0005-0000-0000-000047000000}"/>
    <cellStyle name="Currency" xfId="29" builtinId="4"/>
    <cellStyle name="Currency 2" xfId="101" xr:uid="{00000000-0005-0000-0000-000049000000}"/>
    <cellStyle name="Currency 2 2" xfId="137" xr:uid="{00000000-0005-0000-0000-00004A000000}"/>
    <cellStyle name="Currency 2 3" xfId="167" xr:uid="{00000000-0005-0000-0000-000045000000}"/>
    <cellStyle name="Currency 3" xfId="129" xr:uid="{00000000-0005-0000-0000-00004B000000}"/>
    <cellStyle name="Currency 4" xfId="134" xr:uid="{00000000-0005-0000-0000-00004C000000}"/>
    <cellStyle name="Currency 6" xfId="140" xr:uid="{00000000-0005-0000-0000-00004D000000}"/>
    <cellStyle name="Currency0" xfId="113" xr:uid="{00000000-0005-0000-0000-00004E000000}"/>
    <cellStyle name="Date" xfId="114" xr:uid="{00000000-0005-0000-0000-00004F000000}"/>
    <cellStyle name="Explanatory Text" xfId="30" builtinId="53" customBuiltin="1"/>
    <cellStyle name="Explanatory Text 2" xfId="64" xr:uid="{00000000-0005-0000-0000-000051000000}"/>
    <cellStyle name="Fixed" xfId="115" xr:uid="{00000000-0005-0000-0000-000052000000}"/>
    <cellStyle name="Good" xfId="31" builtinId="26" customBuiltin="1"/>
    <cellStyle name="Good 2" xfId="54" xr:uid="{00000000-0005-0000-0000-000054000000}"/>
    <cellStyle name="Grey" xfId="116" xr:uid="{00000000-0005-0000-0000-000055000000}"/>
    <cellStyle name="Heading 1" xfId="32" builtinId="16" customBuiltin="1"/>
    <cellStyle name="Heading 1 2" xfId="50" xr:uid="{00000000-0005-0000-0000-000057000000}"/>
    <cellStyle name="Heading 2" xfId="33" builtinId="17" customBuiltin="1"/>
    <cellStyle name="Heading 2 2" xfId="49" xr:uid="{00000000-0005-0000-0000-000059000000}"/>
    <cellStyle name="Heading 3" xfId="34" builtinId="18" customBuiltin="1"/>
    <cellStyle name="Heading 3 2" xfId="52" xr:uid="{00000000-0005-0000-0000-00005B000000}"/>
    <cellStyle name="Heading 4" xfId="35" builtinId="19" customBuiltin="1"/>
    <cellStyle name="Heading 4 2" xfId="53" xr:uid="{00000000-0005-0000-0000-00005D000000}"/>
    <cellStyle name="Hyperlink" xfId="36" builtinId="8"/>
    <cellStyle name="Input" xfId="37" builtinId="20" customBuiltin="1"/>
    <cellStyle name="Input [yellow]" xfId="117" xr:uid="{00000000-0005-0000-0000-000060000000}"/>
    <cellStyle name="Input 2" xfId="57" xr:uid="{00000000-0005-0000-0000-000061000000}"/>
    <cellStyle name="Linked Cell" xfId="38" builtinId="24" customBuiltin="1"/>
    <cellStyle name="Linked Cell 2" xfId="60" xr:uid="{00000000-0005-0000-0000-000063000000}"/>
    <cellStyle name="M" xfId="118" xr:uid="{00000000-0005-0000-0000-000064000000}"/>
    <cellStyle name="M.00" xfId="119" xr:uid="{00000000-0005-0000-0000-000065000000}"/>
    <cellStyle name="M_9. Rev2Cost_GDPIPI" xfId="120" xr:uid="{00000000-0005-0000-0000-000066000000}"/>
    <cellStyle name="M_lists" xfId="121" xr:uid="{00000000-0005-0000-0000-000067000000}"/>
    <cellStyle name="M_lists_4. Current Monthly Fixed Charge" xfId="122" xr:uid="{00000000-0005-0000-0000-000068000000}"/>
    <cellStyle name="M_Sheet4" xfId="123" xr:uid="{00000000-0005-0000-0000-000069000000}"/>
    <cellStyle name="Neutral" xfId="39" builtinId="28" customBuiltin="1"/>
    <cellStyle name="Neutral 2" xfId="56" xr:uid="{00000000-0005-0000-0000-00006B000000}"/>
    <cellStyle name="Normal" xfId="0" builtinId="0"/>
    <cellStyle name="Normal - Style1" xfId="124" xr:uid="{00000000-0005-0000-0000-00006D000000}"/>
    <cellStyle name="Normal 14" xfId="142" xr:uid="{00000000-0005-0000-0000-00006E000000}"/>
    <cellStyle name="Normal 2" xfId="46" xr:uid="{00000000-0005-0000-0000-00006F000000}"/>
    <cellStyle name="Normal 2 2 3" xfId="141" xr:uid="{00000000-0005-0000-0000-000070000000}"/>
    <cellStyle name="Normal 3" xfId="51" xr:uid="{00000000-0005-0000-0000-000071000000}"/>
    <cellStyle name="Normal 3 2" xfId="145" xr:uid="{00000000-0005-0000-0000-000068000000}"/>
    <cellStyle name="Normal 4" xfId="90" xr:uid="{00000000-0005-0000-0000-000072000000}"/>
    <cellStyle name="Normal 4 2" xfId="159" xr:uid="{00000000-0005-0000-0000-000069000000}"/>
    <cellStyle name="Normal 5" xfId="93" xr:uid="{00000000-0005-0000-0000-000073000000}"/>
    <cellStyle name="Normal 5 2" xfId="126" xr:uid="{00000000-0005-0000-0000-000074000000}"/>
    <cellStyle name="Normal 5 2 2" xfId="130" xr:uid="{00000000-0005-0000-0000-000075000000}"/>
    <cellStyle name="Normal 5 3" xfId="162" xr:uid="{00000000-0005-0000-0000-00006A000000}"/>
    <cellStyle name="Normal 6" xfId="99" xr:uid="{00000000-0005-0000-0000-000076000000}"/>
    <cellStyle name="Normal 6 2" xfId="165" xr:uid="{00000000-0005-0000-0000-00006B000000}"/>
    <cellStyle name="Normal 7" xfId="133" xr:uid="{00000000-0005-0000-0000-000077000000}"/>
    <cellStyle name="Normal 8" xfId="143" xr:uid="{00000000-0005-0000-0000-0000A3000000}"/>
    <cellStyle name="Normal_PPE Deferral Account Schedule for 2013 MIFRS CoS applications (2)" xfId="47" xr:uid="{00000000-0005-0000-0000-000078000000}"/>
    <cellStyle name="Normal_Service Quality" xfId="96" xr:uid="{00000000-0005-0000-0000-000079000000}"/>
    <cellStyle name="Normal_Sheet2" xfId="97" xr:uid="{00000000-0005-0000-0000-00007A000000}"/>
    <cellStyle name="Normal_Sheet3" xfId="98" xr:uid="{00000000-0005-0000-0000-00007B000000}"/>
    <cellStyle name="Note" xfId="40" builtinId="10" customBuiltin="1"/>
    <cellStyle name="Note 2" xfId="63" xr:uid="{00000000-0005-0000-0000-00007D000000}"/>
    <cellStyle name="Note 2 2" xfId="146" xr:uid="{00000000-0005-0000-0000-000078000000}"/>
    <cellStyle name="Note 3" xfId="144" xr:uid="{00000000-0005-0000-0000-0000AF000000}"/>
    <cellStyle name="Output" xfId="41" builtinId="21" customBuiltin="1"/>
    <cellStyle name="Output 2" xfId="58" xr:uid="{00000000-0005-0000-0000-00007F000000}"/>
    <cellStyle name="Percent" xfId="42" builtinId="5"/>
    <cellStyle name="Percent [2]" xfId="125" xr:uid="{00000000-0005-0000-0000-000081000000}"/>
    <cellStyle name="Percent 2" xfId="92" xr:uid="{00000000-0005-0000-0000-000082000000}"/>
    <cellStyle name="Percent 2 2" xfId="161" xr:uid="{00000000-0005-0000-0000-00007D000000}"/>
    <cellStyle name="Percent 3" xfId="95" xr:uid="{00000000-0005-0000-0000-000083000000}"/>
    <cellStyle name="Percent 3 2" xfId="128" xr:uid="{00000000-0005-0000-0000-000084000000}"/>
    <cellStyle name="Percent 3 2 2" xfId="132" xr:uid="{00000000-0005-0000-0000-000085000000}"/>
    <cellStyle name="Percent 3 3" xfId="164" xr:uid="{00000000-0005-0000-0000-00007E000000}"/>
    <cellStyle name="Percent 4" xfId="100" xr:uid="{00000000-0005-0000-0000-000086000000}"/>
    <cellStyle name="Percent 4 2" xfId="166" xr:uid="{00000000-0005-0000-0000-00007F000000}"/>
    <cellStyle name="Percent 5" xfId="136" xr:uid="{00000000-0005-0000-0000-000087000000}"/>
    <cellStyle name="Percent 6" xfId="139" xr:uid="{00000000-0005-0000-0000-000088000000}"/>
    <cellStyle name="Title" xfId="43" builtinId="15" customBuiltin="1"/>
    <cellStyle name="Title 2" xfId="48" xr:uid="{00000000-0005-0000-0000-00008A000000}"/>
    <cellStyle name="Total" xfId="44" builtinId="25" customBuiltin="1"/>
    <cellStyle name="Total 2" xfId="65" xr:uid="{00000000-0005-0000-0000-00008C000000}"/>
    <cellStyle name="Warning Text" xfId="45" builtinId="11" customBuiltin="1"/>
    <cellStyle name="Warning Text 2" xfId="62" xr:uid="{00000000-0005-0000-0000-00008E000000}"/>
  </cellStyles>
  <dxfs count="123">
    <dxf>
      <font>
        <b/>
        <i val="0"/>
        <condense val="0"/>
        <extend val="0"/>
        <color auto="1"/>
      </font>
      <fill>
        <patternFill>
          <bgColor indexed="10"/>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fgColor rgb="FFCCFFCC"/>
          <bgColor theme="6" tint="0.79998168889431442"/>
        </patternFill>
      </fill>
    </dxf>
    <dxf>
      <fill>
        <patternFill patternType="solid">
          <bgColor theme="6" tint="0.7999816888943144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auto="1"/>
      </font>
      <fill>
        <patternFill>
          <bgColor rgb="FFFF0000"/>
        </patternFill>
      </fill>
    </dxf>
    <dxf>
      <font>
        <color rgb="FF000000"/>
      </font>
    </dxf>
    <dxf>
      <font>
        <color rgb="FFFF0000"/>
      </font>
    </dxf>
    <dxf>
      <font>
        <color rgb="FFFF0000"/>
      </font>
    </dxf>
    <dxf>
      <font>
        <color rgb="FFFF0000"/>
      </font>
    </dxf>
    <dxf>
      <font>
        <color theme="0"/>
      </font>
    </dxf>
  </dxfs>
  <tableStyles count="0" defaultTableStyle="TableStyleMedium2" defaultPivotStyle="PivotStyleLight16"/>
  <colors>
    <mruColors>
      <color rgb="FF003399"/>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26.xml" Type="http://schemas.openxmlformats.org/officeDocument/2006/relationships/worksheet" Id="rId26"></Relationship><Relationship Target="worksheets/sheet21.xml" Type="http://schemas.openxmlformats.org/officeDocument/2006/relationships/worksheet" Id="rId21"></Relationship><Relationship Target="worksheets/sheet42.xml" Type="http://schemas.openxmlformats.org/officeDocument/2006/relationships/worksheet" Id="rId42"></Relationship><Relationship Target="worksheets/sheet47.xml" Type="http://schemas.openxmlformats.org/officeDocument/2006/relationships/worksheet" Id="rId47"></Relationship><Relationship Target="externalLinks/externalLink12.xml" Type="http://schemas.openxmlformats.org/officeDocument/2006/relationships/externalLink" Id="rId63"></Relationship><Relationship Target="externalLinks/externalLink17.xml" Type="http://schemas.openxmlformats.org/officeDocument/2006/relationships/externalLink" Id="rId68"></Relationship><Relationship Target="worksheets/sheet16.xml" Type="http://schemas.openxmlformats.org/officeDocument/2006/relationships/worksheet" Id="rId1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worksheets/sheet32.xml" Type="http://schemas.openxmlformats.org/officeDocument/2006/relationships/worksheet" Id="rId32"></Relationship><Relationship Target="worksheets/sheet37.xml" Type="http://schemas.openxmlformats.org/officeDocument/2006/relationships/worksheet" Id="rId37"></Relationship><Relationship Target="worksheets/sheet40.xml" Type="http://schemas.openxmlformats.org/officeDocument/2006/relationships/worksheet" Id="rId40"></Relationship><Relationship Target="worksheets/sheet45.xml" Type="http://schemas.openxmlformats.org/officeDocument/2006/relationships/worksheet" Id="rId45"></Relationship><Relationship Target="externalLinks/externalLink2.xml" Type="http://schemas.openxmlformats.org/officeDocument/2006/relationships/externalLink" Id="rId53"></Relationship><Relationship Target="externalLinks/externalLink7.xml" Type="http://schemas.openxmlformats.org/officeDocument/2006/relationships/externalLink" Id="rId58"></Relationship><Relationship Target="externalLinks/externalLink15.xml" Type="http://schemas.openxmlformats.org/officeDocument/2006/relationships/externalLink" Id="rId66"></Relationship><Relationship Target="styles.xml" Type="http://schemas.openxmlformats.org/officeDocument/2006/relationships/styles" Id="rId74"></Relationship><Relationship Target="worksheets/sheet5.xml" Type="http://schemas.openxmlformats.org/officeDocument/2006/relationships/worksheet" Id="rId5"></Relationship><Relationship Target="externalLinks/externalLink10.xml" Type="http://schemas.openxmlformats.org/officeDocument/2006/relationships/externalLink" Id="rId61"></Relationship><Relationship Target="worksheets/sheet19.xml" Type="http://schemas.openxmlformats.org/officeDocument/2006/relationships/worksheet" Id="rId1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worksheets/sheet30.xml" Type="http://schemas.openxmlformats.org/officeDocument/2006/relationships/worksheet" Id="rId30"></Relationship><Relationship Target="worksheets/sheet35.xml" Type="http://schemas.openxmlformats.org/officeDocument/2006/relationships/worksheet" Id="rId35"></Relationship><Relationship Target="worksheets/sheet43.xml" Type="http://schemas.openxmlformats.org/officeDocument/2006/relationships/worksheet" Id="rId43"></Relationship><Relationship Target="worksheets/sheet48.xml" Type="http://schemas.openxmlformats.org/officeDocument/2006/relationships/worksheet" Id="rId48"></Relationship><Relationship Target="externalLinks/externalLink5.xml" Type="http://schemas.openxmlformats.org/officeDocument/2006/relationships/externalLink" Id="rId56"></Relationship><Relationship Target="externalLinks/externalLink13.xml" Type="http://schemas.openxmlformats.org/officeDocument/2006/relationships/externalLink" Id="rId64"></Relationship><Relationship Target="externalLinks/externalLink18.xml" Type="http://schemas.openxmlformats.org/officeDocument/2006/relationships/externalLink" Id="rId69"></Relationship><Relationship Target="worksheets/sheet8.xml" Type="http://schemas.openxmlformats.org/officeDocument/2006/relationships/worksheet" Id="rId8"></Relationship><Relationship Target="worksheets/sheet51.xml" Type="http://schemas.openxmlformats.org/officeDocument/2006/relationships/worksheet" Id="rId51"></Relationship><Relationship Target="externalLinks/externalLink21.xml" Type="http://schemas.openxmlformats.org/officeDocument/2006/relationships/externalLink" Id="rId72"></Relationship><Relationship Target="worksheets/sheet3.xml" Type="http://schemas.openxmlformats.org/officeDocument/2006/relationships/worksheet" Id="rId3"></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worksheets/sheet33.xml" Type="http://schemas.openxmlformats.org/officeDocument/2006/relationships/worksheet" Id="rId33"></Relationship><Relationship Target="worksheets/sheet38.xml" Type="http://schemas.openxmlformats.org/officeDocument/2006/relationships/worksheet" Id="rId38"></Relationship><Relationship Target="worksheets/sheet46.xml" Type="http://schemas.openxmlformats.org/officeDocument/2006/relationships/worksheet" Id="rId46"></Relationship><Relationship Target="externalLinks/externalLink8.xml" Type="http://schemas.openxmlformats.org/officeDocument/2006/relationships/externalLink" Id="rId59"></Relationship><Relationship Target="externalLinks/externalLink16.xml" Type="http://schemas.openxmlformats.org/officeDocument/2006/relationships/externalLink" Id="rId67"></Relationship><Relationship Target="worksheets/sheet20.xml" Type="http://schemas.openxmlformats.org/officeDocument/2006/relationships/worksheet" Id="rId20"></Relationship><Relationship Target="worksheets/sheet41.xml" Type="http://schemas.openxmlformats.org/officeDocument/2006/relationships/worksheet" Id="rId41"></Relationship><Relationship Target="externalLinks/externalLink3.xml" Type="http://schemas.openxmlformats.org/officeDocument/2006/relationships/externalLink" Id="rId54"></Relationship><Relationship Target="externalLinks/externalLink11.xml" Type="http://schemas.openxmlformats.org/officeDocument/2006/relationships/externalLink" Id="rId62"></Relationship><Relationship Target="externalLinks/externalLink19.xml" Type="http://schemas.openxmlformats.org/officeDocument/2006/relationships/externalLink" Id="rId70"></Relationship><Relationship Target="sharedStrings.xml" Type="http://schemas.openxmlformats.org/officeDocument/2006/relationships/sharedStrings" Id="rId75"></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36.xml" Type="http://schemas.openxmlformats.org/officeDocument/2006/relationships/worksheet" Id="rId36"></Relationship><Relationship Target="worksheets/sheet49.xml" Type="http://schemas.openxmlformats.org/officeDocument/2006/relationships/worksheet" Id="rId49"></Relationship><Relationship Target="externalLinks/externalLink6.xml" Type="http://schemas.openxmlformats.org/officeDocument/2006/relationships/externalLink" Id="rId57"></Relationship><Relationship Target="worksheets/sheet10.xml" Type="http://schemas.openxmlformats.org/officeDocument/2006/relationships/worksheet" Id="rId10"></Relationship><Relationship Target="worksheets/sheet31.xml" Type="http://schemas.openxmlformats.org/officeDocument/2006/relationships/worksheet" Id="rId31"></Relationship><Relationship Target="worksheets/sheet44.xml" Type="http://schemas.openxmlformats.org/officeDocument/2006/relationships/worksheet" Id="rId44"></Relationship><Relationship Target="externalLinks/externalLink1.xml" Type="http://schemas.openxmlformats.org/officeDocument/2006/relationships/externalLink" Id="rId52"></Relationship><Relationship Target="externalLinks/externalLink9.xml" Type="http://schemas.openxmlformats.org/officeDocument/2006/relationships/externalLink" Id="rId60"></Relationship><Relationship Target="externalLinks/externalLink14.xml" Type="http://schemas.openxmlformats.org/officeDocument/2006/relationships/externalLink" Id="rId65"></Relationship><Relationship Target="theme/theme1.xml" Type="http://schemas.openxmlformats.org/officeDocument/2006/relationships/theme" Id="rId73"></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39.xml" Type="http://schemas.openxmlformats.org/officeDocument/2006/relationships/worksheet" Id="rId39"></Relationship><Relationship Target="worksheets/sheet34.xml" Type="http://schemas.openxmlformats.org/officeDocument/2006/relationships/worksheet" Id="rId34"></Relationship><Relationship Target="worksheets/sheet50.xml" Type="http://schemas.openxmlformats.org/officeDocument/2006/relationships/worksheet" Id="rId50"></Relationship><Relationship Target="externalLinks/externalLink4.xml" Type="http://schemas.openxmlformats.org/officeDocument/2006/relationships/externalLink" Id="rId55"></Relationship><Relationship Target="calcChain.xml" Type="http://schemas.openxmlformats.org/officeDocument/2006/relationships/calcChain" Id="rId76"></Relationship><Relationship Target="worksheets/sheet7.xml" Type="http://schemas.openxmlformats.org/officeDocument/2006/relationships/worksheet" Id="rId7"></Relationship><Relationship Target="externalLinks/externalLink20.xml" Type="http://schemas.openxmlformats.org/officeDocument/2006/relationships/externalLink" Id="rId71"></Relationship><Relationship Target="worksheets/sheet2.xml" Type="http://schemas.openxmlformats.org/officeDocument/2006/relationships/worksheet" Id="rId2"></Relationship><Relationship Target="worksheets/sheet29.xml" Type="http://schemas.openxmlformats.org/officeDocument/2006/relationships/worksheet" Id="rId29"></Relationship></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Relationships xmlns="http://schemas.openxmlformats.org/package/2006/relationships"><Relationship Target="../media/image2.wmf" Type="http://schemas.openxmlformats.org/officeDocument/2006/relationships/image" Id="rId2"></Relationship><Relationship Target="../media/image1.jpeg" Type="http://schemas.openxmlformats.org/officeDocument/2006/relationships/image" Id="rId1"></Relationship></Relationships>
</file>

<file path=xl/drawings/_rels/drawing2.xml.rels><?xml version="1.0" encoding="UTF-8" ?><Relationships xmlns="http://schemas.openxmlformats.org/package/2006/relationships"><Relationship Target="../media/image2.wmf" Type="http://schemas.openxmlformats.org/officeDocument/2006/relationships/image" Id="rId2"></Relationship><Relationship Target="../media/image1.jpeg" Type="http://schemas.openxmlformats.org/officeDocument/2006/relationships/image" Id="rId1"></Relationship></Relationships>
</file>

<file path=xl/drawings/_rels/drawing3.xml.rels><?xml version="1.0" encoding="UTF-8" ?><Relationships xmlns="http://schemas.openxmlformats.org/package/2006/relationships"><Relationship Target="../media/image3.png" Type="http://schemas.openxmlformats.org/officeDocument/2006/relationships/image" Id="rId1"></Relationship></Relationships>
</file>

<file path=xl/drawings/_rels/vmlDrawing1.vml.rels><?xml version="1.0" encoding="UTF-8" ?><Relationships xmlns="http://schemas.openxmlformats.org/package/2006/relationships"><Relationship Target="../media/image4.emf" Type="http://schemas.openxmlformats.org/officeDocument/2006/relationships/image" Id="rId1"></Relationship></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2532</xdr:colOff>
      <xdr:row>12</xdr:row>
      <xdr:rowOff>123261</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0" y="0"/>
          <a:ext cx="8799150" cy="2005849"/>
          <a:chOff x="10970559" y="5479676"/>
          <a:chExt cx="8857420" cy="2005849"/>
        </a:xfrm>
      </xdr:grpSpPr>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70559" y="5479676"/>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107770" y="5755409"/>
            <a:ext cx="8566570" cy="173011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Chapter 2 Appendices</a:t>
            </a:r>
          </a:p>
          <a:p>
            <a:pPr algn="ctr" rtl="0"/>
            <a:r>
              <a:rPr lang="en-CA" sz="29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Filing Requirements for Electricity Distribution </a:t>
            </a:r>
          </a:p>
          <a:p>
            <a:pPr algn="ctr" rtl="0"/>
            <a:r>
              <a:rPr lang="en-CA" sz="29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Rate Applications</a:t>
            </a:r>
            <a:endParaRPr lang="en-CA" sz="29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000-00000A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9</xdr:col>
      <xdr:colOff>19050</xdr:colOff>
      <xdr:row>9</xdr:row>
      <xdr:rowOff>104775</xdr:rowOff>
    </xdr:from>
    <xdr:to>
      <xdr:col>12</xdr:col>
      <xdr:colOff>114301</xdr:colOff>
      <xdr:row>11</xdr:row>
      <xdr:rowOff>28575</xdr:rowOff>
    </xdr:to>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6781800" y="1562100"/>
          <a:ext cx="192405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2.5 (2019)</a:t>
          </a:r>
          <a:endParaRPr lang="en-CA" sz="1400"/>
        </a:p>
      </xdr:txBody>
    </xdr:sp>
    <xdr:clientData/>
  </xdr:twoCellAnchor>
  <xdr:twoCellAnchor>
    <xdr:from>
      <xdr:col>0</xdr:col>
      <xdr:colOff>66675</xdr:colOff>
      <xdr:row>57</xdr:row>
      <xdr:rowOff>9526</xdr:rowOff>
    </xdr:from>
    <xdr:to>
      <xdr:col>14</xdr:col>
      <xdr:colOff>600075</xdr:colOff>
      <xdr:row>64</xdr:row>
      <xdr:rowOff>114301</xdr:rowOff>
    </xdr:to>
    <xdr:sp macro="" textlink="">
      <xdr:nvSpPr>
        <xdr:cNvPr id="13" name="Text Box 50">
          <a:extLst>
            <a:ext uri="{FF2B5EF4-FFF2-40B4-BE49-F238E27FC236}">
              <a16:creationId xmlns:a16="http://schemas.microsoft.com/office/drawing/2014/main" id="{00000000-0008-0000-0000-00000D000000}"/>
            </a:ext>
          </a:extLst>
        </xdr:cNvPr>
        <xdr:cNvSpPr txBox="1">
          <a:spLocks noChangeArrowheads="1"/>
        </xdr:cNvSpPr>
      </xdr:nvSpPr>
      <xdr:spPr bwMode="auto">
        <a:xfrm>
          <a:off x="66675" y="11144251"/>
          <a:ext cx="9667875" cy="1238250"/>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COS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your application,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28575</xdr:rowOff>
    </xdr:from>
    <xdr:to>
      <xdr:col>5</xdr:col>
      <xdr:colOff>3247195</xdr:colOff>
      <xdr:row>12</xdr:row>
      <xdr:rowOff>24649</xdr:rowOff>
    </xdr:to>
    <xdr:grpSp>
      <xdr:nvGrpSpPr>
        <xdr:cNvPr id="6" name="Group 5">
          <a:extLst>
            <a:ext uri="{FF2B5EF4-FFF2-40B4-BE49-F238E27FC236}">
              <a16:creationId xmlns:a16="http://schemas.microsoft.com/office/drawing/2014/main" id="{00000000-0008-0000-0100-000006000000}"/>
            </a:ext>
          </a:extLst>
        </xdr:cNvPr>
        <xdr:cNvGrpSpPr/>
      </xdr:nvGrpSpPr>
      <xdr:grpSpPr>
        <a:xfrm>
          <a:off x="30480" y="27432"/>
          <a:ext cx="15829974" cy="1959345"/>
          <a:chOff x="10970559" y="5479676"/>
          <a:chExt cx="8857420" cy="2005849"/>
        </a:xfrm>
      </xdr:grpSpPr>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70559" y="5479676"/>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id="{00000000-0008-0000-0100-000008000000}"/>
              </a:ext>
            </a:extLst>
          </xdr:cNvPr>
          <xdr:cNvSpPr/>
        </xdr:nvSpPr>
        <xdr:spPr>
          <a:xfrm>
            <a:off x="11107770" y="5755409"/>
            <a:ext cx="8566570" cy="173011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Chapter 2 Appendices</a:t>
            </a:r>
          </a:p>
          <a:p>
            <a:pPr algn="ctr" rtl="0"/>
            <a:r>
              <a:rPr lang="en-CA" sz="29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Filing Requirements for Electricity Distribution </a:t>
            </a:r>
          </a:p>
          <a:p>
            <a:pPr algn="ctr" rtl="0"/>
            <a:r>
              <a:rPr lang="en-CA" sz="29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Rate Applications</a:t>
            </a:r>
            <a:endParaRPr lang="en-CA" sz="29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100-00000E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161925</xdr:colOff>
      <xdr:row>7</xdr:row>
      <xdr:rowOff>0</xdr:rowOff>
    </xdr:from>
    <xdr:to>
      <xdr:col>6</xdr:col>
      <xdr:colOff>495300</xdr:colOff>
      <xdr:row>38</xdr:row>
      <xdr:rowOff>114300</xdr:rowOff>
    </xdr:to>
    <xdr:pic>
      <xdr:nvPicPr>
        <xdr:cNvPr id="4098" name="Picture 1">
          <a:extLst>
            <a:ext uri="{FF2B5EF4-FFF2-40B4-BE49-F238E27FC236}">
              <a16:creationId xmlns:a16="http://schemas.microsoft.com/office/drawing/2014/main" id="{00000000-0008-0000-0200-000002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1752600"/>
          <a:ext cx="8467725" cy="513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14</xdr:col>
          <xdr:colOff>533400</xdr:colOff>
          <xdr:row>57</xdr:row>
          <xdr:rowOff>66675</xdr:rowOff>
        </xdr:to>
        <xdr:sp macro="" textlink="">
          <xdr:nvSpPr>
            <xdr:cNvPr id="317441" name="Object 1" hidden="1">
              <a:extLst>
                <a:ext uri="{63B3BB69-23CF-44E3-9099-C40C66FF867C}">
                  <a14:compatExt spid="_x0000_s317441"/>
                </a:ext>
                <a:ext uri="{FF2B5EF4-FFF2-40B4-BE49-F238E27FC236}">
                  <a16:creationId xmlns:a16="http://schemas.microsoft.com/office/drawing/2014/main" id="{00000000-0008-0000-0300-000001D804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95252</xdr:colOff>
      <xdr:row>10</xdr:row>
      <xdr:rowOff>0</xdr:rowOff>
    </xdr:from>
    <xdr:to>
      <xdr:col>1</xdr:col>
      <xdr:colOff>295275</xdr:colOff>
      <xdr:row>17</xdr:row>
      <xdr:rowOff>0</xdr:rowOff>
    </xdr:to>
    <xdr:sp macro="" textlink="">
      <xdr:nvSpPr>
        <xdr:cNvPr id="2" name="Right Brace 1">
          <a:extLst>
            <a:ext uri="{FF2B5EF4-FFF2-40B4-BE49-F238E27FC236}">
              <a16:creationId xmlns:a16="http://schemas.microsoft.com/office/drawing/2014/main" id="{00000000-0008-0000-0900-000002000000}"/>
            </a:ext>
          </a:extLst>
        </xdr:cNvPr>
        <xdr:cNvSpPr/>
      </xdr:nvSpPr>
      <xdr:spPr>
        <a:xfrm>
          <a:off x="1057277" y="3133725"/>
          <a:ext cx="200023" cy="134302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371475</xdr:colOff>
          <xdr:row>14</xdr:row>
          <xdr:rowOff>285750</xdr:rowOff>
        </xdr:from>
        <xdr:to>
          <xdr:col>1</xdr:col>
          <xdr:colOff>638175</xdr:colOff>
          <xdr:row>14</xdr:row>
          <xdr:rowOff>400050</xdr:rowOff>
        </xdr:to>
        <xdr:sp macro="" textlink="">
          <xdr:nvSpPr>
            <xdr:cNvPr id="271361" name="Check Box 1" hidden="1">
              <a:extLst>
                <a:ext uri="{63B3BB69-23CF-44E3-9099-C40C66FF867C}">
                  <a14:compatExt spid="_x0000_s271361"/>
                </a:ext>
                <a:ext uri="{FF2B5EF4-FFF2-40B4-BE49-F238E27FC236}">
                  <a16:creationId xmlns:a16="http://schemas.microsoft.com/office/drawing/2014/main" id="{00000000-0008-0000-0C00-000001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16</xdr:row>
          <xdr:rowOff>257175</xdr:rowOff>
        </xdr:from>
        <xdr:to>
          <xdr:col>1</xdr:col>
          <xdr:colOff>590550</xdr:colOff>
          <xdr:row>16</xdr:row>
          <xdr:rowOff>400050</xdr:rowOff>
        </xdr:to>
        <xdr:sp macro="" textlink="">
          <xdr:nvSpPr>
            <xdr:cNvPr id="271362" name="Check Box 2" hidden="1">
              <a:extLst>
                <a:ext uri="{63B3BB69-23CF-44E3-9099-C40C66FF867C}">
                  <a14:compatExt spid="_x0000_s271362"/>
                </a:ext>
                <a:ext uri="{FF2B5EF4-FFF2-40B4-BE49-F238E27FC236}">
                  <a16:creationId xmlns:a16="http://schemas.microsoft.com/office/drawing/2014/main" id="{00000000-0008-0000-0C00-000002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15</xdr:row>
          <xdr:rowOff>257175</xdr:rowOff>
        </xdr:from>
        <xdr:to>
          <xdr:col>1</xdr:col>
          <xdr:colOff>552450</xdr:colOff>
          <xdr:row>15</xdr:row>
          <xdr:rowOff>371475</xdr:rowOff>
        </xdr:to>
        <xdr:sp macro="" textlink="">
          <xdr:nvSpPr>
            <xdr:cNvPr id="271363" name="Check Box 3" hidden="1">
              <a:extLst>
                <a:ext uri="{63B3BB69-23CF-44E3-9099-C40C66FF867C}">
                  <a14:compatExt spid="_x0000_s271363"/>
                </a:ext>
                <a:ext uri="{FF2B5EF4-FFF2-40B4-BE49-F238E27FC236}">
                  <a16:creationId xmlns:a16="http://schemas.microsoft.com/office/drawing/2014/main" id="{00000000-0008-0000-0C00-000003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xdr:col>
      <xdr:colOff>412102</xdr:colOff>
      <xdr:row>35</xdr:row>
      <xdr:rowOff>55886</xdr:rowOff>
    </xdr:from>
    <xdr:to>
      <xdr:col>2</xdr:col>
      <xdr:colOff>414291</xdr:colOff>
      <xdr:row>36</xdr:row>
      <xdr:rowOff>104241</xdr:rowOff>
    </xdr:to>
    <xdr:cxnSp macro="">
      <xdr:nvCxnSpPr>
        <xdr:cNvPr id="2" name="Straight Connector 1">
          <a:extLst>
            <a:ext uri="{FF2B5EF4-FFF2-40B4-BE49-F238E27FC236}">
              <a16:creationId xmlns:a16="http://schemas.microsoft.com/office/drawing/2014/main" id="{00000000-0008-0000-3100-000002000000}"/>
            </a:ext>
          </a:extLst>
        </xdr:cNvPr>
        <xdr:cNvCxnSpPr/>
      </xdr:nvCxnSpPr>
      <xdr:spPr bwMode="auto">
        <a:xfrm>
          <a:off x="3031477" y="5932811"/>
          <a:ext cx="2189" cy="22933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409888</xdr:colOff>
      <xdr:row>36</xdr:row>
      <xdr:rowOff>95250</xdr:rowOff>
    </xdr:from>
    <xdr:to>
      <xdr:col>8</xdr:col>
      <xdr:colOff>624417</xdr:colOff>
      <xdr:row>36</xdr:row>
      <xdr:rowOff>105400</xdr:rowOff>
    </xdr:to>
    <xdr:cxnSp macro="">
      <xdr:nvCxnSpPr>
        <xdr:cNvPr id="3" name="Straight Connector 2">
          <a:extLst>
            <a:ext uri="{FF2B5EF4-FFF2-40B4-BE49-F238E27FC236}">
              <a16:creationId xmlns:a16="http://schemas.microsoft.com/office/drawing/2014/main" id="{00000000-0008-0000-3100-000003000000}"/>
            </a:ext>
          </a:extLst>
        </xdr:cNvPr>
        <xdr:cNvCxnSpPr/>
      </xdr:nvCxnSpPr>
      <xdr:spPr bwMode="auto">
        <a:xfrm flipV="1">
          <a:off x="3029263" y="6153150"/>
          <a:ext cx="5500904" cy="1015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617075</xdr:colOff>
      <xdr:row>36</xdr:row>
      <xdr:rowOff>113981</xdr:rowOff>
    </xdr:from>
    <xdr:to>
      <xdr:col>8</xdr:col>
      <xdr:colOff>618265</xdr:colOff>
      <xdr:row>44</xdr:row>
      <xdr:rowOff>178914</xdr:rowOff>
    </xdr:to>
    <xdr:cxnSp macro="">
      <xdr:nvCxnSpPr>
        <xdr:cNvPr id="4" name="Straight Arrow Connector 3">
          <a:extLst>
            <a:ext uri="{FF2B5EF4-FFF2-40B4-BE49-F238E27FC236}">
              <a16:creationId xmlns:a16="http://schemas.microsoft.com/office/drawing/2014/main" id="{00000000-0008-0000-3100-000004000000}"/>
            </a:ext>
          </a:extLst>
        </xdr:cNvPr>
        <xdr:cNvCxnSpPr/>
      </xdr:nvCxnSpPr>
      <xdr:spPr bwMode="auto">
        <a:xfrm>
          <a:off x="8522825" y="6171881"/>
          <a:ext cx="1190" cy="1531783"/>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externalLinks/_rels/externalLink1.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_rels/externalLink10.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_rels/externalLink11.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_rels/externalLink12.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_rels/externalLink13.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_rels/externalLink14.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_rels/externalLink15.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_rels/externalLink16.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_rels/externalLink17.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_rels/externalLink18.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_rels/externalLink19.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_rels/externalLink2.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_rels/externalLink20.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_rels/externalLink21.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_rels/externalLink3.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_rels/externalLink4.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_rels/externalLink5.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_rels/externalLink6.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_rels/externalLink7.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_rels/externalLink8.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_rels/externalLink9.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2">
          <cell r="C12" t="str">
            <v>2006 EDR Approved</v>
          </cell>
        </row>
        <row r="13">
          <cell r="C13" t="str">
            <v>v1.02</v>
          </cell>
        </row>
      </sheetData>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App.2-A_Capital Projects"/>
      <sheetName val="App.2-B_Fixed Asset Continuity"/>
      <sheetName val="App.2-C_Other_Oper_Rev"/>
      <sheetName val="App.2-D_Detailed_OM&amp;A_Expenses"/>
      <sheetName val="App.2-E_OM&amp;A_Detailed_Analysis"/>
      <sheetName val="App.2-F_OM&amp;A_Summary_Analysis"/>
      <sheetName val="App.2-G_OM&amp;A_Cost _Drivers"/>
      <sheetName val="App.2-H_OM&amp;A_per_Cust_FTEE"/>
      <sheetName val="App.2-I Employee Costs"/>
      <sheetName val="App.2-J_Regulatory_Costs"/>
      <sheetName val="App.2-K_Corp_Cost_Allocation"/>
      <sheetName val="App.2-L_Depreciation Expense"/>
      <sheetName val="App.2-M Capital Structure"/>
      <sheetName val="App.2-N_Cost_Allocation"/>
      <sheetName val="App.2-O_Cost of Serv. Emb. Dx"/>
      <sheetName val="App.2-P_Loss Factors"/>
      <sheetName val="App.2-Q_Stranded Meters"/>
      <sheetName val="App.2-S_1592_Defer_PILs"/>
      <sheetName val="App.2-T_Rev_Reconciliation"/>
      <sheetName val="App.2-U Bill Impacts"/>
      <sheetName val="App.2-V_CoS_Flowchart"/>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AA24" t="str">
            <v>Fort Albany Power Corporation</v>
          </cell>
        </row>
        <row r="25">
          <cell r="AA25" t="str">
            <v>Fort Frances Power Corporation</v>
          </cell>
        </row>
        <row r="26">
          <cell r="AA26" t="str">
            <v>Greater Sudbury Hydro Inc.</v>
          </cell>
        </row>
        <row r="27">
          <cell r="AA27" t="str">
            <v>Grimsby Power Inc.</v>
          </cell>
        </row>
        <row r="28">
          <cell r="AA28" t="str">
            <v>Guelph Hydro Electric Systems Inc.</v>
          </cell>
        </row>
        <row r="29">
          <cell r="AA29" t="str">
            <v>Haldimand County Hydro Inc.</v>
          </cell>
        </row>
        <row r="30">
          <cell r="AA30" t="str">
            <v>Halton Hills Hydro Inc.</v>
          </cell>
        </row>
        <row r="31">
          <cell r="AA31" t="str">
            <v>Hearst Power Distribution Co. Ltd.</v>
          </cell>
        </row>
        <row r="32">
          <cell r="AA32" t="str">
            <v>Horizon Utilities Corporation</v>
          </cell>
        </row>
        <row r="33">
          <cell r="AA33" t="str">
            <v>Hydro 2000 Inc.</v>
          </cell>
        </row>
        <row r="34">
          <cell r="AA34" t="str">
            <v>Hydro Hawkesbury Inc.</v>
          </cell>
        </row>
        <row r="35">
          <cell r="AA35" t="str">
            <v>Hydro One Brampton Networks Inc.</v>
          </cell>
        </row>
        <row r="36">
          <cell r="AA36" t="str">
            <v>Hydro One Networks Inc.</v>
          </cell>
        </row>
        <row r="37">
          <cell r="AA37" t="str">
            <v>Hydro One Remote Communities Inc.</v>
          </cell>
        </row>
        <row r="38">
          <cell r="AA38" t="str">
            <v>Hydro Ottawa Limited</v>
          </cell>
        </row>
        <row r="39">
          <cell r="AA39" t="str">
            <v>Innisfil Hydro Dist. Systems Limited</v>
          </cell>
        </row>
        <row r="40">
          <cell r="AA40" t="str">
            <v>Kashechewan Power Corporation</v>
          </cell>
        </row>
        <row r="41">
          <cell r="AA41" t="str">
            <v>Kenora Hydro Electric Corporation Ltd.</v>
          </cell>
        </row>
        <row r="42">
          <cell r="AA42" t="str">
            <v>Kingston Hydro Corporation</v>
          </cell>
        </row>
        <row r="43">
          <cell r="AA43" t="str">
            <v>Kitchener-Wilmot Hydro Inc.</v>
          </cell>
        </row>
        <row r="44">
          <cell r="AA44" t="str">
            <v>Lakefront Utilities Inc.</v>
          </cell>
        </row>
        <row r="45">
          <cell r="AA45" t="str">
            <v>Lakeland Power Distribution Ltd.</v>
          </cell>
        </row>
        <row r="46">
          <cell r="AA46" t="str">
            <v>London Hydro Inc.</v>
          </cell>
        </row>
        <row r="47">
          <cell r="AA47" t="str">
            <v>Midland Power Utility Corporation</v>
          </cell>
        </row>
        <row r="48">
          <cell r="AA48" t="str">
            <v>Milton Hydro Distribution Inc.</v>
          </cell>
        </row>
        <row r="49">
          <cell r="AA49" t="str">
            <v>Newmarket – Tay Power Distribution Ltd.</v>
          </cell>
        </row>
        <row r="50">
          <cell r="AA50" t="str">
            <v>Niagara Peninsula Energy Inc.</v>
          </cell>
        </row>
        <row r="51">
          <cell r="AA51" t="str">
            <v>Niagara-on-the-Lake Hydro Inc.</v>
          </cell>
        </row>
        <row r="52">
          <cell r="AA52" t="str">
            <v>Norfolk Power Distribution Ltd.</v>
          </cell>
        </row>
        <row r="53">
          <cell r="AA53" t="str">
            <v>North Bay Hydro Distribution Limited</v>
          </cell>
        </row>
        <row r="54">
          <cell r="AA54" t="str">
            <v>Northern Ontario Wires Inc.</v>
          </cell>
        </row>
        <row r="55">
          <cell r="AA55" t="str">
            <v>Oakville Hydro Distribution Inc.</v>
          </cell>
        </row>
        <row r="56">
          <cell r="AA56" t="str">
            <v>Orangeville Hydro Limited</v>
          </cell>
        </row>
        <row r="57">
          <cell r="AA57" t="str">
            <v>Orillia Power Distribution Corp.</v>
          </cell>
        </row>
        <row r="58">
          <cell r="AA58" t="str">
            <v>Oshawa PUC Networks Inc.</v>
          </cell>
        </row>
        <row r="59">
          <cell r="AA59" t="str">
            <v>Ottawa River Power Corporation</v>
          </cell>
        </row>
        <row r="60">
          <cell r="AA60" t="str">
            <v>Parry Sound Power Corporation</v>
          </cell>
        </row>
        <row r="61">
          <cell r="AA61" t="str">
            <v>Peterborough Distribution Inc.</v>
          </cell>
        </row>
        <row r="62">
          <cell r="AA62" t="str">
            <v>PowerStream Inc.</v>
          </cell>
        </row>
        <row r="63">
          <cell r="AA63" t="str">
            <v>PUC Distribution Inc.</v>
          </cell>
        </row>
        <row r="64">
          <cell r="AA64" t="str">
            <v>Renfrew Hydro Inc.</v>
          </cell>
        </row>
        <row r="65">
          <cell r="AA65" t="str">
            <v>Rideau St. Lawrence Distribution Inc.</v>
          </cell>
        </row>
        <row r="66">
          <cell r="AA66" t="str">
            <v>St. Thomas Energy Inc.</v>
          </cell>
        </row>
        <row r="67">
          <cell r="AA67" t="str">
            <v>Sioux Lookout Hydro Inc.</v>
          </cell>
        </row>
        <row r="68">
          <cell r="AA68" t="str">
            <v>Thunder Bay Hydro Electricity Distribution</v>
          </cell>
        </row>
        <row r="69">
          <cell r="AA69" t="str">
            <v>Tillsonburg Hydro Inc.</v>
          </cell>
        </row>
        <row r="70">
          <cell r="AA70" t="str">
            <v>Toronto Hydro-Electric System Limited</v>
          </cell>
        </row>
        <row r="71">
          <cell r="AA71" t="str">
            <v>Veridian Connections Inc.</v>
          </cell>
        </row>
        <row r="72">
          <cell r="AA72" t="str">
            <v>Wasaga Distribution Inc.</v>
          </cell>
        </row>
        <row r="73">
          <cell r="AA73" t="str">
            <v>Waterloo North Hydro Inc.</v>
          </cell>
        </row>
        <row r="74">
          <cell r="AA74" t="str">
            <v>Welland Hydro Electric System Corp.</v>
          </cell>
        </row>
        <row r="75">
          <cell r="AA75" t="str">
            <v>Wellington North Power Inc.</v>
          </cell>
        </row>
        <row r="76">
          <cell r="AA76" t="str">
            <v>West Coast Huron Energy Inc.</v>
          </cell>
        </row>
        <row r="77">
          <cell r="AA77" t="str">
            <v>Westario Power Inc.</v>
          </cell>
        </row>
        <row r="78">
          <cell r="AA78" t="str">
            <v>Whitby Hydro Electric Corporation</v>
          </cell>
        </row>
        <row r="79">
          <cell r="AA79"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2010"/>
      <sheetName val="App.2-AA_Capital Projects 2011"/>
      <sheetName val="App.2-AA_Capital Projects 2012"/>
      <sheetName val="App.2-AA_Capital Projects 2013"/>
      <sheetName val="App.2-AA_Capital Projects 2014"/>
      <sheetName val="App.2-AA_Capital Projects 2015"/>
      <sheetName val="App.2-AA_Capital Projects 2016"/>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efreshError="1">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s>
    <sheetDataSet>
      <sheetData sheetId="0"/>
      <sheetData sheetId="1">
        <row r="24">
          <cell r="E24">
            <v>2015</v>
          </cell>
        </row>
      </sheetData>
      <sheetData sheetId="2"/>
      <sheetData sheetId="3"/>
      <sheetData sheetId="4"/>
      <sheetData sheetId="5"/>
      <sheetData sheetId="6">
        <row r="26">
          <cell r="C26" t="e">
            <v>#VALUE!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3">
          <cell r="C13" t="str">
            <v>v1.02</v>
          </cell>
        </row>
      </sheetData>
      <sheetData sheetId="59"/>
      <sheetData sheetId="6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Updates"/>
      <sheetName val="Table of Content"/>
      <sheetName val="0.1 LDC Info"/>
      <sheetName val="0.2 Customer Classes"/>
      <sheetName val="0.3 Templ Event Log"/>
      <sheetName val="Exhibit 1 -&gt;"/>
      <sheetName val="1.1 Trial Balance Summary"/>
      <sheetName val="1.2.TB Historical Balances"/>
      <sheetName val="1.3 TB Projected Balances"/>
      <sheetName val="1.4 TB Variance Analysis"/>
      <sheetName val="1.5 Organizational Structure"/>
      <sheetName val="1.6 Corporate Structure"/>
      <sheetName val="Exhibit 2 -&gt;"/>
      <sheetName val="2.1. Rate Base Trend "/>
      <sheetName val="Rate Base using Gross"/>
      <sheetName val="2.2 RateBase VarAnalysis"/>
      <sheetName val="2.3 Summary of Capital Projects"/>
      <sheetName val="2.4 Var Capital Expenditures"/>
      <sheetName val="Sheet1"/>
      <sheetName val="FIXED ASSET CONTINUITY STMT -&gt;"/>
      <sheetName val="2.5 Service Life Comp"/>
      <sheetName val="2.6 Fixed Asset Cont Stmt"/>
      <sheetName val="2.7 Overhead"/>
      <sheetName val="DEPRECIATION EXPENSES -&gt;"/>
      <sheetName val="2.9 Depreciation Expenses"/>
      <sheetName val="2.10 DeprExp Bridge NewGAAP"/>
      <sheetName val="2.11 DeprExp Test NewGAAP"/>
      <sheetName val="2.12 Proposed REG Invest."/>
      <sheetName val="HD Deprec"/>
      <sheetName val="2.13 SQI"/>
      <sheetName val="Exhibit 3 -&gt;"/>
      <sheetName val="OPERATING REVENUES -&gt;"/>
      <sheetName val="3.1 Other Oper Rev Detail"/>
      <sheetName val="3.2 Other_Oper_Rev Sum"/>
      <sheetName val="LOAD FORECAST -&gt;"/>
      <sheetName val="3.10a Load Forecast Inputs"/>
      <sheetName val="3.10c Load Forecast Analysis"/>
      <sheetName val="3.10b LoadForecast"/>
      <sheetName val="Exhibit 4 -&gt;"/>
      <sheetName val="OM&amp;A -&gt;"/>
      <sheetName val="4.1 OM&amp;A_Detailed_Analysis"/>
      <sheetName val="4.2 OM&amp;A_Summary_Analys"/>
      <sheetName val="Exh 4 Tables"/>
      <sheetName val="Trends Graph of OMA HD Added"/>
      <sheetName val="4.3 OMA Programs"/>
      <sheetName val="4.4 OM&amp;A_Cost _Drivers(bakup)"/>
      <sheetName val="4.3a OMA Programs Variances FT"/>
      <sheetName val="4.4 OM&amp;A_Cost _Drivers"/>
      <sheetName val="4.5 Monthly Staff Lvl"/>
      <sheetName val="4.6 Yearly Staff Turnover"/>
      <sheetName val="4.7 Employee Costs"/>
      <sheetName val="4.7a Employee Cost Variance-FT"/>
      <sheetName val="4.10 Regulatory_Costs"/>
      <sheetName val="4.8. Charitable Donations"/>
      <sheetName val="4.9 OM&amp;A_per_Cust_FTEE"/>
      <sheetName val="4.11 Supplier Purchases"/>
      <sheetName val="4.12 PowerSupplExp"/>
      <sheetName val="4.13 Corp_Cost_Allocation"/>
      <sheetName val="Exhibit 5 -&gt;"/>
      <sheetName val="5.1 Capital Structure"/>
      <sheetName val="5.2 Debt Instruments"/>
      <sheetName val="Exhibit 6 -&gt;"/>
      <sheetName val="6.1 Revenue Requirement"/>
      <sheetName val="6.2 Chg in RevReq"/>
      <sheetName val="6.3 Rev Deficiency Sufficiency"/>
      <sheetName val="6.4 Calc of ROE on Deemed Basis"/>
      <sheetName val="6.5 Scorecard"/>
      <sheetName val="Exhibit 8 -&gt;"/>
      <sheetName val="8.1 Loss Factors"/>
      <sheetName val="8.2 IFRS Transition Costs"/>
      <sheetName val="Rate Design-&gt;"/>
      <sheetName val="A. Cost Allocation &amp; RevAllocn"/>
      <sheetName val="B. RateDesign"/>
      <sheetName val="B.a RateDesign FV Split-FT"/>
      <sheetName val="C. Res Rate Design"/>
      <sheetName val="D. Rev_Reconciliation"/>
      <sheetName val="E. Revenues at Curr Rates"/>
      <sheetName val="F.Cost Allocation"/>
      <sheetName val="Integrity Check"/>
      <sheetName val="Bill Impacts"/>
      <sheetName val="Bill Impact Summary"/>
      <sheetName val="Bill Impact - Res 10 Pct"/>
      <sheetName val="Bill Impact-Res 10 Pct Retailer"/>
      <sheetName val="Bill Impact - Residential 750"/>
      <sheetName val="Bill Impact - Res Retailers"/>
      <sheetName val="Bill Impact - Residential 1800"/>
      <sheetName val="Bill Impact - Res Retailers1800"/>
      <sheetName val="Bill Impact - Residential 3000"/>
      <sheetName val="Bill Impact - Res Retailers3000"/>
      <sheetName val="Bill Impact - GS&lt;50"/>
      <sheetName val="Bill Impact - GS&lt;50 Retailer"/>
      <sheetName val="Bill Impact - GS&lt;50 (2)"/>
      <sheetName val="Bill Impact - GS&lt;50 Retaile (2"/>
      <sheetName val="Bill Impact - GS&lt;50 (3)"/>
      <sheetName val="Bill Impact - GS&lt;50 Retaile (3)"/>
      <sheetName val="Bill Impact - GS&gt;50"/>
      <sheetName val="Bill Impact - GS&gt;50 (2)"/>
      <sheetName val="Bill Impact - GS&gt;50 (3)"/>
      <sheetName val="Bill Impact - GS&gt;50 (4)"/>
      <sheetName val="Bill Impact - GS&gt;50 (5)"/>
      <sheetName val="Bill Impact - Intermediate"/>
      <sheetName val="Bill Impact - USL"/>
      <sheetName val="Bill Impact - USL Retailer"/>
      <sheetName val="Bill Impact - Sentinel"/>
      <sheetName val="Bill Impact - Sentinel Retailer"/>
      <sheetName val="Bill Impact - StreetLight"/>
      <sheetName val="Intervener Tool"/>
      <sheetName val="Settlement Conference Tables"/>
    </sheetNames>
    <sheetDataSet>
      <sheetData sheetId="0"/>
      <sheetData sheetId="1"/>
      <sheetData sheetId="2">
        <row r="23">
          <cell r="E23">
            <v>2017</v>
          </cell>
        </row>
        <row r="25">
          <cell r="E25">
            <v>2018</v>
          </cell>
        </row>
        <row r="27">
          <cell r="E27">
            <v>2013</v>
          </cell>
        </row>
      </sheetData>
      <sheetData sheetId="3">
        <row r="13">
          <cell r="A13" t="str">
            <v>Residential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28">
          <cell r="F28">
            <v>44896468</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24">
          <cell r="E24">
            <v>2018</v>
          </cell>
        </row>
        <row r="26">
          <cell r="E26">
            <v>2017</v>
          </cell>
        </row>
        <row r="28">
          <cell r="E28">
            <v>2013</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 Fix Asset Cont."/>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A_OldCGAAP_DepExp_2012"/>
      <sheetName val="App.2-CB_NewCGAAP_DepExp_2012"/>
      <sheetName val="App.2-CC_NewCGAAP_DepExp_2013"/>
      <sheetName val="App.2-CD NewCGAAP_DepExp_2014"/>
      <sheetName val="App.2-CE MIFRS_DepExp_2015"/>
      <sheetName val="App.2-CF_OldCGAAP_DepExp_2013"/>
      <sheetName val="App.2-CG_NewCGAAP_DepExp_2013"/>
      <sheetName val="App.2-CH_NewCGAAP_DepExp_2014"/>
      <sheetName val="App.2-CI MIFRS_DepExp_2015"/>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ow r="24">
          <cell r="E24">
            <v>2014</v>
          </cell>
        </row>
        <row r="26">
          <cell r="E26">
            <v>2013</v>
          </cell>
        </row>
        <row r="28">
          <cell r="E28">
            <v>2009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ow r="1">
          <cell r="A1" t="str">
            <v>DISTRIBUTED GENERATION [DGEN]</v>
          </cell>
          <cell r="I1" t="str">
            <v>Distribution Volumetric Rate</v>
          </cell>
          <cell r="Z1" t="str">
            <v>Account History</v>
          </cell>
          <cell r="AA1" t="str">
            <v>Account set up charge/change of occupancy charge (plus credit agency costs if applicable)</v>
          </cell>
        </row>
        <row r="2">
          <cell r="A2" t="str">
            <v>EMBEDDED DISTRIBUTOR</v>
          </cell>
          <cell r="I2" t="str">
            <v>Distribution Volumetric Rate - $/kW of contracted amount</v>
          </cell>
          <cell r="L2" t="str">
            <v>Total Loss Factor – Primary Metered Customer</v>
          </cell>
          <cell r="N2" t="str">
            <v>$</v>
          </cell>
          <cell r="Z2" t="str">
            <v>Account set up charge/change of occupancy charge</v>
          </cell>
          <cell r="AA2" t="str">
            <v>Administrative Billing Charge</v>
          </cell>
        </row>
        <row r="3">
          <cell r="A3" t="str">
            <v>EMBEDDED DISTRIBUTOR</v>
          </cell>
          <cell r="I3" t="str">
            <v>Distribution Wheeling Service Rate</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FARMS - SINGLE PHASE ENERGY-BILLED [F1]</v>
          </cell>
          <cell r="I4" t="str">
            <v>General Service 1,500 to 4,999 kW customer</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THREE PHASE ENERGY-BILLED [F3]</v>
          </cell>
          <cell r="I5" t="str">
            <v>General Service 50 to 1,499 kW customer</v>
          </cell>
          <cell r="L5" t="str">
            <v>Total Loss Factor – Secondary Metered Customer</v>
          </cell>
          <cell r="N5" t="str">
            <v>$/kVA</v>
          </cell>
          <cell r="Z5" t="str">
            <v>Arrears certificate</v>
          </cell>
          <cell r="AA5" t="str">
            <v>Collection of account charge – no disconnection</v>
          </cell>
        </row>
        <row r="6">
          <cell r="A6" t="str">
            <v>GENERAL SERVICE - COMMERCIAL</v>
          </cell>
          <cell r="I6" t="str">
            <v>General Service Large Use customer</v>
          </cell>
          <cell r="L6" t="str">
            <v>Total Loss Factor – Secondary Metered Customer &lt; 5,000 kW</v>
          </cell>
          <cell r="Z6" t="str">
            <v>Arrears certificate (credit reference)</v>
          </cell>
          <cell r="AA6" t="str">
            <v>Collection of account charge – no disconnection – after regular hours</v>
          </cell>
        </row>
        <row r="7">
          <cell r="A7" t="str">
            <v>GENERAL SERVICE - INSTITUTIONAL</v>
          </cell>
          <cell r="I7" t="str">
            <v>Green Energy Act Plan Funding Adder - effective April 1, 2013 until March 31, 2014</v>
          </cell>
        </row>
        <row r="8">
          <cell r="A8" t="str">
            <v>GENERAL SERVICE 1,000 TO 2,999 KW</v>
          </cell>
          <cell r="I8" t="str">
            <v>Green Energy Act Plan Funding Adder - effective until March 31, 2013</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4,999 KW - INTERVAL METERS</v>
          </cell>
          <cell r="I9" t="str">
            <v>Low Voltage Service Charge</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 (CO-GENERATION)</v>
          </cell>
          <cell r="I10" t="str">
            <v>Low Voltage Service Rate</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v>
          </cell>
          <cell r="I11" t="str">
            <v>Low Voltage Volumetric Rate</v>
          </cell>
          <cell r="L11" t="str">
            <v>Distribution Loss Factor - Primary Metered Customer &lt; 5,000 kW</v>
          </cell>
          <cell r="Z11" t="str">
            <v>Credit check (plus credit agency costs)</v>
          </cell>
          <cell r="AA11" t="str">
            <v>Credit Card Convenience Charge</v>
          </cell>
        </row>
        <row r="12">
          <cell r="A12" t="str">
            <v>GENERAL SERVICE 1,500 TO 4,999 KW</v>
          </cell>
          <cell r="I12" t="str">
            <v>Mechanism (SSM) Recovery (2012) - effective until April 30, 2014</v>
          </cell>
          <cell r="L12" t="str">
            <v>Distribution Loss Factor - Primary Metered Customer &gt; 5,000 kW</v>
          </cell>
          <cell r="Z12" t="str">
            <v>Credit reference Letter</v>
          </cell>
          <cell r="AA12" t="str">
            <v>Disconnect/Reconnect at meter – after regular hours</v>
          </cell>
        </row>
        <row r="13">
          <cell r="A13" t="str">
            <v>GENERAL SERVICE 2,500 TO 4,999 KW</v>
          </cell>
          <cell r="I13" t="str">
            <v>Minimum Distribution Charge - per KW of maximum billing demand in the previous 11 months</v>
          </cell>
        </row>
        <row r="14">
          <cell r="A14" t="str">
            <v>GENERAL SERVICE 3,000 TO 4,999 KW - INTERMEDIATE USE</v>
          </cell>
          <cell r="I14" t="str">
            <v>Monthly Distribution Wheeling Service Rate - Dedicated LV Line</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 - INTERVAL METERED</v>
          </cell>
          <cell r="I15" t="str">
            <v>Monthly Distribution Wheeling Service Rate - Hydro One Networks</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TIME OF USE</v>
          </cell>
          <cell r="I16" t="str">
            <v>Monthly Distribution Wheeling Service Rate - Shared LV Line</v>
          </cell>
          <cell r="Z16" t="str">
            <v>Dispute Test – Commercial self contained -- MC</v>
          </cell>
          <cell r="AA16" t="str">
            <v>Disconnect/Reconnect at pole – during regular hours</v>
          </cell>
        </row>
        <row r="17">
          <cell r="A17" t="str">
            <v>GENERAL SERVICE 3,000 TO 4,999 KW</v>
          </cell>
          <cell r="I17" t="str">
            <v>Monthly Distribution Wheeling Service Rate - Waterloo North Hydro</v>
          </cell>
          <cell r="Z17" t="str">
            <v>Dispute Test – Commercial TT -- MC</v>
          </cell>
          <cell r="AA17" t="str">
            <v>Disconnect/Reconnect Charge – At Meter – After Hours</v>
          </cell>
        </row>
        <row r="18">
          <cell r="A18" t="str">
            <v>GENERAL SERVICE 50 TO 1,000 KW - INTERVAL METERS</v>
          </cell>
          <cell r="I18" t="str">
            <v>Rate Rider for Application of Tax Change - effective until April 30, 2014</v>
          </cell>
          <cell r="Z18" t="str">
            <v>Dispute Test – Residential</v>
          </cell>
          <cell r="AA18" t="str">
            <v>Disconnect/Reconnect Charge – At Meter – During Regular Hours</v>
          </cell>
        </row>
        <row r="19">
          <cell r="A19" t="str">
            <v>GENERAL SERVICE 50 TO 1,000 KW - NON INTERVAL METERS</v>
          </cell>
          <cell r="I19" t="str">
            <v>Rate Rider for Application of Tax Change - effective until December 31, 2013</v>
          </cell>
          <cell r="Z19" t="str">
            <v>Duplicate Invoices for previous billing</v>
          </cell>
          <cell r="AA19" t="str">
            <v>Disconnect/Reconnect Charge – At Pole – After Hours</v>
          </cell>
        </row>
        <row r="20">
          <cell r="A20" t="str">
            <v>GENERAL SERVICE 50 TO 1,000 KW</v>
          </cell>
          <cell r="I20" t="str">
            <v>Rate Rider for Application of Tax Change - Hydro One Networks - effective until April 30, 2014</v>
          </cell>
          <cell r="Z20" t="str">
            <v>Easement Letter</v>
          </cell>
          <cell r="AA20" t="str">
            <v>Disconnect/Reconnect Charge – At Pole – During Regular Hours</v>
          </cell>
        </row>
        <row r="21">
          <cell r="A21" t="str">
            <v>GENERAL SERVICE 50 TO 1,499 KW - INTERVAL METERED</v>
          </cell>
          <cell r="I21" t="str">
            <v>Rate Rider for Application of Tax Change - Waterloo North Hydro - effective until April 30, 2014</v>
          </cell>
          <cell r="Z21" t="str">
            <v>Income Tax Letter</v>
          </cell>
          <cell r="AA21" t="str">
            <v>Disconnect/Reconnect Charges for non payment of account - At Meter After Hours</v>
          </cell>
        </row>
        <row r="22">
          <cell r="A22" t="str">
            <v>GENERAL SERVICE 50 TO 1,499 KW</v>
          </cell>
          <cell r="I22" t="str">
            <v>Rate Rider for Application of Tax Change (2013) - effective until April 30, 2014</v>
          </cell>
          <cell r="Z22" t="str">
            <v>Interval Meter Interrogation</v>
          </cell>
          <cell r="AA22" t="str">
            <v>Disconnect/Reconnect charges for non payment of account – at meter after regular hours</v>
          </cell>
        </row>
        <row r="23">
          <cell r="A23" t="str">
            <v>GENERAL SERVICE 50 TO 2,499 KW</v>
          </cell>
          <cell r="I23" t="str">
            <v>Rate Rider for Application of Tax Change (per connection) - effective until April 30, 2014</v>
          </cell>
          <cell r="Z23" t="str">
            <v>Interval meter request change</v>
          </cell>
          <cell r="AA23" t="str">
            <v>Disconnect/Reconnect Charges for non payment of account - At Meter During Regular Hours</v>
          </cell>
        </row>
        <row r="24">
          <cell r="A24" t="str">
            <v>GENERAL SERVICE 50 TO 2,999 KW - INTERVAL METERED</v>
          </cell>
          <cell r="I24" t="str">
            <v>Rate Rider for Application of Tax Change Dedicated LV Line - effective until April 30, 2014</v>
          </cell>
          <cell r="Z24" t="str">
            <v>Legal letter</v>
          </cell>
          <cell r="AA24" t="str">
            <v>Disconnect/Reconnect charges for non payment of account – at meter during regular hours</v>
          </cell>
        </row>
        <row r="25">
          <cell r="A25" t="str">
            <v>GENERAL SERVICE 50 TO 2,999 KW - TIME OF USE</v>
          </cell>
          <cell r="I25" t="str">
            <v>Rate Rider for Application of Tax Change Shared LV Line - effective until April 30, 2014</v>
          </cell>
          <cell r="Z25" t="str">
            <v>Legal letter charge</v>
          </cell>
          <cell r="AA25" t="str">
            <v>Disconnect/Reconnect charges for non payment of account – at pole after regular hours</v>
          </cell>
        </row>
        <row r="26">
          <cell r="A26" t="str">
            <v>GENERAL SERVICE 50 TO 2,999 KW</v>
          </cell>
          <cell r="I26" t="str">
            <v>Rate Rider for Deferral/Variance Account (2012) - effective unitl April 30, 2016</v>
          </cell>
          <cell r="Z26" t="str">
            <v>Meter dispute charge plus Measurement Canada fees (if meter found correct)</v>
          </cell>
          <cell r="AA26" t="str">
            <v>Disconnect/Reconnect charges for non payment of account – at pole during regular hours</v>
          </cell>
        </row>
        <row r="27">
          <cell r="A27" t="str">
            <v>GENERAL SERVICE 50 TO 4,999 KW - INTERVAL METERED</v>
          </cell>
          <cell r="I27" t="str">
            <v>Rate Rider for Deferral/Variance Account Disposition (2012) - effective until April 30, 2016</v>
          </cell>
          <cell r="Z27" t="str">
            <v>Notification charge</v>
          </cell>
          <cell r="AA27" t="str">
            <v>Disconnect/Reconnection for &gt;300 volts - after regular hours</v>
          </cell>
        </row>
        <row r="28">
          <cell r="A28" t="str">
            <v>GENERAL SERVICE 50 TO 4,999 KW - TIME OF USE</v>
          </cell>
          <cell r="I28" t="str">
            <v>Rate Rider for Deferral/Variance Account Disposition (2013) - effective until April 30, 2014</v>
          </cell>
          <cell r="Z28" t="str">
            <v>Pulling Post Dated Cheques</v>
          </cell>
          <cell r="AA28" t="str">
            <v>Disconnect/Reconnection for &gt;300 volts - during regular hours</v>
          </cell>
        </row>
        <row r="29">
          <cell r="A29" t="str">
            <v>GENERAL SERVICE 50 TO 4,999 KW (COGENERATION)</v>
          </cell>
          <cell r="I29" t="str">
            <v>Rate Rider for Deferral/Variance Account Dispositon (2012) - effective until April 30, 2016</v>
          </cell>
          <cell r="Z29" t="str">
            <v>Request for other billing information</v>
          </cell>
          <cell r="AA29" t="str">
            <v>Disposal of Concrete Poles</v>
          </cell>
        </row>
        <row r="30">
          <cell r="A30" t="str">
            <v>GENERAL SERVICE 50 TO 4,999 KW (FORMERLY TIME OF USE)</v>
          </cell>
          <cell r="I30" t="str">
            <v>Rate Rider for Disposition of Capital Gain - effective until April 30, 2014</v>
          </cell>
          <cell r="Z30" t="str">
            <v>Returned cheque (plus bank charges)</v>
          </cell>
          <cell r="AA30" t="str">
            <v>Dispute Test – Commercial TT -- MC</v>
          </cell>
        </row>
        <row r="31">
          <cell r="A31" t="str">
            <v>GENERAL SERVICE 50 TO 4,999 KW</v>
          </cell>
          <cell r="I31" t="str">
            <v>Rate Rider for Disposition of Deferral/Variance Accounts - effective until August 31, 2013</v>
          </cell>
          <cell r="Z31" t="str">
            <v>Returned cheque charge (plus bank charges)</v>
          </cell>
          <cell r="AA31" t="str">
            <v>Install/Remove load control device – after regular hours</v>
          </cell>
        </row>
        <row r="32">
          <cell r="A32" t="str">
            <v>GENERAL SERVICE 50 TO 499 KW</v>
          </cell>
          <cell r="I32" t="str">
            <v>Rate Rider for Disposition of Deferral/Variance Accounts (2010) - effective until April 30, 2014</v>
          </cell>
          <cell r="Z32" t="str">
            <v>Special Billing Service (aggregation)</v>
          </cell>
          <cell r="AA32" t="str">
            <v>Install/Remove load control device – during regular hours</v>
          </cell>
        </row>
        <row r="33">
          <cell r="A33" t="str">
            <v>GENERAL SERVICE 50 TO 699 KW</v>
          </cell>
          <cell r="I33" t="str">
            <v>Rate Rider for Disposition of Deferral/Variance Accounts (2011) - effective until April 30, 2014</v>
          </cell>
          <cell r="Z33" t="str">
            <v>Special Billing Service (sub-metering charge per meter)</v>
          </cell>
          <cell r="AA33" t="str">
            <v>Interval Meter Interrogation</v>
          </cell>
        </row>
        <row r="34">
          <cell r="A34" t="str">
            <v>GENERAL SERVICE 50 TO 999 KW - INTERVAL METERED</v>
          </cell>
          <cell r="I34" t="str">
            <v>Rate Rider for Disposition of Deferral/Variance Accounts (2011) - effective until April 30, 2015</v>
          </cell>
          <cell r="Z34" t="str">
            <v>Special meter reads</v>
          </cell>
          <cell r="AA34" t="str">
            <v>Interval Meter Load Management Tool Charge $/month</v>
          </cell>
        </row>
        <row r="35">
          <cell r="A35" t="str">
            <v>GENERAL SERVICE 50 TO 999 KW</v>
          </cell>
          <cell r="I35" t="str">
            <v>Rate Rider for Disposition of Deferral/Variance Accounts (2011) - effective until April 30, 2016</v>
          </cell>
          <cell r="Z35" t="str">
            <v>Statement of Account</v>
          </cell>
          <cell r="AA35" t="str">
            <v>Interval meter request change</v>
          </cell>
        </row>
        <row r="36">
          <cell r="A36" t="str">
            <v>GENERAL SERVICE 500 TO 4,999 KW</v>
          </cell>
          <cell r="I36" t="str">
            <v>Rate Rider for Disposition of Deferral/Variance Accounts (2012) - effective until April 30, 2014</v>
          </cell>
          <cell r="Z36" t="str">
            <v>Unprocessed Payment Charge (plus bank charges)</v>
          </cell>
          <cell r="AA36" t="str">
            <v>Late Payment – per annum</v>
          </cell>
        </row>
        <row r="37">
          <cell r="A37" t="str">
            <v>GENERAL SERVICE 700 TO 4,999 KW</v>
          </cell>
          <cell r="I37" t="str">
            <v>Rate Rider for Disposition of Deferral/Variance Accounts (2012) - effective until April 30, 2015</v>
          </cell>
          <cell r="AA37" t="str">
            <v>Late Payment – per month</v>
          </cell>
        </row>
        <row r="38">
          <cell r="A38" t="str">
            <v>GENERAL SERVICE DEMAND BILLED (50 KW AND ABOVE) [GSD]</v>
          </cell>
          <cell r="I38" t="str">
            <v>Rate Rider for Disposition of Deferral/Variance Accounts (2012) - effective until April 30, 2016</v>
          </cell>
          <cell r="AA38" t="str">
            <v>Layout fees</v>
          </cell>
        </row>
        <row r="39">
          <cell r="A39" t="str">
            <v>GENERAL SERVICE ENERGY BILLED (LESS THAN 50 KW) [GSE-METERED]</v>
          </cell>
          <cell r="I39" t="str">
            <v>Rate Rider for Disposition of Deferral/Variance Accounts (2012) - effective until December 31, 2013</v>
          </cell>
          <cell r="AA39" t="str">
            <v>Meter dispute charge plus Measurement Canada fees (if meter found correct)</v>
          </cell>
        </row>
        <row r="40">
          <cell r="A40" t="str">
            <v>GENERAL SERVICE ENERGY BILLED (LESS THAN TO 50 KW) [GSE-UNMETERED]</v>
          </cell>
          <cell r="I40" t="str">
            <v>Rate Rider for Disposition of Deferral/Variance Accounts (2012) - effective until December 31, 2013 Applicable in the service area excluding the former service area of Clinton Power</v>
          </cell>
          <cell r="AA40" t="str">
            <v>Meter Interrogation Charge</v>
          </cell>
        </row>
        <row r="41">
          <cell r="A41" t="str">
            <v>GENERAL SERVICE EQUAL TO OR GREATER THAN 1,500 KW - INTERVAL METERED</v>
          </cell>
          <cell r="I41" t="str">
            <v>Rate Rider for Disposition of Deferral/Variance Accounts (2012) - effective until December 31, 2013 Applicable in the service area excluding the former service areas of Clinton Power and 
West Perth Power</v>
          </cell>
          <cell r="AA41" t="str">
            <v>Missed Service Appointment</v>
          </cell>
        </row>
        <row r="42">
          <cell r="A42" t="str">
            <v>GENERAL SERVICE EQUAL TO OR GREATER THAN 1,500 KW</v>
          </cell>
          <cell r="I42" t="str">
            <v>Rate Rider for Disposition of Deferral/Variance Accounts (2012) - effective until December 31, 2013 Applicable only in the former service area of West Perth Power</v>
          </cell>
          <cell r="AA42" t="str">
            <v>Norfolk Pole Rentals – Billed</v>
          </cell>
        </row>
        <row r="43">
          <cell r="A43" t="str">
            <v>GENERAL SERVICE GREATER THAN 1,000 KW</v>
          </cell>
          <cell r="I43" t="str">
            <v>Rate Rider for Disposition of Deferral/Variance Accounts (2012) - effective until December 31, 2015</v>
          </cell>
          <cell r="AA43" t="str">
            <v>Optional Interval/TOU Meter charge $/month</v>
          </cell>
        </row>
        <row r="44">
          <cell r="A44" t="str">
            <v>GENERAL SERVICE INTERMEDIATE 1,000 TO 4,999 KW</v>
          </cell>
          <cell r="I44" t="str">
            <v>Rate Rider for Disposition of Deferral/Variance Accounts (2012) - effective until December 31, 2016 Applicable only in the former service area of Clinton Power</v>
          </cell>
          <cell r="AA44" t="str">
            <v>Overtime Locate</v>
          </cell>
        </row>
        <row r="45">
          <cell r="A45" t="str">
            <v>GENERAL SERVICE INTERMEDIATE RATE CLASS 1,000 TO 4,999 KW (FORMERLY GENERAL SERVICE &gt; 50 KW CUSTOMERS)</v>
          </cell>
          <cell r="I45" t="str">
            <v>Rate Rider for Disposition of Deferral/Variance Accounts (2012) - effective until February 28, 2013</v>
          </cell>
          <cell r="AA45" t="str">
            <v>Owner Requested Disconnection/Reconnection – after regular hours</v>
          </cell>
        </row>
        <row r="46">
          <cell r="A46" t="str">
            <v>GENERAL SERVICE INTERMEDIATE RATE CLASS 1,000 TO 4,999 KW (FORMERLY LARGE USE CUSTOMERS)</v>
          </cell>
          <cell r="I46" t="str">
            <v>Rate Rider for Disposition of Deferral/Variance Accounts (2012) - effective until June 30, 2014</v>
          </cell>
          <cell r="AA46" t="str">
            <v>Owner Requested Disconnection/Reconnection – during regular hours</v>
          </cell>
        </row>
        <row r="47">
          <cell r="A47" t="str">
            <v>GENERAL SERVICE LESS THAN 50 KW - SINGLE PHASE ENERGY-BILLED [G1]</v>
          </cell>
          <cell r="I47" t="str">
            <v>Rate Rider for Disposition of Deferral/Variance Accounts (2012) - effective until March 31, 2013</v>
          </cell>
          <cell r="AA47" t="str">
            <v>Returned cheque (plus bank charges)</v>
          </cell>
        </row>
        <row r="48">
          <cell r="A48" t="str">
            <v>GENERAL SERVICE LESS THAN 50 KW - THREE PHASE ENERGY-BILLED [G3]</v>
          </cell>
          <cell r="I48" t="str">
            <v>Rate Rider for Disposition of Deferral/Variance Accounts (2012) - effective until October 31, 2013</v>
          </cell>
          <cell r="AA48" t="str">
            <v>Rural system expansion / line connection fee</v>
          </cell>
        </row>
        <row r="49">
          <cell r="A49" t="str">
            <v>GENERAL SERVICE LESS THAN 50 KW - TRANSMISSION CLASS ENERGY-BILLED [T]</v>
          </cell>
          <cell r="I49" t="str">
            <v>Rate Rider for Disposition of Deferral/Variance Accounts (2013) - effective until April 30, 2014</v>
          </cell>
          <cell r="AA49" t="str">
            <v>Same Day Open Trench</v>
          </cell>
        </row>
        <row r="50">
          <cell r="A50" t="str">
            <v>GENERAL SERVICE LESS THAN 50 KW - URBAN ENERGY-BILLED [UG]</v>
          </cell>
          <cell r="I50" t="str">
            <v>Rate Rider for Disposition of Deferral/Variance Accounts (2013) - effective until April 30, 2015</v>
          </cell>
          <cell r="AA50" t="str">
            <v>Scheduled Day Open Trench</v>
          </cell>
        </row>
        <row r="51">
          <cell r="A51" t="str">
            <v>GENERAL SERVICE LESS THAN 50 KW</v>
          </cell>
          <cell r="I51" t="str">
            <v>Rate Rider for Disposition of Deferral/Variance Accounts (2013) - effective until April 30, 2017</v>
          </cell>
          <cell r="AA51" t="str">
            <v>Service call – after regular hours</v>
          </cell>
        </row>
        <row r="52">
          <cell r="A52" t="str">
            <v>GENERAL SERVICE SINGLE PHASE - G1</v>
          </cell>
          <cell r="I52" t="str">
            <v>Rate Rider for Disposition of Deferral/Variance Accounts (2013) - effective until December 31, 2013</v>
          </cell>
          <cell r="AA52" t="str">
            <v>Service call – customer owned equipment</v>
          </cell>
        </row>
        <row r="53">
          <cell r="A53" t="str">
            <v>GENERAL SERVICE THREE PHASE - G3</v>
          </cell>
          <cell r="I53" t="str">
            <v>Rate Rider for Disposition of Deferred PILs Variance Account 1562 - effective until April 30, 2014</v>
          </cell>
          <cell r="AA53" t="str">
            <v>Service Call – Customer-owned Equipment – After Regular Hours</v>
          </cell>
        </row>
        <row r="54">
          <cell r="A54" t="str">
            <v>INTERMEDIATE USERS</v>
          </cell>
          <cell r="I54" t="str">
            <v>Rate Rider for Disposition of Deferred PILs Variance Account 1562 - effective until December 31, 2013</v>
          </cell>
          <cell r="AA54" t="str">
            <v>Service Call – Customer-owned Equipment – During Regular Hours</v>
          </cell>
        </row>
        <row r="55">
          <cell r="A55" t="str">
            <v>INTERMEDIATE WITH SELF GENERATION</v>
          </cell>
          <cell r="I55" t="str">
            <v>Rate Rider for Disposition of Deferred PILs Variance Account 1562 - effective until March 31, 2016</v>
          </cell>
          <cell r="AA55" t="str">
            <v>Service Charge for onsite interrogation of interval meter due to customer phone line failure - required weekly until line repaired $ 6</v>
          </cell>
        </row>
        <row r="56">
          <cell r="A56" t="str">
            <v>LARGE USE - 3TS</v>
          </cell>
          <cell r="I56" t="str">
            <v>Rate Rider for Disposition of Deferred PILs Variance Account 1562 - effective until November 30, 2013</v>
          </cell>
          <cell r="AA56" t="str">
            <v>Service Layout - Commercial</v>
          </cell>
        </row>
        <row r="57">
          <cell r="A57" t="str">
            <v>LARGE USE - FORD ANNEX</v>
          </cell>
          <cell r="I57" t="str">
            <v>Rate Rider for Disposition of Deferred PILs Variance Account 1562 - effective until October 31, 2013</v>
          </cell>
          <cell r="AA57" t="str">
            <v>Service Layout - ResidentiaI</v>
          </cell>
        </row>
        <row r="58">
          <cell r="A58" t="str">
            <v>LARGE USE - REGULAR</v>
          </cell>
          <cell r="I58" t="str">
            <v>Rate Rider for Disposition of Deferred PILs Variance Account 1562 (2012) - effective until April 30, 2015</v>
          </cell>
          <cell r="AA58" t="str">
            <v>Special Billing Service (sub-metering charge per meter)</v>
          </cell>
        </row>
        <row r="59">
          <cell r="A59" t="str">
            <v>LARGE USE &gt; 5000 KW</v>
          </cell>
          <cell r="I59" t="str">
            <v>Rate Rider for Disposition of Deferred PILs Variance Account 1562 (per connection) (2012) - effective until April 30, 2015</v>
          </cell>
          <cell r="AA59" t="str">
            <v>Special meter reads</v>
          </cell>
        </row>
        <row r="60">
          <cell r="A60" t="str">
            <v>LARGE USE</v>
          </cell>
          <cell r="I60" t="str">
            <v>Rate Rider for Disposition of Global Adjustment Sub-Account - effective until November 30, 2013 
 Applicable only for Non-RPP Customers</v>
          </cell>
          <cell r="AA60" t="str">
            <v>Specific Charge for Access to the Power Poles - $/pole/year</v>
          </cell>
        </row>
        <row r="61">
          <cell r="A61" t="str">
            <v>microFIT</v>
          </cell>
          <cell r="I61" t="str">
            <v>Rate Rider for Disposition of Global Adjustment Sub-Account - effective until November 30, 2013 Applicable only for Non-RPP Customers</v>
          </cell>
          <cell r="AA61" t="str">
            <v>Specific Charge for Bell Canada Access to the Power Poles – per pole/year</v>
          </cell>
        </row>
        <row r="62">
          <cell r="A62" t="str">
            <v>RESIDENTIAL - HENSALL</v>
          </cell>
          <cell r="I62" t="str">
            <v>Rate Rider for Disposition of Global Adjustment Sub-Account (2010) - effective until April 30, 2014 Applicable only for Non-RPP Customers</v>
          </cell>
          <cell r="AA62" t="str">
            <v>Switching for company maintenance – Charge based on Time and Materials</v>
          </cell>
        </row>
        <row r="63">
          <cell r="A63" t="str">
            <v>RESIDENTIAL - HIGH DENSITY [R1]</v>
          </cell>
          <cell r="I63" t="str">
            <v>Rate Rider for Disposition of Global Adjustment Sub-Account (2011) - effective until April 30, 2014 Applicable only for Non-RPP Customers</v>
          </cell>
          <cell r="AA63" t="str">
            <v>Temporary Service – Install &amp; remove – overhead – no transformer</v>
          </cell>
        </row>
        <row r="64">
          <cell r="A64" t="str">
            <v>RESIDENTIAL - LOW DENSITY [R2]</v>
          </cell>
          <cell r="I64" t="str">
            <v>Rate Rider for Disposition of Global Adjustment Sub-Account (2011) - effective until April 30, 2015 Applicable only for Non-RPP Customers</v>
          </cell>
          <cell r="AA64" t="str">
            <v>Temporary Service – Install &amp; remove – overhead – with transformer</v>
          </cell>
        </row>
        <row r="65">
          <cell r="A65" t="str">
            <v>RESIDENTIAL - MEDIUM DENSITY [R1]</v>
          </cell>
          <cell r="I65" t="str">
            <v>Rate Rider for Disposition of Global Adjustment Sub-Account (2011) - effective until April 30, 2016 Applicable only for Non-RPP Customers</v>
          </cell>
          <cell r="AA65" t="str">
            <v>Temporary Service – Install &amp; remove – underground – no transformer</v>
          </cell>
        </row>
        <row r="66">
          <cell r="A66" t="str">
            <v>RESIDENTIAL - NORMAL DENSITY [R2]</v>
          </cell>
          <cell r="I66" t="str">
            <v>Rate Rider for Disposition of Global Adjustment Sub-Account (2012) - effective until April 30, 2014 Applicable only for Non-RPP Customers</v>
          </cell>
          <cell r="AA66" t="str">
            <v>Temporary service install &amp; remove – overhead – no transformer</v>
          </cell>
        </row>
        <row r="67">
          <cell r="A67" t="str">
            <v>RESIDENTIAL - TIME OF USE</v>
          </cell>
          <cell r="I67" t="str">
            <v>Rate Rider for Disposition of Global Adjustment Sub-Account (2012) - effective until April 30, 2015 Applicable only for Non-RPP Customers</v>
          </cell>
          <cell r="AA67" t="str">
            <v>Temporary Service Install &amp; Remove – Overhead – With Transformer</v>
          </cell>
        </row>
        <row r="68">
          <cell r="A68" t="str">
            <v>RESIDENTIAL - URBAN [UR]</v>
          </cell>
          <cell r="I68" t="str">
            <v>Rate Rider for Disposition of Global Adjustment Sub-Account (2012) - effective until April 30, 2015 Applicatble only for Non-RPP Customers</v>
          </cell>
          <cell r="AA68" t="str">
            <v>Temporary Service Install &amp; Remove – Underground – No Transformer</v>
          </cell>
        </row>
        <row r="69">
          <cell r="A69" t="str">
            <v>RESIDENTIAL REGULAR</v>
          </cell>
          <cell r="I69" t="str">
            <v>Rate Rider for Disposition of Global Adjustment Sub-Account (2012) - effective until April 30, 2016 Applicable only for Non-RPP Customers</v>
          </cell>
          <cell r="AA69" t="str">
            <v>Temporary service installation and removal – overhead – no transformer</v>
          </cell>
        </row>
        <row r="70">
          <cell r="A70" t="str">
            <v>RESIDENTIAL</v>
          </cell>
          <cell r="I70" t="str">
            <v>Rate Rider for Disposition of Global Adjustment Sub-Account (2012) - effective until December 31, 2013 Applicable only for Non-RPP Customers in the former service area of Clinton Power</v>
          </cell>
          <cell r="AA70" t="str">
            <v>Temporary service installation and removal – overhead – with transformer</v>
          </cell>
        </row>
        <row r="71">
          <cell r="A71" t="str">
            <v>RESIDENTIAL SUBURBAN SEASONAL</v>
          </cell>
          <cell r="I71" t="str">
            <v>Rate Rider for Disposition of Global Adjustment Sub-Account (2012) - effective until December 31, 2013 Applicable only for Non-RPP Customers in the former service area of West Perth Power</v>
          </cell>
          <cell r="AA71" t="str">
            <v>Temporary service installation and removal – underground – no transformer</v>
          </cell>
        </row>
        <row r="72">
          <cell r="A72" t="str">
            <v>RESIDENTIAL SUBURBAN</v>
          </cell>
          <cell r="I72" t="str">
            <v>Rate Rider for Disposition of Global Adjustment Sub-Account (2012) - effective until December 31, 2013 Applicable only for Non-RPP Customers in the service area excluding the former service areas of Clinton Power and West Perth Power</v>
          </cell>
        </row>
        <row r="73">
          <cell r="A73" t="str">
            <v>RESIDENTIAL SUBURBAN YEAR ROUND</v>
          </cell>
          <cell r="I73" t="str">
            <v>Rate Rider for Disposition of Global Adjustment Sub-Account (2012) - effective until February 28, 2013 Applicable only for Non-RPP Customers</v>
          </cell>
        </row>
        <row r="74">
          <cell r="A74" t="str">
            <v>RESIDENTIAL URBAN</v>
          </cell>
          <cell r="I74" t="str">
            <v>Rate Rider for Disposition of Global Adjustment Sub-Account (2012) - effective until June 30, 2014 Applicable only for Non-RPP Customers</v>
          </cell>
        </row>
        <row r="75">
          <cell r="A75" t="str">
            <v>RESIDENTIAL URBAN YEAR-ROUND</v>
          </cell>
          <cell r="I75" t="str">
            <v>Rate Rider for Disposition of Global Adjustment Sub-Account (2012) - effective until March 31, 2013 Applicable only for Non-RPP Customers</v>
          </cell>
        </row>
        <row r="76">
          <cell r="A76" t="str">
            <v>SEASONAL RESIDENTIAL - HIGH DENSITY [R3]</v>
          </cell>
          <cell r="I76" t="str">
            <v>Rate Rider for Disposition of Global Adjustment Sub-Account (2012) - effective until October 31, 2013 Applicable only for Non-RPP Customers</v>
          </cell>
        </row>
        <row r="77">
          <cell r="A77" t="str">
            <v>SEASONAL RESIDENTIAL - NORMAL DENSITY [R4]</v>
          </cell>
          <cell r="I77" t="str">
            <v>Rate Rider for Disposition of Global Adjustment Sub-Account (2013) - effective until April 30, 2014 Applicable only for Non-RPP Customers</v>
          </cell>
        </row>
        <row r="78">
          <cell r="A78" t="str">
            <v>SEASONAL RESIDENTIAL</v>
          </cell>
          <cell r="I78" t="str">
            <v>Rate Rider for Disposition of Global Adjustment Sub-Account (2013) - effective until April 30, 2015 Applicable only for Non-RPP Customers</v>
          </cell>
        </row>
        <row r="79">
          <cell r="A79" t="str">
            <v>SENTINEL LIGHTING</v>
          </cell>
          <cell r="I79" t="str">
            <v>Rate Rider for Disposition of Global Adjustment Sub-Account (2013) - effective until April 30, 2017 Applicable only for Non-RPP Customers</v>
          </cell>
        </row>
        <row r="80">
          <cell r="A80" t="str">
            <v>SMALL COMMERCIAL AND USL - PER CONNECTION</v>
          </cell>
          <cell r="I80" t="str">
            <v>Rate Rider for Disposition of Global Adjustment Sub-Account (2013) - effective until December 31, 2013 Applicable only for Non-RPP Customers</v>
          </cell>
        </row>
        <row r="81">
          <cell r="A81" t="str">
            <v>SMALL COMMERCIAL AND USL - PER METER</v>
          </cell>
          <cell r="I81" t="str">
            <v>Rate Rider for Disposition of Post Retirement Actuarial Gain - effective until March 31, 2025</v>
          </cell>
        </row>
        <row r="82">
          <cell r="A82" t="str">
            <v>STANDARD A GENERAL SERVICE AIR ACCESS</v>
          </cell>
          <cell r="I82" t="str">
            <v>Rate Rider for Disposition of Residual Hisotrical Smart Meter Costs - effective until April 30, 2015</v>
          </cell>
        </row>
        <row r="83">
          <cell r="A83" t="str">
            <v>STANDARD A GENERAL SERVICE ROAD/RAIL</v>
          </cell>
          <cell r="I83" t="str">
            <v>Rate Rider for Disposition of Residual Historical Smart Meter Costs - effective until April 30, 2013</v>
          </cell>
        </row>
        <row r="84">
          <cell r="A84" t="str">
            <v>STANDARD A RESIDENTIAL AIR ACCESS</v>
          </cell>
          <cell r="I84" t="str">
            <v>Rate Rider for Disposition of Residual Historical Smart Meter Costs - effective until April 30, 2014</v>
          </cell>
        </row>
        <row r="85">
          <cell r="A85" t="str">
            <v>STANDARD A RESIDENTIAL ROAD/RAIL</v>
          </cell>
          <cell r="I85" t="str">
            <v>Rate Rider for Disposition of Residual Historical Smart Meter Costs - effective until April 30, 2016</v>
          </cell>
        </row>
        <row r="86">
          <cell r="A86" t="str">
            <v>STANDBY - GENERAL SERVICE 1,000 - 5,000 KW</v>
          </cell>
          <cell r="I86" t="str">
            <v>Rate Rider for Disposition of Residual Historical Smart Meter Costs - effective until August 31, 2013</v>
          </cell>
        </row>
        <row r="87">
          <cell r="A87" t="str">
            <v>STANDBY - GENERAL SERVICE 50 - 1,000 KW</v>
          </cell>
          <cell r="I87" t="str">
            <v>Rate Rider for Disposition of Residual Historical Smart Meter Costs - effective until August 31, 2015</v>
          </cell>
        </row>
        <row r="88">
          <cell r="A88" t="str">
            <v>STANDBY - LARGE USE</v>
          </cell>
          <cell r="I88" t="str">
            <v>Rate Rider for Disposition of Residual Historical Smart Meter Costs - effective until December 31, 2013</v>
          </cell>
        </row>
        <row r="89">
          <cell r="A89" t="str">
            <v>STANDBY DISTRIBUTION SERVICE</v>
          </cell>
          <cell r="I89" t="str">
            <v>Rate Rider for Disposition of Residual Historical Smart Meter Costs - effective until December 31, 2014</v>
          </cell>
        </row>
        <row r="90">
          <cell r="A90" t="str">
            <v>STANDBY POWER - APPROVED ON AN INTERIM BASIS</v>
          </cell>
          <cell r="I90" t="str">
            <v>Rate Rider for Disposition of Residual Historical Smart Meter Costs - effective until December 31, 2015</v>
          </cell>
        </row>
        <row r="91">
          <cell r="A91" t="str">
            <v>STANDBY POWER GENERAL SERVICE 1,500 TO 4,999 KW</v>
          </cell>
          <cell r="I91" t="str">
            <v>Rate Rider for Disposition of Residual Historical Smart Meter Costs - effective until March 31, 2013</v>
          </cell>
        </row>
        <row r="92">
          <cell r="A92" t="str">
            <v>STANDBY POWER GENERAL SERVICE 50 TO 1,499 KW</v>
          </cell>
          <cell r="I92" t="str">
            <v>Rate Rider for Disposition of Residual Historical Smart Meter Costs - effective until November 30, 2013</v>
          </cell>
        </row>
        <row r="93">
          <cell r="A93" t="str">
            <v>STANDBY POWER GENERAL SERVICE LARGE USE</v>
          </cell>
          <cell r="I93" t="str">
            <v>Rate Rider for Disposition of Residual Historical Smart Meter Costs - effective until October 31, 2013</v>
          </cell>
        </row>
        <row r="94">
          <cell r="A94" t="str">
            <v>STANDBY POWER</v>
          </cell>
          <cell r="I94" t="str">
            <v>Rate Rider for Disposition of Residual Historical Smart Meter Costs - effective until September 30, 2014</v>
          </cell>
        </row>
        <row r="95">
          <cell r="A95" t="str">
            <v>STREET LIGHTING</v>
          </cell>
          <cell r="I95" t="str">
            <v>Rate Rider for Disposition of Residual Historical Smart Meter Costs - Non-Interval Metered 
 - effective until April 30, 2014</v>
          </cell>
        </row>
        <row r="96">
          <cell r="A96" t="str">
            <v>SUB TRANSMISSION [ST]</v>
          </cell>
          <cell r="I96" t="str">
            <v>Rate Rider for Disposition of Residual Historical Smart Meter Costs 2 - in effect until the effective 
 date of the next cost of service-based rate order</v>
          </cell>
        </row>
        <row r="97">
          <cell r="A97" t="str">
            <v>UNMETERED SCATTERED LOAD</v>
          </cell>
          <cell r="I97" t="str">
            <v>Rate Rider for Disposition of Residual Historical Smart Meter Costs 3 - in effect until the effective 
 date of the next cost of service-based rate order</v>
          </cell>
        </row>
        <row r="98">
          <cell r="A98" t="str">
            <v>URBAN GENERAL SERVICE DEMAND BILLED (50 KW AND ABOVE) [UGD]</v>
          </cell>
          <cell r="I98" t="str">
            <v>Rate Rider for Disposition of Residual Incremental Historical Smart Meter Costs - 
 effective until August 31, 2015</v>
          </cell>
        </row>
        <row r="99">
          <cell r="A99" t="str">
            <v>URBAN GENERAL SERVICE ENERGY BILLED (LESS THAN 50 KW) [UGE]</v>
          </cell>
          <cell r="I99" t="str">
            <v>Rate Rider for Disposition of Stranded Meter Costs - effective until April 30, 2016</v>
          </cell>
        </row>
        <row r="100">
          <cell r="A100" t="str">
            <v>WESTPORT SEWAGE TREATMENT PLANT</v>
          </cell>
          <cell r="I100" t="str">
            <v>Rate Rider for Global Adjustment Sub Account Disposition - effective until April 30, 2016 Applicable only for Non RPP Customers</v>
          </cell>
        </row>
        <row r="101">
          <cell r="A101" t="str">
            <v>YEAR-ROUND RESIDENTIAL - R2</v>
          </cell>
          <cell r="I101" t="str">
            <v>Rate Rider for Incremental Capital (2012) - effective until April 30, 2015</v>
          </cell>
        </row>
        <row r="102">
          <cell r="I102" t="str">
            <v>Rate Rider for Lost Revenue Adjustment (LRAM) Recovery/Shared Savings Mechanism Recovery 
 (2011) - effective until April 30, 2014</v>
          </cell>
        </row>
        <row r="103">
          <cell r="I103" t="str">
            <v>Rate Rider for Lost Revenue Adjustment Mechanism Variance Account (LRAMVA) (2011) – effective until April 30, 2014</v>
          </cell>
        </row>
        <row r="104">
          <cell r="I104" t="str">
            <v>Rate Rider for Lost Revenue Adjustment Mechanism Variance Account (LRAMVA) Recovery 
 (2011 CDM Activities) - effective until April 30, 2014</v>
          </cell>
        </row>
        <row r="105">
          <cell r="I105" t="str">
            <v>Rate Rider for Recover of Residual Historical Smart Meter Costs - effective until June 30, 2014</v>
          </cell>
        </row>
        <row r="106">
          <cell r="I106" t="str">
            <v>Rate Rider for Recovery of Deferred Revenue - effective until December 31, 2013</v>
          </cell>
        </row>
        <row r="107">
          <cell r="I107" t="str">
            <v>Rate Rider for Recovery of Forgone Revenue - effective until April 30, 2014</v>
          </cell>
        </row>
        <row r="108">
          <cell r="I108" t="str">
            <v>Rate Rider for Recovery of Green Energy Act related costs - effective until December 31, 2013</v>
          </cell>
        </row>
        <row r="109">
          <cell r="I109" t="str">
            <v>Rate Rider for Recovery of Incremental Capital (2013) - in effect until the effective date of the
 next cost of service-based rate order</v>
          </cell>
        </row>
        <row r="110">
          <cell r="I110" t="str">
            <v>Rate Rider for Recovery of Incremental Capital (2013) (per connection) - in effect until the effective date of 
 the next cost of service-based rate order</v>
          </cell>
        </row>
        <row r="111">
          <cell r="I111" t="str">
            <v>Rate Rider for Recovery of Incremental Capital Costs</v>
          </cell>
        </row>
        <row r="112">
          <cell r="I112" t="str">
            <v>Rate Rider for Recovery of Incremental Capital Costs - effective until April 30, 2014</v>
          </cell>
        </row>
        <row r="113">
          <cell r="I113" t="str">
            <v>Rate Rider for Recovery of Incremental Capital Costs - effective until April 30, 2015</v>
          </cell>
        </row>
        <row r="114">
          <cell r="I114" t="str">
            <v>Rate Rider for Recovery of Lost Revenue Adjustment Mechanism (LRAM) - effective until April 30, 2014</v>
          </cell>
        </row>
        <row r="115">
          <cell r="I115" t="str">
            <v>Rate Rider for Recovery of Lost Revenue Adjustment Mechanism (LRAM) - effective until April 30, 2016</v>
          </cell>
        </row>
        <row r="116">
          <cell r="I116" t="str">
            <v>Rate Rider for Recovery of Lost Revenue Adjustment Mechanism (LRAM) - effective until August 31, 2013</v>
          </cell>
        </row>
        <row r="117">
          <cell r="I117" t="str">
            <v>Rate Rider for Recovery of Lost Revenue Adjustment Mechanism (LRAM) - effective until December 31, 2013</v>
          </cell>
        </row>
        <row r="118">
          <cell r="I118" t="str">
            <v>Rate Rider for Recovery of Lost Revenue Adjustment Mechanism (LRAM) - effective until June 30, 2013</v>
          </cell>
        </row>
        <row r="119">
          <cell r="I119" t="str">
            <v>Rate Rider for Recovery of Lost Revenue Adjustment Mechanism (LRAM) - effective until November 30, 2013</v>
          </cell>
        </row>
        <row r="120">
          <cell r="I120" t="str">
            <v>Rate Rider for Recovery of Lost Revenue Adjustment Mechanism (LRAM) (2012) - effective until April 30, 2014</v>
          </cell>
        </row>
        <row r="121">
          <cell r="I121" t="str">
            <v>Rate Rider for Recovery of Lost Revenue Adjustment Mechanism (LRAM) (2012) - effective until February 28, 2013</v>
          </cell>
        </row>
        <row r="122">
          <cell r="I122" t="str">
            <v>Rate Rider for Recovery of Lost Revenue Adjustment Mechanism (LRAM) (2013) - effective until December 31, 2013</v>
          </cell>
        </row>
        <row r="123">
          <cell r="I123" t="str">
            <v>Rate Rider for Recovery of Lost Revenue Adjustment Mechanism (LRAM) (pre-2011 CDM Activities) - effective until April 30, 2014</v>
          </cell>
        </row>
        <row r="124">
          <cell r="I124" t="str">
            <v>Rate Rider for Recovery of Lost Revenue Adjustment Mechanism (LRAM)/Shared Savings</v>
          </cell>
        </row>
        <row r="125">
          <cell r="I125" t="str">
            <v>Rate Rider for Recovery of Lost Revenue Adjustment Mechanism (LRAM)/Shared Savings Mechanism (SSM) - effective until April 30, 2014</v>
          </cell>
        </row>
        <row r="126">
          <cell r="I126" t="str">
            <v>Rate Rider for Recovery of Lost Revenue Adjustment Mechanism (LRAM)/Shared Savings Mechanism (SSM) - effective until December 31, 2014 and applicable in the service area excluding the former service area of Clinton Power</v>
          </cell>
        </row>
        <row r="127">
          <cell r="I127" t="str">
            <v>Rate Rider for Recovery of Lost Revenue Adjustment Mechanism (LRAM)/Shared Savings Mechanism (SSM) - effective until December 31, 2014 and applicable in the service area excluding the former service areas of Clinton Power and West Perth Power</v>
          </cell>
        </row>
        <row r="128">
          <cell r="I128" t="str">
            <v>Rate Rider for Recovery of Lost Revenue Adjustment Mechanism (LRAM)/Shared Savings Mechanism (SSM) - effective until December 31, 2014 and applicable only in the former service area of Clinton Power</v>
          </cell>
        </row>
        <row r="129">
          <cell r="I129" t="str">
            <v>Rate Rider for Recovery of Lost Revenue Adjustment Mechanism (LRAM)/Shared Savings Mechanism (SSM) - effective until December 31, 2014 and applicable only in the former service area of West Perth Power</v>
          </cell>
        </row>
        <row r="130">
          <cell r="I130" t="str">
            <v>Rate Rider for Recovery of Lost Revenue Adjustment Mechanism (LRAM)/Shared Savings Mechanism (SSM) - effective until March 31, 2016</v>
          </cell>
        </row>
        <row r="131">
          <cell r="I131" t="str">
            <v>Rate Rider for Recovery of Lost Revenue Adjustment Mechanism (LRAM)/Shared Savings Mechanism (SSM) Recovery - effective until April 30, 2014</v>
          </cell>
        </row>
        <row r="132">
          <cell r="I132" t="str">
            <v>Rate Rider for Recovery of Lost Revenue Adjustment Mechanism (LRAM)/Shared Savings Mechanism (SSM) Recovery - effective until April 30, 2015</v>
          </cell>
        </row>
        <row r="133">
          <cell r="I133" t="str">
            <v>Rate Rider for Recovery of Lost Revenue Adjustment Mechanism (LRAM)/Shared Savings Mechanism (SSM) Recovery (2010) - effective until April 30, 2014</v>
          </cell>
        </row>
        <row r="134">
          <cell r="I134" t="str">
            <v>Rate Rider for Recovery of Lost Revenue Adjustment Mechanism (LRAM)/Shared Savings Mechanism (SSM) Recovery (2012) - effective until April 30, 2014</v>
          </cell>
        </row>
        <row r="135">
          <cell r="I135" t="str">
            <v>Rate Rider for Recovery of Lost Revenue Adjustment Mechanism (LRAM)/Shared Savings Mechanism (SSM) Recovery (2012) - effective until October 31, 2013</v>
          </cell>
        </row>
        <row r="136">
          <cell r="I136" t="str">
            <v>Rate Rider for Recovery of Residual Historical Smart Meter Costs - effective July 1, 2012 - April 30, 2016</v>
          </cell>
        </row>
        <row r="137">
          <cell r="I137" t="str">
            <v>Rate Rider for Recovery of Smart Meter Incremental Revenue Requirement - effective until the date of the next cost of service-based rate order</v>
          </cell>
        </row>
        <row r="138">
          <cell r="I138" t="str">
            <v>Rate Rider for Recovery of Smart Meter Incremental Revenue Requirement - in effect until the effective date of the next cost of service-based rate order</v>
          </cell>
        </row>
        <row r="139">
          <cell r="I139" t="str">
            <v>Rate Rider for Recovery of Smart Meter Incremental Revenue Requirement - Non-Interval Metered - in effect until the effective date of the next cost of service-based rate order</v>
          </cell>
        </row>
        <row r="140">
          <cell r="I140" t="str">
            <v>Rate Rider for Recovery of Smart Meter Incremental Revenue Requirements - in effect until the effective date of the next cost of service application</v>
          </cell>
        </row>
        <row r="141">
          <cell r="I141" t="str">
            <v>Rate Rider for Recovery of Smart Meter Stranded Assets - effective until April 30, 2016</v>
          </cell>
        </row>
        <row r="142">
          <cell r="I142" t="str">
            <v>Rate Rider for Recovery of Stranded Assets - effective until April 30, 2016</v>
          </cell>
        </row>
        <row r="143">
          <cell r="I143" t="str">
            <v>Rate Rider for Recovery of Stranded Meter Assets - effective July 1, 2012 - April 30, 2016</v>
          </cell>
        </row>
        <row r="144">
          <cell r="I144" t="str">
            <v>Rate Rider for Recovery of Stranded Meter Assets - effective until April 30, 2014</v>
          </cell>
        </row>
        <row r="145">
          <cell r="I145" t="str">
            <v>Rate Rider for Recovery of Stranded Meter Assets – effective until April 30, 2015</v>
          </cell>
        </row>
        <row r="146">
          <cell r="I146" t="str">
            <v>Rate Rider for Recovery of Stranded Meter Assets - effective until April 30, 2016</v>
          </cell>
        </row>
        <row r="147">
          <cell r="I147" t="str">
            <v>Rate Rider for Recovery of Stranded Meter Assets - effective until August 31, 2013</v>
          </cell>
        </row>
        <row r="148">
          <cell r="I148" t="str">
            <v>Rate Rider for Recovery of Stranded Meter Assets - effective until August 31, 2015</v>
          </cell>
        </row>
        <row r="149">
          <cell r="I149" t="str">
            <v>Rate Rider for Recovery of Stranded Meter Assets - effective until December 31, 2014</v>
          </cell>
        </row>
        <row r="150">
          <cell r="I150" t="str">
            <v>Rate Rider for Recovery of Stranded Meter Assets - effective until December 31, 2015</v>
          </cell>
        </row>
        <row r="151">
          <cell r="I151" t="str">
            <v>Rate Rider for Recovery of Stranded Meter Assets - effective until June 30, 2016</v>
          </cell>
        </row>
        <row r="152">
          <cell r="I152" t="str">
            <v>Rate Rider for Recovery of Stranded Meter Assets - effective until March 31, 2016</v>
          </cell>
        </row>
        <row r="153">
          <cell r="I153" t="str">
            <v>Rate Rider for Recovery of Stranded Meter Assets - effective until November 30, 2013</v>
          </cell>
        </row>
        <row r="154">
          <cell r="I154" t="str">
            <v>Rate Rider for Reversal of Deferral/Variance Account Disposition (2011) - effective until April 30, 2015</v>
          </cell>
        </row>
        <row r="155">
          <cell r="I155" t="str">
            <v>Rate Rider for Smart Meter Disposition - effective until October 31, 2013</v>
          </cell>
        </row>
        <row r="156">
          <cell r="I156" t="str">
            <v>Rate Rider for Smart Meter Incremental Revenue Requirement - in effect until the effective date of the next cost of service-based rate order</v>
          </cell>
        </row>
        <row r="157">
          <cell r="I157" t="str">
            <v>Rate Rider for Smart Metering Entity Charge - effective until October 31, 2018</v>
          </cell>
        </row>
        <row r="158">
          <cell r="I158" t="str">
            <v>Rate Rider for the disposition of Deferral/Variance Accounts Disposition (2013) - effective on an interim basis until April 30, 2014</v>
          </cell>
        </row>
        <row r="159">
          <cell r="I159" t="str">
            <v>Rate Rider for the disposition of Global Adjustment Sub-Account Disposition (2013) - effective on an interim basis until April 30, 2014 Applicable only for Non-RPP Customers</v>
          </cell>
        </row>
        <row r="160">
          <cell r="I160" t="str">
            <v>Retail Transmission Rate - Line and Transformation Connection Service Rate</v>
          </cell>
        </row>
        <row r="161">
          <cell r="I161" t="str">
            <v>Retail Transmission Rate - Line and Transformation Connection Service Rate - (less than 1,000 kW)</v>
          </cell>
        </row>
        <row r="162">
          <cell r="I162" t="str">
            <v>Retail Transmission Rate - Line and Transformation Connection Service Rate - Interval Metered</v>
          </cell>
        </row>
        <row r="163">
          <cell r="I163" t="str">
            <v>Retail Transmission Rate - Line and Transformation Connection Service Rate - Interval Metered (1,000 to 4,999 kW)</v>
          </cell>
        </row>
        <row r="164">
          <cell r="I164" t="str">
            <v>Retail Transmission Rate - Line and Transformation Connection Service Rate - Interval Metered (less than 1,000 kW)</v>
          </cell>
        </row>
        <row r="165">
          <cell r="I165" t="str">
            <v>Retail Transmission Rate - Line and Transformation Connection Service Rate - Interval Metered &lt; 1,000 kW</v>
          </cell>
        </row>
        <row r="166">
          <cell r="I166" t="str">
            <v>Retail Transmission Rate - Line and Transformation Connection Service Rate - Interval Metered &gt; 1,000 kW</v>
          </cell>
        </row>
        <row r="167">
          <cell r="I167" t="str">
            <v>Retail Transmission Rate - Line and Transformation Connection Service Rate FOR ALL SERVICE AREAS EXCEPT HENSALL</v>
          </cell>
        </row>
        <row r="168">
          <cell r="I168" t="str">
            <v>Retail Transmission Rate - Line Connection Service Rate</v>
          </cell>
        </row>
        <row r="169">
          <cell r="I169" t="str">
            <v>Retail Transmission Rate - Network Service Rate</v>
          </cell>
        </row>
        <row r="170">
          <cell r="I170" t="str">
            <v>Retail Transmission Rate - Network Service Rate - (less than 1,000 kW)</v>
          </cell>
        </row>
        <row r="171">
          <cell r="I171" t="str">
            <v>Retail Transmission Rate - Network Service Rate - Interval Metered</v>
          </cell>
        </row>
        <row r="172">
          <cell r="I172" t="str">
            <v>Retail Transmission Rate - Network Service Rate - Interval Metered (1,000 to 4,999 kW)</v>
          </cell>
        </row>
        <row r="173">
          <cell r="I173" t="str">
            <v>Retail Transmission Rate - Network Service Rate - Interval Metered (less than 1,000 kW)</v>
          </cell>
        </row>
        <row r="174">
          <cell r="I174" t="str">
            <v>Retail Transmission Rate - Network Service Rate - Interval Metered &gt; 1,000 kW</v>
          </cell>
        </row>
        <row r="175">
          <cell r="I175" t="str">
            <v>Retail Transmission Rate - Transformation Connection Service Rate</v>
          </cell>
        </row>
        <row r="176">
          <cell r="I176" t="str">
            <v>Rider for Global Adjustment Sub-Account Disposition (2012) - effective until April 30, 2016 Applicable only for Non-RPP Customers</v>
          </cell>
        </row>
        <row r="177">
          <cell r="I177" t="str">
            <v>Rural Rate Protection Charge</v>
          </cell>
        </row>
        <row r="178">
          <cell r="I178" t="str">
            <v>Sentinel lights (dusk-to-dawn) connected to unmetered wires will have a flat rate monthly energy charge added to the regular customer bill. Further servicing details are available in the distributor’s Conditions of Service.</v>
          </cell>
        </row>
        <row r="179">
          <cell r="I179" t="str">
            <v>Service Charge</v>
          </cell>
        </row>
        <row r="180">
          <cell r="I180" t="str">
            <v>Service Charge (per connection)</v>
          </cell>
        </row>
        <row r="181">
          <cell r="I181" t="str">
            <v>Service Charge (per customer)</v>
          </cell>
        </row>
        <row r="182">
          <cell r="I182" t="str">
            <v>Standard Supply Service - Administrative Charge (if applicable)</v>
          </cell>
        </row>
        <row r="183">
          <cell r="I183" t="str">
            <v>Standby Charge - for a month where standby power is not provided. The charge is applied to the amount of reserved load transfer capacity contracted or the amount of monthly peak load displaced by a generating facility</v>
          </cell>
        </row>
        <row r="184">
          <cell r="I184" t="str">
            <v>Standby Charge - for a month where standby power is not provided. The charge is applied to the contracted amount (e.g. nameplate rating of the generation facility).</v>
          </cell>
        </row>
        <row r="185">
          <cell r="I185" t="str">
            <v>Wholesale Market Service Rate</v>
          </cell>
        </row>
      </sheetData>
      <sheetData sheetId="72" refreshError="1"/>
      <sheetData sheetId="7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pp.2-IB_Load_Forecast"/>
      <sheetName val="App.2-P_Cost_Allocation"/>
      <sheetName val="App.2-PA_Res_Rate_Design"/>
      <sheetName val="App.2-V_Rev_Reconciliation"/>
      <sheetName val="App. 2-TS_Tariff"/>
      <sheetName val="App.2-W_Bill Impacts"/>
      <sheetName val="App.2-W_Bill Impacts_hidden"/>
      <sheetName val="lists"/>
      <sheetName val="lists2"/>
    </sheetNames>
    <sheetDataSet>
      <sheetData sheetId="0"/>
      <sheetData sheetId="1"/>
      <sheetData sheetId="2"/>
      <sheetData sheetId="3"/>
      <sheetData sheetId="4"/>
      <sheetData sheetId="5"/>
      <sheetData sheetId="6"/>
      <sheetData sheetId="7"/>
      <sheetData sheetId="8">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DISTRIBUTED GENERATION [DGEN]</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 xml:space="preserve">Attawapiskat Power Corp. </v>
          </cell>
        </row>
        <row r="4">
          <cell r="A4" t="str">
            <v>EMBEDDED DISTRIBUTOR</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Bluewater Power Distribution Corporation</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cell r="AL5" t="str">
            <v>Brant County Power Inc.</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Brantford Power Inc.</v>
          </cell>
        </row>
        <row r="7">
          <cell r="A7" t="str">
            <v>GENERAL SERVICE - COMMERCIAL</v>
          </cell>
          <cell r="I7" t="str">
            <v>Electricity Rate - First 250 kWh</v>
          </cell>
          <cell r="L7">
            <v>0</v>
          </cell>
          <cell r="Z7">
            <v>0</v>
          </cell>
          <cell r="AA7">
            <v>0</v>
          </cell>
          <cell r="AL7" t="str">
            <v>Burlington Hydro Inc.</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Cambridge and North Dumfries Hydro Inc.</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Canadian Niagara Power Inc.</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Centre Wellington Hydro Ltd.</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cell r="AL11" t="str">
            <v>Chapleau Public Utilities Corporation</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Clinton Power Corporation</v>
          </cell>
        </row>
        <row r="13">
          <cell r="A13" t="str">
            <v>GENERAL SERVICE 1,500 TO 4,999 KW</v>
          </cell>
          <cell r="I13" t="str">
            <v>General Service 1,500 to 4,999 kW customer</v>
          </cell>
          <cell r="L13">
            <v>0</v>
          </cell>
          <cell r="Z13">
            <v>0</v>
          </cell>
          <cell r="AA13">
            <v>0</v>
          </cell>
          <cell r="AL13" t="str">
            <v>COLLUS Power Corporation</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Cooperative Hydro Embrun Inc.</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E.L.K. Energy Inc.</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Enersource Hydro Mississauga Inc.</v>
          </cell>
        </row>
        <row r="17">
          <cell r="A17" t="str">
            <v>GENERAL SERVICE 3,000 TO 4,999 KW - INTERVAL METERED</v>
          </cell>
          <cell r="I17" t="str">
            <v>Green Energy Act Plan Funding Adder</v>
          </cell>
          <cell r="Z17" t="str">
            <v>Dispute Test – Commercial TT -- MC</v>
          </cell>
          <cell r="AA17" t="str">
            <v>Disconnect/Reconnect Charge – At Meter – After Hours</v>
          </cell>
          <cell r="AL17" t="str">
            <v>Entegrus Powerlines Inc.</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cell r="AL18" t="str">
            <v>ENWIN Utilities Ltd.</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cell r="AL19" t="str">
            <v>Erie Thames Powerlines Corporation</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cell r="AL20" t="str">
            <v>Espanola Regional Hydro Distribution Corporation</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cell r="AL21" t="str">
            <v>Essex Powerlines Corporation</v>
          </cell>
        </row>
        <row r="22">
          <cell r="A22" t="str">
            <v>GENERAL SERVICE 50 TO 1,499 KW</v>
          </cell>
          <cell r="I22" t="str">
            <v>Low Voltage Service Rate</v>
          </cell>
          <cell r="Z22" t="str">
            <v>Interval Meter Interrogation</v>
          </cell>
          <cell r="AA22" t="str">
            <v>Disconnect/Reconnect charges for non payment of account – at meter after regular hours</v>
          </cell>
          <cell r="AL22" t="str">
            <v>Festival Hydro Inc.</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cell r="AL23" t="str">
            <v>Fort Albany Power Corporation</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cell r="AL24" t="str">
            <v>Fort Frances Power Corporation</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Greater Sudbury Hydro Inc.</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Grimsby Power Inc.</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cell r="AL27" t="str">
            <v>Guelph Hydro Electric Systems Inc.</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cell r="AL28" t="str">
            <v>Haldimand County Hydro Inc.</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cell r="AL29" t="str">
            <v>Halton Hills Hydro Inc.</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cell r="AL30" t="str">
            <v>Hearst Power Distribution Company Limited</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cell r="AL31" t="str">
            <v>Horizon Utilities Corporation</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cell r="AL32" t="str">
            <v>Hydro 2000 Inc.</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cell r="AL33" t="str">
            <v>Hydro Hawkesbury Inc.</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cell r="AL34" t="str">
            <v>Hydro One Brampton Networks Inc.</v>
          </cell>
        </row>
        <row r="35">
          <cell r="A35" t="str">
            <v>GENERAL SERVICE 50 TO 999 KW</v>
          </cell>
          <cell r="I35" t="str">
            <v>Rate Rider for Deferral/Variance Account (2012) - effective unitl April 30, 2016</v>
          </cell>
          <cell r="Z35" t="str">
            <v>Statement of Account</v>
          </cell>
          <cell r="AA35" t="str">
            <v>Interval meter request change</v>
          </cell>
          <cell r="AL35" t="str">
            <v>Hydro One Networks Inc.</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cell r="AL36" t="str">
            <v>Hydro Ottawa Limited</v>
          </cell>
        </row>
        <row r="37">
          <cell r="A37" t="str">
            <v>GENERAL SERVICE 500 TO 4,999 KW</v>
          </cell>
          <cell r="I37" t="str">
            <v>Rate Rider for Deferral/Variance Account Disposition (2012) - effective until April 30, 2016</v>
          </cell>
          <cell r="AA37" t="str">
            <v>Late Payment – per month</v>
          </cell>
          <cell r="AL37" t="str">
            <v>Innisfil Hydro Distribution Systems Limited</v>
          </cell>
        </row>
        <row r="38">
          <cell r="A38" t="str">
            <v>GENERAL SERVICE 700 TO 4,999 KW</v>
          </cell>
          <cell r="I38" t="str">
            <v>Rate Rider for Deferral/Variance Account Disposition (2013) - effective until April 30, 2014</v>
          </cell>
          <cell r="AA38" t="str">
            <v>Layout fees</v>
          </cell>
          <cell r="AL38" t="str">
            <v>Kashechewan Power Corporation</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50 KW) [GSE-METERED]</v>
          </cell>
          <cell r="I40" t="str">
            <v>Rate Rider for Deferral/Variance Account Disposition (2014) - effective until April 30, 2015</v>
          </cell>
          <cell r="AA40" t="str">
            <v>Meter Interrogation Charge</v>
          </cell>
          <cell r="AL40" t="str">
            <v>Kingston Hydro Corporation</v>
          </cell>
        </row>
        <row r="41">
          <cell r="A41" t="str">
            <v>GENERAL SERVICE ENERGY BILLED (LESS THAN TO 50 KW) [GSE-UNMETERED]</v>
          </cell>
          <cell r="I41" t="str">
            <v>Rate Rider for Deferral/Variance Account Disposition (2014) - effective until Decembeer 31, 2015</v>
          </cell>
          <cell r="AA41" t="str">
            <v>Missed Service Appointment</v>
          </cell>
          <cell r="AL41" t="str">
            <v>Kitchener-Wilmot Hydro Inc.</v>
          </cell>
        </row>
        <row r="42">
          <cell r="A42" t="str">
            <v>GENERAL SERVICE EQUAL TO OR GREATER THAN 1,500 KW</v>
          </cell>
          <cell r="I42" t="str">
            <v>Rate Rider for Deferral/Variance Account Disposition (2014) - effective until December 30, 2015</v>
          </cell>
          <cell r="AA42" t="str">
            <v>Norfolk Pole Rentals – Billed</v>
          </cell>
          <cell r="AL42" t="str">
            <v>Lakefront Utilities Inc.</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cell r="AL43" t="str">
            <v>Lakeland Power Distribution Ltd.</v>
          </cell>
        </row>
        <row r="44">
          <cell r="A44" t="str">
            <v>GENERAL SERVICE GREATER THAN 1,000 KW</v>
          </cell>
          <cell r="I44" t="str">
            <v>Rate Rider for Deferral/Variance Account Disposition (2014) - effective until December 31, 2015</v>
          </cell>
          <cell r="AA44" t="str">
            <v>Overtime Locate</v>
          </cell>
          <cell r="AL44" t="str">
            <v>London Hydro Inc.</v>
          </cell>
        </row>
        <row r="45">
          <cell r="A45" t="str">
            <v>GENERAL SERVICE GREATER THAN 50 kW - WMP</v>
          </cell>
          <cell r="I45" t="str">
            <v>Rate Rider for Deferral/Variance Account Dispositon (2012) - effective until April 30, 2016</v>
          </cell>
          <cell r="AA45" t="str">
            <v>Owner Requested Disconnection/Reconnection – after regular hours</v>
          </cell>
          <cell r="AL45" t="str">
            <v>Midland Power Utility Corporation</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cell r="AL46" t="str">
            <v>Milton Hydro Distribution inc.</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cell r="AL47" t="str">
            <v>Newmarket - Tay Power Distribution Ltd.</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cell r="AL48" t="str">
            <v>Niagara Peninsula Energy Inc.</v>
          </cell>
        </row>
        <row r="49">
          <cell r="A49" t="str">
            <v>GENERAL SERVICE LESS THAN 50 KW</v>
          </cell>
          <cell r="I49" t="str">
            <v>Rate Rider for Disposition of Deferral/Variance Accounts (2011) - effective until April 30, 2016</v>
          </cell>
          <cell r="AA49" t="str">
            <v>Same Day Open Trench</v>
          </cell>
          <cell r="AL49" t="str">
            <v>Niagara-on-the-Lake Hydro Inc.</v>
          </cell>
        </row>
        <row r="50">
          <cell r="A50" t="str">
            <v>GENERAL SERVICE LESS THAN 50 KW - SINGLE PHASE ENERGY-BILLED [G1]</v>
          </cell>
          <cell r="I50" t="str">
            <v>Rate Rider for Disposition of Deferral/Variance Accounts (2012) - effective until April 30, 2014</v>
          </cell>
          <cell r="AA50" t="str">
            <v>Scheduled Day Open Trench</v>
          </cell>
          <cell r="AL50" t="str">
            <v>Norfolk Power Distribution Inc.</v>
          </cell>
        </row>
        <row r="51">
          <cell r="A51" t="str">
            <v>GENERAL SERVICE LESS THAN 50 KW - THREE PHASE ENERGY-BILLED [G3]</v>
          </cell>
          <cell r="I51" t="str">
            <v>Rate Rider for Disposition of Deferral/Variance Accounts (2012) - effective until April 30, 2015</v>
          </cell>
          <cell r="AA51" t="str">
            <v>Service call – after regular hours</v>
          </cell>
          <cell r="AL51" t="str">
            <v>North Bay Hydro Distribution Limited</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cell r="AL52" t="str">
            <v>Northern Ontario Wires Inc.</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cell r="AL53" t="str">
            <v>Oakville Hydro Electricity Distribution Inc.</v>
          </cell>
        </row>
        <row r="54">
          <cell r="A54" t="str">
            <v>GENERAL SERVICE SINGLE PHASE - G1</v>
          </cell>
          <cell r="I54" t="str">
            <v>Rate Rider for Disposition of Deferral/Variance Accounts (2012) - effective until December 31, 2015</v>
          </cell>
          <cell r="AA54" t="str">
            <v>Service Call – Customer-owned Equipment – During Regular Hours</v>
          </cell>
          <cell r="AL54" t="str">
            <v>Orangeville Hydro Limited</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cell r="AL55" t="str">
            <v>Orillia Power Distribution Corporation</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cell r="AL56" t="str">
            <v>Oshawa PUC Networks Inc.</v>
          </cell>
        </row>
        <row r="57">
          <cell r="A57" t="str">
            <v>INTERMEDIATE WITH SELF GENERATION</v>
          </cell>
          <cell r="I57" t="str">
            <v>Rate Rider for Disposition of Deferral/Variance Accounts (2012) - effective until January 31, 2014</v>
          </cell>
          <cell r="AA57" t="str">
            <v>Service Layout - ResidentiaI</v>
          </cell>
          <cell r="AL57" t="str">
            <v>Ottawa River Power Corporation</v>
          </cell>
        </row>
        <row r="58">
          <cell r="A58" t="str">
            <v>LARGE USE</v>
          </cell>
          <cell r="I58" t="str">
            <v>Rate Rider for Disposition of Deferral/Variance Accounts (2012) - effective until June 30, 2014</v>
          </cell>
          <cell r="AA58" t="str">
            <v>Special Billing Service (sub-metering charge per meter)</v>
          </cell>
          <cell r="AL58" t="str">
            <v>Parry Sound Power Corporation</v>
          </cell>
        </row>
        <row r="59">
          <cell r="A59" t="str">
            <v>LARGE USE - 3TS</v>
          </cell>
          <cell r="I59" t="str">
            <v>Rate Rider for Disposition of Deferral/Variance Accounts (2013) - Applicable only to Wholesale Market Participants - effective until April 30, 2015</v>
          </cell>
          <cell r="AA59" t="str">
            <v>Special meter reads</v>
          </cell>
          <cell r="AL59" t="str">
            <v>Peterborough Distribution Incorporated</v>
          </cell>
        </row>
        <row r="60">
          <cell r="A60" t="str">
            <v>LARGE USE - FORD ANNEX</v>
          </cell>
          <cell r="I60" t="str">
            <v>Rate Rider for Disposition of Deferral/Variance Accounts (2013) - effective until April 30, 2014</v>
          </cell>
          <cell r="AA60" t="str">
            <v>Specific Charge for Access to the Power Poles - $/pole/year</v>
          </cell>
          <cell r="AL60" t="str">
            <v>PowerStream Inc.</v>
          </cell>
        </row>
        <row r="61">
          <cell r="A61" t="str">
            <v>LARGE USE - REGULAR</v>
          </cell>
          <cell r="I61" t="str">
            <v>Rate Rider for Disposition of Deferral/Variance Accounts (2013) - effective until April 30, 2015</v>
          </cell>
          <cell r="AA61" t="str">
            <v>Specific Charge for Bell Canada Access to the Power Poles – per pole/year</v>
          </cell>
          <cell r="AL61" t="str">
            <v>PUC Distribution Inc.</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cell r="AL62" t="str">
            <v>Renfrew Hydro Inc.</v>
          </cell>
        </row>
        <row r="63">
          <cell r="A63" t="str">
            <v>microFIT</v>
          </cell>
          <cell r="I63" t="str">
            <v>Rate Rider for Disposition of Deferral/Variance Accounts (2013) - effective until April 30, 2017</v>
          </cell>
          <cell r="AA63" t="str">
            <v>Temporary Service – Install &amp; remove – overhead – no transformer</v>
          </cell>
          <cell r="AL63" t="str">
            <v>Rideau St. Lawrence Distribution Inc.</v>
          </cell>
        </row>
        <row r="64">
          <cell r="A64" t="str">
            <v>RESIDENTIAL</v>
          </cell>
          <cell r="I64" t="str">
            <v>Rate Rider for Disposition of Deferral/Variance Accounts (2013) - effective until August 31, 2014</v>
          </cell>
          <cell r="AA64" t="str">
            <v>Temporary Service – Install &amp; remove – overhead – with transformer</v>
          </cell>
          <cell r="AL64" t="str">
            <v>Sioux Lookout Hydro Inc.</v>
          </cell>
        </row>
        <row r="65">
          <cell r="A65" t="str">
            <v>RESIDENTIAL - HENSALL</v>
          </cell>
          <cell r="I65" t="str">
            <v>Rate Rider for Disposition of Deferral/Variance Accounts (2013) - effective until December 31, 2014</v>
          </cell>
          <cell r="AA65" t="str">
            <v>Temporary Service – Install &amp; remove – underground – no transformer</v>
          </cell>
          <cell r="AL65" t="str">
            <v>St. Thomas Energy Inc.</v>
          </cell>
        </row>
        <row r="66">
          <cell r="A66" t="str">
            <v>RESIDENTIAL - HIGH DENSITY [R1]</v>
          </cell>
          <cell r="I66" t="str">
            <v>Rate Rider for Disposition of Deferral/Variance Accounts (2013) - effective until May 31, 2014</v>
          </cell>
          <cell r="AA66" t="str">
            <v>Temporary service install &amp; remove – overhead – no transformer</v>
          </cell>
          <cell r="AL66" t="str">
            <v>Thunder Bay Hydro Electricity Distribution Inc.</v>
          </cell>
        </row>
        <row r="67">
          <cell r="A67" t="str">
            <v>RESIDENTIAL - LOW DENSITY [R2]</v>
          </cell>
          <cell r="I67" t="str">
            <v>Rate Rider for Disposition of Deferred PILs Variance Account 1562 - effective until March 31, 2016</v>
          </cell>
          <cell r="AA67" t="str">
            <v>Temporary Service Install &amp; Remove – Overhead – With Transformer</v>
          </cell>
          <cell r="AL67" t="str">
            <v>Tillsonburg Hydro Inc.</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cell r="AL68" t="str">
            <v>Toronto Hydro-Electric System Limited</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cell r="AL69" t="str">
            <v>Veridian Connections Inc.</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cell r="AL70" t="str">
            <v>Wasaga Distribution Inc.</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cell r="AL71" t="str">
            <v>Waterloo North Hydro Inc.</v>
          </cell>
        </row>
        <row r="72">
          <cell r="A72" t="str">
            <v>RESIDENTIAL REGULAR</v>
          </cell>
          <cell r="I72" t="str">
            <v>Rate Rider for Disposition of Deferred PILs Variance Account 1562 (per connection) (2012) - effective until April 30, 2016</v>
          </cell>
          <cell r="AL72" t="str">
            <v>Welland Hydro-Electric System Corp.</v>
          </cell>
        </row>
        <row r="73">
          <cell r="A73" t="str">
            <v>RESIDENTIAL SUBURBAN</v>
          </cell>
          <cell r="I73" t="str">
            <v>Rate Rider for Disposition of Global Adjustment Sub-Account (2011) - effective until April 30, 2015 Applicable only for Non-RPP Customers</v>
          </cell>
          <cell r="AL73" t="str">
            <v>Wellington North Power Inc.</v>
          </cell>
        </row>
        <row r="74">
          <cell r="A74" t="str">
            <v>RESIDENTIAL SUBURBAN SEASONAL</v>
          </cell>
          <cell r="I74" t="str">
            <v>Rate Rider for Disposition of Global Adjustment Sub-Account (2011) - effective until April 30, 2016 Applicable only for Non-RPP Customers</v>
          </cell>
          <cell r="AL74" t="str">
            <v>West Coast Huron Energy Inc.</v>
          </cell>
        </row>
        <row r="75">
          <cell r="A75" t="str">
            <v>RESIDENTIAL SUBURBAN YEAR ROUND</v>
          </cell>
          <cell r="I75" t="str">
            <v>Rate Rider for Disposition of Global Adjustment Sub-Account (2012) - effective until April 30, 2014 Applicable only for Non-RPP Customers</v>
          </cell>
          <cell r="AL75" t="str">
            <v>West Perth Power Inc.</v>
          </cell>
        </row>
        <row r="76">
          <cell r="A76" t="str">
            <v>RESIDENTIAL URBAN</v>
          </cell>
          <cell r="I76" t="str">
            <v>Rate Rider for Disposition of Global Adjustment Sub-Account (2012) - effective until April 30, 2015 Applicable only for Non-RPP Customers</v>
          </cell>
          <cell r="AL76" t="str">
            <v>Westario Power Inc.</v>
          </cell>
        </row>
        <row r="77">
          <cell r="A77" t="str">
            <v>RESIDENTIAL URBAN YEAR-ROUND</v>
          </cell>
          <cell r="I77" t="str">
            <v>Rate Rider for Disposition of Global Adjustment Sub-Account (2012) - effective until April 30, 2015 Applicatble only for Non-RPP Customers</v>
          </cell>
          <cell r="AL77" t="str">
            <v>Whitby Hydro Electric Corporation</v>
          </cell>
        </row>
        <row r="78">
          <cell r="A78" t="str">
            <v>SEASONAL RESIDENTIAL</v>
          </cell>
          <cell r="I78" t="str">
            <v>Rate Rider for Disposition of Global Adjustment Sub-Account (2012) - effective until April 30, 2016 Applicable only for Non-RPP Customers</v>
          </cell>
          <cell r="AL78" t="str">
            <v>Woodstock Hydro Services Inc.</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pp.2-IB_Load_Forecast"/>
      <sheetName val="App.2-P_Cost_Allocation"/>
      <sheetName val="App.2-PA_Res_Rate_Design"/>
      <sheetName val="App.2-V_Rev_Reconciliation"/>
      <sheetName val="App. 2-TS_Tariff"/>
      <sheetName val="App.2-W_Bill Impacts"/>
      <sheetName val="App.2-W_Bill Impacts_hidden"/>
      <sheetName val="lists"/>
      <sheetName val="lists2"/>
    </sheetNames>
    <sheetDataSet>
      <sheetData sheetId="0"/>
      <sheetData sheetId="1"/>
      <sheetData sheetId="2"/>
      <sheetData sheetId="3"/>
      <sheetData sheetId="4"/>
      <sheetData sheetId="5"/>
      <sheetData sheetId="6"/>
      <sheetData sheetId="7"/>
      <sheetData sheetId="8">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DISTRIBUTED GENERATION [DGEN]</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 xml:space="preserve">Attawapiskat Power Corp. </v>
          </cell>
        </row>
        <row r="4">
          <cell r="A4" t="str">
            <v>EMBEDDED DISTRIBUTOR</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Bluewater Power Distribution Corporation</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cell r="AL5" t="str">
            <v>Brant County Power Inc.</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Brantford Power Inc.</v>
          </cell>
        </row>
        <row r="7">
          <cell r="A7" t="str">
            <v>GENERAL SERVICE - COMMERCIAL</v>
          </cell>
          <cell r="I7" t="str">
            <v>Electricity Rate - First 250 kWh</v>
          </cell>
          <cell r="L7">
            <v>0</v>
          </cell>
          <cell r="Z7">
            <v>0</v>
          </cell>
          <cell r="AA7">
            <v>0</v>
          </cell>
          <cell r="AL7" t="str">
            <v>Burlington Hydro Inc.</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Cambridge and North Dumfries Hydro Inc.</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Canadian Niagara Power Inc.</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Centre Wellington Hydro Ltd.</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cell r="AL11" t="str">
            <v>Chapleau Public Utilities Corporation</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Clinton Power Corporation</v>
          </cell>
        </row>
        <row r="13">
          <cell r="A13" t="str">
            <v>GENERAL SERVICE 1,500 TO 4,999 KW</v>
          </cell>
          <cell r="I13" t="str">
            <v>General Service 1,500 to 4,999 kW customer</v>
          </cell>
          <cell r="L13">
            <v>0</v>
          </cell>
          <cell r="Z13">
            <v>0</v>
          </cell>
          <cell r="AA13">
            <v>0</v>
          </cell>
          <cell r="AL13" t="str">
            <v>COLLUS Power Corporation</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Cooperative Hydro Embrun Inc.</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E.L.K. Energy Inc.</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Enersource Hydro Mississauga Inc.</v>
          </cell>
        </row>
        <row r="17">
          <cell r="A17" t="str">
            <v>GENERAL SERVICE 3,000 TO 4,999 KW - INTERVAL METERED</v>
          </cell>
          <cell r="I17" t="str">
            <v>Green Energy Act Plan Funding Adder</v>
          </cell>
          <cell r="Z17" t="str">
            <v>Dispute Test – Commercial TT -- MC</v>
          </cell>
          <cell r="AA17" t="str">
            <v>Disconnect/Reconnect Charge – At Meter – After Hours</v>
          </cell>
          <cell r="AL17" t="str">
            <v>Entegrus Powerlines Inc.</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cell r="AL18" t="str">
            <v>ENWIN Utilities Ltd.</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cell r="AL19" t="str">
            <v>Erie Thames Powerlines Corporation</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cell r="AL20" t="str">
            <v>Espanola Regional Hydro Distribution Corporation</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cell r="AL21" t="str">
            <v>Essex Powerlines Corporation</v>
          </cell>
        </row>
        <row r="22">
          <cell r="A22" t="str">
            <v>GENERAL SERVICE 50 TO 1,499 KW</v>
          </cell>
          <cell r="I22" t="str">
            <v>Low Voltage Service Rate</v>
          </cell>
          <cell r="Z22" t="str">
            <v>Interval Meter Interrogation</v>
          </cell>
          <cell r="AA22" t="str">
            <v>Disconnect/Reconnect charges for non payment of account – at meter after regular hours</v>
          </cell>
          <cell r="AL22" t="str">
            <v>Festival Hydro Inc.</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cell r="AL23" t="str">
            <v>Fort Albany Power Corporation</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cell r="AL24" t="str">
            <v>Fort Frances Power Corporation</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Greater Sudbury Hydro Inc.</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Grimsby Power Inc.</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cell r="AL27" t="str">
            <v>Guelph Hydro Electric Systems Inc.</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cell r="AL28" t="str">
            <v>Haldimand County Hydro Inc.</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cell r="AL29" t="str">
            <v>Halton Hills Hydro Inc.</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cell r="AL30" t="str">
            <v>Hearst Power Distribution Company Limited</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cell r="AL31" t="str">
            <v>Horizon Utilities Corporation</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cell r="AL32" t="str">
            <v>Hydro 2000 Inc.</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cell r="AL33" t="str">
            <v>Hydro Hawkesbury Inc.</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cell r="AL34" t="str">
            <v>Hydro One Brampton Networks Inc.</v>
          </cell>
        </row>
        <row r="35">
          <cell r="A35" t="str">
            <v>GENERAL SERVICE 50 TO 999 KW</v>
          </cell>
          <cell r="I35" t="str">
            <v>Rate Rider for Deferral/Variance Account (2012) - effective unitl April 30, 2016</v>
          </cell>
          <cell r="Z35" t="str">
            <v>Statement of Account</v>
          </cell>
          <cell r="AA35" t="str">
            <v>Interval meter request change</v>
          </cell>
          <cell r="AL35" t="str">
            <v>Hydro One Networks Inc.</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cell r="AL36" t="str">
            <v>Hydro Ottawa Limited</v>
          </cell>
        </row>
        <row r="37">
          <cell r="A37" t="str">
            <v>GENERAL SERVICE 500 TO 4,999 KW</v>
          </cell>
          <cell r="I37" t="str">
            <v>Rate Rider for Deferral/Variance Account Disposition (2012) - effective until April 30, 2016</v>
          </cell>
          <cell r="AA37" t="str">
            <v>Late Payment – per month</v>
          </cell>
          <cell r="AL37" t="str">
            <v>Innisfil Hydro Distribution Systems Limited</v>
          </cell>
        </row>
        <row r="38">
          <cell r="A38" t="str">
            <v>GENERAL SERVICE 700 TO 4,999 KW</v>
          </cell>
          <cell r="I38" t="str">
            <v>Rate Rider for Deferral/Variance Account Disposition (2013) - effective until April 30, 2014</v>
          </cell>
          <cell r="AA38" t="str">
            <v>Layout fees</v>
          </cell>
          <cell r="AL38" t="str">
            <v>Kashechewan Power Corporation</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50 KW) [GSE-METERED]</v>
          </cell>
          <cell r="I40" t="str">
            <v>Rate Rider for Deferral/Variance Account Disposition (2014) - effective until April 30, 2015</v>
          </cell>
          <cell r="AA40" t="str">
            <v>Meter Interrogation Charge</v>
          </cell>
          <cell r="AL40" t="str">
            <v>Kingston Hydro Corporation</v>
          </cell>
        </row>
        <row r="41">
          <cell r="A41" t="str">
            <v>GENERAL SERVICE ENERGY BILLED (LESS THAN TO 50 KW) [GSE-UNMETERED]</v>
          </cell>
          <cell r="I41" t="str">
            <v>Rate Rider for Deferral/Variance Account Disposition (2014) - effective until Decembeer 31, 2015</v>
          </cell>
          <cell r="AA41" t="str">
            <v>Missed Service Appointment</v>
          </cell>
          <cell r="AL41" t="str">
            <v>Kitchener-Wilmot Hydro Inc.</v>
          </cell>
        </row>
        <row r="42">
          <cell r="A42" t="str">
            <v>GENERAL SERVICE EQUAL TO OR GREATER THAN 1,500 KW</v>
          </cell>
          <cell r="I42" t="str">
            <v>Rate Rider for Deferral/Variance Account Disposition (2014) - effective until December 30, 2015</v>
          </cell>
          <cell r="AA42" t="str">
            <v>Norfolk Pole Rentals – Billed</v>
          </cell>
          <cell r="AL42" t="str">
            <v>Lakefront Utilities Inc.</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cell r="AL43" t="str">
            <v>Lakeland Power Distribution Ltd.</v>
          </cell>
        </row>
        <row r="44">
          <cell r="A44" t="str">
            <v>GENERAL SERVICE GREATER THAN 1,000 KW</v>
          </cell>
          <cell r="I44" t="str">
            <v>Rate Rider for Deferral/Variance Account Disposition (2014) - effective until December 31, 2015</v>
          </cell>
          <cell r="AA44" t="str">
            <v>Overtime Locate</v>
          </cell>
          <cell r="AL44" t="str">
            <v>London Hydro Inc.</v>
          </cell>
        </row>
        <row r="45">
          <cell r="A45" t="str">
            <v>GENERAL SERVICE GREATER THAN 50 kW - WMP</v>
          </cell>
          <cell r="I45" t="str">
            <v>Rate Rider for Deferral/Variance Account Dispositon (2012) - effective until April 30, 2016</v>
          </cell>
          <cell r="AA45" t="str">
            <v>Owner Requested Disconnection/Reconnection – after regular hours</v>
          </cell>
          <cell r="AL45" t="str">
            <v>Midland Power Utility Corporation</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cell r="AL46" t="str">
            <v>Milton Hydro Distribution inc.</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cell r="AL47" t="str">
            <v>Newmarket - Tay Power Distribution Ltd.</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cell r="AL48" t="str">
            <v>Niagara Peninsula Energy Inc.</v>
          </cell>
        </row>
        <row r="49">
          <cell r="A49" t="str">
            <v>GENERAL SERVICE LESS THAN 50 KW</v>
          </cell>
          <cell r="I49" t="str">
            <v>Rate Rider for Disposition of Deferral/Variance Accounts (2011) - effective until April 30, 2016</v>
          </cell>
          <cell r="AA49" t="str">
            <v>Same Day Open Trench</v>
          </cell>
          <cell r="AL49" t="str">
            <v>Niagara-on-the-Lake Hydro Inc.</v>
          </cell>
        </row>
        <row r="50">
          <cell r="A50" t="str">
            <v>GENERAL SERVICE LESS THAN 50 KW - SINGLE PHASE ENERGY-BILLED [G1]</v>
          </cell>
          <cell r="I50" t="str">
            <v>Rate Rider for Disposition of Deferral/Variance Accounts (2012) - effective until April 30, 2014</v>
          </cell>
          <cell r="AA50" t="str">
            <v>Scheduled Day Open Trench</v>
          </cell>
          <cell r="AL50" t="str">
            <v>Norfolk Power Distribution Inc.</v>
          </cell>
        </row>
        <row r="51">
          <cell r="A51" t="str">
            <v>GENERAL SERVICE LESS THAN 50 KW - THREE PHASE ENERGY-BILLED [G3]</v>
          </cell>
          <cell r="I51" t="str">
            <v>Rate Rider for Disposition of Deferral/Variance Accounts (2012) - effective until April 30, 2015</v>
          </cell>
          <cell r="AA51" t="str">
            <v>Service call – after regular hours</v>
          </cell>
          <cell r="AL51" t="str">
            <v>North Bay Hydro Distribution Limited</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cell r="AL52" t="str">
            <v>Northern Ontario Wires Inc.</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cell r="AL53" t="str">
            <v>Oakville Hydro Electricity Distribution Inc.</v>
          </cell>
        </row>
        <row r="54">
          <cell r="A54" t="str">
            <v>GENERAL SERVICE SINGLE PHASE - G1</v>
          </cell>
          <cell r="I54" t="str">
            <v>Rate Rider for Disposition of Deferral/Variance Accounts (2012) - effective until December 31, 2015</v>
          </cell>
          <cell r="AA54" t="str">
            <v>Service Call – Customer-owned Equipment – During Regular Hours</v>
          </cell>
          <cell r="AL54" t="str">
            <v>Orangeville Hydro Limited</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cell r="AL55" t="str">
            <v>Orillia Power Distribution Corporation</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cell r="AL56" t="str">
            <v>Oshawa PUC Networks Inc.</v>
          </cell>
        </row>
        <row r="57">
          <cell r="A57" t="str">
            <v>INTERMEDIATE WITH SELF GENERATION</v>
          </cell>
          <cell r="I57" t="str">
            <v>Rate Rider for Disposition of Deferral/Variance Accounts (2012) - effective until January 31, 2014</v>
          </cell>
          <cell r="AA57" t="str">
            <v>Service Layout - ResidentiaI</v>
          </cell>
          <cell r="AL57" t="str">
            <v>Ottawa River Power Corporation</v>
          </cell>
        </row>
        <row r="58">
          <cell r="A58" t="str">
            <v>LARGE USE</v>
          </cell>
          <cell r="I58" t="str">
            <v>Rate Rider for Disposition of Deferral/Variance Accounts (2012) - effective until June 30, 2014</v>
          </cell>
          <cell r="AA58" t="str">
            <v>Special Billing Service (sub-metering charge per meter)</v>
          </cell>
          <cell r="AL58" t="str">
            <v>Parry Sound Power Corporation</v>
          </cell>
        </row>
        <row r="59">
          <cell r="A59" t="str">
            <v>LARGE USE - 3TS</v>
          </cell>
          <cell r="I59" t="str">
            <v>Rate Rider for Disposition of Deferral/Variance Accounts (2013) - Applicable only to Wholesale Market Participants - effective until April 30, 2015</v>
          </cell>
          <cell r="AA59" t="str">
            <v>Special meter reads</v>
          </cell>
          <cell r="AL59" t="str">
            <v>Peterborough Distribution Incorporated</v>
          </cell>
        </row>
        <row r="60">
          <cell r="A60" t="str">
            <v>LARGE USE - FORD ANNEX</v>
          </cell>
          <cell r="I60" t="str">
            <v>Rate Rider for Disposition of Deferral/Variance Accounts (2013) - effective until April 30, 2014</v>
          </cell>
          <cell r="AA60" t="str">
            <v>Specific Charge for Access to the Power Poles - $/pole/year</v>
          </cell>
          <cell r="AL60" t="str">
            <v>PowerStream Inc.</v>
          </cell>
        </row>
        <row r="61">
          <cell r="A61" t="str">
            <v>LARGE USE - REGULAR</v>
          </cell>
          <cell r="I61" t="str">
            <v>Rate Rider for Disposition of Deferral/Variance Accounts (2013) - effective until April 30, 2015</v>
          </cell>
          <cell r="AA61" t="str">
            <v>Specific Charge for Bell Canada Access to the Power Poles – per pole/year</v>
          </cell>
          <cell r="AL61" t="str">
            <v>PUC Distribution Inc.</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cell r="AL62" t="str">
            <v>Renfrew Hydro Inc.</v>
          </cell>
        </row>
        <row r="63">
          <cell r="A63" t="str">
            <v>microFIT</v>
          </cell>
          <cell r="I63" t="str">
            <v>Rate Rider for Disposition of Deferral/Variance Accounts (2013) - effective until April 30, 2017</v>
          </cell>
          <cell r="AA63" t="str">
            <v>Temporary Service – Install &amp; remove – overhead – no transformer</v>
          </cell>
          <cell r="AL63" t="str">
            <v>Rideau St. Lawrence Distribution Inc.</v>
          </cell>
        </row>
        <row r="64">
          <cell r="A64" t="str">
            <v>RESIDENTIAL</v>
          </cell>
          <cell r="I64" t="str">
            <v>Rate Rider for Disposition of Deferral/Variance Accounts (2013) - effective until August 31, 2014</v>
          </cell>
          <cell r="AA64" t="str">
            <v>Temporary Service – Install &amp; remove – overhead – with transformer</v>
          </cell>
          <cell r="AL64" t="str">
            <v>Sioux Lookout Hydro Inc.</v>
          </cell>
        </row>
        <row r="65">
          <cell r="A65" t="str">
            <v>RESIDENTIAL - HENSALL</v>
          </cell>
          <cell r="I65" t="str">
            <v>Rate Rider for Disposition of Deferral/Variance Accounts (2013) - effective until December 31, 2014</v>
          </cell>
          <cell r="AA65" t="str">
            <v>Temporary Service – Install &amp; remove – underground – no transformer</v>
          </cell>
          <cell r="AL65" t="str">
            <v>St. Thomas Energy Inc.</v>
          </cell>
        </row>
        <row r="66">
          <cell r="A66" t="str">
            <v>RESIDENTIAL - HIGH DENSITY [R1]</v>
          </cell>
          <cell r="I66" t="str">
            <v>Rate Rider for Disposition of Deferral/Variance Accounts (2013) - effective until May 31, 2014</v>
          </cell>
          <cell r="AA66" t="str">
            <v>Temporary service install &amp; remove – overhead – no transformer</v>
          </cell>
          <cell r="AL66" t="str">
            <v>Thunder Bay Hydro Electricity Distribution Inc.</v>
          </cell>
        </row>
        <row r="67">
          <cell r="A67" t="str">
            <v>RESIDENTIAL - LOW DENSITY [R2]</v>
          </cell>
          <cell r="I67" t="str">
            <v>Rate Rider for Disposition of Deferred PILs Variance Account 1562 - effective until March 31, 2016</v>
          </cell>
          <cell r="AA67" t="str">
            <v>Temporary Service Install &amp; Remove – Overhead – With Transformer</v>
          </cell>
          <cell r="AL67" t="str">
            <v>Tillsonburg Hydro Inc.</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cell r="AL68" t="str">
            <v>Toronto Hydro-Electric System Limited</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cell r="AL69" t="str">
            <v>Veridian Connections Inc.</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cell r="AL70" t="str">
            <v>Wasaga Distribution Inc.</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cell r="AL71" t="str">
            <v>Waterloo North Hydro Inc.</v>
          </cell>
        </row>
        <row r="72">
          <cell r="A72" t="str">
            <v>RESIDENTIAL REGULAR</v>
          </cell>
          <cell r="I72" t="str">
            <v>Rate Rider for Disposition of Deferred PILs Variance Account 1562 (per connection) (2012) - effective until April 30, 2016</v>
          </cell>
          <cell r="AL72" t="str">
            <v>Welland Hydro-Electric System Corp.</v>
          </cell>
        </row>
        <row r="73">
          <cell r="A73" t="str">
            <v>RESIDENTIAL SUBURBAN</v>
          </cell>
          <cell r="I73" t="str">
            <v>Rate Rider for Disposition of Global Adjustment Sub-Account (2011) - effective until April 30, 2015 Applicable only for Non-RPP Customers</v>
          </cell>
          <cell r="AL73" t="str">
            <v>Wellington North Power Inc.</v>
          </cell>
        </row>
        <row r="74">
          <cell r="A74" t="str">
            <v>RESIDENTIAL SUBURBAN SEASONAL</v>
          </cell>
          <cell r="I74" t="str">
            <v>Rate Rider for Disposition of Global Adjustment Sub-Account (2011) - effective until April 30, 2016 Applicable only for Non-RPP Customers</v>
          </cell>
          <cell r="AL74" t="str">
            <v>West Coast Huron Energy Inc.</v>
          </cell>
        </row>
        <row r="75">
          <cell r="A75" t="str">
            <v>RESIDENTIAL SUBURBAN YEAR ROUND</v>
          </cell>
          <cell r="I75" t="str">
            <v>Rate Rider for Disposition of Global Adjustment Sub-Account (2012) - effective until April 30, 2014 Applicable only for Non-RPP Customers</v>
          </cell>
          <cell r="AL75" t="str">
            <v>West Perth Power Inc.</v>
          </cell>
        </row>
        <row r="76">
          <cell r="A76" t="str">
            <v>RESIDENTIAL URBAN</v>
          </cell>
          <cell r="I76" t="str">
            <v>Rate Rider for Disposition of Global Adjustment Sub-Account (2012) - effective until April 30, 2015 Applicable only for Non-RPP Customers</v>
          </cell>
          <cell r="AL76" t="str">
            <v>Westario Power Inc.</v>
          </cell>
        </row>
        <row r="77">
          <cell r="A77" t="str">
            <v>RESIDENTIAL URBAN YEAR-ROUND</v>
          </cell>
          <cell r="I77" t="str">
            <v>Rate Rider for Disposition of Global Adjustment Sub-Account (2012) - effective until April 30, 2015 Applicatble only for Non-RPP Customers</v>
          </cell>
          <cell r="AL77" t="str">
            <v>Whitby Hydro Electric Corporation</v>
          </cell>
        </row>
        <row r="78">
          <cell r="A78" t="str">
            <v>SEASONAL RESIDENTIAL</v>
          </cell>
          <cell r="I78" t="str">
            <v>Rate Rider for Disposition of Global Adjustment Sub-Account (2012) - effective until April 30, 2016 Applicable only for Non-RPP Customers</v>
          </cell>
          <cell r="AL78" t="str">
            <v>Woodstock Hydro Services Inc.</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0.1 LDC Info"/>
      <sheetName val="Table of Contents"/>
      <sheetName val="0.2 Customer Classes"/>
      <sheetName val="Exhibit 1 -&gt;"/>
      <sheetName val="1.1 Trial Balance Summary"/>
      <sheetName val="1.2 TB Historical Balances"/>
      <sheetName val="1.3 TB Projected Balances"/>
      <sheetName val="1.4 TB Var Analysis"/>
      <sheetName val="1.5 Cust Engagments"/>
      <sheetName val="Exhibit 2 -&gt;"/>
      <sheetName val="2.1. Rate Base Trend "/>
      <sheetName val="2.2 RateBase VarAnalysis"/>
      <sheetName val="2.3 Details of Capital Projects"/>
      <sheetName val="2.3 Summary of Capital Project"/>
      <sheetName val="2.4. Var Capital Expenditures"/>
      <sheetName val="2.5 DSP Input Tables"/>
      <sheetName val="FIXED ASSET CONTINUITY STMT -&gt;"/>
      <sheetName val="2.5 Service Life Comp"/>
      <sheetName val="2.7 Overhead"/>
      <sheetName val="2.6 Fixed Asset Cont Stmt"/>
      <sheetName val="DEPRECIATION EXPENSES -&gt;"/>
      <sheetName val="2.9 Depreciation Expenses"/>
      <sheetName val="2.10 DeprExp Bridge NewGAAP"/>
      <sheetName val="2.11 DeprExp Test NewGAAP"/>
      <sheetName val="2.12 Proposed REG Invest."/>
      <sheetName val="OEB App 2-CH"/>
      <sheetName val="2.13 SQI"/>
      <sheetName val="Exhibit 3 -&gt;"/>
      <sheetName val="OPERATING REVENUES -&gt;"/>
      <sheetName val="3.2 Other_Oper_Summary"/>
      <sheetName val="3.2 Other_Oper_Var Analysis"/>
      <sheetName val="PILs -&gt;"/>
      <sheetName val="3.3 PILs.TaxRate"/>
      <sheetName val="3.4 PILs.Sch 8 UCC"/>
      <sheetName val="3.5 PILs.Sch 10 CEC"/>
      <sheetName val="3.6 PILs Sch 7 LCF"/>
      <sheetName val="3.7 PILs.Reserves"/>
      <sheetName val="3.8 PILs.TxblIncome"/>
      <sheetName val="3.9 PILs.Final PILs"/>
      <sheetName val="3.2 Other_Oper_Work"/>
      <sheetName val="LOAD FORECAST -&gt;"/>
      <sheetName val="3.10 Load Forecast Inputs"/>
      <sheetName val="3.11 LoadForecast"/>
      <sheetName val="3.12 LF Analysis"/>
      <sheetName val="Exhibit 4 -&gt;"/>
      <sheetName val="OM&amp;A -&gt;"/>
      <sheetName val="4.1 OM&amp;A_Detailed_Analysis"/>
      <sheetName val="4.2 OM&amp;A_Summary_Analys"/>
      <sheetName val="4.3 OMA Programs"/>
      <sheetName val="4.5 Monthly Staff Lvl"/>
      <sheetName val="4.4 OM&amp;A_Cost _Drivers"/>
      <sheetName val="4.6 Yearly Staff Turnover"/>
      <sheetName val="4.7 Employee Costs"/>
      <sheetName val="4.8 Charitable Donations"/>
      <sheetName val="4.9 OM&amp;A_per_Cust_FTEE"/>
      <sheetName val="4.10 Regulatory_Costs"/>
      <sheetName val="4.11 Supplier Purchases"/>
      <sheetName val="4.12 PowerSupplExp"/>
      <sheetName val="4.13 Corp_Cost_Allocation"/>
      <sheetName val="Exhibit 5 -&gt;"/>
      <sheetName val="5.1 Capital Structure"/>
      <sheetName val="5.2 Debt Instruments"/>
      <sheetName val="Exhibit 6 -&gt;"/>
      <sheetName val="6.1 Revenue Requirement"/>
      <sheetName val="6.2 Chg in RevReq"/>
      <sheetName val="6.3 Rev DefSuf (FS) "/>
      <sheetName val="6.3 Rev DefSuf (Rates)"/>
      <sheetName val="ROE Calcs -&gt;"/>
      <sheetName val="6.5 OEB Input Appendices"/>
      <sheetName val="6.6 OEB ROE Summary"/>
      <sheetName val="6.8 Over_Under-earning Drivers"/>
      <sheetName val="6.8 Scorecard"/>
      <sheetName val="Exhibit 8 -&gt;"/>
      <sheetName val="8.1 Loss Factors"/>
      <sheetName val="Rate Design"/>
      <sheetName val="A. Cost Allocation &amp; RevAllocn"/>
      <sheetName val="B. RateDesign"/>
      <sheetName val="C. Res Rate Design"/>
      <sheetName val="D. Rev_Reconciliation"/>
      <sheetName val="E. Revenues at Curr Rates"/>
      <sheetName val="F.Cost Allocation"/>
      <sheetName val="Intergrity Check"/>
      <sheetName val="Integrity Check"/>
      <sheetName val="Bill Impact"/>
      <sheetName val="Bill Impact - Res 10 Pct"/>
      <sheetName val="Bill Impact - Residential 500"/>
      <sheetName val="Bill Impact - Residential 750"/>
      <sheetName val="Bill Impact - Residential 1000"/>
      <sheetName val="Bill Impact - Residential 2000"/>
      <sheetName val="Bill Impact - GS&lt;50"/>
      <sheetName val="Bill Impact - GS&gt;50"/>
      <sheetName val="Bill Impact - USL"/>
      <sheetName val="Bill Impact - Sentinel Lights"/>
      <sheetName val="Bill Impact - StreetLight"/>
      <sheetName val="Intervener Tool"/>
      <sheetName val="Bill Impact Summary"/>
      <sheetName val="8.2 IFRS Transition Costs"/>
      <sheetName val="LDC Info"/>
      <sheetName val="Index"/>
      <sheetName val="COS Flowchart"/>
      <sheetName val="List of Key References"/>
      <sheetName val="App.2-A_Requested_Approvals"/>
      <sheetName val="App.2-AA_Capital Project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Hidden_REG Invest."/>
      <sheetName val="App.2-FB Calc of REG Improvemnt"/>
      <sheetName val="Hidden_REG Improvement"/>
      <sheetName val="App.2-FC Calc of REG Expansion"/>
      <sheetName val="Hidden_REG Expansion"/>
      <sheetName val="App.2-G SQI"/>
      <sheetName val="App.2-H_Other_Oper_Rev"/>
      <sheetName val="Hidden_Other Revenue"/>
      <sheetName val="App_2-I LF_CDM"/>
      <sheetName val="App.2-IA_Load_Forecast_Instrct"/>
      <sheetName val="App.2-IB_Load_Forecast_Analysis"/>
      <sheetName val="App.2-JA_OM&amp;A_Summary_Analys"/>
      <sheetName val="Hidden_OM&amp;A Summary"/>
      <sheetName val="App.2-JB_OM&amp;A_Cost _Drivers"/>
      <sheetName val="App.2-JC_OMA Programs"/>
      <sheetName val="App.2-K_Employee Costs"/>
      <sheetName val="Hidden_Employee Costs"/>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efreshError="1">
        <row r="15">
          <cell r="E15">
            <v>0</v>
          </cell>
        </row>
      </sheetData>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Relationship Target="../drawings/drawing1.xml" Type="http://schemas.openxmlformats.org/officeDocument/2006/relationships/drawing" Id="rId2"></Relationship></Relationships>
</file>

<file path=xl/worksheets/_rels/sheet10.xml.rels><?xml version="1.0" encoding="UTF-8" ?><Relationships xmlns="http://schemas.openxmlformats.org/package/2006/relationships"><Relationship Target="../drawings/drawing5.xml" Type="http://schemas.openxmlformats.org/officeDocument/2006/relationships/drawing" Id="rId2"></Relationship></Relationships>
</file>

<file path=xl/worksheets/_rels/sheet13.xml.rels><?xml version="1.0" encoding="UTF-8" ?><Relationships xmlns="http://schemas.openxmlformats.org/package/2006/relationships"><Relationship Target="../drawings/vmlDrawing3.vml" Type="http://schemas.openxmlformats.org/officeDocument/2006/relationships/vmlDrawing" Id="rId3"></Relationship><Relationship Target="../drawings/drawing6.xml" Type="http://schemas.openxmlformats.org/officeDocument/2006/relationships/drawing" Id="rId2"></Relationship><Relationship Target="../ctrlProps/ctrlProp3.xml" Type="http://schemas.openxmlformats.org/officeDocument/2006/relationships/ctrlProp" Id="rId6"></Relationship><Relationship Target="../ctrlProps/ctrlProp2.xml" Type="http://schemas.openxmlformats.org/officeDocument/2006/relationships/ctrlProp" Id="rId5"></Relationship><Relationship Target="../ctrlProps/ctrlProp1.xml" Type="http://schemas.openxmlformats.org/officeDocument/2006/relationships/ctrlProp" Id="rId4"></Relationship></Relationships>
</file>

<file path=xl/worksheets/_rels/sheet14.xml.rels><?xml version="1.0" encoding="UTF-8" ?><Relationships xmlns="http://schemas.openxmlformats.org/package/2006/relationships"><Relationship Target="../drawings/vmlDrawing4.vml" Type="http://schemas.openxmlformats.org/officeDocument/2006/relationships/vmlDrawing" Id="rId2"></Relationship></Relationships>
</file>

<file path=xl/worksheets/_rels/sheet2.xml.rels><?xml version="1.0" encoding="UTF-8" ?><Relationships xmlns="http://schemas.openxmlformats.org/package/2006/relationships"><Relationship Target="../drawings/drawing2.xml" Type="http://schemas.openxmlformats.org/officeDocument/2006/relationships/drawing" Id="rId2"></Relationship></Relationships>
</file>

<file path=xl/worksheets/_rels/sheet24.xml.rels><?xml version="1.0" encoding="UTF-8" ?><Relationships xmlns="http://schemas.openxmlformats.org/package/2006/relationships"><Relationship Target="../drawings/vmlDrawing5.vml" Type="http://schemas.openxmlformats.org/officeDocument/2006/relationships/vmlDrawing" Id="rId2"></Relationship></Relationships>
</file>

<file path=xl/worksheets/_rels/sheet27.xml.rels><?xml version="1.0" encoding="UTF-8" ?><Relationships xmlns="http://schemas.openxmlformats.org/package/2006/relationships"><Relationship Target="../drawings/vmlDrawing6.vml" Type="http://schemas.openxmlformats.org/officeDocument/2006/relationships/vmlDrawing" Id="rId2"></Relationship></Relationships>
</file>

<file path=xl/worksheets/_rels/sheet3.xml.rels><?xml version="1.0" encoding="UTF-8" ?><Relationships xmlns="http://schemas.openxmlformats.org/package/2006/relationships"><Relationship Target="../drawings/drawing3.xml" Type="http://schemas.openxmlformats.org/officeDocument/2006/relationships/drawing" Id="rId2"></Relationship></Relationships>
</file>

<file path=xl/worksheets/_rels/sheet4.xml.rels><?xml version="1.0" encoding="UTF-8" ?><Relationships xmlns="http://schemas.openxmlformats.org/package/2006/relationships"><Relationship Target="../drawings/vmlDrawing1.vml" Type="http://schemas.openxmlformats.org/officeDocument/2006/relationships/vmlDrawing" Id="rId3"></Relationship><Relationship Target="../drawings/drawing4.xml" Type="http://schemas.openxmlformats.org/officeDocument/2006/relationships/drawing" Id="rId2"></Relationship><Relationship Target="../media/image4.emf" Type="http://schemas.openxmlformats.org/officeDocument/2006/relationships/image" Id="rId5"></Relationship></Relationships>
</file>

<file path=xl/worksheets/_rels/sheet5.xml.rels><?xml version="1.0" encoding="UTF-8" ?><Relationships xmlns="http://schemas.openxmlformats.org/package/2006/relationships"><Relationship Target="../drawings/vmlDrawing2.vml" Type="http://schemas.openxmlformats.org/officeDocument/2006/relationships/vmlDrawing" Id="rId2"></Relationship></Relationships>
</file>

<file path=xl/worksheets/_rels/sheet50.xml.rels><?xml version="1.0" encoding="UTF-8" ?><Relationships xmlns="http://schemas.openxmlformats.org/package/2006/relationships"><Relationship Target="../drawings/drawing7.xml" Type="http://schemas.openxmlformats.org/officeDocument/2006/relationships/drawing" Id="rId2"></Relationshi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sheetPr>
  <dimension ref="A3:AD78"/>
  <sheetViews>
    <sheetView showGridLines="0" tabSelected="1" zoomScale="85" zoomScaleNormal="85" workbookViewId="0"/>
  </sheetViews>
  <sheetFormatPr defaultRowHeight="12.75" x14ac:dyDescent="0.2"/>
  <cols>
    <col min="1" max="2" width="9.140625" style="1"/>
    <col min="3" max="3" width="13.5703125" style="1" customWidth="1"/>
    <col min="4" max="4" width="18.7109375" style="1" customWidth="1"/>
    <col min="5" max="5" width="14.28515625" style="1" bestFit="1" customWidth="1"/>
    <col min="6" max="12" width="9.140625" style="1"/>
    <col min="13" max="13" width="3.7109375" style="1" customWidth="1"/>
    <col min="14" max="14" width="4.42578125" style="1" customWidth="1"/>
    <col min="15" max="25" width="9.140625" style="1"/>
    <col min="26" max="30" width="9.28515625" style="1" hidden="1" customWidth="1"/>
    <col min="31" max="31" width="9.28515625" style="1" customWidth="1"/>
    <col min="32" max="16384" width="9.140625" style="1"/>
  </cols>
  <sheetData>
    <row r="3" spans="4:27" x14ac:dyDescent="0.2">
      <c r="Z3" s="950">
        <v>1</v>
      </c>
      <c r="AA3" s="951" t="s">
        <v>1092</v>
      </c>
    </row>
    <row r="4" spans="4:27" x14ac:dyDescent="0.2">
      <c r="Z4" s="950">
        <v>2</v>
      </c>
      <c r="AA4" s="951" t="s">
        <v>1093</v>
      </c>
    </row>
    <row r="5" spans="4:27" x14ac:dyDescent="0.2">
      <c r="Z5" s="950">
        <v>3</v>
      </c>
      <c r="AA5" s="951" t="s">
        <v>1094</v>
      </c>
    </row>
    <row r="6" spans="4:27" x14ac:dyDescent="0.2">
      <c r="Z6" s="950">
        <v>4</v>
      </c>
      <c r="AA6" s="951" t="s">
        <v>1095</v>
      </c>
    </row>
    <row r="7" spans="4:27" x14ac:dyDescent="0.2">
      <c r="Z7" s="950">
        <v>5</v>
      </c>
      <c r="AA7" s="951" t="s">
        <v>1096</v>
      </c>
    </row>
    <row r="8" spans="4:27" x14ac:dyDescent="0.2">
      <c r="Z8" s="950">
        <v>6</v>
      </c>
      <c r="AA8" s="952" t="s">
        <v>295</v>
      </c>
    </row>
    <row r="9" spans="4:27" x14ac:dyDescent="0.2">
      <c r="Z9" s="950">
        <v>7</v>
      </c>
      <c r="AA9" s="952" t="s">
        <v>296</v>
      </c>
    </row>
    <row r="10" spans="4:27" x14ac:dyDescent="0.2">
      <c r="Z10" s="950">
        <v>8</v>
      </c>
      <c r="AA10" s="952" t="s">
        <v>297</v>
      </c>
    </row>
    <row r="11" spans="4:27" x14ac:dyDescent="0.2">
      <c r="Z11" s="950">
        <v>9</v>
      </c>
      <c r="AA11" s="952" t="s">
        <v>692</v>
      </c>
    </row>
    <row r="12" spans="4:27" x14ac:dyDescent="0.2">
      <c r="Z12" s="950">
        <v>10</v>
      </c>
      <c r="AA12" s="952" t="s">
        <v>298</v>
      </c>
    </row>
    <row r="13" spans="4:27" ht="13.5" thickBot="1" x14ac:dyDescent="0.25">
      <c r="L13" s="953"/>
      <c r="Z13" s="950">
        <v>11</v>
      </c>
      <c r="AA13" s="952" t="s">
        <v>299</v>
      </c>
    </row>
    <row r="14" spans="4:27" ht="32.25" customHeight="1" thickTop="1" thickBot="1" x14ac:dyDescent="0.25">
      <c r="D14" s="13" t="s">
        <v>291</v>
      </c>
      <c r="E14" s="1598" t="s">
        <v>331</v>
      </c>
      <c r="F14" s="1599"/>
      <c r="G14" s="1599"/>
      <c r="H14" s="1599"/>
      <c r="I14" s="1599"/>
      <c r="J14" s="1599"/>
      <c r="K14" s="1600"/>
      <c r="Z14" s="950">
        <v>12</v>
      </c>
      <c r="AA14" s="952" t="s">
        <v>1097</v>
      </c>
    </row>
    <row r="15" spans="4:27" ht="13.5" thickBot="1" x14ac:dyDescent="0.25">
      <c r="D15" s="14"/>
      <c r="E15" s="4"/>
      <c r="F15" s="5"/>
      <c r="G15" s="4"/>
      <c r="H15" s="4"/>
      <c r="I15" s="4"/>
      <c r="Z15" s="950">
        <v>13</v>
      </c>
      <c r="AA15" s="952" t="s">
        <v>300</v>
      </c>
    </row>
    <row r="16" spans="4:27" ht="16.5" thickTop="1" thickBot="1" x14ac:dyDescent="0.25">
      <c r="D16" s="15" t="s">
        <v>292</v>
      </c>
      <c r="E16" s="1601" t="s">
        <v>1427</v>
      </c>
      <c r="F16" s="1602"/>
      <c r="G16" s="1602"/>
      <c r="H16" s="1602"/>
      <c r="I16" s="1603"/>
      <c r="Z16" s="950">
        <v>14</v>
      </c>
      <c r="AA16" s="952" t="s">
        <v>301</v>
      </c>
    </row>
    <row r="17" spans="1:27" ht="13.5" thickBot="1" x14ac:dyDescent="0.25">
      <c r="D17" s="10"/>
      <c r="Z17" s="950">
        <v>15</v>
      </c>
      <c r="AA17" s="952" t="s">
        <v>937</v>
      </c>
    </row>
    <row r="18" spans="1:27" ht="16.5" thickTop="1" thickBot="1" x14ac:dyDescent="0.25">
      <c r="D18" s="15" t="s">
        <v>428</v>
      </c>
      <c r="E18" s="1595" t="s">
        <v>1428</v>
      </c>
      <c r="F18" s="1596"/>
      <c r="G18" s="1596"/>
      <c r="H18" s="1596"/>
      <c r="I18" s="1596"/>
      <c r="J18" s="1596"/>
      <c r="K18" s="1597"/>
      <c r="Z18" s="950">
        <v>16</v>
      </c>
      <c r="AA18" s="952" t="s">
        <v>302</v>
      </c>
    </row>
    <row r="19" spans="1:27" ht="14.25" thickTop="1" thickBot="1" x14ac:dyDescent="0.25">
      <c r="D19" s="14"/>
      <c r="E19" s="4"/>
      <c r="F19" s="5"/>
      <c r="G19" s="4"/>
      <c r="H19" s="4"/>
      <c r="I19" s="4"/>
      <c r="Z19" s="950">
        <v>17</v>
      </c>
      <c r="AA19" s="952" t="s">
        <v>303</v>
      </c>
    </row>
    <row r="20" spans="1:27" ht="16.5" thickTop="1" thickBot="1" x14ac:dyDescent="0.25">
      <c r="D20" s="13" t="s">
        <v>293</v>
      </c>
      <c r="E20" s="1601" t="s">
        <v>1429</v>
      </c>
      <c r="F20" s="1602"/>
      <c r="G20" s="1602"/>
      <c r="H20" s="1602"/>
      <c r="I20" s="1603"/>
      <c r="Z20" s="950">
        <v>18</v>
      </c>
      <c r="AA20" s="952" t="s">
        <v>990</v>
      </c>
    </row>
    <row r="21" spans="1:27" ht="13.5" thickBot="1" x14ac:dyDescent="0.25">
      <c r="D21" s="14"/>
      <c r="E21" s="4"/>
      <c r="F21" s="5"/>
      <c r="G21" s="4"/>
      <c r="H21" s="4"/>
      <c r="I21" s="4"/>
      <c r="Z21" s="950">
        <v>19</v>
      </c>
      <c r="AA21" s="952" t="s">
        <v>304</v>
      </c>
    </row>
    <row r="22" spans="1:27" ht="16.5" thickTop="1" thickBot="1" x14ac:dyDescent="0.25">
      <c r="D22" s="13" t="s">
        <v>294</v>
      </c>
      <c r="E22" s="1607" t="s">
        <v>1430</v>
      </c>
      <c r="F22" s="1608"/>
      <c r="G22" s="1608"/>
      <c r="H22" s="1608"/>
      <c r="I22" s="1609"/>
      <c r="Z22" s="950">
        <v>20</v>
      </c>
      <c r="AA22" s="952" t="s">
        <v>305</v>
      </c>
    </row>
    <row r="23" spans="1:27" ht="13.5" thickBot="1" x14ac:dyDescent="0.25">
      <c r="D23" s="14"/>
      <c r="E23" s="4"/>
      <c r="F23" s="5"/>
      <c r="G23" s="4"/>
      <c r="H23" s="4"/>
      <c r="I23" s="4"/>
      <c r="Z23" s="950">
        <v>21</v>
      </c>
      <c r="AA23" s="952" t="s">
        <v>306</v>
      </c>
    </row>
    <row r="24" spans="1:27" ht="16.5" thickTop="1" thickBot="1" x14ac:dyDescent="0.25">
      <c r="D24" s="15" t="s">
        <v>290</v>
      </c>
      <c r="E24" s="1589">
        <v>2019</v>
      </c>
      <c r="F24" s="1590"/>
      <c r="G24" s="1591"/>
      <c r="H24" s="4"/>
      <c r="I24" s="4"/>
      <c r="Z24" s="950">
        <v>22</v>
      </c>
      <c r="AA24" s="952" t="s">
        <v>693</v>
      </c>
    </row>
    <row r="25" spans="1:27" ht="13.5" thickBot="1" x14ac:dyDescent="0.25">
      <c r="D25" s="10"/>
      <c r="Z25" s="950">
        <v>23</v>
      </c>
      <c r="AA25" s="952" t="s">
        <v>307</v>
      </c>
    </row>
    <row r="26" spans="1:27" ht="16.5" thickTop="1" thickBot="1" x14ac:dyDescent="0.25">
      <c r="D26" s="15" t="s">
        <v>289</v>
      </c>
      <c r="E26" s="1604">
        <f>IF(ISBLANK(E24), "", E24-1)</f>
        <v>2018</v>
      </c>
      <c r="F26" s="1605"/>
      <c r="G26" s="1606"/>
      <c r="Z26" s="950">
        <v>24</v>
      </c>
      <c r="AA26" s="952" t="s">
        <v>308</v>
      </c>
    </row>
    <row r="27" spans="1:27" ht="13.5" thickBot="1" x14ac:dyDescent="0.25">
      <c r="D27" s="954"/>
      <c r="Z27" s="950">
        <v>25</v>
      </c>
      <c r="AA27" s="952" t="s">
        <v>309</v>
      </c>
    </row>
    <row r="28" spans="1:27" ht="16.5" thickTop="1" thickBot="1" x14ac:dyDescent="0.25">
      <c r="D28" s="15" t="s">
        <v>288</v>
      </c>
      <c r="E28" s="1589">
        <v>2014</v>
      </c>
      <c r="F28" s="1590"/>
      <c r="G28" s="1591"/>
      <c r="Z28" s="950">
        <v>26</v>
      </c>
      <c r="AA28" s="952" t="s">
        <v>310</v>
      </c>
    </row>
    <row r="29" spans="1:27" x14ac:dyDescent="0.2">
      <c r="Z29" s="950">
        <v>27</v>
      </c>
      <c r="AA29" s="952" t="s">
        <v>311</v>
      </c>
    </row>
    <row r="30" spans="1:27" ht="14.25" customHeight="1" thickBot="1" x14ac:dyDescent="0.25">
      <c r="A30" s="1592" t="s">
        <v>434</v>
      </c>
      <c r="B30" s="1592"/>
      <c r="C30" s="1592"/>
      <c r="D30" s="1592"/>
      <c r="Z30" s="950">
        <v>28</v>
      </c>
      <c r="AA30" s="952" t="s">
        <v>312</v>
      </c>
    </row>
    <row r="31" spans="1:27" ht="15.75" customHeight="1" thickTop="1" thickBot="1" x14ac:dyDescent="0.25">
      <c r="A31" s="1592"/>
      <c r="B31" s="1592"/>
      <c r="C31" s="1592"/>
      <c r="D31" s="1592"/>
      <c r="E31" s="1589" t="s">
        <v>95</v>
      </c>
      <c r="F31" s="1590"/>
      <c r="G31" s="1591"/>
      <c r="H31" s="955"/>
      <c r="I31" s="955"/>
      <c r="J31" s="955"/>
      <c r="Z31" s="950">
        <v>29</v>
      </c>
      <c r="AA31" s="952" t="s">
        <v>313</v>
      </c>
    </row>
    <row r="32" spans="1:27" ht="15.75" customHeight="1" x14ac:dyDescent="0.2">
      <c r="A32" s="949"/>
      <c r="B32" s="949"/>
      <c r="C32" s="949"/>
      <c r="D32" s="949"/>
      <c r="Z32" s="950">
        <v>30</v>
      </c>
      <c r="AA32" s="952" t="s">
        <v>314</v>
      </c>
    </row>
    <row r="33" spans="1:27" ht="30.75" customHeight="1" thickBot="1" x14ac:dyDescent="0.25">
      <c r="A33" s="1592" t="s">
        <v>1065</v>
      </c>
      <c r="B33" s="1592"/>
      <c r="C33" s="1592"/>
      <c r="D33" s="1592"/>
      <c r="Z33" s="950">
        <v>31</v>
      </c>
      <c r="AA33" s="952" t="s">
        <v>315</v>
      </c>
    </row>
    <row r="34" spans="1:27" ht="15.75" customHeight="1" thickTop="1" thickBot="1" x14ac:dyDescent="0.25">
      <c r="A34" s="1592"/>
      <c r="B34" s="1592"/>
      <c r="C34" s="1592"/>
      <c r="D34" s="1592"/>
      <c r="E34" s="1589" t="s">
        <v>1431</v>
      </c>
      <c r="F34" s="1590"/>
      <c r="G34" s="1591"/>
      <c r="Z34" s="950">
        <v>32</v>
      </c>
      <c r="AA34" s="952" t="s">
        <v>694</v>
      </c>
    </row>
    <row r="35" spans="1:27" ht="15.75" customHeight="1" x14ac:dyDescent="0.2">
      <c r="A35" s="949"/>
      <c r="B35" s="949"/>
      <c r="C35" s="949"/>
      <c r="D35" s="949"/>
      <c r="Z35" s="950">
        <v>33</v>
      </c>
      <c r="AA35" s="952" t="s">
        <v>316</v>
      </c>
    </row>
    <row r="36" spans="1:27" ht="15.75" customHeight="1" thickBot="1" x14ac:dyDescent="0.25">
      <c r="A36" s="1592" t="s">
        <v>1066</v>
      </c>
      <c r="B36" s="1592"/>
      <c r="C36" s="1592"/>
      <c r="D36" s="1592"/>
      <c r="Z36" s="950">
        <v>34</v>
      </c>
      <c r="AA36" s="952" t="s">
        <v>317</v>
      </c>
    </row>
    <row r="37" spans="1:27" ht="15.75" customHeight="1" thickTop="1" thickBot="1" x14ac:dyDescent="0.25">
      <c r="A37" s="1592"/>
      <c r="B37" s="1592"/>
      <c r="C37" s="1592"/>
      <c r="D37" s="1592"/>
      <c r="E37" s="956">
        <v>36892</v>
      </c>
      <c r="F37" s="29">
        <v>2013</v>
      </c>
      <c r="Z37" s="950">
        <v>35</v>
      </c>
      <c r="AA37" s="952" t="s">
        <v>318</v>
      </c>
    </row>
    <row r="38" spans="1:27" ht="30.75" customHeight="1" x14ac:dyDescent="0.2">
      <c r="A38" s="949"/>
      <c r="B38" s="949"/>
      <c r="C38" s="949"/>
      <c r="Z38" s="950">
        <v>36</v>
      </c>
      <c r="AA38" s="952" t="s">
        <v>1098</v>
      </c>
    </row>
    <row r="39" spans="1:27" ht="7.5" customHeight="1" thickBot="1" x14ac:dyDescent="0.25">
      <c r="A39" s="1592" t="s">
        <v>1067</v>
      </c>
      <c r="B39" s="1592"/>
      <c r="C39" s="1592"/>
      <c r="D39" s="1592"/>
      <c r="Z39" s="950">
        <v>37</v>
      </c>
      <c r="AA39" s="952" t="s">
        <v>319</v>
      </c>
    </row>
    <row r="40" spans="1:27" ht="26.25" customHeight="1" thickTop="1" thickBot="1" x14ac:dyDescent="0.25">
      <c r="A40" s="1592"/>
      <c r="B40" s="1592"/>
      <c r="C40" s="1592"/>
      <c r="D40" s="1592"/>
      <c r="E40" s="1589">
        <v>2015</v>
      </c>
      <c r="F40" s="1590"/>
      <c r="G40" s="1591"/>
      <c r="Z40" s="950">
        <v>38</v>
      </c>
      <c r="AA40" s="952" t="s">
        <v>320</v>
      </c>
    </row>
    <row r="41" spans="1:27" ht="12.75" customHeight="1" x14ac:dyDescent="0.2">
      <c r="A41" s="949"/>
      <c r="B41" s="949"/>
      <c r="C41" s="949"/>
      <c r="D41" s="949"/>
      <c r="Z41" s="950">
        <v>39</v>
      </c>
      <c r="AA41" s="952" t="s">
        <v>938</v>
      </c>
    </row>
    <row r="42" spans="1:27" ht="12.75" customHeight="1" x14ac:dyDescent="0.2">
      <c r="A42" s="949"/>
      <c r="B42" s="949"/>
      <c r="C42" s="949"/>
      <c r="D42" s="949"/>
      <c r="N42" s="951"/>
      <c r="Z42" s="950">
        <v>40</v>
      </c>
      <c r="AA42" s="952" t="s">
        <v>321</v>
      </c>
    </row>
    <row r="43" spans="1:27" ht="21" customHeight="1" thickBot="1" x14ac:dyDescent="0.25">
      <c r="A43" s="1593" t="s">
        <v>435</v>
      </c>
      <c r="B43" s="1593"/>
      <c r="C43" s="1593"/>
      <c r="D43" s="1593"/>
      <c r="E43" s="957"/>
      <c r="Z43" s="950">
        <v>41</v>
      </c>
      <c r="AA43" s="952" t="s">
        <v>322</v>
      </c>
    </row>
    <row r="44" spans="1:27" ht="23.25" customHeight="1" thickTop="1" x14ac:dyDescent="0.2">
      <c r="A44" s="1593"/>
      <c r="B44" s="1593"/>
      <c r="C44" s="1593"/>
      <c r="D44" s="1594"/>
      <c r="E44" s="627" t="s">
        <v>1432</v>
      </c>
      <c r="Z44" s="950">
        <v>42</v>
      </c>
      <c r="AA44" s="952" t="s">
        <v>323</v>
      </c>
    </row>
    <row r="45" spans="1:27" ht="12.75" customHeight="1" thickBot="1" x14ac:dyDescent="0.25">
      <c r="B45" s="26"/>
      <c r="C45" s="26"/>
      <c r="D45" s="26"/>
      <c r="Z45" s="950">
        <v>43</v>
      </c>
      <c r="AA45" s="952" t="s">
        <v>324</v>
      </c>
    </row>
    <row r="46" spans="1:27" ht="23.25" customHeight="1" thickTop="1" thickBot="1" x14ac:dyDescent="0.25">
      <c r="A46" s="1582" t="str">
        <f>"Is " &amp; E14 &amp; " an embedded distributor?"</f>
        <v>Is Niagara-on-the-Lake Hydro Inc. an embedded distributor?</v>
      </c>
      <c r="B46" s="1582"/>
      <c r="C46" s="1582"/>
      <c r="D46" s="1583"/>
      <c r="E46" s="466" t="s">
        <v>1432</v>
      </c>
      <c r="Z46" s="950">
        <v>44</v>
      </c>
      <c r="AA46" s="952" t="s">
        <v>325</v>
      </c>
    </row>
    <row r="47" spans="1:27" ht="12.75" customHeight="1" x14ac:dyDescent="0.2">
      <c r="B47" s="26"/>
      <c r="C47" s="26"/>
      <c r="D47" s="26"/>
      <c r="Z47" s="950">
        <v>45</v>
      </c>
      <c r="AA47" s="952" t="s">
        <v>326</v>
      </c>
    </row>
    <row r="48" spans="1:27" ht="12.75" customHeight="1" x14ac:dyDescent="0.2">
      <c r="B48" s="26"/>
      <c r="C48" s="26"/>
      <c r="D48" s="26"/>
      <c r="Z48" s="950">
        <v>46</v>
      </c>
      <c r="AA48" s="952" t="s">
        <v>327</v>
      </c>
    </row>
    <row r="49" spans="2:27" x14ac:dyDescent="0.2">
      <c r="B49" s="958" t="s">
        <v>287</v>
      </c>
      <c r="Z49" s="950">
        <v>47</v>
      </c>
      <c r="AA49" s="952" t="s">
        <v>328</v>
      </c>
    </row>
    <row r="50" spans="2:27" ht="13.5" thickBot="1" x14ac:dyDescent="0.25">
      <c r="Z50" s="950">
        <v>48</v>
      </c>
      <c r="AA50" s="952" t="s">
        <v>329</v>
      </c>
    </row>
    <row r="51" spans="2:27" ht="13.5" thickBot="1" x14ac:dyDescent="0.25">
      <c r="B51" s="959"/>
      <c r="C51" s="1584" t="s">
        <v>183</v>
      </c>
      <c r="D51" s="1584"/>
      <c r="E51" s="1584"/>
      <c r="F51" s="1584"/>
      <c r="G51" s="1584"/>
      <c r="H51" s="1584"/>
      <c r="I51" s="1584"/>
      <c r="J51" s="1584"/>
      <c r="K51" s="1584"/>
      <c r="L51" s="1584"/>
      <c r="Z51" s="950">
        <v>49</v>
      </c>
      <c r="AA51" s="952" t="s">
        <v>939</v>
      </c>
    </row>
    <row r="52" spans="2:27" ht="13.5" thickBot="1" x14ac:dyDescent="0.25">
      <c r="Z52" s="950">
        <v>50</v>
      </c>
      <c r="AA52" s="952" t="s">
        <v>330</v>
      </c>
    </row>
    <row r="53" spans="2:27" ht="13.5" thickBot="1" x14ac:dyDescent="0.25">
      <c r="B53" s="960"/>
      <c r="C53" s="1587" t="s">
        <v>351</v>
      </c>
      <c r="D53" s="1588"/>
      <c r="E53" s="1588"/>
      <c r="F53" s="1588"/>
      <c r="G53" s="1588"/>
      <c r="H53" s="1588"/>
      <c r="I53" s="1588"/>
      <c r="J53" s="1588"/>
      <c r="K53" s="1588"/>
      <c r="L53" s="1588"/>
      <c r="M53" s="1588"/>
      <c r="N53" s="1588"/>
      <c r="Z53" s="950">
        <v>51</v>
      </c>
      <c r="AA53" s="952" t="s">
        <v>331</v>
      </c>
    </row>
    <row r="54" spans="2:27" ht="13.5" thickBot="1" x14ac:dyDescent="0.25">
      <c r="B54" s="961"/>
      <c r="Z54" s="950">
        <v>52</v>
      </c>
      <c r="AA54" s="952" t="s">
        <v>332</v>
      </c>
    </row>
    <row r="55" spans="2:27" ht="13.5" customHeight="1" thickBot="1" x14ac:dyDescent="0.25">
      <c r="B55" s="962"/>
      <c r="C55" s="1585" t="s">
        <v>429</v>
      </c>
      <c r="D55" s="1586"/>
      <c r="E55" s="1586"/>
      <c r="F55" s="1586"/>
      <c r="G55" s="1586"/>
      <c r="H55" s="1586"/>
      <c r="I55" s="1586"/>
      <c r="J55" s="1586"/>
      <c r="K55" s="1586"/>
      <c r="L55" s="1586"/>
      <c r="M55" s="1586"/>
      <c r="N55" s="1" t="str">
        <f>IF(LEN($G55)&gt;1, (SUMPRODUCT(--($C$78:$C$1000=$C55),--($A$78:$A$1000=$D55), --($B$78:$B$1000=$B55&amp;"_TOTAL"), $L$78:$L$1000)), "")</f>
        <v/>
      </c>
      <c r="O55" s="1" t="str">
        <f>IF(LEN($G55)&gt;1, (SUMPRODUCT(--($C$78:$C$1000=$C55),--($A$78:$A$1000=$D55), --($B$78:$B$1000=$B55&amp;"_TOTAL"), $M$78:$M$1000)), "")</f>
        <v/>
      </c>
      <c r="Z55" s="950">
        <v>53</v>
      </c>
      <c r="AA55" s="952" t="s">
        <v>333</v>
      </c>
    </row>
    <row r="56" spans="2:27" x14ac:dyDescent="0.2">
      <c r="H56" s="963"/>
      <c r="I56" s="963"/>
      <c r="J56" s="963"/>
      <c r="K56" s="963"/>
      <c r="L56" s="963"/>
      <c r="M56" s="963"/>
      <c r="N56" s="1" t="str">
        <f t="shared" ref="N56:N74" si="0">IF(LEN($G56)&gt;1, (SUMPRODUCT(--($C$78:$C$1000=$C56),--($A$78:$A$1000=$D56), --($B$78:$B$1000=$B56&amp;"_TOTAL"), $L$78:$L$1000)), "")</f>
        <v/>
      </c>
      <c r="O56" s="1" t="str">
        <f t="shared" ref="O56:O74" si="1">IF(LEN($G56)&gt;1, (SUMPRODUCT(--($C$78:$C$1000=$C56),--($A$78:$A$1000=$D56), --($B$78:$B$1000=$B56&amp;"_TOTAL"), $M$78:$M$1000)), "")</f>
        <v/>
      </c>
      <c r="Z56" s="950">
        <v>54</v>
      </c>
      <c r="AA56" s="952" t="s">
        <v>695</v>
      </c>
    </row>
    <row r="57" spans="2:27" x14ac:dyDescent="0.2">
      <c r="H57" s="963"/>
      <c r="I57" s="963"/>
      <c r="J57" s="963"/>
      <c r="K57" s="963"/>
      <c r="L57" s="963"/>
      <c r="M57" s="963"/>
      <c r="N57" s="1" t="str">
        <f t="shared" si="0"/>
        <v/>
      </c>
      <c r="O57" s="1" t="str">
        <f t="shared" si="1"/>
        <v/>
      </c>
      <c r="Z57" s="950">
        <v>55</v>
      </c>
      <c r="AA57" s="952" t="s">
        <v>334</v>
      </c>
    </row>
    <row r="58" spans="2:27" x14ac:dyDescent="0.2">
      <c r="H58" s="963"/>
      <c r="I58" s="963"/>
      <c r="J58" s="963"/>
      <c r="K58" s="963"/>
      <c r="L58" s="963"/>
      <c r="M58" s="963"/>
      <c r="N58" s="1" t="str">
        <f t="shared" si="0"/>
        <v/>
      </c>
      <c r="O58" s="1" t="str">
        <f t="shared" si="1"/>
        <v/>
      </c>
      <c r="Z58" s="950">
        <v>56</v>
      </c>
      <c r="AA58" s="952" t="s">
        <v>696</v>
      </c>
    </row>
    <row r="59" spans="2:27" x14ac:dyDescent="0.2">
      <c r="H59" s="963"/>
      <c r="I59" s="963"/>
      <c r="J59" s="963"/>
      <c r="K59" s="963"/>
      <c r="L59" s="963"/>
      <c r="M59" s="963"/>
      <c r="N59" s="1" t="str">
        <f t="shared" si="0"/>
        <v/>
      </c>
      <c r="O59" s="1" t="str">
        <f t="shared" si="1"/>
        <v/>
      </c>
      <c r="Z59" s="950">
        <v>57</v>
      </c>
      <c r="AA59" s="952" t="s">
        <v>335</v>
      </c>
    </row>
    <row r="60" spans="2:27" x14ac:dyDescent="0.2">
      <c r="H60" s="963"/>
      <c r="I60" s="963"/>
      <c r="J60" s="963"/>
      <c r="K60" s="963"/>
      <c r="L60" s="963"/>
      <c r="M60" s="963"/>
      <c r="N60" s="1" t="str">
        <f t="shared" si="0"/>
        <v/>
      </c>
      <c r="O60" s="1" t="str">
        <f t="shared" si="1"/>
        <v/>
      </c>
      <c r="Z60" s="950">
        <v>58</v>
      </c>
      <c r="AA60" s="952" t="s">
        <v>336</v>
      </c>
    </row>
    <row r="61" spans="2:27" x14ac:dyDescent="0.2">
      <c r="H61" s="963"/>
      <c r="I61" s="963"/>
      <c r="J61" s="963"/>
      <c r="K61" s="963"/>
      <c r="L61" s="963"/>
      <c r="M61" s="963"/>
      <c r="N61" s="1" t="str">
        <f t="shared" si="0"/>
        <v/>
      </c>
      <c r="O61" s="1" t="str">
        <f t="shared" si="1"/>
        <v/>
      </c>
      <c r="Z61" s="950">
        <v>59</v>
      </c>
      <c r="AA61" s="952" t="s">
        <v>991</v>
      </c>
    </row>
    <row r="62" spans="2:27" x14ac:dyDescent="0.2">
      <c r="H62" s="963"/>
      <c r="I62" s="963"/>
      <c r="J62" s="963"/>
      <c r="K62" s="963"/>
      <c r="L62" s="963"/>
      <c r="M62" s="963"/>
      <c r="N62" s="1" t="str">
        <f t="shared" si="0"/>
        <v/>
      </c>
      <c r="O62" s="1" t="str">
        <f t="shared" si="1"/>
        <v/>
      </c>
      <c r="Z62" s="950">
        <v>60</v>
      </c>
      <c r="AA62" s="952" t="s">
        <v>337</v>
      </c>
    </row>
    <row r="63" spans="2:27" x14ac:dyDescent="0.2">
      <c r="H63" s="963"/>
      <c r="I63" s="963"/>
      <c r="J63" s="963"/>
      <c r="K63" s="963"/>
      <c r="L63" s="963"/>
      <c r="M63" s="963"/>
      <c r="N63" s="1" t="str">
        <f t="shared" si="0"/>
        <v/>
      </c>
      <c r="O63" s="1" t="str">
        <f t="shared" si="1"/>
        <v/>
      </c>
      <c r="Z63" s="950">
        <v>61</v>
      </c>
      <c r="AA63" s="952" t="s">
        <v>338</v>
      </c>
    </row>
    <row r="64" spans="2:27" x14ac:dyDescent="0.2">
      <c r="H64" s="963"/>
      <c r="I64" s="963"/>
      <c r="J64" s="963"/>
      <c r="K64" s="963"/>
      <c r="L64" s="963"/>
      <c r="M64" s="963"/>
      <c r="N64" s="1" t="str">
        <f t="shared" si="0"/>
        <v/>
      </c>
      <c r="O64" s="1" t="str">
        <f t="shared" si="1"/>
        <v/>
      </c>
      <c r="Z64" s="950">
        <v>62</v>
      </c>
      <c r="AA64" s="952" t="s">
        <v>339</v>
      </c>
    </row>
    <row r="65" spans="8:27" x14ac:dyDescent="0.2">
      <c r="H65" s="963"/>
      <c r="I65" s="963"/>
      <c r="J65" s="963"/>
      <c r="K65" s="963"/>
      <c r="L65" s="963"/>
      <c r="M65" s="963"/>
      <c r="N65" s="1" t="str">
        <f t="shared" si="0"/>
        <v/>
      </c>
      <c r="O65" s="1" t="str">
        <f t="shared" si="1"/>
        <v/>
      </c>
      <c r="Z65" s="950">
        <v>63</v>
      </c>
      <c r="AA65" s="952" t="s">
        <v>341</v>
      </c>
    </row>
    <row r="66" spans="8:27" x14ac:dyDescent="0.2">
      <c r="H66" s="963"/>
      <c r="I66" s="963"/>
      <c r="J66" s="963"/>
      <c r="K66" s="963"/>
      <c r="L66" s="963"/>
      <c r="M66" s="963"/>
      <c r="N66" s="1" t="str">
        <f t="shared" si="0"/>
        <v/>
      </c>
      <c r="O66" s="1" t="str">
        <f t="shared" si="1"/>
        <v/>
      </c>
      <c r="Z66" s="950">
        <v>64</v>
      </c>
      <c r="AA66" s="952" t="s">
        <v>340</v>
      </c>
    </row>
    <row r="67" spans="8:27" x14ac:dyDescent="0.2">
      <c r="H67" s="963"/>
      <c r="I67" s="963"/>
      <c r="J67" s="963"/>
      <c r="K67" s="963"/>
      <c r="L67" s="963"/>
      <c r="M67" s="963"/>
      <c r="N67" s="1" t="str">
        <f t="shared" si="0"/>
        <v/>
      </c>
      <c r="O67" s="1" t="str">
        <f t="shared" si="1"/>
        <v/>
      </c>
      <c r="Z67" s="950">
        <v>65</v>
      </c>
      <c r="AA67" s="952" t="s">
        <v>697</v>
      </c>
    </row>
    <row r="68" spans="8:27" x14ac:dyDescent="0.2">
      <c r="H68" s="963"/>
      <c r="I68" s="963"/>
      <c r="J68" s="963"/>
      <c r="K68" s="963"/>
      <c r="L68" s="963"/>
      <c r="M68" s="963"/>
      <c r="N68" s="1" t="str">
        <f t="shared" si="0"/>
        <v/>
      </c>
      <c r="O68" s="1" t="str">
        <f t="shared" si="1"/>
        <v/>
      </c>
      <c r="Z68" s="950">
        <v>66</v>
      </c>
      <c r="AA68" s="952" t="s">
        <v>342</v>
      </c>
    </row>
    <row r="69" spans="8:27" x14ac:dyDescent="0.2">
      <c r="H69" s="963"/>
      <c r="I69" s="963"/>
      <c r="J69" s="963"/>
      <c r="K69" s="963"/>
      <c r="L69" s="963"/>
      <c r="M69" s="963"/>
      <c r="N69" s="1" t="str">
        <f t="shared" si="0"/>
        <v/>
      </c>
      <c r="O69" s="1" t="str">
        <f t="shared" si="1"/>
        <v/>
      </c>
      <c r="Z69" s="950">
        <v>67</v>
      </c>
      <c r="AA69" s="952" t="s">
        <v>343</v>
      </c>
    </row>
    <row r="70" spans="8:27" x14ac:dyDescent="0.2">
      <c r="H70" s="963"/>
      <c r="I70" s="963"/>
      <c r="J70" s="963"/>
      <c r="K70" s="963"/>
      <c r="L70" s="963"/>
      <c r="M70" s="963"/>
      <c r="N70" s="1" t="str">
        <f t="shared" si="0"/>
        <v/>
      </c>
      <c r="O70" s="1" t="str">
        <f t="shared" si="1"/>
        <v/>
      </c>
      <c r="Z70" s="950">
        <v>68</v>
      </c>
      <c r="AA70" s="952" t="s">
        <v>344</v>
      </c>
    </row>
    <row r="71" spans="8:27" x14ac:dyDescent="0.2">
      <c r="H71" s="963"/>
      <c r="I71" s="963"/>
      <c r="J71" s="963"/>
      <c r="K71" s="963"/>
      <c r="L71" s="963"/>
      <c r="M71" s="963"/>
      <c r="N71" s="1" t="str">
        <f t="shared" si="0"/>
        <v/>
      </c>
      <c r="O71" s="1" t="str">
        <f t="shared" si="1"/>
        <v/>
      </c>
      <c r="Z71" s="950">
        <v>69</v>
      </c>
      <c r="AA71" s="952" t="s">
        <v>345</v>
      </c>
    </row>
    <row r="72" spans="8:27" x14ac:dyDescent="0.2">
      <c r="H72" s="963"/>
      <c r="I72" s="963"/>
      <c r="J72" s="963"/>
      <c r="K72" s="963"/>
      <c r="L72" s="963"/>
      <c r="M72" s="963"/>
      <c r="N72" s="1" t="str">
        <f t="shared" si="0"/>
        <v/>
      </c>
      <c r="O72" s="1" t="str">
        <f t="shared" si="1"/>
        <v/>
      </c>
      <c r="Z72" s="950">
        <v>70</v>
      </c>
      <c r="AA72" s="952" t="s">
        <v>346</v>
      </c>
    </row>
    <row r="73" spans="8:27" x14ac:dyDescent="0.2">
      <c r="H73" s="963"/>
      <c r="I73" s="963"/>
      <c r="J73" s="963"/>
      <c r="K73" s="963"/>
      <c r="L73" s="963"/>
      <c r="M73" s="963"/>
      <c r="N73" s="1" t="str">
        <f t="shared" si="0"/>
        <v/>
      </c>
      <c r="O73" s="1" t="str">
        <f t="shared" si="1"/>
        <v/>
      </c>
      <c r="Z73" s="950">
        <v>71</v>
      </c>
      <c r="AA73" s="952" t="s">
        <v>698</v>
      </c>
    </row>
    <row r="74" spans="8:27" x14ac:dyDescent="0.2">
      <c r="H74" s="963"/>
      <c r="I74" s="963"/>
      <c r="J74" s="963"/>
      <c r="K74" s="963"/>
      <c r="L74" s="963"/>
      <c r="M74" s="963"/>
      <c r="N74" s="1" t="str">
        <f t="shared" si="0"/>
        <v/>
      </c>
      <c r="O74" s="1" t="str">
        <f t="shared" si="1"/>
        <v/>
      </c>
      <c r="Z74" s="950">
        <v>72</v>
      </c>
      <c r="AA74" s="952" t="s">
        <v>347</v>
      </c>
    </row>
    <row r="75" spans="8:27" x14ac:dyDescent="0.2">
      <c r="Z75" s="950">
        <v>73</v>
      </c>
      <c r="AA75" s="952" t="s">
        <v>348</v>
      </c>
    </row>
    <row r="76" spans="8:27" x14ac:dyDescent="0.2">
      <c r="Z76" s="950">
        <v>74</v>
      </c>
      <c r="AA76" s="952" t="s">
        <v>349</v>
      </c>
    </row>
    <row r="77" spans="8:27" x14ac:dyDescent="0.2">
      <c r="Z77" s="950">
        <v>75</v>
      </c>
      <c r="AA77" s="952" t="s">
        <v>350</v>
      </c>
    </row>
    <row r="78" spans="8:27" x14ac:dyDescent="0.2">
      <c r="AA78" s="952"/>
    </row>
  </sheetData>
  <sheetProtection algorithmName="SHA-512" hashValue="oATmMkho9hsoOuNYy2gIOnvO6RNj0DK4m/xqZihN8RWb90M30k+sBzCzCZx0DVHGS70TBJhtCEoBdnzTiTKIqw==" saltValue="BORAXKNBV1ujEUZl2YsPdw==" spinCount="100000" sheet="1" objects="1" scenarios="1"/>
  <mergeCells count="20">
    <mergeCell ref="E18:K18"/>
    <mergeCell ref="E14:K14"/>
    <mergeCell ref="E16:I16"/>
    <mergeCell ref="E20:I20"/>
    <mergeCell ref="E26:G26"/>
    <mergeCell ref="E24:G24"/>
    <mergeCell ref="E22:I22"/>
    <mergeCell ref="A46:D46"/>
    <mergeCell ref="C51:L51"/>
    <mergeCell ref="C55:M55"/>
    <mergeCell ref="C53:N53"/>
    <mergeCell ref="E28:G28"/>
    <mergeCell ref="E31:G31"/>
    <mergeCell ref="A30:D31"/>
    <mergeCell ref="A43:D44"/>
    <mergeCell ref="A39:D40"/>
    <mergeCell ref="E40:G40"/>
    <mergeCell ref="A33:D34"/>
    <mergeCell ref="E34:G34"/>
    <mergeCell ref="A36:D37"/>
  </mergeCells>
  <phoneticPr fontId="16" type="noConversion"/>
  <dataValidations count="10">
    <dataValidation allowBlank="1" showErrorMessage="1" error="Use the following date format when inserting a date:_x000a__x000a_Eg:  &quot;January 1, 2013&quot;" prompt="Use the following format eg: January 1, 2013" sqref="E26:G26 F46:G46" xr:uid="{00000000-0002-0000-0000-000000000000}"/>
    <dataValidation type="list" allowBlank="1" showErrorMessage="1" error="Use the following date format when inserting a date:_x000a__x000a_Eg:  &quot;January 1, 2013&quot;" prompt="Use the following format eg: January 1, 2013" sqref="E31:G31" xr:uid="{00000000-0002-0000-0000-000001000000}">
      <formula1>"MIFRS,USGAAP, ASPE"</formula1>
    </dataValidation>
    <dataValidation type="list" allowBlank="1" showErrorMessage="1" prompt="Use the following format eg: January 1, 2013" sqref="E44" xr:uid="{00000000-0002-0000-0000-000002000000}">
      <formula1>"Yes, No"</formula1>
    </dataValidation>
    <dataValidation type="list" allowBlank="1" showErrorMessage="1" error="Use the following date format when inserting a date:_x000a__x000a_Eg:  &quot;January 1, 2013&quot;" prompt="Use the following format eg: January 1, 2013" sqref="E40:G40" xr:uid="{00000000-0002-0000-0000-000003000000}">
      <formula1>"2012,2013, 2014, 2015 "</formula1>
    </dataValidation>
    <dataValidation type="list" allowBlank="1" showErrorMessage="1" error="Use the following date format when inserting a date:_x000a__x000a_Eg:  &quot;January 1, 2013&quot;" prompt="Use the following format eg: January 1, 2013" sqref="E34:G34" xr:uid="{00000000-0002-0000-0000-000004000000}">
      <formula1>"Yes, No"</formula1>
    </dataValidation>
    <dataValidation type="list" allowBlank="1" showErrorMessage="1" error="Use the following date format when inserting a date:_x000a__x000a_Eg:  &quot;January 1, 2013&quot;" prompt="Use the following format eg: January 1, 2013" sqref="E28:G28" xr:uid="{00000000-0002-0000-0000-000005000000}">
      <formula1>"2008,2009,2010,2011,2012,2013, 2014,2015,2016"</formula1>
    </dataValidation>
    <dataValidation type="list" allowBlank="1" showErrorMessage="1" error="Use the following date format when inserting a date:_x000a__x000a_Eg:  &quot;January 1, 2013&quot;" prompt="Use the following format eg: January 1, 2013" sqref="E24:G24" xr:uid="{00000000-0002-0000-0000-000006000000}">
      <formula1>"2016,2017,2018, 2019, 2020"</formula1>
    </dataValidation>
    <dataValidation type="list" allowBlank="1" showErrorMessage="1" error="Use the following date format when inserting a date:_x000a__x000a_Eg:  &quot;January 1, 2013&quot;" prompt="Use the following format eg: January 1, 2013" sqref="F37" xr:uid="{00000000-0002-0000-0000-000007000000}">
      <formula1>"2012, 2013"</formula1>
    </dataValidation>
    <dataValidation type="list" allowBlank="1" showInputMessage="1" showErrorMessage="1" sqref="E14:K14" xr:uid="{00000000-0002-0000-0000-000008000000}">
      <formula1>$AA$3:$AA$77</formula1>
    </dataValidation>
    <dataValidation type="list" allowBlank="1" showErrorMessage="1" error="Use the following date format when inserting a date:_x000a__x000a_Eg:  &quot;January 1, 2013&quot;" prompt="Use the following format eg: January 1, 2013" sqref="E46" xr:uid="{00000000-0002-0000-0000-000009000000}">
      <formula1>"Yes, Partial, No"</formula1>
    </dataValidation>
  </dataValidations>
  <pageMargins left="0.75" right="0.75" top="1" bottom="1" header="0.5" footer="0.5"/>
  <pageSetup scale="66" orientation="portrait"/>
  <headerFooter alignWithMargins="0"/>
  <colBreaks count="1" manualBreakCount="1">
    <brk id="15"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tabColor rgb="FFFFC000"/>
    <pageSetUpPr fitToPage="1"/>
  </sheetPr>
  <dimension ref="A1:T110"/>
  <sheetViews>
    <sheetView showGridLines="0" zoomScale="85" zoomScaleNormal="85" workbookViewId="0">
      <selection sqref="A1:K1"/>
    </sheetView>
  </sheetViews>
  <sheetFormatPr defaultColWidth="9.28515625" defaultRowHeight="12.75" x14ac:dyDescent="0.2"/>
  <cols>
    <col min="1" max="1" width="14.42578125" style="988" customWidth="1"/>
    <col min="2" max="2" width="18" style="988" customWidth="1"/>
    <col min="3" max="3" width="13.28515625" style="988" bestFit="1" customWidth="1"/>
    <col min="4" max="4" width="2.5703125" style="988" customWidth="1"/>
    <col min="5" max="5" width="26" style="988" customWidth="1"/>
    <col min="6" max="6" width="25.7109375" style="988" customWidth="1"/>
    <col min="7" max="7" width="29.28515625" style="988" customWidth="1"/>
    <col min="8" max="16384" width="9.28515625" style="988"/>
  </cols>
  <sheetData>
    <row r="1" spans="1:11" ht="18" x14ac:dyDescent="0.25">
      <c r="A1" s="1667" t="s">
        <v>466</v>
      </c>
      <c r="B1" s="1667"/>
      <c r="C1" s="1667"/>
      <c r="D1" s="1667"/>
      <c r="E1" s="1667"/>
      <c r="F1" s="1667"/>
      <c r="G1" s="1667"/>
      <c r="H1" s="1667"/>
      <c r="I1" s="1667"/>
      <c r="J1" s="1667"/>
      <c r="K1" s="1667"/>
    </row>
    <row r="2" spans="1:11" ht="18" x14ac:dyDescent="0.25">
      <c r="A2" s="1667" t="s">
        <v>467</v>
      </c>
      <c r="B2" s="1667"/>
      <c r="C2" s="1667"/>
      <c r="D2" s="1667"/>
      <c r="E2" s="1667"/>
      <c r="F2" s="1667"/>
      <c r="G2" s="1667"/>
      <c r="H2" s="1667"/>
      <c r="I2" s="1667"/>
      <c r="J2" s="1667"/>
      <c r="K2" s="1667"/>
    </row>
    <row r="4" spans="1:11" x14ac:dyDescent="0.2">
      <c r="A4" s="989" t="s">
        <v>871</v>
      </c>
      <c r="B4" s="989"/>
      <c r="C4" s="989"/>
      <c r="D4" s="989"/>
    </row>
    <row r="5" spans="1:11" x14ac:dyDescent="0.2">
      <c r="A5" s="989"/>
      <c r="B5" s="989"/>
      <c r="C5" s="989"/>
      <c r="D5" s="989"/>
    </row>
    <row r="6" spans="1:11" ht="68.25" customHeight="1" x14ac:dyDescent="0.2">
      <c r="A6" s="1664" t="s">
        <v>1129</v>
      </c>
      <c r="B6" s="1664"/>
      <c r="C6" s="1664"/>
      <c r="D6" s="1664"/>
      <c r="E6" s="1664"/>
      <c r="F6" s="1664"/>
      <c r="G6" s="1664"/>
      <c r="H6" s="1664"/>
      <c r="I6" s="1664"/>
      <c r="J6" s="1664"/>
      <c r="K6" s="1664"/>
    </row>
    <row r="7" spans="1:11" x14ac:dyDescent="0.2">
      <c r="A7" s="990"/>
      <c r="B7" s="990"/>
      <c r="C7" s="990"/>
      <c r="D7" s="990"/>
      <c r="E7" s="990"/>
      <c r="F7" s="990"/>
      <c r="G7" s="990"/>
      <c r="H7" s="990"/>
      <c r="I7" s="990"/>
      <c r="J7" s="990"/>
      <c r="K7" s="990"/>
    </row>
    <row r="8" spans="1:11" ht="13.5" thickBot="1" x14ac:dyDescent="0.25">
      <c r="A8" s="990"/>
      <c r="B8" s="990"/>
      <c r="C8" s="990"/>
      <c r="D8" s="990"/>
      <c r="E8" s="990"/>
      <c r="F8" s="990"/>
      <c r="G8" s="990"/>
      <c r="H8" s="990"/>
      <c r="I8" s="990"/>
      <c r="J8" s="990"/>
      <c r="K8" s="990"/>
    </row>
    <row r="9" spans="1:11" ht="39" customHeight="1" thickBot="1" x14ac:dyDescent="0.25">
      <c r="A9" s="990"/>
      <c r="B9" s="990"/>
      <c r="C9" s="990"/>
      <c r="D9" s="990"/>
      <c r="E9" s="1668" t="s">
        <v>953</v>
      </c>
      <c r="F9" s="1669"/>
      <c r="G9" s="991" t="s">
        <v>966</v>
      </c>
      <c r="H9" s="990"/>
      <c r="I9" s="990"/>
      <c r="J9" s="990"/>
      <c r="K9" s="990"/>
    </row>
    <row r="10" spans="1:11" ht="39" thickBot="1" x14ac:dyDescent="0.25">
      <c r="A10" s="992"/>
      <c r="B10" s="992"/>
      <c r="C10" s="989"/>
      <c r="D10" s="989"/>
      <c r="E10" s="993" t="s">
        <v>913</v>
      </c>
      <c r="F10" s="993" t="s">
        <v>914</v>
      </c>
      <c r="G10" s="991" t="s">
        <v>1043</v>
      </c>
      <c r="H10" s="994"/>
    </row>
    <row r="11" spans="1:11" ht="15" x14ac:dyDescent="0.2">
      <c r="A11" s="1670" t="s">
        <v>1202</v>
      </c>
      <c r="B11" s="995">
        <v>2019</v>
      </c>
      <c r="C11" s="996" t="s">
        <v>828</v>
      </c>
      <c r="D11" s="989"/>
      <c r="E11" s="997" t="s">
        <v>95</v>
      </c>
      <c r="F11" s="998" t="s">
        <v>95</v>
      </c>
      <c r="G11" s="998" t="s">
        <v>95</v>
      </c>
      <c r="H11" s="994"/>
    </row>
    <row r="12" spans="1:11" ht="12.75" customHeight="1" x14ac:dyDescent="0.2">
      <c r="A12" s="1670"/>
      <c r="B12" s="999">
        <v>2018</v>
      </c>
      <c r="C12" s="1000" t="s">
        <v>829</v>
      </c>
      <c r="D12" s="989"/>
      <c r="E12" s="1001" t="s">
        <v>95</v>
      </c>
      <c r="F12" s="1002" t="s">
        <v>95</v>
      </c>
      <c r="G12" s="1002" t="s">
        <v>95</v>
      </c>
    </row>
    <row r="13" spans="1:11" ht="12.75" customHeight="1" x14ac:dyDescent="0.2">
      <c r="A13" s="1670"/>
      <c r="B13" s="999">
        <v>2017</v>
      </c>
      <c r="C13" s="1000" t="s">
        <v>830</v>
      </c>
      <c r="D13" s="989"/>
      <c r="E13" s="1001" t="s">
        <v>95</v>
      </c>
      <c r="F13" s="1002" t="s">
        <v>95</v>
      </c>
      <c r="G13" s="1002" t="s">
        <v>95</v>
      </c>
    </row>
    <row r="14" spans="1:11" ht="12.75" customHeight="1" x14ac:dyDescent="0.2">
      <c r="A14" s="1670"/>
      <c r="B14" s="999">
        <v>2016</v>
      </c>
      <c r="C14" s="1000" t="s">
        <v>830</v>
      </c>
      <c r="D14" s="989"/>
      <c r="E14" s="1003" t="s">
        <v>95</v>
      </c>
      <c r="F14" s="1003" t="s">
        <v>95</v>
      </c>
      <c r="G14" s="1003" t="s">
        <v>95</v>
      </c>
    </row>
    <row r="15" spans="1:11" ht="17.25" x14ac:dyDescent="0.25">
      <c r="A15" s="1670"/>
      <c r="B15" s="999">
        <v>2015</v>
      </c>
      <c r="C15" s="1000" t="s">
        <v>830</v>
      </c>
      <c r="D15" s="989"/>
      <c r="E15" s="1004" t="s">
        <v>954</v>
      </c>
      <c r="F15" s="1004" t="s">
        <v>954</v>
      </c>
      <c r="G15" s="1004" t="s">
        <v>954</v>
      </c>
    </row>
    <row r="16" spans="1:11" ht="17.25" x14ac:dyDescent="0.25">
      <c r="A16" s="1670"/>
      <c r="B16" s="999">
        <v>2014</v>
      </c>
      <c r="C16" s="1000" t="s">
        <v>830</v>
      </c>
      <c r="D16" s="989"/>
      <c r="E16" s="1005" t="s">
        <v>831</v>
      </c>
      <c r="F16" s="1004" t="s">
        <v>955</v>
      </c>
      <c r="G16" s="1006" t="s">
        <v>244</v>
      </c>
    </row>
    <row r="17" spans="1:19" ht="18" thickBot="1" x14ac:dyDescent="0.3">
      <c r="A17" s="1670"/>
      <c r="B17" s="999">
        <v>2013</v>
      </c>
      <c r="C17" s="1000" t="s">
        <v>830</v>
      </c>
      <c r="D17" s="989"/>
      <c r="E17" s="1007" t="s">
        <v>955</v>
      </c>
      <c r="F17" s="1008" t="s">
        <v>244</v>
      </c>
      <c r="G17" s="1008" t="s">
        <v>244</v>
      </c>
    </row>
    <row r="18" spans="1:19" x14ac:dyDescent="0.2">
      <c r="A18" s="992"/>
      <c r="B18" s="992"/>
      <c r="C18" s="989"/>
      <c r="D18" s="989"/>
    </row>
    <row r="19" spans="1:19" ht="25.5" customHeight="1" x14ac:dyDescent="0.2">
      <c r="A19" s="1662" t="s">
        <v>956</v>
      </c>
      <c r="B19" s="1662"/>
      <c r="C19" s="1662"/>
      <c r="D19" s="1662"/>
      <c r="E19" s="1662"/>
      <c r="F19" s="1662"/>
      <c r="G19" s="1662"/>
      <c r="H19" s="1662"/>
      <c r="I19" s="1662"/>
      <c r="J19" s="1662"/>
      <c r="K19" s="1009"/>
    </row>
    <row r="20" spans="1:19" ht="28.5" customHeight="1" x14ac:dyDescent="0.2">
      <c r="A20" s="1662" t="s">
        <v>1058</v>
      </c>
      <c r="B20" s="1662"/>
      <c r="C20" s="1662"/>
      <c r="D20" s="1662"/>
      <c r="E20" s="1662"/>
      <c r="F20" s="1662"/>
      <c r="G20" s="1662"/>
      <c r="H20" s="1662"/>
      <c r="I20" s="1662"/>
      <c r="J20" s="1010"/>
      <c r="K20" s="1010"/>
    </row>
    <row r="21" spans="1:19" ht="28.5" customHeight="1" x14ac:dyDescent="0.2">
      <c r="A21" s="1662" t="s">
        <v>1130</v>
      </c>
      <c r="B21" s="1662"/>
      <c r="C21" s="1662"/>
      <c r="D21" s="1662"/>
      <c r="E21" s="1662"/>
      <c r="F21" s="1662"/>
      <c r="G21" s="1662"/>
      <c r="H21" s="1662"/>
      <c r="I21" s="1662"/>
      <c r="J21" s="1010"/>
      <c r="K21" s="1010"/>
    </row>
    <row r="22" spans="1:19" ht="28.5" customHeight="1" x14ac:dyDescent="0.2">
      <c r="A22" s="1011"/>
      <c r="B22" s="1011"/>
      <c r="C22" s="1011"/>
      <c r="D22" s="1011"/>
      <c r="E22" s="1011"/>
      <c r="F22" s="1011"/>
      <c r="G22" s="1011"/>
      <c r="H22" s="1011"/>
      <c r="I22" s="1011"/>
      <c r="J22" s="1010"/>
      <c r="K22" s="1010"/>
    </row>
    <row r="23" spans="1:19" x14ac:dyDescent="0.2">
      <c r="A23" s="992"/>
      <c r="B23" s="992"/>
      <c r="C23" s="989"/>
      <c r="D23" s="989"/>
    </row>
    <row r="24" spans="1:19" x14ac:dyDescent="0.2">
      <c r="A24" s="1012" t="s">
        <v>834</v>
      </c>
      <c r="B24" s="1012"/>
      <c r="C24" s="1012"/>
      <c r="D24" s="1012"/>
      <c r="E24" s="1012"/>
      <c r="F24" s="1012"/>
      <c r="G24" s="1012"/>
      <c r="H24" s="1012"/>
      <c r="I24" s="1012"/>
      <c r="J24" s="1012"/>
      <c r="K24" s="1012"/>
      <c r="L24" s="1012"/>
      <c r="M24" s="1012"/>
      <c r="N24" s="1012"/>
      <c r="O24" s="1012"/>
      <c r="P24" s="1012"/>
      <c r="Q24" s="1012"/>
      <c r="R24" s="1012"/>
      <c r="S24" s="1012"/>
    </row>
    <row r="25" spans="1:19" x14ac:dyDescent="0.2">
      <c r="A25" s="1012"/>
      <c r="B25" s="1012"/>
      <c r="C25" s="1012"/>
      <c r="D25" s="1012"/>
      <c r="E25" s="1012"/>
      <c r="F25" s="1012"/>
      <c r="G25" s="1012"/>
      <c r="H25" s="1012"/>
      <c r="I25" s="1012"/>
      <c r="J25" s="1012"/>
      <c r="K25" s="1012"/>
      <c r="L25" s="1012"/>
      <c r="M25" s="1012"/>
      <c r="N25" s="1012"/>
      <c r="O25" s="1012"/>
      <c r="P25" s="1012"/>
      <c r="Q25" s="1012"/>
      <c r="R25" s="1012"/>
      <c r="S25" s="1012"/>
    </row>
    <row r="26" spans="1:19" x14ac:dyDescent="0.2">
      <c r="A26" s="1013" t="s">
        <v>868</v>
      </c>
      <c r="B26" s="1012"/>
      <c r="C26" s="1012"/>
      <c r="D26" s="1012"/>
      <c r="E26" s="1012"/>
      <c r="F26" s="1012"/>
      <c r="G26" s="1012"/>
      <c r="H26" s="1012"/>
      <c r="I26" s="1012"/>
      <c r="J26" s="1012"/>
      <c r="K26" s="1012"/>
      <c r="L26" s="1012"/>
      <c r="M26" s="1012"/>
      <c r="N26" s="1012"/>
      <c r="O26" s="1012"/>
      <c r="P26" s="1012"/>
      <c r="Q26" s="1012"/>
      <c r="R26" s="1012"/>
      <c r="S26" s="1012"/>
    </row>
    <row r="27" spans="1:19" x14ac:dyDescent="0.2">
      <c r="A27" s="1663" t="s">
        <v>957</v>
      </c>
      <c r="B27" s="1663"/>
      <c r="C27" s="1663"/>
      <c r="D27" s="1663"/>
      <c r="E27" s="1663"/>
      <c r="F27" s="1663"/>
      <c r="G27" s="1663"/>
      <c r="H27" s="1663"/>
      <c r="I27" s="1663"/>
      <c r="J27" s="1663"/>
      <c r="K27" s="1663"/>
      <c r="L27" s="1012"/>
      <c r="M27" s="1012"/>
      <c r="N27" s="1012"/>
      <c r="O27" s="1012"/>
      <c r="P27" s="1012"/>
      <c r="Q27" s="1012"/>
      <c r="R27" s="1012"/>
      <c r="S27" s="1012"/>
    </row>
    <row r="28" spans="1:19" x14ac:dyDescent="0.2">
      <c r="A28" s="1663"/>
      <c r="B28" s="1663"/>
      <c r="C28" s="1663"/>
      <c r="D28" s="1663"/>
      <c r="E28" s="1663"/>
      <c r="F28" s="1663"/>
      <c r="G28" s="1663"/>
      <c r="H28" s="1663"/>
      <c r="I28" s="1663"/>
      <c r="J28" s="1663"/>
      <c r="K28" s="1663"/>
      <c r="L28" s="1012"/>
      <c r="M28" s="1012"/>
      <c r="N28" s="1012"/>
      <c r="O28" s="1012"/>
      <c r="P28" s="1012"/>
      <c r="Q28" s="1012"/>
      <c r="R28" s="1012"/>
      <c r="S28" s="1012"/>
    </row>
    <row r="29" spans="1:19" x14ac:dyDescent="0.2">
      <c r="A29" s="1663"/>
      <c r="B29" s="1663"/>
      <c r="C29" s="1663"/>
      <c r="D29" s="1663"/>
      <c r="E29" s="1663"/>
      <c r="F29" s="1663"/>
      <c r="G29" s="1663"/>
      <c r="H29" s="1663"/>
      <c r="I29" s="1663"/>
      <c r="J29" s="1663"/>
      <c r="K29" s="1663"/>
      <c r="L29" s="1012"/>
      <c r="M29" s="1012"/>
      <c r="N29" s="1012"/>
      <c r="O29" s="1012"/>
      <c r="P29" s="1012"/>
      <c r="Q29" s="1012"/>
      <c r="R29" s="1012"/>
      <c r="S29" s="1012"/>
    </row>
    <row r="31" spans="1:19" ht="24" customHeight="1" x14ac:dyDescent="0.2">
      <c r="A31" s="1664" t="s">
        <v>1131</v>
      </c>
      <c r="B31" s="1664"/>
      <c r="C31" s="1664"/>
      <c r="D31" s="1664"/>
      <c r="E31" s="1664"/>
      <c r="F31" s="1664"/>
      <c r="G31" s="1664"/>
      <c r="H31" s="1664"/>
      <c r="I31" s="1664"/>
      <c r="J31" s="1664"/>
      <c r="L31" s="1014"/>
      <c r="M31" s="1014"/>
      <c r="N31" s="1014"/>
      <c r="O31" s="1014"/>
      <c r="P31" s="1014"/>
      <c r="Q31" s="1014"/>
      <c r="R31" s="1014"/>
      <c r="S31" s="1014"/>
    </row>
    <row r="32" spans="1:19" x14ac:dyDescent="0.2">
      <c r="L32" s="1014"/>
      <c r="M32" s="1014"/>
      <c r="N32" s="1014"/>
      <c r="O32" s="1014"/>
      <c r="P32" s="1014"/>
      <c r="Q32" s="1014"/>
      <c r="R32" s="1014"/>
      <c r="S32" s="1014"/>
    </row>
    <row r="34" spans="1:19" x14ac:dyDescent="0.2">
      <c r="A34" s="1015" t="s">
        <v>1044</v>
      </c>
      <c r="B34" s="1016"/>
    </row>
    <row r="35" spans="1:19" x14ac:dyDescent="0.2">
      <c r="A35" s="1015"/>
      <c r="B35" s="1016"/>
    </row>
    <row r="36" spans="1:19" x14ac:dyDescent="0.2">
      <c r="A36" s="1017" t="s">
        <v>1132</v>
      </c>
      <c r="B36" s="1018"/>
      <c r="C36" s="1019"/>
      <c r="D36" s="1019"/>
      <c r="E36" s="1019"/>
      <c r="F36" s="1019"/>
      <c r="G36" s="1019"/>
      <c r="H36" s="1019"/>
      <c r="I36" s="1019"/>
      <c r="J36" s="1019"/>
      <c r="K36" s="1019"/>
      <c r="L36" s="1019"/>
      <c r="M36" s="1019"/>
      <c r="N36" s="1019"/>
    </row>
    <row r="37" spans="1:19" ht="25.5" customHeight="1" x14ac:dyDescent="0.2">
      <c r="A37" s="1665" t="s">
        <v>1133</v>
      </c>
      <c r="B37" s="1665"/>
      <c r="C37" s="1665"/>
      <c r="D37" s="1665"/>
      <c r="E37" s="1665"/>
      <c r="F37" s="1665"/>
      <c r="G37" s="1665"/>
      <c r="H37" s="1665"/>
      <c r="I37" s="1665"/>
      <c r="J37" s="1665"/>
      <c r="K37" s="1665"/>
      <c r="L37" s="1019"/>
      <c r="M37" s="1019"/>
      <c r="N37" s="1019"/>
    </row>
    <row r="38" spans="1:19" ht="60" customHeight="1" x14ac:dyDescent="0.2">
      <c r="A38" s="1666" t="s">
        <v>1134</v>
      </c>
      <c r="B38" s="1666"/>
      <c r="C38" s="1666"/>
      <c r="D38" s="1666"/>
      <c r="E38" s="1666"/>
      <c r="F38" s="1666"/>
      <c r="G38" s="1666"/>
      <c r="H38" s="1666"/>
      <c r="I38" s="1666"/>
      <c r="J38" s="1666"/>
      <c r="K38" s="1666"/>
      <c r="L38" s="1666"/>
      <c r="M38" s="1019"/>
      <c r="N38" s="1019"/>
    </row>
    <row r="39" spans="1:19" x14ac:dyDescent="0.2">
      <c r="A39" s="989"/>
      <c r="B39" s="992"/>
      <c r="C39" s="989"/>
      <c r="D39" s="989"/>
    </row>
    <row r="40" spans="1:19" s="1019" customFormat="1" x14ac:dyDescent="0.2">
      <c r="A40" s="1020" t="s">
        <v>1388</v>
      </c>
      <c r="B40" s="1020"/>
      <c r="C40" s="1020"/>
      <c r="D40" s="1020"/>
      <c r="E40" s="1020"/>
      <c r="F40" s="1020"/>
      <c r="G40" s="1020"/>
      <c r="H40" s="1020"/>
      <c r="I40" s="1020"/>
      <c r="J40" s="1020"/>
      <c r="K40" s="1020"/>
      <c r="L40" s="1020"/>
      <c r="M40" s="1020"/>
      <c r="N40" s="1020"/>
      <c r="O40" s="1020"/>
      <c r="P40" s="1020"/>
      <c r="Q40" s="1020"/>
      <c r="R40" s="1020"/>
      <c r="S40" s="1020"/>
    </row>
    <row r="41" spans="1:19" s="1019" customFormat="1" x14ac:dyDescent="0.2">
      <c r="A41" s="1020"/>
      <c r="B41" s="1020"/>
      <c r="C41" s="1020"/>
      <c r="D41" s="1020"/>
      <c r="E41" s="1020"/>
      <c r="F41" s="1020"/>
      <c r="G41" s="1020"/>
      <c r="H41" s="1020"/>
      <c r="I41" s="1020"/>
      <c r="J41" s="1020"/>
      <c r="K41" s="1020"/>
      <c r="L41" s="1020"/>
      <c r="M41" s="1020"/>
      <c r="N41" s="1020"/>
      <c r="O41" s="1020"/>
      <c r="P41" s="1020"/>
      <c r="Q41" s="1020"/>
      <c r="R41" s="1020"/>
      <c r="S41" s="1020"/>
    </row>
    <row r="42" spans="1:19" s="1019" customFormat="1" x14ac:dyDescent="0.2">
      <c r="A42" s="1021" t="s">
        <v>967</v>
      </c>
      <c r="B42" s="1020"/>
      <c r="C42" s="1020"/>
      <c r="D42" s="1020"/>
      <c r="E42" s="1020"/>
      <c r="F42" s="1020"/>
      <c r="G42" s="1020"/>
      <c r="H42" s="1020"/>
      <c r="I42" s="1020"/>
      <c r="J42" s="1020"/>
      <c r="K42" s="1020"/>
      <c r="L42" s="1020"/>
      <c r="M42" s="1020"/>
      <c r="N42" s="1020"/>
      <c r="O42" s="1020"/>
      <c r="P42" s="1020"/>
      <c r="Q42" s="1020"/>
      <c r="R42" s="1020"/>
      <c r="S42" s="1020"/>
    </row>
    <row r="43" spans="1:19" s="1019" customFormat="1" x14ac:dyDescent="0.2">
      <c r="A43" s="1022" t="s">
        <v>958</v>
      </c>
      <c r="B43" s="1662" t="s">
        <v>1062</v>
      </c>
      <c r="C43" s="1671"/>
      <c r="D43" s="1671"/>
      <c r="E43" s="1671"/>
      <c r="F43" s="1671"/>
      <c r="G43" s="1671"/>
      <c r="H43" s="1671"/>
      <c r="I43" s="1671"/>
      <c r="J43" s="1671"/>
      <c r="K43" s="1671"/>
      <c r="L43" s="1671"/>
      <c r="M43" s="1671"/>
      <c r="N43" s="1020"/>
      <c r="O43" s="1020"/>
      <c r="P43" s="1020"/>
      <c r="Q43" s="1020"/>
      <c r="R43" s="1020"/>
      <c r="S43" s="1020"/>
    </row>
    <row r="44" spans="1:19" s="1019" customFormat="1" x14ac:dyDescent="0.2">
      <c r="A44" s="1022" t="s">
        <v>958</v>
      </c>
      <c r="B44" s="1662" t="s">
        <v>1059</v>
      </c>
      <c r="C44" s="1671"/>
      <c r="D44" s="1671"/>
      <c r="E44" s="1671"/>
      <c r="F44" s="1671"/>
      <c r="G44" s="1671"/>
      <c r="H44" s="1671"/>
      <c r="I44" s="1671"/>
      <c r="J44" s="1671"/>
      <c r="K44" s="1671"/>
      <c r="L44" s="1671"/>
      <c r="M44" s="1671"/>
      <c r="N44" s="1020"/>
      <c r="O44" s="1020"/>
      <c r="P44" s="1020"/>
      <c r="Q44" s="1020"/>
      <c r="R44" s="1020"/>
      <c r="S44" s="1020"/>
    </row>
    <row r="45" spans="1:19" s="1019" customFormat="1" x14ac:dyDescent="0.2">
      <c r="A45" s="1020"/>
      <c r="B45" s="1011"/>
      <c r="C45" s="1010"/>
      <c r="D45" s="1010"/>
      <c r="E45" s="1010"/>
      <c r="F45" s="1010"/>
      <c r="G45" s="1010"/>
      <c r="H45" s="1010"/>
      <c r="I45" s="1010"/>
      <c r="J45" s="1010"/>
      <c r="K45" s="1010"/>
      <c r="L45" s="1010"/>
      <c r="M45" s="1010"/>
      <c r="N45" s="1020"/>
      <c r="O45" s="1020"/>
      <c r="P45" s="1020"/>
      <c r="Q45" s="1020"/>
      <c r="R45" s="1020"/>
      <c r="S45" s="1020"/>
    </row>
    <row r="46" spans="1:19" s="1019" customFormat="1" x14ac:dyDescent="0.2">
      <c r="A46" s="1021" t="s">
        <v>1060</v>
      </c>
      <c r="B46" s="1011"/>
      <c r="C46" s="1010"/>
      <c r="D46" s="1010"/>
      <c r="E46" s="1010"/>
      <c r="F46" s="1010"/>
      <c r="G46" s="1010"/>
      <c r="H46" s="1010"/>
      <c r="I46" s="1010"/>
      <c r="J46" s="1010"/>
      <c r="K46" s="1010"/>
      <c r="L46" s="1010"/>
      <c r="M46" s="1010"/>
      <c r="N46" s="1020"/>
      <c r="O46" s="1020"/>
      <c r="P46" s="1020"/>
      <c r="Q46" s="1020"/>
      <c r="R46" s="1020"/>
      <c r="S46" s="1020"/>
    </row>
    <row r="47" spans="1:19" s="1019" customFormat="1" x14ac:dyDescent="0.2">
      <c r="A47" s="1022" t="s">
        <v>958</v>
      </c>
      <c r="B47" s="1662" t="s">
        <v>1061</v>
      </c>
      <c r="C47" s="1662"/>
      <c r="D47" s="1662"/>
      <c r="E47" s="1662"/>
      <c r="F47" s="1662"/>
      <c r="G47" s="1662"/>
      <c r="H47" s="1662"/>
      <c r="I47" s="1662"/>
      <c r="J47" s="1662"/>
      <c r="K47" s="1662"/>
      <c r="L47" s="1662"/>
      <c r="M47" s="1010"/>
      <c r="N47" s="1020"/>
      <c r="O47" s="1020"/>
      <c r="P47" s="1020"/>
      <c r="Q47" s="1020"/>
      <c r="R47" s="1020"/>
      <c r="S47" s="1020"/>
    </row>
    <row r="48" spans="1:19" s="1019" customFormat="1" x14ac:dyDescent="0.2">
      <c r="A48" s="1665" t="s">
        <v>1063</v>
      </c>
      <c r="B48" s="1665"/>
      <c r="C48" s="1665"/>
      <c r="D48" s="1665"/>
      <c r="E48" s="1665"/>
      <c r="F48" s="1665"/>
      <c r="G48" s="1665"/>
      <c r="H48" s="1665"/>
      <c r="I48" s="1665"/>
      <c r="J48" s="1665"/>
      <c r="K48" s="1665"/>
      <c r="L48" s="1665"/>
      <c r="M48" s="1665"/>
      <c r="N48" s="1020"/>
      <c r="O48" s="1020"/>
      <c r="P48" s="1020"/>
      <c r="Q48" s="1020"/>
      <c r="R48" s="1020"/>
      <c r="S48" s="1020"/>
    </row>
    <row r="49" spans="1:20" s="1019" customFormat="1" x14ac:dyDescent="0.2">
      <c r="A49" s="1665"/>
      <c r="B49" s="1665"/>
      <c r="C49" s="1665"/>
      <c r="D49" s="1665"/>
      <c r="E49" s="1665"/>
      <c r="F49" s="1665"/>
      <c r="G49" s="1665"/>
      <c r="H49" s="1665"/>
      <c r="I49" s="1665"/>
      <c r="J49" s="1665"/>
      <c r="K49" s="1665"/>
      <c r="L49" s="1665"/>
      <c r="M49" s="1665"/>
      <c r="N49" s="1020"/>
      <c r="O49" s="1020"/>
      <c r="P49" s="1020"/>
      <c r="Q49" s="1020"/>
      <c r="R49" s="1020"/>
      <c r="S49" s="1020"/>
    </row>
    <row r="50" spans="1:20" s="1019" customFormat="1" ht="16.5" customHeight="1" x14ac:dyDescent="0.2">
      <c r="A50" s="1011"/>
      <c r="B50" s="1011"/>
      <c r="C50" s="1011"/>
      <c r="D50" s="1011"/>
      <c r="E50" s="1011"/>
      <c r="F50" s="1011"/>
      <c r="G50" s="1011"/>
      <c r="H50" s="1011"/>
      <c r="I50" s="1011"/>
      <c r="J50" s="1011"/>
      <c r="K50" s="1011"/>
      <c r="L50" s="1011"/>
      <c r="M50" s="1011"/>
      <c r="N50" s="1011"/>
      <c r="O50" s="1011"/>
      <c r="P50" s="1011"/>
      <c r="Q50" s="1011"/>
      <c r="R50" s="1011"/>
      <c r="S50" s="1011"/>
      <c r="T50" s="1023"/>
    </row>
    <row r="51" spans="1:20" s="1019" customFormat="1" ht="16.5" customHeight="1" x14ac:dyDescent="0.2">
      <c r="A51" s="1011"/>
      <c r="B51" s="1011"/>
      <c r="C51" s="1011"/>
      <c r="D51" s="1011"/>
      <c r="E51" s="1011"/>
      <c r="F51" s="1011"/>
      <c r="G51" s="1011"/>
      <c r="H51" s="1011"/>
      <c r="I51" s="1011"/>
      <c r="J51" s="1011"/>
      <c r="K51" s="1011"/>
      <c r="L51" s="1011"/>
      <c r="M51" s="1011"/>
      <c r="N51" s="1011"/>
      <c r="O51" s="1011"/>
      <c r="P51" s="1011"/>
      <c r="Q51" s="1011"/>
      <c r="R51" s="1011"/>
      <c r="S51" s="1011"/>
      <c r="T51" s="1023"/>
    </row>
    <row r="52" spans="1:20" s="1019" customFormat="1" x14ac:dyDescent="0.2">
      <c r="A52" s="1024" t="s">
        <v>1389</v>
      </c>
      <c r="B52" s="1017"/>
      <c r="C52" s="1017"/>
      <c r="D52" s="1017"/>
    </row>
    <row r="53" spans="1:20" s="1019" customFormat="1" x14ac:dyDescent="0.2">
      <c r="A53" s="1024"/>
      <c r="B53" s="1017"/>
      <c r="C53" s="1017"/>
      <c r="D53" s="1017"/>
    </row>
    <row r="54" spans="1:20" ht="69" customHeight="1" x14ac:dyDescent="0.2">
      <c r="A54" s="1672" t="s">
        <v>993</v>
      </c>
      <c r="B54" s="1672"/>
      <c r="C54" s="1672"/>
      <c r="D54" s="1672"/>
      <c r="E54" s="1672"/>
      <c r="F54" s="1672"/>
      <c r="G54" s="1672"/>
      <c r="H54" s="1672"/>
      <c r="I54" s="1672"/>
      <c r="J54" s="1672"/>
      <c r="K54" s="1672"/>
      <c r="L54" s="1672"/>
      <c r="M54" s="1672"/>
      <c r="N54" s="1019"/>
      <c r="O54" s="1019"/>
      <c r="P54" s="1019"/>
      <c r="Q54" s="1019"/>
      <c r="R54" s="1019"/>
      <c r="S54" s="1019"/>
    </row>
    <row r="55" spans="1:20" x14ac:dyDescent="0.2">
      <c r="A55" s="1019"/>
      <c r="B55" s="1019"/>
      <c r="C55" s="1019"/>
      <c r="D55" s="1019"/>
      <c r="E55" s="1019"/>
      <c r="F55" s="1019"/>
      <c r="G55" s="1019"/>
      <c r="H55" s="1019"/>
      <c r="I55" s="1019"/>
      <c r="J55" s="1019"/>
      <c r="K55" s="1019"/>
      <c r="L55" s="1019"/>
      <c r="M55" s="1019"/>
      <c r="N55" s="1019"/>
      <c r="O55" s="1019"/>
      <c r="P55" s="1019"/>
      <c r="Q55" s="1019"/>
      <c r="R55" s="1019"/>
      <c r="S55" s="1019"/>
    </row>
    <row r="56" spans="1:20" x14ac:dyDescent="0.2">
      <c r="A56" s="1019"/>
      <c r="B56" s="1019"/>
      <c r="C56" s="1019"/>
      <c r="D56" s="1019"/>
      <c r="E56" s="1019"/>
      <c r="F56" s="1019"/>
      <c r="G56" s="1019"/>
      <c r="H56" s="1019"/>
      <c r="I56" s="1019"/>
      <c r="J56" s="1019"/>
      <c r="K56" s="1019"/>
      <c r="L56" s="1019"/>
      <c r="M56" s="1019"/>
      <c r="N56" s="1019"/>
      <c r="O56" s="1019"/>
      <c r="P56" s="1019"/>
      <c r="Q56" s="1019"/>
      <c r="R56" s="1019"/>
      <c r="S56" s="1019"/>
    </row>
    <row r="57" spans="1:20" x14ac:dyDescent="0.2">
      <c r="A57" s="1662"/>
      <c r="B57" s="1662"/>
      <c r="C57" s="1662"/>
      <c r="D57" s="1662"/>
      <c r="E57" s="1662"/>
      <c r="F57" s="1662"/>
      <c r="G57" s="1662"/>
      <c r="H57" s="1662"/>
      <c r="I57" s="1662"/>
      <c r="J57" s="1662"/>
      <c r="K57" s="1662"/>
      <c r="L57" s="1662"/>
      <c r="M57" s="1662"/>
      <c r="N57" s="1662"/>
      <c r="O57" s="1662"/>
      <c r="P57" s="1662"/>
      <c r="Q57" s="1662"/>
      <c r="R57" s="1662"/>
      <c r="S57" s="1662"/>
    </row>
    <row r="58" spans="1:20" x14ac:dyDescent="0.2">
      <c r="A58" s="1662"/>
      <c r="B58" s="1662"/>
      <c r="C58" s="1662"/>
      <c r="D58" s="1662"/>
      <c r="E58" s="1662"/>
      <c r="F58" s="1662"/>
      <c r="G58" s="1662"/>
      <c r="H58" s="1662"/>
      <c r="I58" s="1662"/>
      <c r="J58" s="1662"/>
      <c r="K58" s="1662"/>
      <c r="L58" s="1662"/>
      <c r="M58" s="1662"/>
      <c r="N58" s="1662"/>
      <c r="O58" s="1662"/>
      <c r="P58" s="1662"/>
      <c r="Q58" s="1662"/>
      <c r="R58" s="1662"/>
      <c r="S58" s="1662"/>
    </row>
    <row r="59" spans="1:20" x14ac:dyDescent="0.2">
      <c r="A59" s="1662"/>
      <c r="B59" s="1662"/>
      <c r="C59" s="1662"/>
      <c r="D59" s="1662"/>
      <c r="E59" s="1662"/>
      <c r="F59" s="1662"/>
      <c r="G59" s="1662"/>
      <c r="H59" s="1662"/>
      <c r="I59" s="1662"/>
      <c r="J59" s="1662"/>
      <c r="K59" s="1662"/>
      <c r="L59" s="1662"/>
      <c r="M59" s="1662"/>
      <c r="N59" s="1662"/>
      <c r="O59" s="1662"/>
      <c r="P59" s="1662"/>
      <c r="Q59" s="1662"/>
      <c r="R59" s="1662"/>
      <c r="S59" s="1662"/>
    </row>
    <row r="60" spans="1:20" x14ac:dyDescent="0.2">
      <c r="L60" s="1662"/>
      <c r="M60" s="1662"/>
      <c r="N60" s="1662"/>
      <c r="O60" s="1662"/>
      <c r="P60" s="1662"/>
      <c r="Q60" s="1662"/>
      <c r="R60" s="1662"/>
      <c r="S60" s="1662"/>
    </row>
    <row r="61" spans="1:20" x14ac:dyDescent="0.2">
      <c r="A61" s="1662"/>
      <c r="B61" s="1662"/>
      <c r="C61" s="1662"/>
      <c r="D61" s="1662"/>
      <c r="E61" s="1662"/>
      <c r="F61" s="1662"/>
      <c r="G61" s="1662"/>
      <c r="H61" s="1662"/>
      <c r="I61" s="1662"/>
      <c r="J61" s="1662"/>
      <c r="K61" s="1662"/>
      <c r="L61" s="1662"/>
      <c r="M61" s="1662"/>
      <c r="N61" s="1662"/>
      <c r="O61" s="1662"/>
      <c r="P61" s="1662"/>
      <c r="Q61" s="1662"/>
      <c r="R61" s="1662"/>
      <c r="S61" s="1662"/>
    </row>
    <row r="62" spans="1:20" x14ac:dyDescent="0.2">
      <c r="A62" s="1662"/>
      <c r="B62" s="1662"/>
      <c r="C62" s="1662"/>
      <c r="D62" s="1662"/>
      <c r="E62" s="1662"/>
      <c r="F62" s="1662"/>
      <c r="G62" s="1662"/>
      <c r="H62" s="1662"/>
      <c r="I62" s="1662"/>
      <c r="J62" s="1662"/>
      <c r="K62" s="1662"/>
      <c r="L62" s="1662"/>
      <c r="M62" s="1662"/>
      <c r="N62" s="1662"/>
      <c r="O62" s="1662"/>
      <c r="P62" s="1662"/>
      <c r="Q62" s="1662"/>
      <c r="R62" s="1662"/>
      <c r="S62" s="1662"/>
    </row>
    <row r="63" spans="1:20" x14ac:dyDescent="0.2">
      <c r="A63" s="1662"/>
      <c r="B63" s="1662"/>
      <c r="C63" s="1662"/>
      <c r="D63" s="1662"/>
      <c r="E63" s="1662"/>
      <c r="F63" s="1662"/>
      <c r="G63" s="1662"/>
      <c r="H63" s="1662"/>
      <c r="I63" s="1662"/>
      <c r="J63" s="1662"/>
      <c r="K63" s="1662"/>
      <c r="L63" s="1662"/>
      <c r="M63" s="1662"/>
      <c r="N63" s="1662"/>
      <c r="O63" s="1662"/>
      <c r="P63" s="1662"/>
      <c r="Q63" s="1662"/>
      <c r="R63" s="1662"/>
      <c r="S63" s="1662"/>
    </row>
    <row r="64" spans="1:20" x14ac:dyDescent="0.2">
      <c r="A64" s="1662"/>
      <c r="B64" s="1662"/>
      <c r="C64" s="1662"/>
      <c r="D64" s="1662"/>
      <c r="E64" s="1662"/>
      <c r="F64" s="1662"/>
      <c r="G64" s="1662"/>
      <c r="H64" s="1662"/>
      <c r="I64" s="1662"/>
      <c r="J64" s="1662"/>
      <c r="K64" s="1662"/>
      <c r="L64" s="1662"/>
      <c r="M64" s="1662"/>
      <c r="N64" s="1662"/>
      <c r="O64" s="1662"/>
      <c r="P64" s="1662"/>
      <c r="Q64" s="1662"/>
      <c r="R64" s="1662"/>
      <c r="S64" s="1662"/>
    </row>
    <row r="65" spans="1:19" x14ac:dyDescent="0.2">
      <c r="A65" s="1662"/>
      <c r="B65" s="1662"/>
      <c r="C65" s="1662"/>
      <c r="D65" s="1662"/>
      <c r="E65" s="1662"/>
      <c r="F65" s="1662"/>
      <c r="G65" s="1662"/>
      <c r="H65" s="1662"/>
      <c r="I65" s="1662"/>
      <c r="J65" s="1662"/>
      <c r="K65" s="1662"/>
      <c r="L65" s="1662"/>
      <c r="M65" s="1662"/>
      <c r="N65" s="1662"/>
      <c r="O65" s="1662"/>
      <c r="P65" s="1662"/>
      <c r="Q65" s="1662"/>
      <c r="R65" s="1662"/>
      <c r="S65" s="1662"/>
    </row>
    <row r="66" spans="1:19" x14ac:dyDescent="0.2">
      <c r="A66" s="1662"/>
      <c r="B66" s="1662"/>
      <c r="C66" s="1662"/>
      <c r="D66" s="1662"/>
      <c r="E66" s="1662"/>
      <c r="F66" s="1662"/>
      <c r="G66" s="1662"/>
      <c r="H66" s="1662"/>
      <c r="I66" s="1662"/>
      <c r="J66" s="1662"/>
      <c r="K66" s="1662"/>
      <c r="L66" s="1662"/>
      <c r="M66" s="1662"/>
      <c r="N66" s="1662"/>
      <c r="O66" s="1662"/>
      <c r="P66" s="1662"/>
      <c r="Q66" s="1662"/>
      <c r="R66" s="1662"/>
      <c r="S66" s="1662"/>
    </row>
    <row r="67" spans="1:19" x14ac:dyDescent="0.2">
      <c r="A67" s="1662"/>
      <c r="B67" s="1662"/>
      <c r="C67" s="1662"/>
      <c r="D67" s="1662"/>
      <c r="E67" s="1662"/>
      <c r="F67" s="1662"/>
      <c r="G67" s="1662"/>
      <c r="H67" s="1662"/>
      <c r="I67" s="1662"/>
      <c r="J67" s="1662"/>
      <c r="K67" s="1662"/>
      <c r="L67" s="1662"/>
      <c r="M67" s="1662"/>
      <c r="N67" s="1662"/>
      <c r="O67" s="1662"/>
      <c r="P67" s="1662"/>
      <c r="Q67" s="1662"/>
      <c r="R67" s="1662"/>
      <c r="S67" s="1662"/>
    </row>
    <row r="68" spans="1:19" x14ac:dyDescent="0.2">
      <c r="A68" s="1662"/>
      <c r="B68" s="1662"/>
      <c r="C68" s="1662"/>
      <c r="D68" s="1662"/>
      <c r="E68" s="1662"/>
      <c r="F68" s="1662"/>
      <c r="G68" s="1662"/>
      <c r="H68" s="1662"/>
      <c r="I68" s="1662"/>
      <c r="J68" s="1662"/>
      <c r="K68" s="1662"/>
      <c r="L68" s="1662"/>
      <c r="M68" s="1662"/>
      <c r="N68" s="1662"/>
      <c r="O68" s="1662"/>
      <c r="P68" s="1662"/>
      <c r="Q68" s="1662"/>
      <c r="R68" s="1662"/>
      <c r="S68" s="1662"/>
    </row>
    <row r="69" spans="1:19" x14ac:dyDescent="0.2">
      <c r="A69" s="1662"/>
      <c r="B69" s="1662"/>
      <c r="C69" s="1662"/>
      <c r="D69" s="1662"/>
      <c r="E69" s="1662"/>
      <c r="F69" s="1662"/>
      <c r="G69" s="1662"/>
      <c r="H69" s="1662"/>
      <c r="I69" s="1662"/>
      <c r="J69" s="1662"/>
      <c r="K69" s="1662"/>
      <c r="L69" s="1662"/>
      <c r="M69" s="1662"/>
      <c r="N69" s="1662"/>
      <c r="O69" s="1662"/>
      <c r="P69" s="1662"/>
      <c r="Q69" s="1662"/>
      <c r="R69" s="1662"/>
      <c r="S69" s="1662"/>
    </row>
    <row r="70" spans="1:19" x14ac:dyDescent="0.2">
      <c r="A70" s="1662"/>
      <c r="B70" s="1662"/>
      <c r="C70" s="1662"/>
      <c r="D70" s="1662"/>
      <c r="E70" s="1662"/>
      <c r="F70" s="1662"/>
      <c r="G70" s="1662"/>
      <c r="H70" s="1662"/>
      <c r="I70" s="1662"/>
      <c r="J70" s="1662"/>
      <c r="K70" s="1662"/>
      <c r="L70" s="1662"/>
      <c r="M70" s="1662"/>
      <c r="N70" s="1662"/>
      <c r="O70" s="1662"/>
      <c r="P70" s="1662"/>
      <c r="Q70" s="1662"/>
      <c r="R70" s="1662"/>
      <c r="S70" s="1662"/>
    </row>
    <row r="71" spans="1:19" x14ac:dyDescent="0.2">
      <c r="A71" s="1662"/>
      <c r="B71" s="1662"/>
      <c r="C71" s="1662"/>
      <c r="D71" s="1662"/>
      <c r="E71" s="1662"/>
      <c r="F71" s="1662"/>
      <c r="G71" s="1662"/>
      <c r="H71" s="1662"/>
      <c r="I71" s="1662"/>
      <c r="J71" s="1662"/>
      <c r="K71" s="1662"/>
      <c r="L71" s="1662"/>
      <c r="M71" s="1662"/>
      <c r="N71" s="1662"/>
      <c r="O71" s="1662"/>
      <c r="P71" s="1662"/>
      <c r="Q71" s="1662"/>
      <c r="R71" s="1662"/>
      <c r="S71" s="1662"/>
    </row>
    <row r="72" spans="1:19" x14ac:dyDescent="0.2">
      <c r="A72" s="1662"/>
      <c r="B72" s="1662"/>
      <c r="C72" s="1662"/>
      <c r="D72" s="1662"/>
      <c r="E72" s="1662"/>
      <c r="F72" s="1662"/>
      <c r="G72" s="1662"/>
      <c r="H72" s="1662"/>
      <c r="I72" s="1662"/>
      <c r="J72" s="1662"/>
      <c r="K72" s="1662"/>
      <c r="L72" s="1662"/>
      <c r="M72" s="1662"/>
      <c r="N72" s="1662"/>
      <c r="O72" s="1662"/>
      <c r="P72" s="1662"/>
      <c r="Q72" s="1662"/>
      <c r="R72" s="1662"/>
      <c r="S72" s="1662"/>
    </row>
    <row r="73" spans="1:19" x14ac:dyDescent="0.2">
      <c r="A73" s="1662"/>
      <c r="B73" s="1662"/>
      <c r="C73" s="1662"/>
      <c r="D73" s="1662"/>
      <c r="E73" s="1662"/>
      <c r="F73" s="1662"/>
      <c r="G73" s="1662"/>
      <c r="H73" s="1662"/>
      <c r="I73" s="1662"/>
      <c r="J73" s="1662"/>
      <c r="K73" s="1662"/>
      <c r="L73" s="1662"/>
      <c r="M73" s="1662"/>
      <c r="N73" s="1662"/>
      <c r="O73" s="1662"/>
      <c r="P73" s="1662"/>
      <c r="Q73" s="1662"/>
      <c r="R73" s="1662"/>
      <c r="S73" s="1662"/>
    </row>
    <row r="74" spans="1:19" x14ac:dyDescent="0.2">
      <c r="A74" s="1673"/>
      <c r="B74" s="1673"/>
      <c r="C74" s="1673"/>
      <c r="D74" s="1673"/>
      <c r="E74" s="1673"/>
      <c r="F74" s="1673"/>
      <c r="G74" s="1673"/>
      <c r="H74" s="1673"/>
      <c r="I74" s="1673"/>
      <c r="J74" s="1673"/>
      <c r="K74" s="1673"/>
      <c r="L74" s="1662"/>
      <c r="M74" s="1662"/>
      <c r="N74" s="1662"/>
      <c r="O74" s="1662"/>
      <c r="P74" s="1662"/>
      <c r="Q74" s="1662"/>
      <c r="R74" s="1662"/>
      <c r="S74" s="1662"/>
    </row>
    <row r="75" spans="1:19" x14ac:dyDescent="0.2">
      <c r="A75" s="1673"/>
      <c r="B75" s="1673"/>
      <c r="C75" s="1673"/>
      <c r="D75" s="1673"/>
      <c r="E75" s="1673"/>
      <c r="F75" s="1673"/>
      <c r="G75" s="1673"/>
      <c r="H75" s="1673"/>
      <c r="I75" s="1673"/>
      <c r="J75" s="1673"/>
      <c r="K75" s="1673"/>
      <c r="L75" s="1662"/>
      <c r="M75" s="1662"/>
      <c r="N75" s="1662"/>
      <c r="O75" s="1662"/>
      <c r="P75" s="1662"/>
      <c r="Q75" s="1662"/>
      <c r="R75" s="1662"/>
      <c r="S75" s="1662"/>
    </row>
    <row r="76" spans="1:19" x14ac:dyDescent="0.2">
      <c r="A76" s="1662"/>
      <c r="B76" s="1662"/>
      <c r="C76" s="1662"/>
      <c r="D76" s="1662"/>
      <c r="E76" s="1662"/>
      <c r="F76" s="1662"/>
      <c r="G76" s="1662"/>
      <c r="H76" s="1662"/>
      <c r="I76" s="1662"/>
      <c r="J76" s="1662"/>
      <c r="K76" s="1662"/>
      <c r="L76" s="1662"/>
      <c r="M76" s="1662"/>
      <c r="N76" s="1662"/>
      <c r="O76" s="1662"/>
      <c r="P76" s="1662"/>
      <c r="Q76" s="1662"/>
      <c r="R76" s="1662"/>
      <c r="S76" s="1662"/>
    </row>
    <row r="77" spans="1:19" x14ac:dyDescent="0.2">
      <c r="L77" s="1662"/>
      <c r="M77" s="1662"/>
      <c r="N77" s="1662"/>
      <c r="O77" s="1662"/>
      <c r="P77" s="1662"/>
      <c r="Q77" s="1662"/>
      <c r="R77" s="1662"/>
      <c r="S77" s="1662"/>
    </row>
    <row r="78" spans="1:19" x14ac:dyDescent="0.2">
      <c r="A78" s="1662"/>
      <c r="B78" s="1662"/>
      <c r="C78" s="1662"/>
      <c r="D78" s="1662"/>
      <c r="E78" s="1662"/>
      <c r="F78" s="1662"/>
      <c r="G78" s="1662"/>
      <c r="H78" s="1662"/>
      <c r="I78" s="1662"/>
      <c r="J78" s="1662"/>
      <c r="K78" s="1662"/>
      <c r="L78" s="1662"/>
      <c r="M78" s="1662"/>
      <c r="N78" s="1662"/>
      <c r="O78" s="1662"/>
      <c r="P78" s="1662"/>
      <c r="Q78" s="1662"/>
      <c r="R78" s="1662"/>
      <c r="S78" s="1662"/>
    </row>
    <row r="79" spans="1:19" x14ac:dyDescent="0.2">
      <c r="A79" s="1662"/>
      <c r="B79" s="1662"/>
      <c r="C79" s="1662"/>
      <c r="D79" s="1662"/>
      <c r="E79" s="1662"/>
      <c r="F79" s="1662"/>
      <c r="G79" s="1662"/>
      <c r="H79" s="1662"/>
      <c r="I79" s="1662"/>
      <c r="J79" s="1662"/>
      <c r="K79" s="1662"/>
      <c r="L79" s="1662"/>
      <c r="M79" s="1662"/>
      <c r="N79" s="1662"/>
      <c r="O79" s="1662"/>
      <c r="P79" s="1662"/>
      <c r="Q79" s="1662"/>
      <c r="R79" s="1662"/>
      <c r="S79" s="1662"/>
    </row>
    <row r="80" spans="1:19" x14ac:dyDescent="0.2">
      <c r="A80" s="1662"/>
      <c r="B80" s="1662"/>
      <c r="C80" s="1662"/>
      <c r="D80" s="1662"/>
      <c r="E80" s="1662"/>
      <c r="F80" s="1662"/>
      <c r="G80" s="1662"/>
      <c r="H80" s="1662"/>
      <c r="I80" s="1662"/>
      <c r="J80" s="1662"/>
      <c r="K80" s="1662"/>
      <c r="L80" s="1662"/>
      <c r="M80" s="1662"/>
      <c r="N80" s="1662"/>
      <c r="O80" s="1662"/>
      <c r="P80" s="1662"/>
      <c r="Q80" s="1662"/>
      <c r="R80" s="1662"/>
      <c r="S80" s="1662"/>
    </row>
    <row r="81" spans="1:19" x14ac:dyDescent="0.2">
      <c r="A81" s="1662"/>
      <c r="B81" s="1662"/>
      <c r="C81" s="1662"/>
      <c r="D81" s="1662"/>
      <c r="E81" s="1662"/>
      <c r="F81" s="1662"/>
      <c r="G81" s="1662"/>
      <c r="H81" s="1662"/>
      <c r="I81" s="1662"/>
      <c r="J81" s="1662"/>
      <c r="K81" s="1662"/>
      <c r="L81" s="1662"/>
      <c r="M81" s="1662"/>
      <c r="N81" s="1662"/>
      <c r="O81" s="1662"/>
      <c r="P81" s="1662"/>
      <c r="Q81" s="1662"/>
      <c r="R81" s="1662"/>
      <c r="S81" s="1662"/>
    </row>
    <row r="82" spans="1:19" x14ac:dyDescent="0.2">
      <c r="A82" s="1662"/>
      <c r="B82" s="1662"/>
      <c r="C82" s="1662"/>
      <c r="D82" s="1662"/>
      <c r="E82" s="1662"/>
      <c r="F82" s="1662"/>
      <c r="G82" s="1662"/>
      <c r="H82" s="1662"/>
      <c r="I82" s="1662"/>
      <c r="J82" s="1662"/>
      <c r="K82" s="1662"/>
      <c r="L82" s="1662"/>
      <c r="M82" s="1662"/>
      <c r="N82" s="1662"/>
      <c r="O82" s="1662"/>
      <c r="P82" s="1662"/>
      <c r="Q82" s="1662"/>
      <c r="R82" s="1662"/>
      <c r="S82" s="1662"/>
    </row>
    <row r="83" spans="1:19" x14ac:dyDescent="0.2">
      <c r="A83" s="1662"/>
      <c r="B83" s="1662"/>
      <c r="C83" s="1662"/>
      <c r="D83" s="1662"/>
      <c r="E83" s="1662"/>
      <c r="F83" s="1662"/>
      <c r="G83" s="1662"/>
      <c r="H83" s="1662"/>
      <c r="I83" s="1662"/>
      <c r="J83" s="1662"/>
      <c r="K83" s="1662"/>
      <c r="L83" s="1662"/>
      <c r="M83" s="1662"/>
      <c r="N83" s="1662"/>
      <c r="O83" s="1662"/>
      <c r="P83" s="1662"/>
      <c r="Q83" s="1662"/>
      <c r="R83" s="1662"/>
      <c r="S83" s="1662"/>
    </row>
    <row r="84" spans="1:19" x14ac:dyDescent="0.2">
      <c r="A84" s="1662"/>
      <c r="B84" s="1662"/>
      <c r="C84" s="1662"/>
      <c r="D84" s="1662"/>
      <c r="E84" s="1662"/>
      <c r="F84" s="1662"/>
      <c r="G84" s="1662"/>
      <c r="H84" s="1662"/>
      <c r="I84" s="1662"/>
      <c r="J84" s="1662"/>
      <c r="K84" s="1662"/>
      <c r="L84" s="1662"/>
      <c r="M84" s="1662"/>
      <c r="N84" s="1662"/>
      <c r="O84" s="1662"/>
      <c r="P84" s="1662"/>
      <c r="Q84" s="1662"/>
      <c r="R84" s="1662"/>
      <c r="S84" s="1662"/>
    </row>
    <row r="85" spans="1:19" x14ac:dyDescent="0.2">
      <c r="A85" s="1662"/>
      <c r="B85" s="1662"/>
      <c r="C85" s="1662"/>
      <c r="D85" s="1662"/>
      <c r="E85" s="1662"/>
      <c r="F85" s="1662"/>
      <c r="G85" s="1662"/>
      <c r="H85" s="1662"/>
      <c r="I85" s="1662"/>
      <c r="J85" s="1662"/>
      <c r="K85" s="1662"/>
      <c r="L85" s="1662"/>
      <c r="M85" s="1662"/>
      <c r="N85" s="1662"/>
      <c r="O85" s="1662"/>
      <c r="P85" s="1662"/>
      <c r="Q85" s="1662"/>
      <c r="R85" s="1662"/>
      <c r="S85" s="1662"/>
    </row>
    <row r="86" spans="1:19" x14ac:dyDescent="0.2">
      <c r="A86" s="1662"/>
      <c r="B86" s="1662"/>
      <c r="C86" s="1662"/>
      <c r="D86" s="1662"/>
      <c r="E86" s="1662"/>
      <c r="F86" s="1662"/>
      <c r="G86" s="1662"/>
      <c r="H86" s="1662"/>
      <c r="I86" s="1662"/>
      <c r="J86" s="1662"/>
      <c r="K86" s="1662"/>
      <c r="L86" s="1662"/>
      <c r="M86" s="1662"/>
      <c r="N86" s="1662"/>
      <c r="O86" s="1662"/>
      <c r="P86" s="1662"/>
      <c r="Q86" s="1662"/>
      <c r="R86" s="1662"/>
      <c r="S86" s="1662"/>
    </row>
    <row r="87" spans="1:19" x14ac:dyDescent="0.2">
      <c r="A87" s="1662"/>
      <c r="B87" s="1662"/>
      <c r="C87" s="1662"/>
      <c r="D87" s="1662"/>
      <c r="E87" s="1662"/>
      <c r="F87" s="1662"/>
      <c r="G87" s="1662"/>
      <c r="H87" s="1662"/>
      <c r="I87" s="1662"/>
      <c r="J87" s="1662"/>
      <c r="K87" s="1662"/>
      <c r="L87" s="1662"/>
      <c r="M87" s="1662"/>
      <c r="N87" s="1662"/>
      <c r="O87" s="1662"/>
      <c r="P87" s="1662"/>
      <c r="Q87" s="1662"/>
      <c r="R87" s="1662"/>
      <c r="S87" s="1662"/>
    </row>
    <row r="88" spans="1:19" x14ac:dyDescent="0.2">
      <c r="A88" s="1662"/>
      <c r="B88" s="1662"/>
      <c r="C88" s="1662"/>
      <c r="D88" s="1662"/>
      <c r="E88" s="1662"/>
      <c r="F88" s="1662"/>
      <c r="G88" s="1662"/>
      <c r="H88" s="1662"/>
      <c r="I88" s="1662"/>
      <c r="J88" s="1662"/>
      <c r="K88" s="1662"/>
      <c r="L88" s="1662"/>
      <c r="M88" s="1662"/>
      <c r="N88" s="1662"/>
      <c r="O88" s="1662"/>
      <c r="P88" s="1662"/>
      <c r="Q88" s="1662"/>
      <c r="R88" s="1662"/>
      <c r="S88" s="1662"/>
    </row>
    <row r="89" spans="1:19" x14ac:dyDescent="0.2">
      <c r="A89" s="1662"/>
      <c r="B89" s="1662"/>
      <c r="C89" s="1662"/>
      <c r="D89" s="1662"/>
      <c r="E89" s="1662"/>
      <c r="F89" s="1662"/>
      <c r="G89" s="1662"/>
      <c r="H89" s="1662"/>
      <c r="I89" s="1662"/>
      <c r="J89" s="1662"/>
      <c r="K89" s="1662"/>
      <c r="L89" s="1662"/>
      <c r="M89" s="1662"/>
      <c r="N89" s="1662"/>
      <c r="O89" s="1662"/>
      <c r="P89" s="1662"/>
      <c r="Q89" s="1662"/>
      <c r="R89" s="1662"/>
      <c r="S89" s="1662"/>
    </row>
    <row r="90" spans="1:19" x14ac:dyDescent="0.2">
      <c r="A90" s="1662"/>
      <c r="B90" s="1662"/>
      <c r="C90" s="1662"/>
      <c r="D90" s="1662"/>
      <c r="E90" s="1662"/>
      <c r="F90" s="1662"/>
      <c r="G90" s="1662"/>
      <c r="H90" s="1662"/>
      <c r="I90" s="1662"/>
      <c r="J90" s="1662"/>
      <c r="K90" s="1662"/>
      <c r="L90" s="1662"/>
      <c r="M90" s="1662"/>
      <c r="N90" s="1662"/>
      <c r="O90" s="1662"/>
      <c r="P90" s="1662"/>
      <c r="Q90" s="1662"/>
      <c r="R90" s="1662"/>
      <c r="S90" s="1662"/>
    </row>
    <row r="91" spans="1:19" x14ac:dyDescent="0.2">
      <c r="A91" s="1662"/>
      <c r="B91" s="1662"/>
      <c r="C91" s="1662"/>
      <c r="D91" s="1662"/>
      <c r="E91" s="1662"/>
      <c r="F91" s="1662"/>
      <c r="G91" s="1662"/>
      <c r="H91" s="1662"/>
      <c r="I91" s="1662"/>
      <c r="J91" s="1662"/>
      <c r="K91" s="1662"/>
      <c r="L91" s="1662"/>
      <c r="M91" s="1662"/>
      <c r="N91" s="1662"/>
      <c r="O91" s="1662"/>
      <c r="P91" s="1662"/>
      <c r="Q91" s="1662"/>
      <c r="R91" s="1662"/>
      <c r="S91" s="1662"/>
    </row>
    <row r="92" spans="1:19" x14ac:dyDescent="0.2">
      <c r="A92" s="1662"/>
      <c r="B92" s="1662"/>
      <c r="C92" s="1662"/>
      <c r="D92" s="1662"/>
      <c r="E92" s="1662"/>
      <c r="F92" s="1662"/>
      <c r="G92" s="1662"/>
      <c r="H92" s="1662"/>
      <c r="I92" s="1662"/>
      <c r="J92" s="1662"/>
      <c r="K92" s="1662"/>
      <c r="L92" s="1662"/>
      <c r="M92" s="1662"/>
      <c r="N92" s="1662"/>
      <c r="O92" s="1662"/>
      <c r="P92" s="1662"/>
      <c r="Q92" s="1662"/>
      <c r="R92" s="1662"/>
      <c r="S92" s="1662"/>
    </row>
    <row r="93" spans="1:19" x14ac:dyDescent="0.2">
      <c r="A93" s="1662"/>
      <c r="B93" s="1662"/>
      <c r="C93" s="1662"/>
      <c r="D93" s="1662"/>
      <c r="E93" s="1662"/>
      <c r="F93" s="1662"/>
      <c r="G93" s="1662"/>
      <c r="H93" s="1662"/>
      <c r="I93" s="1662"/>
      <c r="J93" s="1662"/>
      <c r="K93" s="1662"/>
      <c r="L93" s="1662"/>
      <c r="M93" s="1662"/>
      <c r="N93" s="1662"/>
      <c r="O93" s="1662"/>
      <c r="P93" s="1662"/>
      <c r="Q93" s="1662"/>
      <c r="R93" s="1662"/>
      <c r="S93" s="1662"/>
    </row>
    <row r="94" spans="1:19" x14ac:dyDescent="0.2">
      <c r="A94" s="1662"/>
      <c r="B94" s="1662"/>
      <c r="C94" s="1662"/>
      <c r="D94" s="1662"/>
      <c r="E94" s="1662"/>
      <c r="F94" s="1662"/>
      <c r="G94" s="1662"/>
      <c r="H94" s="1662"/>
      <c r="I94" s="1662"/>
      <c r="J94" s="1662"/>
      <c r="K94" s="1662"/>
      <c r="L94" s="1662"/>
      <c r="M94" s="1662"/>
      <c r="N94" s="1662"/>
      <c r="O94" s="1662"/>
      <c r="P94" s="1662"/>
      <c r="Q94" s="1662"/>
      <c r="R94" s="1662"/>
      <c r="S94" s="1662"/>
    </row>
    <row r="95" spans="1:19" x14ac:dyDescent="0.2">
      <c r="A95" s="1662"/>
      <c r="B95" s="1662"/>
      <c r="C95" s="1662"/>
      <c r="D95" s="1662"/>
      <c r="E95" s="1662"/>
      <c r="F95" s="1662"/>
      <c r="G95" s="1662"/>
      <c r="H95" s="1662"/>
      <c r="I95" s="1662"/>
      <c r="J95" s="1662"/>
      <c r="K95" s="1662"/>
      <c r="L95" s="1662"/>
      <c r="M95" s="1662"/>
      <c r="N95" s="1662"/>
      <c r="O95" s="1662"/>
      <c r="P95" s="1662"/>
      <c r="Q95" s="1662"/>
      <c r="R95" s="1662"/>
      <c r="S95" s="1662"/>
    </row>
    <row r="96" spans="1:19" x14ac:dyDescent="0.2">
      <c r="A96" s="1662"/>
      <c r="B96" s="1662"/>
      <c r="C96" s="1662"/>
      <c r="D96" s="1662"/>
      <c r="E96" s="1662"/>
      <c r="F96" s="1662"/>
      <c r="G96" s="1662"/>
      <c r="H96" s="1662"/>
      <c r="I96" s="1662"/>
      <c r="J96" s="1662"/>
      <c r="K96" s="1662"/>
      <c r="L96" s="1662"/>
      <c r="M96" s="1662"/>
      <c r="N96" s="1662"/>
      <c r="O96" s="1662"/>
      <c r="P96" s="1662"/>
      <c r="Q96" s="1662"/>
      <c r="R96" s="1662"/>
      <c r="S96" s="1662"/>
    </row>
    <row r="97" spans="1:19" x14ac:dyDescent="0.2">
      <c r="A97" s="1662"/>
      <c r="B97" s="1662"/>
      <c r="C97" s="1662"/>
      <c r="D97" s="1662"/>
      <c r="E97" s="1662"/>
      <c r="F97" s="1662"/>
      <c r="G97" s="1662"/>
      <c r="H97" s="1662"/>
      <c r="I97" s="1662"/>
      <c r="J97" s="1662"/>
      <c r="K97" s="1662"/>
      <c r="L97" s="1662"/>
      <c r="M97" s="1662"/>
      <c r="N97" s="1662"/>
      <c r="O97" s="1662"/>
      <c r="P97" s="1662"/>
      <c r="Q97" s="1662"/>
      <c r="R97" s="1662"/>
      <c r="S97" s="1662"/>
    </row>
    <row r="98" spans="1:19" x14ac:dyDescent="0.2">
      <c r="A98" s="1662"/>
      <c r="B98" s="1662"/>
      <c r="C98" s="1662"/>
      <c r="D98" s="1662"/>
      <c r="E98" s="1662"/>
      <c r="F98" s="1662"/>
      <c r="G98" s="1662"/>
      <c r="H98" s="1662"/>
      <c r="I98" s="1662"/>
      <c r="J98" s="1662"/>
      <c r="K98" s="1662"/>
      <c r="L98" s="1662"/>
      <c r="M98" s="1662"/>
      <c r="N98" s="1662"/>
      <c r="O98" s="1662"/>
      <c r="P98" s="1662"/>
      <c r="Q98" s="1662"/>
      <c r="R98" s="1662"/>
      <c r="S98" s="1662"/>
    </row>
    <row r="99" spans="1:19" x14ac:dyDescent="0.2">
      <c r="A99" s="1662"/>
      <c r="B99" s="1662"/>
      <c r="C99" s="1662"/>
      <c r="D99" s="1662"/>
      <c r="E99" s="1662"/>
      <c r="F99" s="1662"/>
      <c r="G99" s="1662"/>
      <c r="H99" s="1662"/>
      <c r="I99" s="1662"/>
      <c r="J99" s="1662"/>
      <c r="K99" s="1662"/>
      <c r="L99" s="1662"/>
      <c r="M99" s="1662"/>
      <c r="N99" s="1662"/>
      <c r="O99" s="1662"/>
      <c r="P99" s="1662"/>
      <c r="Q99" s="1662"/>
      <c r="R99" s="1662"/>
      <c r="S99" s="1662"/>
    </row>
    <row r="100" spans="1:19" x14ac:dyDescent="0.2">
      <c r="A100" s="1662"/>
      <c r="B100" s="1662"/>
      <c r="C100" s="1662"/>
      <c r="D100" s="1662"/>
      <c r="E100" s="1662"/>
      <c r="F100" s="1662"/>
      <c r="G100" s="1662"/>
      <c r="H100" s="1662"/>
      <c r="I100" s="1662"/>
      <c r="J100" s="1662"/>
      <c r="K100" s="1662"/>
      <c r="L100" s="1662"/>
      <c r="M100" s="1662"/>
      <c r="N100" s="1662"/>
      <c r="O100" s="1662"/>
      <c r="P100" s="1662"/>
      <c r="Q100" s="1662"/>
      <c r="R100" s="1662"/>
      <c r="S100" s="1662"/>
    </row>
    <row r="101" spans="1:19" x14ac:dyDescent="0.2">
      <c r="A101" s="1662"/>
      <c r="B101" s="1662"/>
      <c r="C101" s="1662"/>
      <c r="D101" s="1662"/>
      <c r="E101" s="1662"/>
      <c r="F101" s="1662"/>
      <c r="G101" s="1662"/>
      <c r="H101" s="1662"/>
      <c r="I101" s="1662"/>
      <c r="J101" s="1662"/>
      <c r="K101" s="1662"/>
      <c r="L101" s="1662"/>
      <c r="M101" s="1662"/>
      <c r="N101" s="1662"/>
      <c r="O101" s="1662"/>
      <c r="P101" s="1662"/>
      <c r="Q101" s="1662"/>
      <c r="R101" s="1662"/>
      <c r="S101" s="1662"/>
    </row>
    <row r="102" spans="1:19" x14ac:dyDescent="0.2">
      <c r="A102" s="1662"/>
      <c r="B102" s="1662"/>
      <c r="C102" s="1662"/>
      <c r="D102" s="1662"/>
      <c r="E102" s="1662"/>
      <c r="F102" s="1662"/>
      <c r="G102" s="1662"/>
      <c r="H102" s="1662"/>
      <c r="I102" s="1662"/>
      <c r="J102" s="1662"/>
      <c r="K102" s="1662"/>
      <c r="L102" s="1662"/>
      <c r="M102" s="1662"/>
      <c r="N102" s="1662"/>
      <c r="O102" s="1662"/>
      <c r="P102" s="1662"/>
      <c r="Q102" s="1662"/>
      <c r="R102" s="1662"/>
      <c r="S102" s="1662"/>
    </row>
    <row r="103" spans="1:19" x14ac:dyDescent="0.2">
      <c r="A103" s="1662"/>
      <c r="B103" s="1662"/>
      <c r="C103" s="1662"/>
      <c r="D103" s="1662"/>
      <c r="E103" s="1662"/>
      <c r="F103" s="1662"/>
      <c r="G103" s="1662"/>
      <c r="H103" s="1662"/>
      <c r="I103" s="1662"/>
      <c r="J103" s="1662"/>
      <c r="K103" s="1662"/>
      <c r="L103" s="1662"/>
      <c r="M103" s="1662"/>
      <c r="N103" s="1662"/>
      <c r="O103" s="1662"/>
      <c r="P103" s="1662"/>
      <c r="Q103" s="1662"/>
      <c r="R103" s="1662"/>
      <c r="S103" s="1662"/>
    </row>
    <row r="104" spans="1:19" x14ac:dyDescent="0.2">
      <c r="A104" s="1662"/>
      <c r="B104" s="1662"/>
      <c r="C104" s="1662"/>
      <c r="D104" s="1662"/>
      <c r="E104" s="1662"/>
      <c r="F104" s="1662"/>
      <c r="G104" s="1662"/>
      <c r="H104" s="1662"/>
      <c r="I104" s="1662"/>
      <c r="J104" s="1662"/>
      <c r="K104" s="1662"/>
      <c r="L104" s="1662"/>
      <c r="M104" s="1662"/>
      <c r="N104" s="1662"/>
      <c r="O104" s="1662"/>
      <c r="P104" s="1662"/>
      <c r="Q104" s="1662"/>
      <c r="R104" s="1662"/>
      <c r="S104" s="1662"/>
    </row>
    <row r="105" spans="1:19" x14ac:dyDescent="0.2">
      <c r="A105" s="1662"/>
      <c r="B105" s="1662"/>
      <c r="C105" s="1662"/>
      <c r="D105" s="1662"/>
      <c r="E105" s="1662"/>
      <c r="F105" s="1662"/>
      <c r="G105" s="1662"/>
      <c r="H105" s="1662"/>
      <c r="I105" s="1662"/>
      <c r="J105" s="1662"/>
      <c r="K105" s="1662"/>
      <c r="L105" s="1662"/>
      <c r="M105" s="1662"/>
      <c r="N105" s="1662"/>
      <c r="O105" s="1662"/>
      <c r="P105" s="1662"/>
      <c r="Q105" s="1662"/>
      <c r="R105" s="1662"/>
      <c r="S105" s="1662"/>
    </row>
    <row r="106" spans="1:19" x14ac:dyDescent="0.2">
      <c r="A106" s="1662"/>
      <c r="B106" s="1662"/>
      <c r="C106" s="1662"/>
      <c r="D106" s="1662"/>
      <c r="E106" s="1662"/>
      <c r="F106" s="1662"/>
      <c r="G106" s="1662"/>
      <c r="H106" s="1662"/>
      <c r="I106" s="1662"/>
      <c r="J106" s="1662"/>
      <c r="K106" s="1662"/>
      <c r="L106" s="1662"/>
      <c r="M106" s="1662"/>
      <c r="N106" s="1662"/>
      <c r="O106" s="1662"/>
      <c r="P106" s="1662"/>
      <c r="Q106" s="1662"/>
      <c r="R106" s="1662"/>
      <c r="S106" s="1662"/>
    </row>
    <row r="107" spans="1:19" x14ac:dyDescent="0.2">
      <c r="A107" s="1662"/>
      <c r="B107" s="1662"/>
      <c r="C107" s="1662"/>
      <c r="D107" s="1662"/>
      <c r="E107" s="1662"/>
      <c r="F107" s="1662"/>
      <c r="G107" s="1662"/>
      <c r="H107" s="1662"/>
      <c r="I107" s="1662"/>
      <c r="J107" s="1662"/>
      <c r="K107" s="1662"/>
      <c r="L107" s="1662"/>
      <c r="M107" s="1662"/>
      <c r="N107" s="1662"/>
      <c r="O107" s="1662"/>
      <c r="P107" s="1662"/>
      <c r="Q107" s="1662"/>
      <c r="R107" s="1662"/>
      <c r="S107" s="1662"/>
    </row>
    <row r="108" spans="1:19" x14ac:dyDescent="0.2">
      <c r="A108" s="1662"/>
      <c r="B108" s="1662"/>
      <c r="C108" s="1662"/>
      <c r="D108" s="1662"/>
      <c r="E108" s="1662"/>
      <c r="F108" s="1662"/>
      <c r="G108" s="1662"/>
      <c r="H108" s="1662"/>
      <c r="I108" s="1662"/>
      <c r="J108" s="1662"/>
      <c r="K108" s="1662"/>
      <c r="L108" s="1662"/>
      <c r="M108" s="1662"/>
      <c r="N108" s="1662"/>
      <c r="O108" s="1662"/>
      <c r="P108" s="1662"/>
      <c r="Q108" s="1662"/>
      <c r="R108" s="1662"/>
      <c r="S108" s="1662"/>
    </row>
    <row r="109" spans="1:19" x14ac:dyDescent="0.2">
      <c r="A109" s="1662"/>
      <c r="B109" s="1662"/>
      <c r="C109" s="1662"/>
      <c r="D109" s="1662"/>
      <c r="E109" s="1662"/>
      <c r="F109" s="1662"/>
      <c r="G109" s="1662"/>
      <c r="H109" s="1662"/>
      <c r="I109" s="1662"/>
      <c r="J109" s="1662"/>
      <c r="K109" s="1662"/>
      <c r="L109" s="1662"/>
      <c r="M109" s="1662"/>
      <c r="N109" s="1662"/>
      <c r="O109" s="1662"/>
      <c r="P109" s="1662"/>
      <c r="Q109" s="1662"/>
      <c r="R109" s="1662"/>
      <c r="S109" s="1662"/>
    </row>
    <row r="110" spans="1:19" x14ac:dyDescent="0.2">
      <c r="A110" s="1662"/>
      <c r="B110" s="1662"/>
      <c r="C110" s="1662"/>
      <c r="D110" s="1662"/>
      <c r="E110" s="1662"/>
      <c r="F110" s="1662"/>
      <c r="G110" s="1662"/>
      <c r="H110" s="1662"/>
      <c r="I110" s="1662"/>
      <c r="J110" s="1662"/>
      <c r="K110" s="1662"/>
      <c r="L110" s="1662"/>
      <c r="M110" s="1662"/>
      <c r="N110" s="1662"/>
      <c r="O110" s="1662"/>
      <c r="P110" s="1662"/>
      <c r="Q110" s="1662"/>
      <c r="R110" s="1662"/>
      <c r="S110" s="1662"/>
    </row>
  </sheetData>
  <sheetProtection algorithmName="SHA-512" hashValue="fLU1WNp0MO6zPW+xmX1Nlpta4O3uKpQngN0m7JnfNcOwI07PFCbH8t08YHUTE73OpvPTDcnADQXkUjVwc4qwbw==" saltValue="pV+jL5XDHyRgQYv8b206CQ==" spinCount="100000" sheet="1" objects="1" scenarios="1"/>
  <mergeCells count="123">
    <mergeCell ref="A108:K108"/>
    <mergeCell ref="L108:S108"/>
    <mergeCell ref="A109:K109"/>
    <mergeCell ref="L109:S109"/>
    <mergeCell ref="A110:K110"/>
    <mergeCell ref="L110:S110"/>
    <mergeCell ref="A105:K105"/>
    <mergeCell ref="L105:S105"/>
    <mergeCell ref="A106:K106"/>
    <mergeCell ref="L106:S106"/>
    <mergeCell ref="A107:K107"/>
    <mergeCell ref="L107:S107"/>
    <mergeCell ref="A102:K102"/>
    <mergeCell ref="L102:S102"/>
    <mergeCell ref="A103:K103"/>
    <mergeCell ref="L103:S103"/>
    <mergeCell ref="A104:K104"/>
    <mergeCell ref="L104:S104"/>
    <mergeCell ref="A99:K99"/>
    <mergeCell ref="L99:S99"/>
    <mergeCell ref="A100:K100"/>
    <mergeCell ref="L100:S100"/>
    <mergeCell ref="A101:K101"/>
    <mergeCell ref="L101:S101"/>
    <mergeCell ref="A96:K96"/>
    <mergeCell ref="L96:S96"/>
    <mergeCell ref="A97:K97"/>
    <mergeCell ref="L97:S97"/>
    <mergeCell ref="A98:K98"/>
    <mergeCell ref="L98:S98"/>
    <mergeCell ref="A93:K93"/>
    <mergeCell ref="L93:S93"/>
    <mergeCell ref="A94:K94"/>
    <mergeCell ref="L94:S94"/>
    <mergeCell ref="A95:K95"/>
    <mergeCell ref="L95:S95"/>
    <mergeCell ref="A90:K90"/>
    <mergeCell ref="L90:S90"/>
    <mergeCell ref="A91:K91"/>
    <mergeCell ref="L91:S91"/>
    <mergeCell ref="A92:K92"/>
    <mergeCell ref="L92:S92"/>
    <mergeCell ref="A87:K87"/>
    <mergeCell ref="L87:S87"/>
    <mergeCell ref="A88:K88"/>
    <mergeCell ref="L88:S88"/>
    <mergeCell ref="A89:K89"/>
    <mergeCell ref="L89:S89"/>
    <mergeCell ref="A84:K84"/>
    <mergeCell ref="L84:S84"/>
    <mergeCell ref="A85:K85"/>
    <mergeCell ref="L85:S85"/>
    <mergeCell ref="A86:K86"/>
    <mergeCell ref="L86:S86"/>
    <mergeCell ref="A81:K81"/>
    <mergeCell ref="L81:S81"/>
    <mergeCell ref="A82:K82"/>
    <mergeCell ref="L82:S82"/>
    <mergeCell ref="A83:K83"/>
    <mergeCell ref="L83:S83"/>
    <mergeCell ref="L77:S77"/>
    <mergeCell ref="A78:K78"/>
    <mergeCell ref="L78:S78"/>
    <mergeCell ref="A79:K79"/>
    <mergeCell ref="L79:S79"/>
    <mergeCell ref="A80:K80"/>
    <mergeCell ref="L80:S80"/>
    <mergeCell ref="A74:K74"/>
    <mergeCell ref="L74:S74"/>
    <mergeCell ref="A75:K75"/>
    <mergeCell ref="L75:S75"/>
    <mergeCell ref="A76:K76"/>
    <mergeCell ref="L76:S76"/>
    <mergeCell ref="A71:K71"/>
    <mergeCell ref="L71:S71"/>
    <mergeCell ref="A72:K72"/>
    <mergeCell ref="L72:S72"/>
    <mergeCell ref="A73:K73"/>
    <mergeCell ref="L73:S73"/>
    <mergeCell ref="A68:K68"/>
    <mergeCell ref="L68:S68"/>
    <mergeCell ref="A69:K69"/>
    <mergeCell ref="L69:S69"/>
    <mergeCell ref="A70:K70"/>
    <mergeCell ref="L70:S70"/>
    <mergeCell ref="A65:K65"/>
    <mergeCell ref="L65:S65"/>
    <mergeCell ref="A66:K66"/>
    <mergeCell ref="L66:S66"/>
    <mergeCell ref="A67:K67"/>
    <mergeCell ref="L67:S67"/>
    <mergeCell ref="A62:K62"/>
    <mergeCell ref="L62:S62"/>
    <mergeCell ref="A63:K63"/>
    <mergeCell ref="L63:S63"/>
    <mergeCell ref="A64:K64"/>
    <mergeCell ref="L64:S64"/>
    <mergeCell ref="A58:K58"/>
    <mergeCell ref="L58:S58"/>
    <mergeCell ref="A59:K59"/>
    <mergeCell ref="L59:S59"/>
    <mergeCell ref="L60:S60"/>
    <mergeCell ref="A61:K61"/>
    <mergeCell ref="L61:S61"/>
    <mergeCell ref="B43:M43"/>
    <mergeCell ref="B44:M44"/>
    <mergeCell ref="B47:L47"/>
    <mergeCell ref="A48:M49"/>
    <mergeCell ref="A54:M54"/>
    <mergeCell ref="A57:K57"/>
    <mergeCell ref="L57:S57"/>
    <mergeCell ref="A20:I20"/>
    <mergeCell ref="A21:I21"/>
    <mergeCell ref="A27:K29"/>
    <mergeCell ref="A31:J31"/>
    <mergeCell ref="A37:K37"/>
    <mergeCell ref="A38:L38"/>
    <mergeCell ref="A1:K1"/>
    <mergeCell ref="A2:K2"/>
    <mergeCell ref="A6:K6"/>
    <mergeCell ref="E9:F9"/>
    <mergeCell ref="A11:A17"/>
    <mergeCell ref="A19:J19"/>
  </mergeCells>
  <pageMargins left="0.7" right="0.7" top="0.75" bottom="0.75" header="0.3" footer="0.3"/>
  <pageSetup scale="58" fitToHeight="0" orientation="landscape" horizontalDpi="200" verticalDpi="200"/>
  <rowBreaks count="1" manualBreakCount="1">
    <brk id="33"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6">
    <tabColor rgb="FF00B0F0"/>
    <pageSetUpPr fitToPage="1"/>
  </sheetPr>
  <dimension ref="A1:P599"/>
  <sheetViews>
    <sheetView showGridLines="0" zoomScale="90" zoomScaleNormal="90" zoomScaleSheetLayoutView="85" workbookViewId="0"/>
  </sheetViews>
  <sheetFormatPr defaultColWidth="9.28515625" defaultRowHeight="12.75" x14ac:dyDescent="0.2"/>
  <cols>
    <col min="1" max="1" width="7.7109375" style="453" customWidth="1"/>
    <col min="2" max="2" width="10.28515625" style="453" customWidth="1"/>
    <col min="3" max="3" width="37.7109375" style="34" customWidth="1"/>
    <col min="4" max="4" width="14.42578125" style="34" customWidth="1"/>
    <col min="5" max="5" width="13" style="34" customWidth="1"/>
    <col min="6" max="6" width="12.140625" style="34" bestFit="1" customWidth="1"/>
    <col min="7" max="7" width="13.5703125" style="34" customWidth="1"/>
    <col min="8" max="8" width="1.7109375" style="81" customWidth="1"/>
    <col min="9" max="9" width="14.28515625" style="34" customWidth="1"/>
    <col min="10" max="10" width="13.42578125" style="34" customWidth="1"/>
    <col min="11" max="11" width="13.140625" style="34" customWidth="1"/>
    <col min="12" max="12" width="14.5703125" style="34" bestFit="1" customWidth="1"/>
    <col min="13" max="13" width="14.28515625" style="34" bestFit="1" customWidth="1"/>
    <col min="14" max="14" width="10.28515625" style="34" bestFit="1" customWidth="1"/>
    <col min="15" max="15" width="13.42578125" style="34" customWidth="1"/>
    <col min="16" max="16384" width="9.28515625" style="34"/>
  </cols>
  <sheetData>
    <row r="1" spans="1:13" x14ac:dyDescent="0.2">
      <c r="L1" s="77" t="s">
        <v>277</v>
      </c>
      <c r="M1" s="40" t="str">
        <f>EBNUMBER</f>
        <v>EB-2018-0056</v>
      </c>
    </row>
    <row r="2" spans="1:13" x14ac:dyDescent="0.2">
      <c r="L2" s="77" t="s">
        <v>278</v>
      </c>
      <c r="M2" s="33"/>
    </row>
    <row r="3" spans="1:13" x14ac:dyDescent="0.2">
      <c r="L3" s="77" t="s">
        <v>279</v>
      </c>
      <c r="M3" s="33"/>
    </row>
    <row r="4" spans="1:13" x14ac:dyDescent="0.2">
      <c r="L4" s="77" t="s">
        <v>280</v>
      </c>
      <c r="M4" s="33"/>
    </row>
    <row r="5" spans="1:13" x14ac:dyDescent="0.2">
      <c r="L5" s="77" t="s">
        <v>281</v>
      </c>
      <c r="M5" s="465"/>
    </row>
    <row r="6" spans="1:13" ht="9" customHeight="1" x14ac:dyDescent="0.2">
      <c r="L6" s="77"/>
      <c r="M6" s="464"/>
    </row>
    <row r="7" spans="1:13" x14ac:dyDescent="0.2">
      <c r="L7" s="77" t="s">
        <v>282</v>
      </c>
      <c r="M7" s="465"/>
    </row>
    <row r="8" spans="1:13" ht="9" customHeight="1" x14ac:dyDescent="0.2"/>
    <row r="9" spans="1:13" ht="20.25" customHeight="1" x14ac:dyDescent="0.2">
      <c r="A9" s="1682" t="s">
        <v>436</v>
      </c>
      <c r="B9" s="1682"/>
      <c r="C9" s="1682"/>
      <c r="D9" s="1682"/>
      <c r="E9" s="1682"/>
      <c r="F9" s="1682"/>
      <c r="G9" s="1682"/>
      <c r="H9" s="1682"/>
      <c r="I9" s="1682"/>
      <c r="J9" s="1682"/>
      <c r="K9" s="1682"/>
      <c r="L9" s="1682"/>
      <c r="M9" s="1682"/>
    </row>
    <row r="10" spans="1:13" ht="21" x14ac:dyDescent="0.2">
      <c r="A10" s="1682" t="s">
        <v>916</v>
      </c>
      <c r="B10" s="1682"/>
      <c r="C10" s="1682"/>
      <c r="D10" s="1682"/>
      <c r="E10" s="1682"/>
      <c r="F10" s="1682"/>
      <c r="G10" s="1682"/>
      <c r="H10" s="1682"/>
      <c r="I10" s="1682"/>
      <c r="J10" s="1682"/>
      <c r="K10" s="1682"/>
      <c r="L10" s="1682"/>
      <c r="M10" s="1682"/>
    </row>
    <row r="11" spans="1:13" x14ac:dyDescent="0.2">
      <c r="H11" s="34"/>
    </row>
    <row r="12" spans="1:13" x14ac:dyDescent="0.2">
      <c r="E12" s="68" t="s">
        <v>822</v>
      </c>
      <c r="F12" s="30" t="s">
        <v>95</v>
      </c>
      <c r="H12" s="34"/>
    </row>
    <row r="13" spans="1:13" ht="15" x14ac:dyDescent="0.25">
      <c r="C13" s="38"/>
      <c r="E13" s="68" t="s">
        <v>92</v>
      </c>
      <c r="F13" s="82">
        <v>2014</v>
      </c>
      <c r="G13" s="83"/>
    </row>
    <row r="15" spans="1:13" x14ac:dyDescent="0.2">
      <c r="D15" s="1677" t="s">
        <v>242</v>
      </c>
      <c r="E15" s="1678"/>
      <c r="F15" s="1678"/>
      <c r="G15" s="1679"/>
      <c r="I15" s="84"/>
      <c r="J15" s="85" t="s">
        <v>243</v>
      </c>
      <c r="K15" s="85"/>
      <c r="L15" s="86"/>
      <c r="M15" s="81"/>
    </row>
    <row r="16" spans="1:13" ht="25.5" customHeight="1" x14ac:dyDescent="0.2">
      <c r="A16" s="87" t="s">
        <v>917</v>
      </c>
      <c r="B16" s="87" t="s">
        <v>919</v>
      </c>
      <c r="C16" s="88" t="s">
        <v>920</v>
      </c>
      <c r="D16" s="87" t="s">
        <v>213</v>
      </c>
      <c r="E16" s="89" t="s">
        <v>918</v>
      </c>
      <c r="F16" s="89" t="s">
        <v>995</v>
      </c>
      <c r="G16" s="87" t="s">
        <v>241</v>
      </c>
      <c r="H16" s="90"/>
      <c r="I16" s="91" t="s">
        <v>213</v>
      </c>
      <c r="J16" s="92" t="s">
        <v>214</v>
      </c>
      <c r="K16" s="92" t="s">
        <v>995</v>
      </c>
      <c r="L16" s="93" t="s">
        <v>241</v>
      </c>
      <c r="M16" s="87" t="s">
        <v>276</v>
      </c>
    </row>
    <row r="17" spans="1:16" s="1467" customFormat="1" ht="25.5" x14ac:dyDescent="0.2">
      <c r="A17" s="35">
        <v>47</v>
      </c>
      <c r="B17" s="1468">
        <v>1508</v>
      </c>
      <c r="C17" s="1531" t="s">
        <v>1390</v>
      </c>
      <c r="D17" s="1470">
        <v>0</v>
      </c>
      <c r="E17" s="1470">
        <v>0</v>
      </c>
      <c r="F17" s="1470">
        <v>0</v>
      </c>
      <c r="G17" s="1532">
        <f t="shared" ref="G17:G79" si="0">D17+E17+F17</f>
        <v>0</v>
      </c>
      <c r="H17" s="1533"/>
      <c r="I17" s="1470">
        <v>0</v>
      </c>
      <c r="J17" s="1470">
        <v>0</v>
      </c>
      <c r="K17" s="1470">
        <v>0</v>
      </c>
      <c r="L17" s="1532">
        <f t="shared" ref="L17:L79" si="1">I17+J17+K17</f>
        <v>0</v>
      </c>
      <c r="M17" s="1534">
        <f>G17-L17</f>
        <v>0</v>
      </c>
      <c r="N17" s="1535"/>
      <c r="O17" s="1466">
        <f t="shared" ref="O17" si="2">AVERAGE(G17,D17)</f>
        <v>0</v>
      </c>
      <c r="P17" s="1466">
        <f t="shared" ref="P17" si="3">AVERAGE(L17,I17)</f>
        <v>0</v>
      </c>
    </row>
    <row r="18" spans="1:16" s="1467" customFormat="1" x14ac:dyDescent="0.2">
      <c r="A18" s="35" t="s">
        <v>244</v>
      </c>
      <c r="B18" s="1468">
        <v>1606</v>
      </c>
      <c r="C18" s="1469" t="s">
        <v>1391</v>
      </c>
      <c r="D18" s="1470">
        <v>25037.68</v>
      </c>
      <c r="E18" s="1470">
        <v>0</v>
      </c>
      <c r="F18" s="1470">
        <v>-25037.68</v>
      </c>
      <c r="G18" s="96">
        <f t="shared" si="0"/>
        <v>0</v>
      </c>
      <c r="H18" s="1471"/>
      <c r="I18" s="1470">
        <v>16482.57</v>
      </c>
      <c r="J18" s="1470">
        <v>1251.8399999999999</v>
      </c>
      <c r="K18" s="1470">
        <v>-17734.41</v>
      </c>
      <c r="L18" s="96">
        <f t="shared" si="1"/>
        <v>0</v>
      </c>
      <c r="M18" s="99">
        <f t="shared" ref="M18:M80" si="4">G18-L18</f>
        <v>0</v>
      </c>
      <c r="O18" s="1472">
        <f>AVERAGE(G18,D18)</f>
        <v>12518.84</v>
      </c>
      <c r="P18" s="1472">
        <f>AVERAGE(L18,I18)</f>
        <v>8241.2849999999999</v>
      </c>
    </row>
    <row r="19" spans="1:16" ht="25.5" x14ac:dyDescent="0.2">
      <c r="A19" s="35">
        <v>12</v>
      </c>
      <c r="B19" s="451">
        <v>1611</v>
      </c>
      <c r="C19" s="94" t="s">
        <v>352</v>
      </c>
      <c r="D19" s="1470">
        <v>1986312.41</v>
      </c>
      <c r="E19" s="1470">
        <v>129375.18</v>
      </c>
      <c r="F19" s="1470">
        <v>0</v>
      </c>
      <c r="G19" s="96">
        <f t="shared" si="0"/>
        <v>2115687.59</v>
      </c>
      <c r="H19" s="97"/>
      <c r="I19" s="1470">
        <v>1751730.8900000001</v>
      </c>
      <c r="J19" s="1470">
        <v>130885.43</v>
      </c>
      <c r="K19" s="1470">
        <v>0</v>
      </c>
      <c r="L19" s="96">
        <f t="shared" si="1"/>
        <v>1882616.32</v>
      </c>
      <c r="M19" s="99">
        <f t="shared" si="4"/>
        <v>233071.26999999979</v>
      </c>
    </row>
    <row r="20" spans="1:16" ht="25.5" x14ac:dyDescent="0.2">
      <c r="A20" s="35" t="s">
        <v>1621</v>
      </c>
      <c r="B20" s="451">
        <v>1612</v>
      </c>
      <c r="C20" s="94" t="s">
        <v>397</v>
      </c>
      <c r="D20" s="1470">
        <v>0</v>
      </c>
      <c r="E20" s="1470">
        <v>0</v>
      </c>
      <c r="F20" s="1470">
        <v>0</v>
      </c>
      <c r="G20" s="96">
        <f t="shared" si="0"/>
        <v>0</v>
      </c>
      <c r="H20" s="97"/>
      <c r="I20" s="1470">
        <v>0</v>
      </c>
      <c r="J20" s="1470">
        <v>0</v>
      </c>
      <c r="K20" s="1470">
        <v>0</v>
      </c>
      <c r="L20" s="96">
        <f t="shared" si="1"/>
        <v>0</v>
      </c>
      <c r="M20" s="99">
        <f t="shared" si="4"/>
        <v>0</v>
      </c>
    </row>
    <row r="21" spans="1:16" x14ac:dyDescent="0.2">
      <c r="A21" s="35" t="s">
        <v>244</v>
      </c>
      <c r="B21" s="100">
        <v>1805</v>
      </c>
      <c r="C21" s="101" t="s">
        <v>245</v>
      </c>
      <c r="D21" s="1470">
        <v>258134.21000000002</v>
      </c>
      <c r="E21" s="1470">
        <v>0</v>
      </c>
      <c r="F21" s="1470">
        <v>0</v>
      </c>
      <c r="G21" s="96">
        <f t="shared" si="0"/>
        <v>258134.21000000002</v>
      </c>
      <c r="H21" s="97"/>
      <c r="I21" s="1470">
        <v>0</v>
      </c>
      <c r="J21" s="1470">
        <v>0</v>
      </c>
      <c r="K21" s="1470">
        <v>0</v>
      </c>
      <c r="L21" s="96">
        <f t="shared" si="1"/>
        <v>0</v>
      </c>
      <c r="M21" s="99">
        <f t="shared" si="4"/>
        <v>258134.21000000002</v>
      </c>
    </row>
    <row r="22" spans="1:16" x14ac:dyDescent="0.2">
      <c r="A22" s="35">
        <v>47</v>
      </c>
      <c r="B22" s="100">
        <v>1808</v>
      </c>
      <c r="C22" s="102" t="s">
        <v>246</v>
      </c>
      <c r="D22" s="1470">
        <v>0</v>
      </c>
      <c r="E22" s="1470">
        <v>0</v>
      </c>
      <c r="F22" s="1470">
        <v>0</v>
      </c>
      <c r="G22" s="96">
        <f t="shared" si="0"/>
        <v>0</v>
      </c>
      <c r="H22" s="97"/>
      <c r="I22" s="1470">
        <v>0</v>
      </c>
      <c r="J22" s="1470">
        <v>0</v>
      </c>
      <c r="K22" s="1470">
        <v>0</v>
      </c>
      <c r="L22" s="96">
        <f t="shared" si="1"/>
        <v>0</v>
      </c>
      <c r="M22" s="99">
        <f t="shared" si="4"/>
        <v>0</v>
      </c>
    </row>
    <row r="23" spans="1:16" x14ac:dyDescent="0.2">
      <c r="A23" s="35">
        <v>13</v>
      </c>
      <c r="B23" s="100">
        <v>1810</v>
      </c>
      <c r="C23" s="102" t="s">
        <v>275</v>
      </c>
      <c r="D23" s="1470">
        <v>0</v>
      </c>
      <c r="E23" s="1470">
        <v>0</v>
      </c>
      <c r="F23" s="1470">
        <v>0</v>
      </c>
      <c r="G23" s="96">
        <f t="shared" si="0"/>
        <v>0</v>
      </c>
      <c r="H23" s="97"/>
      <c r="I23" s="1470">
        <v>0</v>
      </c>
      <c r="J23" s="1470">
        <v>0</v>
      </c>
      <c r="K23" s="1470">
        <v>0</v>
      </c>
      <c r="L23" s="96">
        <f t="shared" si="1"/>
        <v>0</v>
      </c>
      <c r="M23" s="99">
        <f t="shared" si="4"/>
        <v>0</v>
      </c>
    </row>
    <row r="24" spans="1:16" ht="25.5" x14ac:dyDescent="0.2">
      <c r="A24" s="35">
        <v>47</v>
      </c>
      <c r="B24" s="1473">
        <v>1815</v>
      </c>
      <c r="C24" s="1474" t="s">
        <v>1392</v>
      </c>
      <c r="D24" s="1470">
        <v>2742161.58</v>
      </c>
      <c r="E24" s="1470">
        <v>11055.96</v>
      </c>
      <c r="F24" s="1470">
        <v>0</v>
      </c>
      <c r="G24" s="96">
        <f t="shared" si="0"/>
        <v>2753217.54</v>
      </c>
      <c r="H24" s="97"/>
      <c r="I24" s="1470">
        <v>695361.03</v>
      </c>
      <c r="J24" s="1470">
        <v>49962.39</v>
      </c>
      <c r="K24" s="1470">
        <v>0</v>
      </c>
      <c r="L24" s="96">
        <f t="shared" si="1"/>
        <v>745323.42</v>
      </c>
      <c r="M24" s="99">
        <f t="shared" si="4"/>
        <v>2007894.12</v>
      </c>
    </row>
    <row r="25" spans="1:16" ht="25.5" x14ac:dyDescent="0.2">
      <c r="A25" s="35">
        <v>47</v>
      </c>
      <c r="B25" s="1468">
        <v>1815</v>
      </c>
      <c r="C25" s="1474" t="s">
        <v>1393</v>
      </c>
      <c r="D25" s="1470">
        <v>2680846.46</v>
      </c>
      <c r="E25" s="1470">
        <v>0</v>
      </c>
      <c r="F25" s="1470">
        <v>0</v>
      </c>
      <c r="G25" s="96">
        <f t="shared" si="0"/>
        <v>2680846.46</v>
      </c>
      <c r="H25" s="97"/>
      <c r="I25" s="1470">
        <v>520865.43</v>
      </c>
      <c r="J25" s="1470">
        <v>49077.7</v>
      </c>
      <c r="K25" s="1470">
        <v>0</v>
      </c>
      <c r="L25" s="96">
        <f t="shared" si="1"/>
        <v>569943.13</v>
      </c>
      <c r="M25" s="99">
        <f t="shared" si="4"/>
        <v>2110903.33</v>
      </c>
    </row>
    <row r="26" spans="1:16" x14ac:dyDescent="0.2">
      <c r="A26" s="35">
        <v>47</v>
      </c>
      <c r="B26" s="100">
        <v>1820</v>
      </c>
      <c r="C26" s="94" t="s">
        <v>184</v>
      </c>
      <c r="D26" s="1470">
        <v>160630.29</v>
      </c>
      <c r="E26" s="1470">
        <v>0</v>
      </c>
      <c r="F26" s="1470">
        <v>0</v>
      </c>
      <c r="G26" s="96">
        <f t="shared" si="0"/>
        <v>160630.29</v>
      </c>
      <c r="H26" s="97"/>
      <c r="I26" s="1470">
        <v>160630.29</v>
      </c>
      <c r="J26" s="1470">
        <v>0</v>
      </c>
      <c r="K26" s="1470">
        <v>0</v>
      </c>
      <c r="L26" s="96">
        <f t="shared" si="1"/>
        <v>160630.29</v>
      </c>
      <c r="M26" s="99">
        <f t="shared" si="4"/>
        <v>0</v>
      </c>
    </row>
    <row r="27" spans="1:16" x14ac:dyDescent="0.2">
      <c r="A27" s="35">
        <v>43.1</v>
      </c>
      <c r="B27" s="100">
        <v>1825</v>
      </c>
      <c r="C27" s="102" t="s">
        <v>248</v>
      </c>
      <c r="D27" s="1470">
        <v>0</v>
      </c>
      <c r="E27" s="1470">
        <v>0</v>
      </c>
      <c r="F27" s="1470">
        <v>0</v>
      </c>
      <c r="G27" s="96">
        <f t="shared" si="0"/>
        <v>0</v>
      </c>
      <c r="H27" s="97"/>
      <c r="I27" s="1470">
        <v>0</v>
      </c>
      <c r="J27" s="1470">
        <v>0</v>
      </c>
      <c r="K27" s="1470">
        <v>0</v>
      </c>
      <c r="L27" s="96">
        <f t="shared" si="1"/>
        <v>0</v>
      </c>
      <c r="M27" s="99">
        <f t="shared" si="4"/>
        <v>0</v>
      </c>
    </row>
    <row r="28" spans="1:16" x14ac:dyDescent="0.2">
      <c r="A28" s="35">
        <v>47</v>
      </c>
      <c r="B28" s="100">
        <v>1830</v>
      </c>
      <c r="C28" s="102" t="s">
        <v>249</v>
      </c>
      <c r="D28" s="1470">
        <v>5326408.18</v>
      </c>
      <c r="E28" s="1470">
        <v>188906.57</v>
      </c>
      <c r="F28" s="1470">
        <v>-56502.02</v>
      </c>
      <c r="G28" s="96">
        <f t="shared" si="0"/>
        <v>5458812.7300000004</v>
      </c>
      <c r="H28" s="97"/>
      <c r="I28" s="1470">
        <v>3018088.85</v>
      </c>
      <c r="J28" s="1470">
        <v>86852.82</v>
      </c>
      <c r="K28" s="1470">
        <v>-53678.409999999996</v>
      </c>
      <c r="L28" s="96">
        <f t="shared" si="1"/>
        <v>3051263.26</v>
      </c>
      <c r="M28" s="99">
        <f t="shared" si="4"/>
        <v>2407549.4700000007</v>
      </c>
    </row>
    <row r="29" spans="1:16" x14ac:dyDescent="0.2">
      <c r="A29" s="35">
        <v>47</v>
      </c>
      <c r="B29" s="100">
        <v>1835</v>
      </c>
      <c r="C29" s="102" t="s">
        <v>185</v>
      </c>
      <c r="D29" s="1470">
        <v>6770695.1500000004</v>
      </c>
      <c r="E29" s="1470">
        <v>259557</v>
      </c>
      <c r="F29" s="1470">
        <v>-61079</v>
      </c>
      <c r="G29" s="96">
        <f t="shared" si="0"/>
        <v>6969173.1500000004</v>
      </c>
      <c r="H29" s="97"/>
      <c r="I29" s="1470">
        <v>3857228.65</v>
      </c>
      <c r="J29" s="1470">
        <v>72337.42</v>
      </c>
      <c r="K29" s="1470">
        <v>-29306.84</v>
      </c>
      <c r="L29" s="96">
        <f t="shared" si="1"/>
        <v>3900259.23</v>
      </c>
      <c r="M29" s="99">
        <f t="shared" si="4"/>
        <v>3068913.9200000004</v>
      </c>
    </row>
    <row r="30" spans="1:16" x14ac:dyDescent="0.2">
      <c r="A30" s="35">
        <v>47</v>
      </c>
      <c r="B30" s="100">
        <v>1840</v>
      </c>
      <c r="C30" s="102" t="s">
        <v>186</v>
      </c>
      <c r="D30" s="1470">
        <v>5249706.09</v>
      </c>
      <c r="E30" s="1470">
        <v>343461.89</v>
      </c>
      <c r="F30" s="1470">
        <v>0</v>
      </c>
      <c r="G30" s="96">
        <f t="shared" si="0"/>
        <v>5593167.9799999995</v>
      </c>
      <c r="H30" s="97"/>
      <c r="I30" s="1470">
        <v>2335600.21</v>
      </c>
      <c r="J30" s="1470">
        <v>57456.6</v>
      </c>
      <c r="K30" s="1470">
        <v>0</v>
      </c>
      <c r="L30" s="96">
        <f t="shared" si="1"/>
        <v>2393056.81</v>
      </c>
      <c r="M30" s="99">
        <f t="shared" si="4"/>
        <v>3200111.1699999995</v>
      </c>
    </row>
    <row r="31" spans="1:16" x14ac:dyDescent="0.2">
      <c r="A31" s="35">
        <v>47</v>
      </c>
      <c r="B31" s="100">
        <v>1845</v>
      </c>
      <c r="C31" s="102" t="s">
        <v>187</v>
      </c>
      <c r="D31" s="1470">
        <v>9328979.3499999996</v>
      </c>
      <c r="E31" s="1470">
        <v>483538.42</v>
      </c>
      <c r="F31" s="1470">
        <v>0</v>
      </c>
      <c r="G31" s="96">
        <f t="shared" si="0"/>
        <v>9812517.7699999996</v>
      </c>
      <c r="H31" s="97"/>
      <c r="I31" s="1470">
        <v>4787839.55</v>
      </c>
      <c r="J31" s="1470">
        <v>156356.54999999999</v>
      </c>
      <c r="K31" s="1470">
        <v>0</v>
      </c>
      <c r="L31" s="96">
        <f t="shared" si="1"/>
        <v>4944196.0999999996</v>
      </c>
      <c r="M31" s="99">
        <f t="shared" si="4"/>
        <v>4868321.67</v>
      </c>
    </row>
    <row r="32" spans="1:16" x14ac:dyDescent="0.2">
      <c r="A32" s="35">
        <v>47</v>
      </c>
      <c r="B32" s="100">
        <v>1850</v>
      </c>
      <c r="C32" s="102" t="s">
        <v>250</v>
      </c>
      <c r="D32" s="1470">
        <v>7775862.75</v>
      </c>
      <c r="E32" s="1470">
        <v>254422.74</v>
      </c>
      <c r="F32" s="1470">
        <v>-162394.28</v>
      </c>
      <c r="G32" s="96">
        <f t="shared" si="0"/>
        <v>7867891.21</v>
      </c>
      <c r="H32" s="97"/>
      <c r="I32" s="1470">
        <v>3919699.7</v>
      </c>
      <c r="J32" s="1470">
        <v>121301.36</v>
      </c>
      <c r="K32" s="1470">
        <v>-91401.33</v>
      </c>
      <c r="L32" s="96">
        <f t="shared" si="1"/>
        <v>3949599.73</v>
      </c>
      <c r="M32" s="99">
        <f t="shared" si="4"/>
        <v>3918291.48</v>
      </c>
    </row>
    <row r="33" spans="1:13" x14ac:dyDescent="0.2">
      <c r="A33" s="35">
        <v>47</v>
      </c>
      <c r="B33" s="1468">
        <v>1850</v>
      </c>
      <c r="C33" s="1475" t="s">
        <v>1394</v>
      </c>
      <c r="D33" s="1470">
        <v>176982.78</v>
      </c>
      <c r="E33" s="1470">
        <v>14263.02</v>
      </c>
      <c r="F33" s="1470">
        <v>0</v>
      </c>
      <c r="G33" s="96">
        <f t="shared" si="0"/>
        <v>191245.8</v>
      </c>
      <c r="H33" s="97"/>
      <c r="I33" s="1470">
        <v>82588.31</v>
      </c>
      <c r="J33" s="1470">
        <v>2957.86</v>
      </c>
      <c r="K33" s="1470">
        <v>0</v>
      </c>
      <c r="L33" s="96">
        <f t="shared" si="1"/>
        <v>85546.17</v>
      </c>
      <c r="M33" s="99">
        <f t="shared" si="4"/>
        <v>105699.62999999999</v>
      </c>
    </row>
    <row r="34" spans="1:13" x14ac:dyDescent="0.2">
      <c r="A34" s="35">
        <v>47</v>
      </c>
      <c r="B34" s="1468">
        <v>1850</v>
      </c>
      <c r="C34" s="1475" t="s">
        <v>1395</v>
      </c>
      <c r="D34" s="1470">
        <v>0</v>
      </c>
      <c r="E34" s="1470">
        <v>0</v>
      </c>
      <c r="F34" s="1470">
        <v>0</v>
      </c>
      <c r="G34" s="96">
        <f t="shared" si="0"/>
        <v>0</v>
      </c>
      <c r="H34" s="97"/>
      <c r="I34" s="1470">
        <v>-8710.17</v>
      </c>
      <c r="J34" s="1470">
        <v>8710.17</v>
      </c>
      <c r="K34" s="1470">
        <v>0</v>
      </c>
      <c r="L34" s="96">
        <f t="shared" si="1"/>
        <v>0</v>
      </c>
      <c r="M34" s="99">
        <f t="shared" si="4"/>
        <v>0</v>
      </c>
    </row>
    <row r="35" spans="1:13" x14ac:dyDescent="0.2">
      <c r="A35" s="35">
        <v>47</v>
      </c>
      <c r="B35" s="1468">
        <v>1850</v>
      </c>
      <c r="C35" s="1475" t="s">
        <v>1396</v>
      </c>
      <c r="D35" s="1470">
        <v>137809.60999999999</v>
      </c>
      <c r="E35" s="1470">
        <v>-43250.5</v>
      </c>
      <c r="F35" s="1470">
        <v>0</v>
      </c>
      <c r="G35" s="96">
        <f t="shared" si="0"/>
        <v>94559.109999999986</v>
      </c>
      <c r="H35" s="97"/>
      <c r="I35" s="1470">
        <v>16011.5</v>
      </c>
      <c r="J35" s="1470">
        <v>2428.37</v>
      </c>
      <c r="K35" s="1470">
        <v>0</v>
      </c>
      <c r="L35" s="96">
        <f t="shared" si="1"/>
        <v>18439.87</v>
      </c>
      <c r="M35" s="99">
        <f t="shared" si="4"/>
        <v>76119.239999999991</v>
      </c>
    </row>
    <row r="36" spans="1:13" x14ac:dyDescent="0.2">
      <c r="A36" s="35">
        <v>47</v>
      </c>
      <c r="B36" s="100">
        <v>1855</v>
      </c>
      <c r="C36" s="1474" t="s">
        <v>1397</v>
      </c>
      <c r="D36" s="1470">
        <v>605548.27</v>
      </c>
      <c r="E36" s="1470">
        <v>13739.54</v>
      </c>
      <c r="F36" s="1470">
        <v>0</v>
      </c>
      <c r="G36" s="96">
        <f t="shared" si="0"/>
        <v>619287.81000000006</v>
      </c>
      <c r="H36" s="97"/>
      <c r="I36" s="1470">
        <v>140588.5</v>
      </c>
      <c r="J36" s="1470">
        <v>8661.18</v>
      </c>
      <c r="K36" s="1470">
        <v>0</v>
      </c>
      <c r="L36" s="96">
        <f t="shared" si="1"/>
        <v>149249.68</v>
      </c>
      <c r="M36" s="99">
        <f t="shared" si="4"/>
        <v>470038.13000000006</v>
      </c>
    </row>
    <row r="37" spans="1:13" x14ac:dyDescent="0.2">
      <c r="A37" s="35">
        <v>47</v>
      </c>
      <c r="B37" s="100">
        <v>1855</v>
      </c>
      <c r="C37" s="1474" t="s">
        <v>1398</v>
      </c>
      <c r="D37" s="1470">
        <v>2534459.46</v>
      </c>
      <c r="E37" s="1470">
        <v>276277.87</v>
      </c>
      <c r="F37" s="1470">
        <v>0</v>
      </c>
      <c r="G37" s="96">
        <f t="shared" si="0"/>
        <v>2810737.33</v>
      </c>
      <c r="H37" s="97"/>
      <c r="I37" s="1470">
        <v>675742.35</v>
      </c>
      <c r="J37" s="1470">
        <v>51568.55</v>
      </c>
      <c r="K37" s="1470">
        <v>0</v>
      </c>
      <c r="L37" s="96">
        <f t="shared" si="1"/>
        <v>727310.9</v>
      </c>
      <c r="M37" s="99">
        <f t="shared" si="4"/>
        <v>2083426.4300000002</v>
      </c>
    </row>
    <row r="38" spans="1:13" x14ac:dyDescent="0.2">
      <c r="A38" s="35">
        <v>47</v>
      </c>
      <c r="B38" s="100">
        <v>1860</v>
      </c>
      <c r="C38" s="102" t="s">
        <v>251</v>
      </c>
      <c r="D38" s="1470">
        <v>703415.73</v>
      </c>
      <c r="E38" s="1470">
        <v>14163.32</v>
      </c>
      <c r="F38" s="1470">
        <v>-336.54</v>
      </c>
      <c r="G38" s="96">
        <f t="shared" si="0"/>
        <v>717242.50999999989</v>
      </c>
      <c r="H38" s="97"/>
      <c r="I38" s="1470">
        <v>489311.83</v>
      </c>
      <c r="J38" s="1470">
        <v>11111.53</v>
      </c>
      <c r="K38" s="1470">
        <v>-67.259999999999991</v>
      </c>
      <c r="L38" s="96">
        <f t="shared" si="1"/>
        <v>500356.10000000003</v>
      </c>
      <c r="M38" s="99">
        <f t="shared" si="4"/>
        <v>216886.40999999986</v>
      </c>
    </row>
    <row r="39" spans="1:13" x14ac:dyDescent="0.2">
      <c r="A39" s="35">
        <v>47</v>
      </c>
      <c r="B39" s="100">
        <v>1860</v>
      </c>
      <c r="C39" s="101" t="s">
        <v>189</v>
      </c>
      <c r="D39" s="1470">
        <v>1675762.67</v>
      </c>
      <c r="E39" s="1470">
        <v>35905.26</v>
      </c>
      <c r="F39" s="1470">
        <v>-5231.83</v>
      </c>
      <c r="G39" s="96">
        <f t="shared" si="0"/>
        <v>1706436.0999999999</v>
      </c>
      <c r="H39" s="97"/>
      <c r="I39" s="1470">
        <v>389694.05</v>
      </c>
      <c r="J39" s="1470">
        <v>113343.90999999999</v>
      </c>
      <c r="K39" s="1470">
        <v>-1393.29</v>
      </c>
      <c r="L39" s="96">
        <f t="shared" si="1"/>
        <v>501644.67</v>
      </c>
      <c r="M39" s="99">
        <f t="shared" si="4"/>
        <v>1204791.43</v>
      </c>
    </row>
    <row r="40" spans="1:13" x14ac:dyDescent="0.2">
      <c r="A40" s="35">
        <v>47</v>
      </c>
      <c r="B40" s="100">
        <v>1860</v>
      </c>
      <c r="C40" s="1476" t="s">
        <v>1399</v>
      </c>
      <c r="D40" s="1470">
        <v>55045.77</v>
      </c>
      <c r="E40" s="1470">
        <v>3359.46</v>
      </c>
      <c r="F40" s="1470">
        <v>0</v>
      </c>
      <c r="G40" s="96">
        <f t="shared" si="0"/>
        <v>58405.229999999996</v>
      </c>
      <c r="H40" s="97"/>
      <c r="I40" s="1470">
        <v>19432.09</v>
      </c>
      <c r="J40" s="1470">
        <v>2422.7600000000002</v>
      </c>
      <c r="K40" s="1470">
        <v>0</v>
      </c>
      <c r="L40" s="96">
        <f t="shared" si="1"/>
        <v>21854.85</v>
      </c>
      <c r="M40" s="99">
        <f t="shared" si="4"/>
        <v>36550.379999999997</v>
      </c>
    </row>
    <row r="41" spans="1:13" x14ac:dyDescent="0.2">
      <c r="A41" s="35">
        <v>47</v>
      </c>
      <c r="B41" s="100">
        <v>1860</v>
      </c>
      <c r="C41" s="1476" t="s">
        <v>1400</v>
      </c>
      <c r="D41" s="1470">
        <v>41913.870000000003</v>
      </c>
      <c r="E41" s="1470">
        <v>-14984.85</v>
      </c>
      <c r="F41" s="1470">
        <v>0</v>
      </c>
      <c r="G41" s="96">
        <f t="shared" si="0"/>
        <v>26929.020000000004</v>
      </c>
      <c r="H41" s="97"/>
      <c r="I41" s="1470">
        <v>6393.45</v>
      </c>
      <c r="J41" s="1470">
        <v>2272.6799999999998</v>
      </c>
      <c r="K41" s="1470">
        <v>0</v>
      </c>
      <c r="L41" s="96">
        <f t="shared" si="1"/>
        <v>8666.1299999999992</v>
      </c>
      <c r="M41" s="99">
        <f t="shared" si="4"/>
        <v>18262.890000000007</v>
      </c>
    </row>
    <row r="42" spans="1:13" x14ac:dyDescent="0.2">
      <c r="A42" s="35">
        <v>47</v>
      </c>
      <c r="B42" s="100">
        <v>1860</v>
      </c>
      <c r="C42" s="1476" t="s">
        <v>1401</v>
      </c>
      <c r="D42" s="1470">
        <v>0</v>
      </c>
      <c r="E42" s="1470">
        <v>0</v>
      </c>
      <c r="F42" s="1470">
        <v>0</v>
      </c>
      <c r="G42" s="96">
        <f t="shared" si="0"/>
        <v>0</v>
      </c>
      <c r="H42" s="97"/>
      <c r="I42" s="1470">
        <v>0</v>
      </c>
      <c r="J42" s="1470">
        <v>0</v>
      </c>
      <c r="K42" s="1470">
        <v>0</v>
      </c>
      <c r="L42" s="96">
        <f t="shared" si="1"/>
        <v>0</v>
      </c>
      <c r="M42" s="99">
        <f t="shared" si="4"/>
        <v>0</v>
      </c>
    </row>
    <row r="43" spans="1:13" x14ac:dyDescent="0.2">
      <c r="A43" s="35" t="s">
        <v>244</v>
      </c>
      <c r="B43" s="100">
        <v>1905</v>
      </c>
      <c r="C43" s="101" t="s">
        <v>245</v>
      </c>
      <c r="D43" s="1470">
        <v>49000</v>
      </c>
      <c r="E43" s="1470">
        <v>0</v>
      </c>
      <c r="F43" s="1470">
        <v>0</v>
      </c>
      <c r="G43" s="96">
        <f t="shared" si="0"/>
        <v>49000</v>
      </c>
      <c r="H43" s="97"/>
      <c r="I43" s="1470">
        <v>0</v>
      </c>
      <c r="J43" s="1470">
        <v>0</v>
      </c>
      <c r="K43" s="1470">
        <v>0</v>
      </c>
      <c r="L43" s="96">
        <f t="shared" si="1"/>
        <v>0</v>
      </c>
      <c r="M43" s="99">
        <f t="shared" si="4"/>
        <v>49000</v>
      </c>
    </row>
    <row r="44" spans="1:13" x14ac:dyDescent="0.2">
      <c r="A44" s="35">
        <v>47</v>
      </c>
      <c r="B44" s="100">
        <v>1908</v>
      </c>
      <c r="C44" s="102" t="s">
        <v>252</v>
      </c>
      <c r="D44" s="1470">
        <v>1046017.63</v>
      </c>
      <c r="E44" s="1470">
        <v>5717</v>
      </c>
      <c r="F44" s="1470">
        <v>0</v>
      </c>
      <c r="G44" s="96">
        <f t="shared" si="0"/>
        <v>1051734.6299999999</v>
      </c>
      <c r="H44" s="97"/>
      <c r="I44" s="1470">
        <v>383845.32</v>
      </c>
      <c r="J44" s="1470">
        <v>17314.009999999998</v>
      </c>
      <c r="K44" s="1470">
        <v>0</v>
      </c>
      <c r="L44" s="96">
        <f t="shared" si="1"/>
        <v>401159.33</v>
      </c>
      <c r="M44" s="99">
        <f t="shared" si="4"/>
        <v>650575.29999999981</v>
      </c>
    </row>
    <row r="45" spans="1:13" x14ac:dyDescent="0.2">
      <c r="A45" s="35">
        <v>47</v>
      </c>
      <c r="B45" s="1473">
        <v>1908</v>
      </c>
      <c r="C45" s="1474" t="s">
        <v>1402</v>
      </c>
      <c r="D45" s="1470">
        <v>8690.41</v>
      </c>
      <c r="E45" s="1470">
        <v>0</v>
      </c>
      <c r="F45" s="1470">
        <v>0</v>
      </c>
      <c r="G45" s="96">
        <f t="shared" si="0"/>
        <v>8690.41</v>
      </c>
      <c r="H45" s="97"/>
      <c r="I45" s="1470">
        <v>7405.83</v>
      </c>
      <c r="J45" s="1470">
        <v>320.93</v>
      </c>
      <c r="K45" s="1470">
        <v>0</v>
      </c>
      <c r="L45" s="96">
        <f t="shared" si="1"/>
        <v>7726.76</v>
      </c>
      <c r="M45" s="99">
        <f t="shared" si="4"/>
        <v>963.64999999999964</v>
      </c>
    </row>
    <row r="46" spans="1:13" x14ac:dyDescent="0.2">
      <c r="A46" s="35">
        <v>13</v>
      </c>
      <c r="B46" s="100">
        <v>1910</v>
      </c>
      <c r="C46" s="102" t="s">
        <v>275</v>
      </c>
      <c r="D46" s="1470">
        <v>0</v>
      </c>
      <c r="E46" s="1470">
        <v>0</v>
      </c>
      <c r="F46" s="1470">
        <v>0</v>
      </c>
      <c r="G46" s="96">
        <f t="shared" si="0"/>
        <v>0</v>
      </c>
      <c r="H46" s="97"/>
      <c r="I46" s="1470">
        <v>0</v>
      </c>
      <c r="J46" s="1470">
        <v>0</v>
      </c>
      <c r="K46" s="1470">
        <v>0</v>
      </c>
      <c r="L46" s="96">
        <f t="shared" si="1"/>
        <v>0</v>
      </c>
      <c r="M46" s="99">
        <f t="shared" si="4"/>
        <v>0</v>
      </c>
    </row>
    <row r="47" spans="1:13" x14ac:dyDescent="0.2">
      <c r="A47" s="35">
        <v>8</v>
      </c>
      <c r="B47" s="100">
        <v>1915</v>
      </c>
      <c r="C47" s="102" t="s">
        <v>190</v>
      </c>
      <c r="D47" s="1470">
        <v>216633.32</v>
      </c>
      <c r="E47" s="1470">
        <v>0</v>
      </c>
      <c r="F47" s="1470">
        <v>0</v>
      </c>
      <c r="G47" s="96">
        <f t="shared" si="0"/>
        <v>216633.32</v>
      </c>
      <c r="H47" s="97"/>
      <c r="I47" s="1470">
        <v>178037.41</v>
      </c>
      <c r="J47" s="1470">
        <v>7215.37</v>
      </c>
      <c r="K47" s="1470">
        <v>0</v>
      </c>
      <c r="L47" s="96">
        <f t="shared" si="1"/>
        <v>185252.78</v>
      </c>
      <c r="M47" s="99">
        <f t="shared" si="4"/>
        <v>31380.540000000008</v>
      </c>
    </row>
    <row r="48" spans="1:13" x14ac:dyDescent="0.2">
      <c r="A48" s="35">
        <v>8</v>
      </c>
      <c r="B48" s="100">
        <v>1915</v>
      </c>
      <c r="C48" s="102" t="s">
        <v>191</v>
      </c>
      <c r="D48" s="1470">
        <v>0</v>
      </c>
      <c r="E48" s="1470">
        <v>0</v>
      </c>
      <c r="F48" s="1470">
        <v>0</v>
      </c>
      <c r="G48" s="96">
        <f t="shared" si="0"/>
        <v>0</v>
      </c>
      <c r="H48" s="97"/>
      <c r="I48" s="1470">
        <v>0</v>
      </c>
      <c r="J48" s="1470">
        <v>0</v>
      </c>
      <c r="K48" s="1470">
        <v>0</v>
      </c>
      <c r="L48" s="96">
        <f t="shared" si="1"/>
        <v>0</v>
      </c>
      <c r="M48" s="99">
        <f t="shared" si="4"/>
        <v>0</v>
      </c>
    </row>
    <row r="49" spans="1:13" x14ac:dyDescent="0.2">
      <c r="A49" s="35">
        <v>50</v>
      </c>
      <c r="B49" s="100">
        <v>1920</v>
      </c>
      <c r="C49" s="102" t="s">
        <v>192</v>
      </c>
      <c r="D49" s="1470">
        <v>414901.97</v>
      </c>
      <c r="E49" s="1470">
        <v>6033.46</v>
      </c>
      <c r="F49" s="1470">
        <v>0</v>
      </c>
      <c r="G49" s="96">
        <f t="shared" si="0"/>
        <v>420935.43</v>
      </c>
      <c r="H49" s="97"/>
      <c r="I49" s="1470">
        <v>370020.08</v>
      </c>
      <c r="J49" s="1470">
        <v>23061.99</v>
      </c>
      <c r="K49" s="1470">
        <v>0</v>
      </c>
      <c r="L49" s="96">
        <f t="shared" si="1"/>
        <v>393082.07</v>
      </c>
      <c r="M49" s="99">
        <f t="shared" si="4"/>
        <v>27853.359999999986</v>
      </c>
    </row>
    <row r="50" spans="1:13" ht="25.5" x14ac:dyDescent="0.2">
      <c r="A50" s="35">
        <v>45</v>
      </c>
      <c r="B50" s="103">
        <v>1920</v>
      </c>
      <c r="C50" s="94" t="s">
        <v>194</v>
      </c>
      <c r="D50" s="1470">
        <v>0</v>
      </c>
      <c r="E50" s="1470">
        <v>0</v>
      </c>
      <c r="F50" s="1470">
        <v>0</v>
      </c>
      <c r="G50" s="96">
        <f t="shared" si="0"/>
        <v>0</v>
      </c>
      <c r="H50" s="97"/>
      <c r="I50" s="1470">
        <v>0</v>
      </c>
      <c r="J50" s="1470">
        <v>0</v>
      </c>
      <c r="K50" s="1470">
        <v>0</v>
      </c>
      <c r="L50" s="96">
        <f t="shared" si="1"/>
        <v>0</v>
      </c>
      <c r="M50" s="99">
        <f t="shared" si="4"/>
        <v>0</v>
      </c>
    </row>
    <row r="51" spans="1:13" ht="25.5" x14ac:dyDescent="0.2">
      <c r="A51" s="35">
        <v>45</v>
      </c>
      <c r="B51" s="103">
        <v>1920</v>
      </c>
      <c r="C51" s="94" t="s">
        <v>193</v>
      </c>
      <c r="D51" s="1470">
        <v>0</v>
      </c>
      <c r="E51" s="1470">
        <v>0</v>
      </c>
      <c r="F51" s="1470">
        <v>0</v>
      </c>
      <c r="G51" s="96">
        <f t="shared" si="0"/>
        <v>0</v>
      </c>
      <c r="H51" s="97"/>
      <c r="I51" s="1470">
        <v>0</v>
      </c>
      <c r="J51" s="1470">
        <v>0</v>
      </c>
      <c r="K51" s="1470">
        <v>0</v>
      </c>
      <c r="L51" s="96">
        <f t="shared" si="1"/>
        <v>0</v>
      </c>
      <c r="M51" s="99">
        <f t="shared" si="4"/>
        <v>0</v>
      </c>
    </row>
    <row r="52" spans="1:13" x14ac:dyDescent="0.2">
      <c r="A52" s="35">
        <v>10</v>
      </c>
      <c r="B52" s="451">
        <v>1930</v>
      </c>
      <c r="C52" s="102" t="s">
        <v>263</v>
      </c>
      <c r="D52" s="1470">
        <v>159404.95000000001</v>
      </c>
      <c r="E52" s="1470">
        <v>0</v>
      </c>
      <c r="F52" s="1470">
        <v>0</v>
      </c>
      <c r="G52" s="96">
        <f t="shared" si="0"/>
        <v>159404.95000000001</v>
      </c>
      <c r="H52" s="97"/>
      <c r="I52" s="1470">
        <v>108089.48</v>
      </c>
      <c r="J52" s="1470">
        <v>13458.62</v>
      </c>
      <c r="K52" s="1470">
        <v>0</v>
      </c>
      <c r="L52" s="96">
        <f t="shared" si="1"/>
        <v>121548.09999999999</v>
      </c>
      <c r="M52" s="99">
        <f t="shared" si="4"/>
        <v>37856.85000000002</v>
      </c>
    </row>
    <row r="53" spans="1:13" x14ac:dyDescent="0.2">
      <c r="A53" s="35">
        <v>10</v>
      </c>
      <c r="B53" s="1473">
        <v>1930</v>
      </c>
      <c r="C53" s="1474" t="s">
        <v>1403</v>
      </c>
      <c r="D53" s="1470">
        <v>940581.07</v>
      </c>
      <c r="E53" s="1470">
        <v>0</v>
      </c>
      <c r="F53" s="1470">
        <v>0</v>
      </c>
      <c r="G53" s="96">
        <f t="shared" si="0"/>
        <v>940581.07</v>
      </c>
      <c r="H53" s="97"/>
      <c r="I53" s="1470">
        <v>396726.28</v>
      </c>
      <c r="J53" s="1470">
        <v>79258.02</v>
      </c>
      <c r="K53" s="1470">
        <v>0</v>
      </c>
      <c r="L53" s="96">
        <f t="shared" si="1"/>
        <v>475984.30000000005</v>
      </c>
      <c r="M53" s="99">
        <f t="shared" si="4"/>
        <v>464596.7699999999</v>
      </c>
    </row>
    <row r="54" spans="1:13" x14ac:dyDescent="0.2">
      <c r="A54" s="35">
        <v>10</v>
      </c>
      <c r="B54" s="1473">
        <v>1930</v>
      </c>
      <c r="C54" s="1474" t="s">
        <v>1404</v>
      </c>
      <c r="D54" s="1470">
        <v>38458.050000000003</v>
      </c>
      <c r="E54" s="1470">
        <v>0</v>
      </c>
      <c r="F54" s="1470">
        <v>0</v>
      </c>
      <c r="G54" s="96">
        <f t="shared" si="0"/>
        <v>38458.050000000003</v>
      </c>
      <c r="H54" s="97"/>
      <c r="I54" s="1470">
        <v>38458.050000000003</v>
      </c>
      <c r="J54" s="1470">
        <v>0</v>
      </c>
      <c r="K54" s="1470">
        <v>0</v>
      </c>
      <c r="L54" s="96">
        <f t="shared" si="1"/>
        <v>38458.050000000003</v>
      </c>
      <c r="M54" s="99">
        <f t="shared" si="4"/>
        <v>0</v>
      </c>
    </row>
    <row r="55" spans="1:13" x14ac:dyDescent="0.2">
      <c r="A55" s="35">
        <v>8</v>
      </c>
      <c r="B55" s="451">
        <v>1935</v>
      </c>
      <c r="C55" s="102" t="s">
        <v>264</v>
      </c>
      <c r="D55" s="1470">
        <v>24683.61</v>
      </c>
      <c r="E55" s="1470">
        <v>0</v>
      </c>
      <c r="F55" s="1470">
        <v>0</v>
      </c>
      <c r="G55" s="96">
        <f t="shared" si="0"/>
        <v>24683.61</v>
      </c>
      <c r="H55" s="97"/>
      <c r="I55" s="1470">
        <v>19419.060000000001</v>
      </c>
      <c r="J55" s="1470">
        <v>1044.9000000000001</v>
      </c>
      <c r="K55" s="1470">
        <v>0</v>
      </c>
      <c r="L55" s="96">
        <f t="shared" si="1"/>
        <v>20463.960000000003</v>
      </c>
      <c r="M55" s="99">
        <f t="shared" si="4"/>
        <v>4219.6499999999978</v>
      </c>
    </row>
    <row r="56" spans="1:13" x14ac:dyDescent="0.2">
      <c r="A56" s="35">
        <v>8</v>
      </c>
      <c r="B56" s="451">
        <v>1940</v>
      </c>
      <c r="C56" s="102" t="s">
        <v>265</v>
      </c>
      <c r="D56" s="1470">
        <v>471100.56</v>
      </c>
      <c r="E56" s="1470">
        <v>512</v>
      </c>
      <c r="F56" s="1470">
        <v>0</v>
      </c>
      <c r="G56" s="96">
        <f t="shared" si="0"/>
        <v>471612.56</v>
      </c>
      <c r="H56" s="97"/>
      <c r="I56" s="1470">
        <v>424801.54</v>
      </c>
      <c r="J56" s="1470">
        <v>15575.2</v>
      </c>
      <c r="K56" s="1470">
        <v>0</v>
      </c>
      <c r="L56" s="96">
        <f t="shared" si="1"/>
        <v>440376.74</v>
      </c>
      <c r="M56" s="99">
        <f t="shared" si="4"/>
        <v>31235.820000000007</v>
      </c>
    </row>
    <row r="57" spans="1:13" x14ac:dyDescent="0.2">
      <c r="A57" s="35">
        <v>8</v>
      </c>
      <c r="B57" s="451">
        <v>1945</v>
      </c>
      <c r="C57" s="102" t="s">
        <v>266</v>
      </c>
      <c r="D57" s="1470">
        <v>0</v>
      </c>
      <c r="E57" s="1470">
        <v>0</v>
      </c>
      <c r="F57" s="1470">
        <v>0</v>
      </c>
      <c r="G57" s="96">
        <f t="shared" si="0"/>
        <v>0</v>
      </c>
      <c r="H57" s="97"/>
      <c r="I57" s="1470">
        <v>0</v>
      </c>
      <c r="J57" s="1470">
        <v>0</v>
      </c>
      <c r="K57" s="1470">
        <v>0</v>
      </c>
      <c r="L57" s="96">
        <f t="shared" si="1"/>
        <v>0</v>
      </c>
      <c r="M57" s="99">
        <f t="shared" si="4"/>
        <v>0</v>
      </c>
    </row>
    <row r="58" spans="1:13" x14ac:dyDescent="0.2">
      <c r="A58" s="35">
        <v>8</v>
      </c>
      <c r="B58" s="451">
        <v>1950</v>
      </c>
      <c r="C58" s="102" t="s">
        <v>195</v>
      </c>
      <c r="D58" s="1470">
        <v>0</v>
      </c>
      <c r="E58" s="1470">
        <v>0</v>
      </c>
      <c r="F58" s="1470">
        <v>0</v>
      </c>
      <c r="G58" s="96">
        <f t="shared" si="0"/>
        <v>0</v>
      </c>
      <c r="H58" s="97"/>
      <c r="I58" s="1470">
        <v>0</v>
      </c>
      <c r="J58" s="1470">
        <v>0</v>
      </c>
      <c r="K58" s="1470">
        <v>0</v>
      </c>
      <c r="L58" s="96">
        <f t="shared" si="1"/>
        <v>0</v>
      </c>
      <c r="M58" s="99">
        <f t="shared" si="4"/>
        <v>0</v>
      </c>
    </row>
    <row r="59" spans="1:13" x14ac:dyDescent="0.2">
      <c r="A59" s="35">
        <v>8</v>
      </c>
      <c r="B59" s="451">
        <v>1955</v>
      </c>
      <c r="C59" s="102" t="s">
        <v>267</v>
      </c>
      <c r="D59" s="1470">
        <v>54383.11</v>
      </c>
      <c r="E59" s="1470">
        <v>0</v>
      </c>
      <c r="F59" s="1470">
        <v>0</v>
      </c>
      <c r="G59" s="96">
        <f t="shared" si="0"/>
        <v>54383.11</v>
      </c>
      <c r="H59" s="97"/>
      <c r="I59" s="1470">
        <v>42440.22</v>
      </c>
      <c r="J59" s="1470">
        <v>3994.87</v>
      </c>
      <c r="K59" s="1470">
        <v>0</v>
      </c>
      <c r="L59" s="96">
        <f t="shared" si="1"/>
        <v>46435.090000000004</v>
      </c>
      <c r="M59" s="99">
        <f t="shared" si="4"/>
        <v>7948.0199999999968</v>
      </c>
    </row>
    <row r="60" spans="1:13" x14ac:dyDescent="0.2">
      <c r="A60" s="35">
        <v>8</v>
      </c>
      <c r="B60" s="103">
        <v>1955</v>
      </c>
      <c r="C60" s="104" t="s">
        <v>196</v>
      </c>
      <c r="D60" s="1470">
        <v>0</v>
      </c>
      <c r="E60" s="1470">
        <v>0</v>
      </c>
      <c r="F60" s="1470">
        <v>0</v>
      </c>
      <c r="G60" s="96">
        <f t="shared" si="0"/>
        <v>0</v>
      </c>
      <c r="H60" s="97"/>
      <c r="I60" s="1470">
        <v>0</v>
      </c>
      <c r="J60" s="1470">
        <v>0</v>
      </c>
      <c r="K60" s="1470">
        <v>0</v>
      </c>
      <c r="L60" s="96">
        <f t="shared" si="1"/>
        <v>0</v>
      </c>
      <c r="M60" s="99">
        <f t="shared" si="4"/>
        <v>0</v>
      </c>
    </row>
    <row r="61" spans="1:13" x14ac:dyDescent="0.2">
      <c r="A61" s="35">
        <v>8</v>
      </c>
      <c r="B61" s="105">
        <v>1960</v>
      </c>
      <c r="C61" s="94" t="s">
        <v>197</v>
      </c>
      <c r="D61" s="1470">
        <v>0</v>
      </c>
      <c r="E61" s="1470">
        <v>0</v>
      </c>
      <c r="F61" s="1470">
        <v>0</v>
      </c>
      <c r="G61" s="96">
        <f t="shared" si="0"/>
        <v>0</v>
      </c>
      <c r="H61" s="97"/>
      <c r="I61" s="1470">
        <v>0</v>
      </c>
      <c r="J61" s="1470">
        <v>0</v>
      </c>
      <c r="K61" s="1470">
        <v>0</v>
      </c>
      <c r="L61" s="96">
        <f t="shared" si="1"/>
        <v>0</v>
      </c>
      <c r="M61" s="99">
        <f t="shared" si="4"/>
        <v>0</v>
      </c>
    </row>
    <row r="62" spans="1:13" ht="25.5" x14ac:dyDescent="0.2">
      <c r="A62" s="35">
        <v>47</v>
      </c>
      <c r="B62" s="105">
        <v>1970</v>
      </c>
      <c r="C62" s="102" t="s">
        <v>448</v>
      </c>
      <c r="D62" s="1470">
        <v>0</v>
      </c>
      <c r="E62" s="1470">
        <v>0</v>
      </c>
      <c r="F62" s="1470">
        <v>0</v>
      </c>
      <c r="G62" s="96">
        <f t="shared" si="0"/>
        <v>0</v>
      </c>
      <c r="H62" s="97"/>
      <c r="I62" s="1470">
        <v>0</v>
      </c>
      <c r="J62" s="1470">
        <v>0</v>
      </c>
      <c r="K62" s="1470">
        <v>0</v>
      </c>
      <c r="L62" s="96">
        <f t="shared" si="1"/>
        <v>0</v>
      </c>
      <c r="M62" s="99">
        <f t="shared" si="4"/>
        <v>0</v>
      </c>
    </row>
    <row r="63" spans="1:13" ht="25.5" x14ac:dyDescent="0.2">
      <c r="A63" s="35">
        <v>47</v>
      </c>
      <c r="B63" s="451">
        <v>1975</v>
      </c>
      <c r="C63" s="102" t="s">
        <v>268</v>
      </c>
      <c r="D63" s="1470">
        <v>0</v>
      </c>
      <c r="E63" s="1470">
        <v>0</v>
      </c>
      <c r="F63" s="1470">
        <v>0</v>
      </c>
      <c r="G63" s="96">
        <f t="shared" si="0"/>
        <v>0</v>
      </c>
      <c r="H63" s="97"/>
      <c r="I63" s="1470">
        <v>0</v>
      </c>
      <c r="J63" s="1470">
        <v>0</v>
      </c>
      <c r="K63" s="1470">
        <v>0</v>
      </c>
      <c r="L63" s="96">
        <f t="shared" si="1"/>
        <v>0</v>
      </c>
      <c r="M63" s="99">
        <f t="shared" si="4"/>
        <v>0</v>
      </c>
    </row>
    <row r="64" spans="1:13" x14ac:dyDescent="0.2">
      <c r="A64" s="35">
        <v>47</v>
      </c>
      <c r="B64" s="451">
        <v>1980</v>
      </c>
      <c r="C64" s="102" t="s">
        <v>269</v>
      </c>
      <c r="D64" s="1470">
        <v>563919.71</v>
      </c>
      <c r="E64" s="1470">
        <v>0</v>
      </c>
      <c r="F64" s="1470">
        <v>0</v>
      </c>
      <c r="G64" s="96">
        <f t="shared" si="0"/>
        <v>563919.71</v>
      </c>
      <c r="H64" s="97"/>
      <c r="I64" s="1470">
        <v>285074.65999999997</v>
      </c>
      <c r="J64" s="1470">
        <v>50094.06</v>
      </c>
      <c r="K64" s="1470">
        <v>0</v>
      </c>
      <c r="L64" s="96">
        <f t="shared" si="1"/>
        <v>335168.71999999997</v>
      </c>
      <c r="M64" s="99">
        <f t="shared" si="4"/>
        <v>228750.99</v>
      </c>
    </row>
    <row r="65" spans="1:13" x14ac:dyDescent="0.2">
      <c r="A65" s="35">
        <v>47</v>
      </c>
      <c r="B65" s="451">
        <v>1985</v>
      </c>
      <c r="C65" s="102" t="s">
        <v>270</v>
      </c>
      <c r="D65" s="1470">
        <v>0</v>
      </c>
      <c r="E65" s="1470">
        <v>0</v>
      </c>
      <c r="F65" s="1470">
        <v>0</v>
      </c>
      <c r="G65" s="96">
        <f t="shared" si="0"/>
        <v>0</v>
      </c>
      <c r="H65" s="97"/>
      <c r="I65" s="1470">
        <v>0</v>
      </c>
      <c r="J65" s="1470">
        <v>0</v>
      </c>
      <c r="K65" s="1470">
        <v>0</v>
      </c>
      <c r="L65" s="96">
        <f t="shared" si="1"/>
        <v>0</v>
      </c>
      <c r="M65" s="99">
        <f t="shared" si="4"/>
        <v>0</v>
      </c>
    </row>
    <row r="66" spans="1:13" x14ac:dyDescent="0.2">
      <c r="A66" s="35">
        <v>47</v>
      </c>
      <c r="B66" s="451">
        <v>1990</v>
      </c>
      <c r="C66" s="452" t="s">
        <v>449</v>
      </c>
      <c r="D66" s="1470">
        <v>0</v>
      </c>
      <c r="E66" s="1470">
        <v>0</v>
      </c>
      <c r="F66" s="1470">
        <v>0</v>
      </c>
      <c r="G66" s="96">
        <f t="shared" si="0"/>
        <v>0</v>
      </c>
      <c r="H66" s="97"/>
      <c r="I66" s="1470">
        <v>0</v>
      </c>
      <c r="J66" s="1470">
        <v>0</v>
      </c>
      <c r="K66" s="1470">
        <v>0</v>
      </c>
      <c r="L66" s="96">
        <f t="shared" si="1"/>
        <v>0</v>
      </c>
      <c r="M66" s="99">
        <f t="shared" si="4"/>
        <v>0</v>
      </c>
    </row>
    <row r="67" spans="1:13" x14ac:dyDescent="0.2">
      <c r="A67" s="35">
        <v>47</v>
      </c>
      <c r="B67" s="1473">
        <v>1995</v>
      </c>
      <c r="C67" s="1474" t="s">
        <v>1405</v>
      </c>
      <c r="D67" s="1470">
        <v>-238366.01</v>
      </c>
      <c r="E67" s="1470">
        <v>0</v>
      </c>
      <c r="F67" s="1470">
        <v>0</v>
      </c>
      <c r="G67" s="96">
        <f t="shared" si="0"/>
        <v>-238366.01</v>
      </c>
      <c r="H67" s="97"/>
      <c r="I67" s="1470">
        <v>-66590.910000000033</v>
      </c>
      <c r="J67" s="1470">
        <v>-4547.630000000001</v>
      </c>
      <c r="K67" s="1470">
        <v>0</v>
      </c>
      <c r="L67" s="96">
        <f t="shared" si="1"/>
        <v>-71138.540000000037</v>
      </c>
      <c r="M67" s="99">
        <f t="shared" si="4"/>
        <v>-167227.46999999997</v>
      </c>
    </row>
    <row r="68" spans="1:13" x14ac:dyDescent="0.2">
      <c r="A68" s="35">
        <v>47</v>
      </c>
      <c r="B68" s="1473">
        <v>1995</v>
      </c>
      <c r="C68" s="1474" t="s">
        <v>1406</v>
      </c>
      <c r="D68" s="1470">
        <v>-235221.35</v>
      </c>
      <c r="E68" s="1470">
        <v>0</v>
      </c>
      <c r="F68" s="1470">
        <v>0</v>
      </c>
      <c r="G68" s="96">
        <f t="shared" si="0"/>
        <v>-235221.35</v>
      </c>
      <c r="H68" s="97"/>
      <c r="I68" s="1470">
        <v>-74212.5</v>
      </c>
      <c r="J68" s="1470">
        <v>-3107.25</v>
      </c>
      <c r="K68" s="1470">
        <v>0</v>
      </c>
      <c r="L68" s="96">
        <f t="shared" si="1"/>
        <v>-77319.75</v>
      </c>
      <c r="M68" s="99">
        <f t="shared" si="4"/>
        <v>-157901.6</v>
      </c>
    </row>
    <row r="69" spans="1:13" x14ac:dyDescent="0.2">
      <c r="A69" s="35">
        <v>47</v>
      </c>
      <c r="B69" s="1473">
        <v>1995</v>
      </c>
      <c r="C69" s="1474" t="s">
        <v>1407</v>
      </c>
      <c r="D69" s="1470">
        <v>-146562.29999999999</v>
      </c>
      <c r="E69" s="1470">
        <v>0</v>
      </c>
      <c r="F69" s="1470">
        <v>0</v>
      </c>
      <c r="G69" s="96">
        <f t="shared" si="0"/>
        <v>-146562.29999999999</v>
      </c>
      <c r="H69" s="97"/>
      <c r="I69" s="1470">
        <v>-50831.19</v>
      </c>
      <c r="J69" s="1470">
        <v>-1877.9600000000005</v>
      </c>
      <c r="K69" s="1470">
        <v>0</v>
      </c>
      <c r="L69" s="96">
        <f t="shared" si="1"/>
        <v>-52709.15</v>
      </c>
      <c r="M69" s="99">
        <f t="shared" si="4"/>
        <v>-93853.15</v>
      </c>
    </row>
    <row r="70" spans="1:13" x14ac:dyDescent="0.2">
      <c r="A70" s="35">
        <v>47</v>
      </c>
      <c r="B70" s="1473">
        <v>1995</v>
      </c>
      <c r="C70" s="1474" t="s">
        <v>1408</v>
      </c>
      <c r="D70" s="1470">
        <v>-879221.65999999968</v>
      </c>
      <c r="E70" s="1470">
        <v>0</v>
      </c>
      <c r="F70" s="1470">
        <v>0</v>
      </c>
      <c r="G70" s="96">
        <f t="shared" si="0"/>
        <v>-879221.65999999968</v>
      </c>
      <c r="H70" s="97"/>
      <c r="I70" s="1470">
        <v>-214227.66</v>
      </c>
      <c r="J70" s="1470">
        <v>-11008.100000000002</v>
      </c>
      <c r="K70" s="1470">
        <v>0</v>
      </c>
      <c r="L70" s="96">
        <f t="shared" si="1"/>
        <v>-225235.76</v>
      </c>
      <c r="M70" s="99">
        <f t="shared" si="4"/>
        <v>-653985.89999999967</v>
      </c>
    </row>
    <row r="71" spans="1:13" x14ac:dyDescent="0.2">
      <c r="A71" s="35">
        <v>47</v>
      </c>
      <c r="B71" s="1473">
        <v>1995</v>
      </c>
      <c r="C71" s="1474" t="s">
        <v>1409</v>
      </c>
      <c r="D71" s="1470">
        <v>-1788777.8800000001</v>
      </c>
      <c r="E71" s="1470">
        <v>0</v>
      </c>
      <c r="F71" s="1470">
        <v>0</v>
      </c>
      <c r="G71" s="96">
        <f t="shared" si="0"/>
        <v>-1788777.8800000001</v>
      </c>
      <c r="H71" s="97"/>
      <c r="I71" s="1470">
        <v>-585326.55999999994</v>
      </c>
      <c r="J71" s="1470">
        <v>-32349.340000000007</v>
      </c>
      <c r="K71" s="1470">
        <v>0</v>
      </c>
      <c r="L71" s="96">
        <f t="shared" si="1"/>
        <v>-617675.89999999991</v>
      </c>
      <c r="M71" s="99">
        <f t="shared" si="4"/>
        <v>-1171101.9800000002</v>
      </c>
    </row>
    <row r="72" spans="1:13" x14ac:dyDescent="0.2">
      <c r="A72" s="35">
        <v>47</v>
      </c>
      <c r="B72" s="1473">
        <v>1995</v>
      </c>
      <c r="C72" s="1474" t="s">
        <v>1410</v>
      </c>
      <c r="D72" s="1470">
        <v>-1606652.53</v>
      </c>
      <c r="E72" s="1470">
        <v>0</v>
      </c>
      <c r="F72" s="1470">
        <v>0</v>
      </c>
      <c r="G72" s="96">
        <f t="shared" si="0"/>
        <v>-1606652.53</v>
      </c>
      <c r="H72" s="97"/>
      <c r="I72" s="1470">
        <v>-432278.14</v>
      </c>
      <c r="J72" s="1470">
        <v>-30624.620000000003</v>
      </c>
      <c r="K72" s="1470">
        <v>0</v>
      </c>
      <c r="L72" s="96">
        <f t="shared" si="1"/>
        <v>-462902.76</v>
      </c>
      <c r="M72" s="99">
        <f t="shared" si="4"/>
        <v>-1143749.77</v>
      </c>
    </row>
    <row r="73" spans="1:13" x14ac:dyDescent="0.2">
      <c r="A73" s="35">
        <v>47</v>
      </c>
      <c r="B73" s="1473">
        <v>1995</v>
      </c>
      <c r="C73" s="1474" t="s">
        <v>1411</v>
      </c>
      <c r="D73" s="1470">
        <v>-2283741.11</v>
      </c>
      <c r="E73" s="1470">
        <v>0</v>
      </c>
      <c r="F73" s="1470">
        <v>0</v>
      </c>
      <c r="G73" s="96">
        <f t="shared" si="0"/>
        <v>-2283741.11</v>
      </c>
      <c r="H73" s="97"/>
      <c r="I73" s="1470">
        <v>-672060.19</v>
      </c>
      <c r="J73" s="1470">
        <v>-42591.67</v>
      </c>
      <c r="K73" s="1470">
        <v>0</v>
      </c>
      <c r="L73" s="96">
        <f t="shared" si="1"/>
        <v>-714651.86</v>
      </c>
      <c r="M73" s="99">
        <f t="shared" si="4"/>
        <v>-1569089.25</v>
      </c>
    </row>
    <row r="74" spans="1:13" x14ac:dyDescent="0.2">
      <c r="A74" s="35">
        <v>47</v>
      </c>
      <c r="B74" s="1473">
        <v>1995</v>
      </c>
      <c r="C74" s="1474" t="s">
        <v>1412</v>
      </c>
      <c r="D74" s="1470">
        <v>-7343.73</v>
      </c>
      <c r="E74" s="1470">
        <v>0</v>
      </c>
      <c r="F74" s="1470">
        <v>0</v>
      </c>
      <c r="G74" s="96">
        <f t="shared" si="0"/>
        <v>-7343.73</v>
      </c>
      <c r="H74" s="97"/>
      <c r="I74" s="1470">
        <v>-3318.16</v>
      </c>
      <c r="J74" s="1470">
        <v>-293.71000000000004</v>
      </c>
      <c r="K74" s="1470">
        <v>0</v>
      </c>
      <c r="L74" s="96">
        <f t="shared" si="1"/>
        <v>-3611.87</v>
      </c>
      <c r="M74" s="99">
        <f t="shared" si="4"/>
        <v>-3731.8599999999997</v>
      </c>
    </row>
    <row r="75" spans="1:13" x14ac:dyDescent="0.2">
      <c r="A75" s="35">
        <v>47</v>
      </c>
      <c r="B75" s="1473">
        <v>1995</v>
      </c>
      <c r="C75" s="1474" t="s">
        <v>1413</v>
      </c>
      <c r="D75" s="1470">
        <v>-13000</v>
      </c>
      <c r="E75" s="1470">
        <v>0</v>
      </c>
      <c r="F75" s="1470">
        <v>0</v>
      </c>
      <c r="G75" s="96">
        <f t="shared" si="0"/>
        <v>-13000</v>
      </c>
      <c r="H75" s="97"/>
      <c r="I75" s="1470">
        <v>-3567.91</v>
      </c>
      <c r="J75" s="1470">
        <v>-221.74</v>
      </c>
      <c r="K75" s="1470">
        <v>0</v>
      </c>
      <c r="L75" s="96">
        <f t="shared" si="1"/>
        <v>-3789.6499999999996</v>
      </c>
      <c r="M75" s="99">
        <f t="shared" si="4"/>
        <v>-9210.35</v>
      </c>
    </row>
    <row r="76" spans="1:13" x14ac:dyDescent="0.2">
      <c r="A76" s="35">
        <v>47</v>
      </c>
      <c r="B76" s="1473">
        <v>1995</v>
      </c>
      <c r="C76" s="1474" t="s">
        <v>1414</v>
      </c>
      <c r="D76" s="1470">
        <v>-9721.93</v>
      </c>
      <c r="E76" s="1470">
        <v>0</v>
      </c>
      <c r="F76" s="1470">
        <v>0</v>
      </c>
      <c r="G76" s="96">
        <f t="shared" si="0"/>
        <v>-9721.93</v>
      </c>
      <c r="H76" s="97"/>
      <c r="I76" s="1470">
        <v>-9739.0300000000007</v>
      </c>
      <c r="J76" s="1470">
        <v>17.100000000000001</v>
      </c>
      <c r="K76" s="1470">
        <v>0</v>
      </c>
      <c r="L76" s="96">
        <f t="shared" si="1"/>
        <v>-9721.93</v>
      </c>
      <c r="M76" s="99">
        <f t="shared" si="4"/>
        <v>0</v>
      </c>
    </row>
    <row r="77" spans="1:13" x14ac:dyDescent="0.2">
      <c r="A77" s="35">
        <v>47</v>
      </c>
      <c r="B77" s="1473">
        <v>2440</v>
      </c>
      <c r="C77" s="1474" t="s">
        <v>1415</v>
      </c>
      <c r="D77" s="1470">
        <v>0</v>
      </c>
      <c r="E77" s="1470">
        <v>9252.48</v>
      </c>
      <c r="F77" s="1470">
        <v>0</v>
      </c>
      <c r="G77" s="96">
        <f t="shared" si="0"/>
        <v>9252.48</v>
      </c>
      <c r="I77" s="1470">
        <v>0</v>
      </c>
      <c r="J77" s="1470">
        <v>102.81</v>
      </c>
      <c r="K77" s="1470">
        <v>0</v>
      </c>
      <c r="L77" s="96">
        <f t="shared" si="1"/>
        <v>102.81</v>
      </c>
      <c r="M77" s="99">
        <f t="shared" si="4"/>
        <v>9149.67</v>
      </c>
    </row>
    <row r="78" spans="1:13" ht="25.5" x14ac:dyDescent="0.2">
      <c r="A78" s="35">
        <v>47</v>
      </c>
      <c r="B78" s="1473">
        <v>2440</v>
      </c>
      <c r="C78" s="1474" t="s">
        <v>1416</v>
      </c>
      <c r="D78" s="1470">
        <v>0</v>
      </c>
      <c r="E78" s="1470">
        <v>167.62</v>
      </c>
      <c r="F78" s="1470">
        <v>0</v>
      </c>
      <c r="G78" s="96">
        <f t="shared" si="0"/>
        <v>167.62</v>
      </c>
      <c r="H78" s="97"/>
      <c r="I78" s="1470">
        <v>0</v>
      </c>
      <c r="J78" s="1470">
        <v>1.4</v>
      </c>
      <c r="K78" s="1470">
        <v>0</v>
      </c>
      <c r="L78" s="96">
        <f t="shared" si="1"/>
        <v>1.4</v>
      </c>
      <c r="M78" s="99">
        <f t="shared" si="4"/>
        <v>166.22</v>
      </c>
    </row>
    <row r="79" spans="1:13" ht="25.5" x14ac:dyDescent="0.2">
      <c r="A79" s="35">
        <v>47</v>
      </c>
      <c r="B79" s="1473">
        <v>2440</v>
      </c>
      <c r="C79" s="1474" t="s">
        <v>1417</v>
      </c>
      <c r="D79" s="1470">
        <v>0</v>
      </c>
      <c r="E79" s="1470">
        <v>-15377.18</v>
      </c>
      <c r="F79" s="1470">
        <v>0</v>
      </c>
      <c r="G79" s="96">
        <f t="shared" si="0"/>
        <v>-15377.18</v>
      </c>
      <c r="H79" s="97"/>
      <c r="I79" s="1470">
        <v>0</v>
      </c>
      <c r="J79" s="1470">
        <v>-128.13999999999999</v>
      </c>
      <c r="K79" s="1470">
        <v>0</v>
      </c>
      <c r="L79" s="96">
        <f t="shared" si="1"/>
        <v>-128.13999999999999</v>
      </c>
      <c r="M79" s="99">
        <f t="shared" si="4"/>
        <v>-15249.04</v>
      </c>
    </row>
    <row r="80" spans="1:13" ht="25.5" x14ac:dyDescent="0.2">
      <c r="A80" s="35">
        <v>47</v>
      </c>
      <c r="B80" s="1473">
        <v>2440</v>
      </c>
      <c r="C80" s="1474" t="s">
        <v>1418</v>
      </c>
      <c r="D80" s="1470">
        <v>0</v>
      </c>
      <c r="E80" s="1470">
        <v>-219666.69</v>
      </c>
      <c r="F80" s="1470">
        <v>0</v>
      </c>
      <c r="G80" s="96">
        <f t="shared" ref="G80:G89" si="5">D80+E80+F80</f>
        <v>-219666.69</v>
      </c>
      <c r="H80" s="97"/>
      <c r="I80" s="1470">
        <v>0</v>
      </c>
      <c r="J80" s="1470">
        <v>-1689.74</v>
      </c>
      <c r="K80" s="1470">
        <v>0</v>
      </c>
      <c r="L80" s="96">
        <f t="shared" ref="L80:L89" si="6">I80+J80+K80</f>
        <v>-1689.74</v>
      </c>
      <c r="M80" s="99">
        <f t="shared" si="4"/>
        <v>-217976.95</v>
      </c>
    </row>
    <row r="81" spans="1:13" ht="25.5" x14ac:dyDescent="0.2">
      <c r="A81" s="35">
        <v>47</v>
      </c>
      <c r="B81" s="1473">
        <v>2440</v>
      </c>
      <c r="C81" s="1474" t="s">
        <v>1419</v>
      </c>
      <c r="D81" s="1470">
        <v>0</v>
      </c>
      <c r="E81" s="1470">
        <v>-212022.33</v>
      </c>
      <c r="F81" s="1470">
        <v>0</v>
      </c>
      <c r="G81" s="96">
        <f t="shared" si="5"/>
        <v>-212022.33</v>
      </c>
      <c r="H81" s="97"/>
      <c r="I81" s="1470">
        <v>0</v>
      </c>
      <c r="J81" s="1470">
        <v>-2355.8000000000002</v>
      </c>
      <c r="K81" s="1470">
        <v>0</v>
      </c>
      <c r="L81" s="96">
        <f t="shared" si="6"/>
        <v>-2355.8000000000002</v>
      </c>
      <c r="M81" s="99">
        <f t="shared" ref="M81:M89" si="7">G81-L81</f>
        <v>-209666.53</v>
      </c>
    </row>
    <row r="82" spans="1:13" ht="25.5" x14ac:dyDescent="0.2">
      <c r="A82" s="35">
        <v>47</v>
      </c>
      <c r="B82" s="1473">
        <v>2440</v>
      </c>
      <c r="C82" s="1474" t="s">
        <v>1420</v>
      </c>
      <c r="D82" s="1470">
        <v>0</v>
      </c>
      <c r="E82" s="1470">
        <v>-207443.45</v>
      </c>
      <c r="F82" s="1470">
        <v>0</v>
      </c>
      <c r="G82" s="96">
        <f t="shared" si="5"/>
        <v>-207443.45</v>
      </c>
      <c r="H82" s="97"/>
      <c r="I82" s="1470">
        <v>0</v>
      </c>
      <c r="J82" s="1470">
        <v>-2304.9299999999998</v>
      </c>
      <c r="K82" s="1470">
        <v>0</v>
      </c>
      <c r="L82" s="96">
        <f t="shared" si="6"/>
        <v>-2304.9299999999998</v>
      </c>
      <c r="M82" s="99">
        <f t="shared" si="7"/>
        <v>-205138.52000000002</v>
      </c>
    </row>
    <row r="83" spans="1:13" ht="25.5" x14ac:dyDescent="0.2">
      <c r="A83" s="35">
        <v>47</v>
      </c>
      <c r="B83" s="1473">
        <v>2440</v>
      </c>
      <c r="C83" s="1474" t="s">
        <v>1421</v>
      </c>
      <c r="D83" s="1470">
        <v>0</v>
      </c>
      <c r="E83" s="1470">
        <v>-63054.84</v>
      </c>
      <c r="F83" s="1470">
        <v>0</v>
      </c>
      <c r="G83" s="96">
        <f t="shared" si="5"/>
        <v>-63054.84</v>
      </c>
      <c r="H83" s="97"/>
      <c r="I83" s="1470">
        <v>0</v>
      </c>
      <c r="J83" s="1470">
        <v>-700.61</v>
      </c>
      <c r="K83" s="1470">
        <v>0</v>
      </c>
      <c r="L83" s="96">
        <f t="shared" si="6"/>
        <v>-700.61</v>
      </c>
      <c r="M83" s="99">
        <f t="shared" si="7"/>
        <v>-62354.229999999996</v>
      </c>
    </row>
    <row r="84" spans="1:13" x14ac:dyDescent="0.2">
      <c r="A84" s="35">
        <v>47</v>
      </c>
      <c r="B84" s="1473">
        <v>2440</v>
      </c>
      <c r="C84" s="1474" t="s">
        <v>1422</v>
      </c>
      <c r="D84" s="1470">
        <v>0</v>
      </c>
      <c r="E84" s="1470">
        <v>-319.83</v>
      </c>
      <c r="F84" s="1470">
        <v>0</v>
      </c>
      <c r="G84" s="96">
        <f t="shared" si="5"/>
        <v>-319.83</v>
      </c>
      <c r="H84" s="97"/>
      <c r="I84" s="1470">
        <v>0</v>
      </c>
      <c r="J84" s="1470">
        <v>-6.39</v>
      </c>
      <c r="K84" s="1470">
        <v>0</v>
      </c>
      <c r="L84" s="96">
        <f t="shared" si="6"/>
        <v>-6.39</v>
      </c>
      <c r="M84" s="99">
        <f t="shared" si="7"/>
        <v>-313.44</v>
      </c>
    </row>
    <row r="85" spans="1:13" x14ac:dyDescent="0.2">
      <c r="A85" s="35">
        <v>47</v>
      </c>
      <c r="B85" s="1473">
        <v>2440</v>
      </c>
      <c r="C85" s="1474" t="s">
        <v>1423</v>
      </c>
      <c r="D85" s="1470">
        <v>0</v>
      </c>
      <c r="E85" s="1470">
        <v>0</v>
      </c>
      <c r="F85" s="1470">
        <v>0</v>
      </c>
      <c r="G85" s="96">
        <f t="shared" si="5"/>
        <v>0</v>
      </c>
      <c r="H85" s="97"/>
      <c r="I85" s="1470">
        <v>0</v>
      </c>
      <c r="J85" s="1470">
        <v>0</v>
      </c>
      <c r="K85" s="1470">
        <v>0</v>
      </c>
      <c r="L85" s="96">
        <f t="shared" si="6"/>
        <v>0</v>
      </c>
      <c r="M85" s="99">
        <f t="shared" si="7"/>
        <v>0</v>
      </c>
    </row>
    <row r="86" spans="1:13" ht="25.5" x14ac:dyDescent="0.2">
      <c r="A86" s="35">
        <v>47</v>
      </c>
      <c r="B86" s="1473">
        <v>2440</v>
      </c>
      <c r="C86" s="1474" t="s">
        <v>1424</v>
      </c>
      <c r="D86" s="1470">
        <v>0</v>
      </c>
      <c r="E86" s="1470">
        <v>0</v>
      </c>
      <c r="F86" s="1470">
        <v>0</v>
      </c>
      <c r="G86" s="96">
        <f t="shared" si="5"/>
        <v>0</v>
      </c>
      <c r="H86" s="97"/>
      <c r="I86" s="1470">
        <v>0</v>
      </c>
      <c r="J86" s="1470">
        <v>0</v>
      </c>
      <c r="K86" s="1470">
        <v>0</v>
      </c>
      <c r="L86" s="96">
        <f t="shared" si="6"/>
        <v>0</v>
      </c>
      <c r="M86" s="99">
        <f t="shared" si="7"/>
        <v>0</v>
      </c>
    </row>
    <row r="87" spans="1:13" x14ac:dyDescent="0.2">
      <c r="A87" s="35">
        <v>47</v>
      </c>
      <c r="B87" s="1473">
        <v>2440</v>
      </c>
      <c r="C87" s="1474" t="s">
        <v>1425</v>
      </c>
      <c r="D87" s="1470">
        <v>0</v>
      </c>
      <c r="E87" s="1470">
        <v>0</v>
      </c>
      <c r="F87" s="1470">
        <v>0</v>
      </c>
      <c r="G87" s="96">
        <f t="shared" si="5"/>
        <v>0</v>
      </c>
      <c r="H87" s="97"/>
      <c r="I87" s="1470">
        <v>0</v>
      </c>
      <c r="J87" s="1470">
        <v>0</v>
      </c>
      <c r="K87" s="1470">
        <v>0</v>
      </c>
      <c r="L87" s="96">
        <f t="shared" si="6"/>
        <v>0</v>
      </c>
      <c r="M87" s="99">
        <f t="shared" si="7"/>
        <v>0</v>
      </c>
    </row>
    <row r="88" spans="1:13" x14ac:dyDescent="0.2">
      <c r="A88" s="35">
        <v>43.1</v>
      </c>
      <c r="B88" s="1473">
        <v>2440</v>
      </c>
      <c r="C88" s="1474" t="s">
        <v>1426</v>
      </c>
      <c r="D88" s="1470">
        <v>0</v>
      </c>
      <c r="E88" s="1470">
        <v>0</v>
      </c>
      <c r="F88" s="1470">
        <v>0</v>
      </c>
      <c r="G88" s="96">
        <f t="shared" si="5"/>
        <v>0</v>
      </c>
      <c r="H88" s="97"/>
      <c r="I88" s="1470">
        <v>0</v>
      </c>
      <c r="J88" s="1470">
        <v>0</v>
      </c>
      <c r="K88" s="1470">
        <v>0</v>
      </c>
      <c r="L88" s="96">
        <f t="shared" si="6"/>
        <v>0</v>
      </c>
      <c r="M88" s="99">
        <f t="shared" si="7"/>
        <v>0</v>
      </c>
    </row>
    <row r="89" spans="1:13" x14ac:dyDescent="0.2">
      <c r="A89" s="106"/>
      <c r="B89" s="106"/>
      <c r="C89" s="107"/>
      <c r="D89" s="108"/>
      <c r="E89" s="108"/>
      <c r="F89" s="108"/>
      <c r="G89" s="96">
        <f t="shared" si="5"/>
        <v>0</v>
      </c>
      <c r="I89" s="108"/>
      <c r="J89" s="108"/>
      <c r="K89" s="108"/>
      <c r="L89" s="96">
        <f t="shared" si="6"/>
        <v>0</v>
      </c>
      <c r="M89" s="99">
        <f t="shared" si="7"/>
        <v>0</v>
      </c>
    </row>
    <row r="90" spans="1:13" x14ac:dyDescent="0.2">
      <c r="A90" s="106"/>
      <c r="B90" s="106"/>
      <c r="C90" s="109" t="s">
        <v>180</v>
      </c>
      <c r="D90" s="110">
        <f>SUM(D17:D89)</f>
        <v>45014878.20000001</v>
      </c>
      <c r="E90" s="110">
        <f>SUM(E17:E89)</f>
        <v>1273589.1199999999</v>
      </c>
      <c r="F90" s="110">
        <f>SUM(F17:F89)</f>
        <v>-310581.34999999998</v>
      </c>
      <c r="G90" s="110">
        <f>SUM(G17:G89)</f>
        <v>45977885.969999999</v>
      </c>
      <c r="H90" s="110"/>
      <c r="I90" s="110">
        <f>SUM(I17:I89)</f>
        <v>23016744.75999999</v>
      </c>
      <c r="J90" s="110">
        <f>SUM(J17:J89)</f>
        <v>1006610.7700000001</v>
      </c>
      <c r="K90" s="110">
        <f>SUM(K17:K89)</f>
        <v>-193581.54</v>
      </c>
      <c r="L90" s="110">
        <f>SUM(L17:L89)</f>
        <v>23829773.99000001</v>
      </c>
      <c r="M90" s="110">
        <f>SUM(M17:M89)</f>
        <v>22148111.979999993</v>
      </c>
    </row>
    <row r="91" spans="1:13" ht="37.5" x14ac:dyDescent="0.2">
      <c r="A91" s="106"/>
      <c r="B91" s="106"/>
      <c r="C91" s="111" t="s">
        <v>541</v>
      </c>
      <c r="D91" s="108"/>
      <c r="E91" s="108"/>
      <c r="F91" s="108"/>
      <c r="G91" s="96">
        <f>D91+E91+F91</f>
        <v>0</v>
      </c>
      <c r="I91" s="108"/>
      <c r="J91" s="108"/>
      <c r="K91" s="108"/>
      <c r="L91" s="96">
        <f>I91+J91+K91</f>
        <v>0</v>
      </c>
      <c r="M91" s="99">
        <f>G91+L91</f>
        <v>0</v>
      </c>
    </row>
    <row r="92" spans="1:13" ht="25.5" x14ac:dyDescent="0.2">
      <c r="A92" s="106"/>
      <c r="B92" s="106"/>
      <c r="C92" s="112" t="s">
        <v>540</v>
      </c>
      <c r="D92" s="108"/>
      <c r="E92" s="108"/>
      <c r="F92" s="108"/>
      <c r="G92" s="96">
        <f t="shared" ref="G92" si="8">D92+E92+F92</f>
        <v>0</v>
      </c>
      <c r="I92" s="108"/>
      <c r="J92" s="108"/>
      <c r="K92" s="108"/>
      <c r="L92" s="96">
        <f>I92+J92+K92</f>
        <v>0</v>
      </c>
      <c r="M92" s="99">
        <f t="shared" ref="M92" si="9">G92+L92</f>
        <v>0</v>
      </c>
    </row>
    <row r="93" spans="1:13" x14ac:dyDescent="0.2">
      <c r="A93" s="106"/>
      <c r="B93" s="106"/>
      <c r="C93" s="109" t="s">
        <v>450</v>
      </c>
      <c r="D93" s="110">
        <f>SUM(D90:D92)</f>
        <v>45014878.20000001</v>
      </c>
      <c r="E93" s="110">
        <f>SUM(E90:E92)</f>
        <v>1273589.1199999999</v>
      </c>
      <c r="F93" s="110">
        <f>SUM(F90:F92)</f>
        <v>-310581.34999999998</v>
      </c>
      <c r="G93" s="110">
        <f>SUM(G90:G92)</f>
        <v>45977885.969999999</v>
      </c>
      <c r="H93" s="110"/>
      <c r="I93" s="110">
        <f>SUM(I90:I92)</f>
        <v>23016744.75999999</v>
      </c>
      <c r="J93" s="110">
        <f>SUM(J90:J92)</f>
        <v>1006610.7700000001</v>
      </c>
      <c r="K93" s="110">
        <f>SUM(K90:K92)</f>
        <v>-193581.54</v>
      </c>
      <c r="L93" s="110">
        <f>SUM(L90:L92)</f>
        <v>23829773.99000001</v>
      </c>
      <c r="M93" s="110">
        <f>SUM(M90:M92)</f>
        <v>22148111.979999993</v>
      </c>
    </row>
    <row r="94" spans="1:13" ht="14.25" x14ac:dyDescent="0.2">
      <c r="A94" s="106"/>
      <c r="B94" s="106"/>
      <c r="C94" s="1674" t="s">
        <v>848</v>
      </c>
      <c r="D94" s="1675"/>
      <c r="E94" s="1675"/>
      <c r="F94" s="1675"/>
      <c r="G94" s="1675"/>
      <c r="H94" s="1675"/>
      <c r="I94" s="1676"/>
      <c r="J94" s="108"/>
      <c r="K94" s="113"/>
      <c r="L94" s="114"/>
      <c r="M94" s="115"/>
    </row>
    <row r="95" spans="1:13" x14ac:dyDescent="0.2">
      <c r="A95" s="106"/>
      <c r="B95" s="106"/>
      <c r="C95" s="1674" t="s">
        <v>272</v>
      </c>
      <c r="D95" s="1675"/>
      <c r="E95" s="1675"/>
      <c r="F95" s="1675"/>
      <c r="G95" s="1675"/>
      <c r="H95" s="1675"/>
      <c r="I95" s="1676"/>
      <c r="J95" s="110">
        <f>J93+J94</f>
        <v>1006610.7700000001</v>
      </c>
      <c r="K95" s="113"/>
      <c r="L95" s="114"/>
      <c r="M95" s="115"/>
    </row>
    <row r="97" spans="1:14" x14ac:dyDescent="0.2">
      <c r="I97" s="116" t="s">
        <v>379</v>
      </c>
      <c r="J97" s="454"/>
    </row>
    <row r="98" spans="1:14" x14ac:dyDescent="0.2">
      <c r="A98" s="106">
        <v>10</v>
      </c>
      <c r="B98" s="106"/>
      <c r="C98" s="107" t="s">
        <v>273</v>
      </c>
      <c r="I98" s="454" t="s">
        <v>273</v>
      </c>
      <c r="J98" s="454"/>
      <c r="K98" s="117">
        <v>-92716.64</v>
      </c>
    </row>
    <row r="99" spans="1:14" x14ac:dyDescent="0.2">
      <c r="A99" s="106">
        <v>8</v>
      </c>
      <c r="B99" s="106"/>
      <c r="C99" s="107" t="s">
        <v>264</v>
      </c>
      <c r="I99" s="1462" t="s">
        <v>264</v>
      </c>
      <c r="J99" s="1462"/>
      <c r="K99" s="117">
        <v>-1044.9000000000001</v>
      </c>
    </row>
    <row r="100" spans="1:14" x14ac:dyDescent="0.2">
      <c r="A100" s="106">
        <v>8</v>
      </c>
      <c r="B100" s="106"/>
      <c r="C100" s="1480" t="s">
        <v>1433</v>
      </c>
      <c r="I100" s="1477" t="s">
        <v>1433</v>
      </c>
      <c r="J100" s="1462"/>
      <c r="K100" s="117">
        <v>0</v>
      </c>
    </row>
    <row r="101" spans="1:14" x14ac:dyDescent="0.2">
      <c r="A101" s="106">
        <v>8</v>
      </c>
      <c r="B101" s="106"/>
      <c r="C101" s="1480" t="s">
        <v>1434</v>
      </c>
      <c r="I101" s="1477" t="s">
        <v>1434</v>
      </c>
      <c r="J101" s="1462"/>
      <c r="K101" s="117">
        <v>0</v>
      </c>
    </row>
    <row r="102" spans="1:14" x14ac:dyDescent="0.2">
      <c r="A102" s="106">
        <v>8</v>
      </c>
      <c r="B102" s="106"/>
      <c r="C102" s="1480" t="s">
        <v>791</v>
      </c>
      <c r="I102" s="1478">
        <v>1576</v>
      </c>
      <c r="J102" s="1462"/>
      <c r="K102" s="117">
        <v>-96075.38</v>
      </c>
    </row>
    <row r="103" spans="1:14" x14ac:dyDescent="0.2">
      <c r="A103" s="1463"/>
      <c r="B103" s="1463"/>
      <c r="I103" s="1479" t="s">
        <v>1435</v>
      </c>
      <c r="J103" s="1462"/>
      <c r="K103" s="117">
        <v>7081.4</v>
      </c>
    </row>
    <row r="104" spans="1:14" x14ac:dyDescent="0.2">
      <c r="I104" s="118" t="s">
        <v>274</v>
      </c>
      <c r="K104" s="1481">
        <f>J95+K100+K98+K99+K101+K102+K103</f>
        <v>823855.25000000012</v>
      </c>
    </row>
    <row r="105" spans="1:14" x14ac:dyDescent="0.2">
      <c r="N105" s="119"/>
    </row>
    <row r="106" spans="1:14" x14ac:dyDescent="0.2">
      <c r="A106" s="120" t="s">
        <v>6</v>
      </c>
      <c r="N106" s="119"/>
    </row>
    <row r="108" spans="1:14" x14ac:dyDescent="0.2">
      <c r="A108" s="453">
        <v>1</v>
      </c>
      <c r="B108" s="1683" t="s">
        <v>177</v>
      </c>
      <c r="C108" s="1683"/>
      <c r="D108" s="1683"/>
      <c r="E108" s="1683"/>
      <c r="F108" s="1683"/>
      <c r="G108" s="1683"/>
      <c r="H108" s="1683"/>
      <c r="I108" s="1683"/>
      <c r="J108" s="1683"/>
      <c r="K108" s="1683"/>
      <c r="L108" s="1683"/>
      <c r="M108" s="1683"/>
    </row>
    <row r="109" spans="1:14" x14ac:dyDescent="0.2">
      <c r="B109" s="1683"/>
      <c r="C109" s="1683"/>
      <c r="D109" s="1683"/>
      <c r="E109" s="1683"/>
      <c r="F109" s="1683"/>
      <c r="G109" s="1683"/>
      <c r="H109" s="1683"/>
      <c r="I109" s="1683"/>
      <c r="J109" s="1683"/>
      <c r="K109" s="1683"/>
      <c r="L109" s="1683"/>
      <c r="M109" s="1683"/>
    </row>
    <row r="110" spans="1:14" ht="12.75" customHeight="1" x14ac:dyDescent="0.2"/>
    <row r="111" spans="1:14" x14ac:dyDescent="0.2">
      <c r="A111" s="453">
        <v>2</v>
      </c>
      <c r="B111" s="1681" t="s">
        <v>911</v>
      </c>
      <c r="C111" s="1681"/>
      <c r="D111" s="1681"/>
      <c r="E111" s="1681"/>
      <c r="F111" s="1681"/>
      <c r="G111" s="1681"/>
      <c r="H111" s="1681"/>
      <c r="I111" s="1681"/>
      <c r="J111" s="1681"/>
      <c r="K111" s="1681"/>
      <c r="L111" s="1681"/>
      <c r="M111" s="1681"/>
    </row>
    <row r="112" spans="1:14" x14ac:dyDescent="0.2">
      <c r="B112" s="1681"/>
      <c r="C112" s="1681"/>
      <c r="D112" s="1681"/>
      <c r="E112" s="1681"/>
      <c r="F112" s="1681"/>
      <c r="G112" s="1681"/>
      <c r="H112" s="1681"/>
      <c r="I112" s="1681"/>
      <c r="J112" s="1681"/>
      <c r="K112" s="1681"/>
      <c r="L112" s="1681"/>
      <c r="M112" s="1681"/>
    </row>
    <row r="114" spans="1:13" x14ac:dyDescent="0.2">
      <c r="A114" s="453">
        <v>3</v>
      </c>
      <c r="B114" s="1680" t="s">
        <v>182</v>
      </c>
      <c r="C114" s="1680"/>
      <c r="D114" s="1680"/>
      <c r="E114" s="1680"/>
      <c r="F114" s="1680"/>
      <c r="G114" s="1680"/>
      <c r="H114" s="1680"/>
      <c r="I114" s="1680"/>
      <c r="J114" s="1680"/>
      <c r="K114" s="1680"/>
      <c r="L114" s="1680"/>
      <c r="M114" s="1680"/>
    </row>
    <row r="116" spans="1:13" x14ac:dyDescent="0.2">
      <c r="A116" s="453">
        <v>4</v>
      </c>
      <c r="B116" s="76" t="s">
        <v>912</v>
      </c>
      <c r="C116" s="38"/>
    </row>
    <row r="118" spans="1:13" x14ac:dyDescent="0.2">
      <c r="A118" s="453">
        <v>5</v>
      </c>
      <c r="B118" s="121" t="s">
        <v>870</v>
      </c>
    </row>
    <row r="120" spans="1:13" x14ac:dyDescent="0.2">
      <c r="A120" s="453">
        <v>6</v>
      </c>
      <c r="B120" s="1680" t="s">
        <v>994</v>
      </c>
      <c r="C120" s="1680"/>
      <c r="D120" s="1680"/>
      <c r="E120" s="1680"/>
      <c r="F120" s="1680"/>
      <c r="G120" s="1680"/>
      <c r="H120" s="1680"/>
      <c r="I120" s="1680"/>
      <c r="J120" s="1680"/>
      <c r="K120" s="1680"/>
      <c r="L120" s="1680"/>
      <c r="M120" s="1680"/>
    </row>
    <row r="121" spans="1:13" x14ac:dyDescent="0.2">
      <c r="A121" s="478"/>
      <c r="B121" s="1680"/>
      <c r="C121" s="1680"/>
      <c r="D121" s="1680"/>
      <c r="E121" s="1680"/>
      <c r="F121" s="1680"/>
      <c r="G121" s="1680"/>
      <c r="H121" s="1680"/>
      <c r="I121" s="1680"/>
      <c r="J121" s="1680"/>
      <c r="K121" s="1680"/>
      <c r="L121" s="1680"/>
      <c r="M121" s="1680"/>
    </row>
    <row r="122" spans="1:13" x14ac:dyDescent="0.2">
      <c r="B122" s="1680"/>
      <c r="C122" s="1680"/>
      <c r="D122" s="1680"/>
      <c r="E122" s="1680"/>
      <c r="F122" s="1680"/>
      <c r="G122" s="1680"/>
      <c r="H122" s="1680"/>
      <c r="I122" s="1680"/>
      <c r="J122" s="1680"/>
      <c r="K122" s="1680"/>
      <c r="L122" s="1680"/>
      <c r="M122" s="1680"/>
    </row>
    <row r="124" spans="1:13" x14ac:dyDescent="0.2">
      <c r="A124" s="1498"/>
      <c r="B124" s="1498"/>
      <c r="E124" s="68" t="s">
        <v>822</v>
      </c>
      <c r="F124" s="30" t="s">
        <v>95</v>
      </c>
      <c r="H124" s="34"/>
    </row>
    <row r="125" spans="1:13" ht="15" x14ac:dyDescent="0.25">
      <c r="A125" s="1498"/>
      <c r="B125" s="1498"/>
      <c r="C125" s="38"/>
      <c r="E125" s="68" t="s">
        <v>92</v>
      </c>
      <c r="F125" s="82">
        <v>2015</v>
      </c>
      <c r="G125" s="83"/>
    </row>
    <row r="126" spans="1:13" x14ac:dyDescent="0.2">
      <c r="A126" s="1498"/>
      <c r="B126" s="1498"/>
    </row>
    <row r="127" spans="1:13" x14ac:dyDescent="0.2">
      <c r="A127" s="1498"/>
      <c r="B127" s="1498"/>
      <c r="D127" s="1677" t="s">
        <v>242</v>
      </c>
      <c r="E127" s="1678"/>
      <c r="F127" s="1678"/>
      <c r="G127" s="1679"/>
      <c r="I127" s="84"/>
      <c r="J127" s="85" t="s">
        <v>243</v>
      </c>
      <c r="K127" s="85"/>
      <c r="L127" s="86"/>
      <c r="M127" s="81"/>
    </row>
    <row r="128" spans="1:13" ht="25.5" customHeight="1" x14ac:dyDescent="0.2">
      <c r="A128" s="87" t="s">
        <v>917</v>
      </c>
      <c r="B128" s="87" t="s">
        <v>919</v>
      </c>
      <c r="C128" s="88" t="s">
        <v>920</v>
      </c>
      <c r="D128" s="87" t="s">
        <v>213</v>
      </c>
      <c r="E128" s="89" t="s">
        <v>918</v>
      </c>
      <c r="F128" s="89" t="s">
        <v>995</v>
      </c>
      <c r="G128" s="87" t="s">
        <v>241</v>
      </c>
      <c r="H128" s="90"/>
      <c r="I128" s="91" t="s">
        <v>213</v>
      </c>
      <c r="J128" s="92" t="s">
        <v>214</v>
      </c>
      <c r="K128" s="92" t="s">
        <v>995</v>
      </c>
      <c r="L128" s="93" t="s">
        <v>241</v>
      </c>
      <c r="M128" s="87" t="s">
        <v>276</v>
      </c>
    </row>
    <row r="129" spans="1:16" s="1467" customFormat="1" ht="25.5" x14ac:dyDescent="0.2">
      <c r="A129" s="35">
        <v>47</v>
      </c>
      <c r="B129" s="1468">
        <v>1508</v>
      </c>
      <c r="C129" s="94" t="s">
        <v>1390</v>
      </c>
      <c r="D129" s="95">
        <v>0</v>
      </c>
      <c r="E129" s="95">
        <v>2536746.92</v>
      </c>
      <c r="F129" s="95">
        <v>0</v>
      </c>
      <c r="G129" s="96">
        <f t="shared" ref="G129:G191" si="10">D129+E129+F129</f>
        <v>2536746.92</v>
      </c>
      <c r="H129" s="97"/>
      <c r="I129" s="98">
        <v>0</v>
      </c>
      <c r="J129" s="98">
        <v>26417.01</v>
      </c>
      <c r="K129" s="98">
        <v>0</v>
      </c>
      <c r="L129" s="96">
        <f t="shared" ref="L129:L191" si="11">I129+J129+K129</f>
        <v>26417.01</v>
      </c>
      <c r="M129" s="99">
        <f>G129-L129</f>
        <v>2510329.91</v>
      </c>
      <c r="N129" s="1465"/>
      <c r="O129" s="1466">
        <f>AVERAGE(G129,D129)</f>
        <v>1268373.46</v>
      </c>
      <c r="P129" s="1466">
        <f>AVERAGE(L129,I129)</f>
        <v>13208.504999999999</v>
      </c>
    </row>
    <row r="130" spans="1:16" s="1467" customFormat="1" x14ac:dyDescent="0.2">
      <c r="A130" s="35" t="s">
        <v>244</v>
      </c>
      <c r="B130" s="1468">
        <v>1606</v>
      </c>
      <c r="C130" s="1469" t="s">
        <v>1391</v>
      </c>
      <c r="D130" s="1470">
        <v>0</v>
      </c>
      <c r="E130" s="1470">
        <v>0</v>
      </c>
      <c r="F130" s="1470">
        <v>0</v>
      </c>
      <c r="G130" s="96">
        <f t="shared" si="10"/>
        <v>0</v>
      </c>
      <c r="H130" s="1471"/>
      <c r="I130" s="1470">
        <v>0</v>
      </c>
      <c r="J130" s="1470">
        <v>0</v>
      </c>
      <c r="K130" s="1470">
        <v>0</v>
      </c>
      <c r="L130" s="96">
        <f t="shared" si="11"/>
        <v>0</v>
      </c>
      <c r="M130" s="99">
        <f t="shared" ref="M130:M192" si="12">G130-L130</f>
        <v>0</v>
      </c>
      <c r="O130" s="1472">
        <f>AVERAGE(G130,D130)</f>
        <v>0</v>
      </c>
      <c r="P130" s="1472">
        <f>AVERAGE(L130,I130)</f>
        <v>0</v>
      </c>
    </row>
    <row r="131" spans="1:16" ht="25.5" x14ac:dyDescent="0.2">
      <c r="A131" s="35">
        <v>12</v>
      </c>
      <c r="B131" s="1530">
        <v>1611</v>
      </c>
      <c r="C131" s="94" t="s">
        <v>352</v>
      </c>
      <c r="D131" s="95">
        <v>2115687.59</v>
      </c>
      <c r="E131" s="95">
        <v>108817.76</v>
      </c>
      <c r="F131" s="95">
        <v>0</v>
      </c>
      <c r="G131" s="96">
        <f t="shared" si="10"/>
        <v>2224505.3499999996</v>
      </c>
      <c r="H131" s="97"/>
      <c r="I131" s="98">
        <v>1882616.32</v>
      </c>
      <c r="J131" s="98">
        <v>152077.37</v>
      </c>
      <c r="K131" s="98">
        <v>0</v>
      </c>
      <c r="L131" s="96">
        <f t="shared" si="11"/>
        <v>2034693.69</v>
      </c>
      <c r="M131" s="99">
        <f t="shared" si="12"/>
        <v>189811.65999999968</v>
      </c>
    </row>
    <row r="132" spans="1:16" ht="25.5" x14ac:dyDescent="0.2">
      <c r="A132" s="35" t="s">
        <v>1621</v>
      </c>
      <c r="B132" s="1530">
        <v>1612</v>
      </c>
      <c r="C132" s="94" t="s">
        <v>397</v>
      </c>
      <c r="D132" s="95">
        <v>0</v>
      </c>
      <c r="E132" s="95">
        <v>0</v>
      </c>
      <c r="F132" s="95">
        <v>0</v>
      </c>
      <c r="G132" s="96">
        <f t="shared" si="10"/>
        <v>0</v>
      </c>
      <c r="H132" s="97"/>
      <c r="I132" s="98">
        <v>0</v>
      </c>
      <c r="J132" s="98">
        <v>0</v>
      </c>
      <c r="K132" s="98">
        <v>0</v>
      </c>
      <c r="L132" s="96">
        <f t="shared" si="11"/>
        <v>0</v>
      </c>
      <c r="M132" s="99">
        <f t="shared" si="12"/>
        <v>0</v>
      </c>
    </row>
    <row r="133" spans="1:16" x14ac:dyDescent="0.2">
      <c r="A133" s="35" t="s">
        <v>244</v>
      </c>
      <c r="B133" s="100">
        <v>1805</v>
      </c>
      <c r="C133" s="101" t="s">
        <v>245</v>
      </c>
      <c r="D133" s="95">
        <v>258134.21000000002</v>
      </c>
      <c r="E133" s="95">
        <v>0</v>
      </c>
      <c r="F133" s="95">
        <v>0</v>
      </c>
      <c r="G133" s="96">
        <f t="shared" si="10"/>
        <v>258134.21000000002</v>
      </c>
      <c r="H133" s="97"/>
      <c r="I133" s="98">
        <v>0</v>
      </c>
      <c r="J133" s="98">
        <v>0</v>
      </c>
      <c r="K133" s="98">
        <v>0</v>
      </c>
      <c r="L133" s="96">
        <f t="shared" si="11"/>
        <v>0</v>
      </c>
      <c r="M133" s="99">
        <f t="shared" si="12"/>
        <v>258134.21000000002</v>
      </c>
    </row>
    <row r="134" spans="1:16" x14ac:dyDescent="0.2">
      <c r="A134" s="35">
        <v>47</v>
      </c>
      <c r="B134" s="100">
        <v>1808</v>
      </c>
      <c r="C134" s="102" t="s">
        <v>246</v>
      </c>
      <c r="D134" s="95">
        <v>0</v>
      </c>
      <c r="E134" s="95">
        <v>0</v>
      </c>
      <c r="F134" s="95">
        <v>0</v>
      </c>
      <c r="G134" s="96">
        <f t="shared" si="10"/>
        <v>0</v>
      </c>
      <c r="H134" s="97"/>
      <c r="I134" s="98">
        <v>0</v>
      </c>
      <c r="J134" s="98">
        <v>0</v>
      </c>
      <c r="K134" s="98">
        <v>0</v>
      </c>
      <c r="L134" s="96">
        <f t="shared" si="11"/>
        <v>0</v>
      </c>
      <c r="M134" s="99">
        <f t="shared" si="12"/>
        <v>0</v>
      </c>
    </row>
    <row r="135" spans="1:16" x14ac:dyDescent="0.2">
      <c r="A135" s="35">
        <v>13</v>
      </c>
      <c r="B135" s="100">
        <v>1810</v>
      </c>
      <c r="C135" s="102" t="s">
        <v>275</v>
      </c>
      <c r="D135" s="95">
        <v>0</v>
      </c>
      <c r="E135" s="95">
        <v>0</v>
      </c>
      <c r="F135" s="95">
        <v>0</v>
      </c>
      <c r="G135" s="96">
        <f t="shared" si="10"/>
        <v>0</v>
      </c>
      <c r="H135" s="97"/>
      <c r="I135" s="98">
        <v>0</v>
      </c>
      <c r="J135" s="98">
        <v>0</v>
      </c>
      <c r="K135" s="98">
        <v>0</v>
      </c>
      <c r="L135" s="96">
        <f t="shared" si="11"/>
        <v>0</v>
      </c>
      <c r="M135" s="99">
        <f t="shared" si="12"/>
        <v>0</v>
      </c>
    </row>
    <row r="136" spans="1:16" ht="25.5" x14ac:dyDescent="0.2">
      <c r="A136" s="35">
        <v>47</v>
      </c>
      <c r="B136" s="1473">
        <v>1815</v>
      </c>
      <c r="C136" s="1474" t="s">
        <v>1392</v>
      </c>
      <c r="D136" s="95">
        <v>2753217.54</v>
      </c>
      <c r="E136" s="95">
        <v>0</v>
      </c>
      <c r="F136" s="95">
        <v>0</v>
      </c>
      <c r="G136" s="96">
        <f t="shared" si="10"/>
        <v>2753217.54</v>
      </c>
      <c r="H136" s="97"/>
      <c r="I136" s="98">
        <v>745323.42</v>
      </c>
      <c r="J136" s="98">
        <v>50062.879999999997</v>
      </c>
      <c r="K136" s="98">
        <v>0</v>
      </c>
      <c r="L136" s="96">
        <f t="shared" si="11"/>
        <v>795386.3</v>
      </c>
      <c r="M136" s="99">
        <f t="shared" si="12"/>
        <v>1957831.24</v>
      </c>
    </row>
    <row r="137" spans="1:16" ht="25.5" x14ac:dyDescent="0.2">
      <c r="A137" s="35">
        <v>47</v>
      </c>
      <c r="B137" s="1468">
        <v>1815</v>
      </c>
      <c r="C137" s="1474" t="s">
        <v>1393</v>
      </c>
      <c r="D137" s="95">
        <v>2680846.46</v>
      </c>
      <c r="E137" s="95">
        <v>0</v>
      </c>
      <c r="F137" s="95">
        <v>0</v>
      </c>
      <c r="G137" s="96">
        <f t="shared" si="10"/>
        <v>2680846.46</v>
      </c>
      <c r="H137" s="97"/>
      <c r="I137" s="98">
        <v>569943.13</v>
      </c>
      <c r="J137" s="98">
        <v>49077.71</v>
      </c>
      <c r="K137" s="98">
        <v>0</v>
      </c>
      <c r="L137" s="96">
        <f t="shared" si="11"/>
        <v>619020.84</v>
      </c>
      <c r="M137" s="99">
        <f t="shared" si="12"/>
        <v>2061825.62</v>
      </c>
    </row>
    <row r="138" spans="1:16" x14ac:dyDescent="0.2">
      <c r="A138" s="35">
        <v>47</v>
      </c>
      <c r="B138" s="100">
        <v>1820</v>
      </c>
      <c r="C138" s="94" t="s">
        <v>184</v>
      </c>
      <c r="D138" s="95">
        <v>160630.29</v>
      </c>
      <c r="E138" s="95">
        <v>0</v>
      </c>
      <c r="F138" s="95">
        <v>0</v>
      </c>
      <c r="G138" s="96">
        <f t="shared" si="10"/>
        <v>160630.29</v>
      </c>
      <c r="H138" s="97"/>
      <c r="I138" s="98">
        <v>160630.29</v>
      </c>
      <c r="J138" s="98">
        <v>0</v>
      </c>
      <c r="K138" s="98">
        <v>0</v>
      </c>
      <c r="L138" s="96">
        <f t="shared" si="11"/>
        <v>160630.29</v>
      </c>
      <c r="M138" s="99">
        <f t="shared" si="12"/>
        <v>0</v>
      </c>
    </row>
    <row r="139" spans="1:16" x14ac:dyDescent="0.2">
      <c r="A139" s="35">
        <v>43.1</v>
      </c>
      <c r="B139" s="100">
        <v>1825</v>
      </c>
      <c r="C139" s="102" t="s">
        <v>248</v>
      </c>
      <c r="D139" s="95">
        <v>0</v>
      </c>
      <c r="E139" s="95">
        <v>0</v>
      </c>
      <c r="F139" s="95">
        <v>0</v>
      </c>
      <c r="G139" s="96">
        <f t="shared" si="10"/>
        <v>0</v>
      </c>
      <c r="H139" s="97"/>
      <c r="I139" s="98">
        <v>0</v>
      </c>
      <c r="J139" s="98">
        <v>0</v>
      </c>
      <c r="K139" s="98">
        <v>0</v>
      </c>
      <c r="L139" s="96">
        <f t="shared" si="11"/>
        <v>0</v>
      </c>
      <c r="M139" s="99">
        <f t="shared" si="12"/>
        <v>0</v>
      </c>
    </row>
    <row r="140" spans="1:16" x14ac:dyDescent="0.2">
      <c r="A140" s="35">
        <v>47</v>
      </c>
      <c r="B140" s="100">
        <v>1830</v>
      </c>
      <c r="C140" s="102" t="s">
        <v>249</v>
      </c>
      <c r="D140" s="95">
        <v>5458812.7300000004</v>
      </c>
      <c r="E140" s="95">
        <v>178746.33</v>
      </c>
      <c r="F140" s="95">
        <v>-73207.34</v>
      </c>
      <c r="G140" s="96">
        <f t="shared" si="10"/>
        <v>5564351.7200000007</v>
      </c>
      <c r="H140" s="97"/>
      <c r="I140" s="98">
        <v>3051263.26</v>
      </c>
      <c r="J140" s="98">
        <v>90267.94</v>
      </c>
      <c r="K140" s="98">
        <v>-70221.23</v>
      </c>
      <c r="L140" s="96">
        <f t="shared" si="11"/>
        <v>3071309.9699999997</v>
      </c>
      <c r="M140" s="99">
        <f t="shared" si="12"/>
        <v>2493041.7500000009</v>
      </c>
    </row>
    <row r="141" spans="1:16" x14ac:dyDescent="0.2">
      <c r="A141" s="35">
        <v>47</v>
      </c>
      <c r="B141" s="100">
        <v>1835</v>
      </c>
      <c r="C141" s="102" t="s">
        <v>185</v>
      </c>
      <c r="D141" s="95">
        <v>6969173.1500000004</v>
      </c>
      <c r="E141" s="95">
        <v>149659.54</v>
      </c>
      <c r="F141" s="95">
        <v>-134067.76</v>
      </c>
      <c r="G141" s="96">
        <f t="shared" si="10"/>
        <v>6984764.9300000006</v>
      </c>
      <c r="H141" s="97"/>
      <c r="I141" s="98">
        <v>3900259.23</v>
      </c>
      <c r="J141" s="98">
        <v>75369.150000000009</v>
      </c>
      <c r="K141" s="98">
        <v>-125887.15000000001</v>
      </c>
      <c r="L141" s="96">
        <f t="shared" si="11"/>
        <v>3849741.23</v>
      </c>
      <c r="M141" s="99">
        <f t="shared" si="12"/>
        <v>3135023.7000000007</v>
      </c>
    </row>
    <row r="142" spans="1:16" x14ac:dyDescent="0.2">
      <c r="A142" s="35">
        <v>47</v>
      </c>
      <c r="B142" s="100">
        <v>1840</v>
      </c>
      <c r="C142" s="102" t="s">
        <v>186</v>
      </c>
      <c r="D142" s="95">
        <v>5593167.9799999995</v>
      </c>
      <c r="E142" s="95">
        <v>205440.72</v>
      </c>
      <c r="F142" s="95">
        <v>0</v>
      </c>
      <c r="G142" s="96">
        <f t="shared" si="10"/>
        <v>5798608.6999999993</v>
      </c>
      <c r="H142" s="97"/>
      <c r="I142" s="98">
        <v>2393056.81</v>
      </c>
      <c r="J142" s="98">
        <v>61651.9</v>
      </c>
      <c r="K142" s="98">
        <v>0</v>
      </c>
      <c r="L142" s="96">
        <f t="shared" si="11"/>
        <v>2454708.71</v>
      </c>
      <c r="M142" s="99">
        <f t="shared" si="12"/>
        <v>3343899.9899999993</v>
      </c>
    </row>
    <row r="143" spans="1:16" x14ac:dyDescent="0.2">
      <c r="A143" s="35">
        <v>47</v>
      </c>
      <c r="B143" s="100">
        <v>1845</v>
      </c>
      <c r="C143" s="102" t="s">
        <v>187</v>
      </c>
      <c r="D143" s="95">
        <v>9812517.7699999996</v>
      </c>
      <c r="E143" s="95">
        <v>288464.13</v>
      </c>
      <c r="F143" s="95">
        <v>0</v>
      </c>
      <c r="G143" s="96">
        <f t="shared" si="10"/>
        <v>10100981.9</v>
      </c>
      <c r="H143" s="97"/>
      <c r="I143" s="98">
        <v>4944196.0999999996</v>
      </c>
      <c r="J143" s="98">
        <v>164908.37</v>
      </c>
      <c r="K143" s="98">
        <v>0</v>
      </c>
      <c r="L143" s="96">
        <f t="shared" si="11"/>
        <v>5109104.47</v>
      </c>
      <c r="M143" s="99">
        <f t="shared" si="12"/>
        <v>4991877.4300000006</v>
      </c>
    </row>
    <row r="144" spans="1:16" x14ac:dyDescent="0.2">
      <c r="A144" s="35">
        <v>47</v>
      </c>
      <c r="B144" s="100">
        <v>1850</v>
      </c>
      <c r="C144" s="102" t="s">
        <v>250</v>
      </c>
      <c r="D144" s="95">
        <v>7867891.21</v>
      </c>
      <c r="E144" s="95">
        <v>221554.6</v>
      </c>
      <c r="F144" s="95">
        <v>-78681.55</v>
      </c>
      <c r="G144" s="96">
        <f t="shared" si="10"/>
        <v>8010764.2599999998</v>
      </c>
      <c r="H144" s="97"/>
      <c r="I144" s="98">
        <v>3949599.73</v>
      </c>
      <c r="J144" s="98">
        <v>125073.74</v>
      </c>
      <c r="K144" s="98">
        <v>-45778.9</v>
      </c>
      <c r="L144" s="96">
        <f t="shared" si="11"/>
        <v>4028894.5700000003</v>
      </c>
      <c r="M144" s="99">
        <f t="shared" si="12"/>
        <v>3981869.6899999995</v>
      </c>
    </row>
    <row r="145" spans="1:13" x14ac:dyDescent="0.2">
      <c r="A145" s="35">
        <v>47</v>
      </c>
      <c r="B145" s="1468">
        <v>1850</v>
      </c>
      <c r="C145" s="1475" t="s">
        <v>1394</v>
      </c>
      <c r="D145" s="95">
        <v>191245.8</v>
      </c>
      <c r="E145" s="95">
        <v>56544.95</v>
      </c>
      <c r="F145" s="95">
        <v>0</v>
      </c>
      <c r="G145" s="96">
        <f t="shared" si="10"/>
        <v>247790.75</v>
      </c>
      <c r="H145" s="97"/>
      <c r="I145" s="98">
        <v>85546.17</v>
      </c>
      <c r="J145" s="98">
        <v>3744.61</v>
      </c>
      <c r="K145" s="98">
        <v>0</v>
      </c>
      <c r="L145" s="96">
        <f t="shared" si="11"/>
        <v>89290.78</v>
      </c>
      <c r="M145" s="99">
        <f t="shared" si="12"/>
        <v>158499.97</v>
      </c>
    </row>
    <row r="146" spans="1:13" x14ac:dyDescent="0.2">
      <c r="A146" s="35">
        <v>47</v>
      </c>
      <c r="B146" s="1468">
        <v>1850</v>
      </c>
      <c r="C146" s="1475" t="s">
        <v>1395</v>
      </c>
      <c r="D146" s="95">
        <v>0</v>
      </c>
      <c r="E146" s="95">
        <v>0</v>
      </c>
      <c r="F146" s="95">
        <v>0</v>
      </c>
      <c r="G146" s="96">
        <f t="shared" si="10"/>
        <v>0</v>
      </c>
      <c r="H146" s="97"/>
      <c r="I146" s="98">
        <v>0</v>
      </c>
      <c r="J146" s="98">
        <v>0</v>
      </c>
      <c r="K146" s="98">
        <v>0</v>
      </c>
      <c r="L146" s="96">
        <f t="shared" si="11"/>
        <v>0</v>
      </c>
      <c r="M146" s="99">
        <f t="shared" si="12"/>
        <v>0</v>
      </c>
    </row>
    <row r="147" spans="1:13" x14ac:dyDescent="0.2">
      <c r="A147" s="35">
        <v>47</v>
      </c>
      <c r="B147" s="1468">
        <v>1850</v>
      </c>
      <c r="C147" s="1475" t="s">
        <v>1396</v>
      </c>
      <c r="D147" s="95">
        <v>94559.109999999986</v>
      </c>
      <c r="E147" s="95">
        <v>23793</v>
      </c>
      <c r="F147" s="95">
        <v>0</v>
      </c>
      <c r="G147" s="96">
        <f t="shared" si="10"/>
        <v>118352.10999999999</v>
      </c>
      <c r="H147" s="97"/>
      <c r="I147" s="98">
        <v>18439.87</v>
      </c>
      <c r="J147" s="98">
        <v>2216.15</v>
      </c>
      <c r="K147" s="98">
        <v>0</v>
      </c>
      <c r="L147" s="96">
        <f t="shared" si="11"/>
        <v>20656.02</v>
      </c>
      <c r="M147" s="99">
        <f t="shared" si="12"/>
        <v>97696.089999999982</v>
      </c>
    </row>
    <row r="148" spans="1:13" x14ac:dyDescent="0.2">
      <c r="A148" s="35">
        <v>47</v>
      </c>
      <c r="B148" s="100">
        <v>1855</v>
      </c>
      <c r="C148" s="1474" t="s">
        <v>1397</v>
      </c>
      <c r="D148" s="95">
        <v>619287.81000000006</v>
      </c>
      <c r="E148" s="95">
        <v>14725.4</v>
      </c>
      <c r="F148" s="95">
        <v>0</v>
      </c>
      <c r="G148" s="96">
        <f t="shared" si="10"/>
        <v>634013.21000000008</v>
      </c>
      <c r="H148" s="97"/>
      <c r="I148" s="98">
        <v>149249.68</v>
      </c>
      <c r="J148" s="98">
        <v>8898.36</v>
      </c>
      <c r="K148" s="98">
        <v>0</v>
      </c>
      <c r="L148" s="96">
        <f t="shared" si="11"/>
        <v>158148.03999999998</v>
      </c>
      <c r="M148" s="99">
        <f t="shared" si="12"/>
        <v>475865.1700000001</v>
      </c>
    </row>
    <row r="149" spans="1:13" x14ac:dyDescent="0.2">
      <c r="A149" s="35">
        <v>47</v>
      </c>
      <c r="B149" s="100">
        <v>1855</v>
      </c>
      <c r="C149" s="1474" t="s">
        <v>1398</v>
      </c>
      <c r="D149" s="95">
        <v>2810737.33</v>
      </c>
      <c r="E149" s="95">
        <v>335556.4</v>
      </c>
      <c r="F149" s="95">
        <v>0</v>
      </c>
      <c r="G149" s="96">
        <f t="shared" si="10"/>
        <v>3146293.73</v>
      </c>
      <c r="H149" s="97"/>
      <c r="I149" s="98">
        <v>727310.9</v>
      </c>
      <c r="J149" s="98">
        <v>58366.96</v>
      </c>
      <c r="K149" s="98">
        <v>0</v>
      </c>
      <c r="L149" s="96">
        <f t="shared" si="11"/>
        <v>785677.86</v>
      </c>
      <c r="M149" s="99">
        <f t="shared" si="12"/>
        <v>2360615.87</v>
      </c>
    </row>
    <row r="150" spans="1:13" x14ac:dyDescent="0.2">
      <c r="A150" s="35">
        <v>47</v>
      </c>
      <c r="B150" s="100">
        <v>1860</v>
      </c>
      <c r="C150" s="102" t="s">
        <v>251</v>
      </c>
      <c r="D150" s="95">
        <v>717242.50999999989</v>
      </c>
      <c r="E150" s="95">
        <v>9511.26</v>
      </c>
      <c r="F150" s="95">
        <v>0</v>
      </c>
      <c r="G150" s="96">
        <f t="shared" si="10"/>
        <v>726753.7699999999</v>
      </c>
      <c r="H150" s="97"/>
      <c r="I150" s="98">
        <v>500356.10000000003</v>
      </c>
      <c r="J150" s="98">
        <v>11069.9</v>
      </c>
      <c r="K150" s="98">
        <v>0</v>
      </c>
      <c r="L150" s="96">
        <f t="shared" si="11"/>
        <v>511426.00000000006</v>
      </c>
      <c r="M150" s="99">
        <f t="shared" si="12"/>
        <v>215327.76999999984</v>
      </c>
    </row>
    <row r="151" spans="1:13" x14ac:dyDescent="0.2">
      <c r="A151" s="35">
        <v>47</v>
      </c>
      <c r="B151" s="100">
        <v>1860</v>
      </c>
      <c r="C151" s="101" t="s">
        <v>189</v>
      </c>
      <c r="D151" s="95">
        <v>1706436.0999999999</v>
      </c>
      <c r="E151" s="95">
        <v>33503.15</v>
      </c>
      <c r="F151" s="95">
        <v>0</v>
      </c>
      <c r="G151" s="96">
        <f t="shared" si="10"/>
        <v>1739939.2499999998</v>
      </c>
      <c r="H151" s="97"/>
      <c r="I151" s="98">
        <v>501644.67</v>
      </c>
      <c r="J151" s="98">
        <v>115439.08</v>
      </c>
      <c r="K151" s="98">
        <v>0</v>
      </c>
      <c r="L151" s="96">
        <f t="shared" si="11"/>
        <v>617083.75</v>
      </c>
      <c r="M151" s="99">
        <f t="shared" si="12"/>
        <v>1122855.4999999998</v>
      </c>
    </row>
    <row r="152" spans="1:13" x14ac:dyDescent="0.2">
      <c r="A152" s="35">
        <v>47</v>
      </c>
      <c r="B152" s="100">
        <v>1860</v>
      </c>
      <c r="C152" s="1476" t="s">
        <v>1399</v>
      </c>
      <c r="D152" s="95">
        <v>58405.229999999996</v>
      </c>
      <c r="E152" s="95">
        <v>659.32</v>
      </c>
      <c r="F152" s="95">
        <v>0</v>
      </c>
      <c r="G152" s="96">
        <f t="shared" si="10"/>
        <v>59064.549999999996</v>
      </c>
      <c r="H152" s="97"/>
      <c r="I152" s="98">
        <v>21854.85</v>
      </c>
      <c r="J152" s="98">
        <v>2523.52</v>
      </c>
      <c r="K152" s="98">
        <v>0</v>
      </c>
      <c r="L152" s="96">
        <f t="shared" si="11"/>
        <v>24378.37</v>
      </c>
      <c r="M152" s="99">
        <f t="shared" si="12"/>
        <v>34686.179999999993</v>
      </c>
    </row>
    <row r="153" spans="1:13" x14ac:dyDescent="0.2">
      <c r="A153" s="35">
        <v>47</v>
      </c>
      <c r="B153" s="100">
        <v>1860</v>
      </c>
      <c r="C153" s="1476" t="s">
        <v>1400</v>
      </c>
      <c r="D153" s="95">
        <v>26929.020000000004</v>
      </c>
      <c r="E153" s="95">
        <v>7367.06</v>
      </c>
      <c r="F153" s="95">
        <v>0</v>
      </c>
      <c r="G153" s="96">
        <f t="shared" si="10"/>
        <v>34296.080000000002</v>
      </c>
      <c r="H153" s="97"/>
      <c r="I153" s="98">
        <v>8666.1299999999992</v>
      </c>
      <c r="J153" s="98">
        <v>2040.84</v>
      </c>
      <c r="K153" s="98">
        <v>0</v>
      </c>
      <c r="L153" s="96">
        <f t="shared" si="11"/>
        <v>10706.97</v>
      </c>
      <c r="M153" s="99">
        <f t="shared" si="12"/>
        <v>23589.11</v>
      </c>
    </row>
    <row r="154" spans="1:13" x14ac:dyDescent="0.2">
      <c r="A154" s="35">
        <v>47</v>
      </c>
      <c r="B154" s="100">
        <v>1860</v>
      </c>
      <c r="C154" s="1476" t="s">
        <v>1401</v>
      </c>
      <c r="D154" s="95">
        <v>0</v>
      </c>
      <c r="E154" s="95">
        <v>0</v>
      </c>
      <c r="F154" s="95">
        <v>0</v>
      </c>
      <c r="G154" s="96">
        <f t="shared" si="10"/>
        <v>0</v>
      </c>
      <c r="H154" s="97"/>
      <c r="I154" s="98">
        <v>0</v>
      </c>
      <c r="J154" s="98">
        <v>0</v>
      </c>
      <c r="K154" s="98">
        <v>0</v>
      </c>
      <c r="L154" s="96">
        <f t="shared" si="11"/>
        <v>0</v>
      </c>
      <c r="M154" s="99">
        <f t="shared" si="12"/>
        <v>0</v>
      </c>
    </row>
    <row r="155" spans="1:13" x14ac:dyDescent="0.2">
      <c r="A155" s="35" t="s">
        <v>244</v>
      </c>
      <c r="B155" s="100">
        <v>1905</v>
      </c>
      <c r="C155" s="101" t="s">
        <v>245</v>
      </c>
      <c r="D155" s="95">
        <v>49000</v>
      </c>
      <c r="E155" s="95">
        <v>0</v>
      </c>
      <c r="F155" s="95">
        <v>0</v>
      </c>
      <c r="G155" s="96">
        <f t="shared" si="10"/>
        <v>49000</v>
      </c>
      <c r="H155" s="97"/>
      <c r="I155" s="98">
        <v>0</v>
      </c>
      <c r="J155" s="98">
        <v>0</v>
      </c>
      <c r="K155" s="98">
        <v>0</v>
      </c>
      <c r="L155" s="96">
        <f t="shared" si="11"/>
        <v>0</v>
      </c>
      <c r="M155" s="99">
        <f t="shared" si="12"/>
        <v>49000</v>
      </c>
    </row>
    <row r="156" spans="1:13" x14ac:dyDescent="0.2">
      <c r="A156" s="35">
        <v>47</v>
      </c>
      <c r="B156" s="100">
        <v>1908</v>
      </c>
      <c r="C156" s="102" t="s">
        <v>252</v>
      </c>
      <c r="D156" s="95">
        <v>1051734.6299999999</v>
      </c>
      <c r="E156" s="95">
        <v>7007.86</v>
      </c>
      <c r="F156" s="95">
        <v>0</v>
      </c>
      <c r="G156" s="96">
        <f t="shared" si="10"/>
        <v>1058742.49</v>
      </c>
      <c r="H156" s="97"/>
      <c r="I156" s="98">
        <v>401159.33</v>
      </c>
      <c r="J156" s="98">
        <v>17420.05</v>
      </c>
      <c r="K156" s="98">
        <v>0</v>
      </c>
      <c r="L156" s="96">
        <f t="shared" si="11"/>
        <v>418579.38</v>
      </c>
      <c r="M156" s="99">
        <f t="shared" si="12"/>
        <v>640163.11</v>
      </c>
    </row>
    <row r="157" spans="1:13" x14ac:dyDescent="0.2">
      <c r="A157" s="35">
        <v>47</v>
      </c>
      <c r="B157" s="1473">
        <v>1908</v>
      </c>
      <c r="C157" s="1474" t="s">
        <v>1402</v>
      </c>
      <c r="D157" s="95">
        <v>8690.41</v>
      </c>
      <c r="E157" s="95">
        <v>0</v>
      </c>
      <c r="F157" s="95">
        <v>0</v>
      </c>
      <c r="G157" s="96">
        <f t="shared" si="10"/>
        <v>8690.41</v>
      </c>
      <c r="H157" s="97"/>
      <c r="I157" s="98">
        <v>7726.76</v>
      </c>
      <c r="J157" s="98">
        <v>320.92</v>
      </c>
      <c r="K157" s="98">
        <v>0</v>
      </c>
      <c r="L157" s="96">
        <f t="shared" si="11"/>
        <v>8047.68</v>
      </c>
      <c r="M157" s="99">
        <f t="shared" si="12"/>
        <v>642.72999999999956</v>
      </c>
    </row>
    <row r="158" spans="1:13" x14ac:dyDescent="0.2">
      <c r="A158" s="35">
        <v>13</v>
      </c>
      <c r="B158" s="100">
        <v>1910</v>
      </c>
      <c r="C158" s="102" t="s">
        <v>275</v>
      </c>
      <c r="D158" s="95">
        <v>0</v>
      </c>
      <c r="E158" s="95">
        <v>0</v>
      </c>
      <c r="F158" s="95">
        <v>0</v>
      </c>
      <c r="G158" s="96">
        <f t="shared" si="10"/>
        <v>0</v>
      </c>
      <c r="H158" s="97"/>
      <c r="I158" s="98">
        <v>0</v>
      </c>
      <c r="J158" s="98">
        <v>0</v>
      </c>
      <c r="K158" s="98">
        <v>0</v>
      </c>
      <c r="L158" s="96">
        <f t="shared" si="11"/>
        <v>0</v>
      </c>
      <c r="M158" s="99">
        <f t="shared" si="12"/>
        <v>0</v>
      </c>
    </row>
    <row r="159" spans="1:13" x14ac:dyDescent="0.2">
      <c r="A159" s="35">
        <v>8</v>
      </c>
      <c r="B159" s="100">
        <v>1915</v>
      </c>
      <c r="C159" s="102" t="s">
        <v>190</v>
      </c>
      <c r="D159" s="95">
        <v>216633.32</v>
      </c>
      <c r="E159" s="95">
        <v>4302.1400000000003</v>
      </c>
      <c r="F159" s="95">
        <v>0</v>
      </c>
      <c r="G159" s="96">
        <f t="shared" si="10"/>
        <v>220935.46000000002</v>
      </c>
      <c r="H159" s="97"/>
      <c r="I159" s="98">
        <v>185252.78</v>
      </c>
      <c r="J159" s="98">
        <v>7086.96</v>
      </c>
      <c r="K159" s="98">
        <v>0</v>
      </c>
      <c r="L159" s="96">
        <f t="shared" si="11"/>
        <v>192339.74</v>
      </c>
      <c r="M159" s="99">
        <f t="shared" si="12"/>
        <v>28595.72000000003</v>
      </c>
    </row>
    <row r="160" spans="1:13" x14ac:dyDescent="0.2">
      <c r="A160" s="35">
        <v>8</v>
      </c>
      <c r="B160" s="100">
        <v>1915</v>
      </c>
      <c r="C160" s="102" t="s">
        <v>191</v>
      </c>
      <c r="D160" s="95">
        <v>0</v>
      </c>
      <c r="E160" s="95">
        <v>0</v>
      </c>
      <c r="F160" s="95">
        <v>0</v>
      </c>
      <c r="G160" s="96">
        <f t="shared" si="10"/>
        <v>0</v>
      </c>
      <c r="H160" s="97"/>
      <c r="I160" s="98">
        <v>0</v>
      </c>
      <c r="J160" s="98">
        <v>0</v>
      </c>
      <c r="K160" s="98">
        <v>0</v>
      </c>
      <c r="L160" s="96">
        <f t="shared" si="11"/>
        <v>0</v>
      </c>
      <c r="M160" s="99">
        <f t="shared" si="12"/>
        <v>0</v>
      </c>
    </row>
    <row r="161" spans="1:13" x14ac:dyDescent="0.2">
      <c r="A161" s="35">
        <v>50</v>
      </c>
      <c r="B161" s="100">
        <v>1920</v>
      </c>
      <c r="C161" s="102" t="s">
        <v>192</v>
      </c>
      <c r="D161" s="95">
        <v>420935.43</v>
      </c>
      <c r="E161" s="95">
        <v>18754.03</v>
      </c>
      <c r="F161" s="95">
        <v>0</v>
      </c>
      <c r="G161" s="96">
        <f t="shared" si="10"/>
        <v>439689.45999999996</v>
      </c>
      <c r="H161" s="97"/>
      <c r="I161" s="98">
        <v>393082.07</v>
      </c>
      <c r="J161" s="98">
        <v>21502.02</v>
      </c>
      <c r="K161" s="98">
        <v>0</v>
      </c>
      <c r="L161" s="96">
        <f t="shared" si="11"/>
        <v>414584.09</v>
      </c>
      <c r="M161" s="99">
        <f t="shared" si="12"/>
        <v>25105.369999999937</v>
      </c>
    </row>
    <row r="162" spans="1:13" ht="25.5" x14ac:dyDescent="0.2">
      <c r="A162" s="35">
        <v>45</v>
      </c>
      <c r="B162" s="103">
        <v>1920</v>
      </c>
      <c r="C162" s="94" t="s">
        <v>194</v>
      </c>
      <c r="D162" s="95">
        <v>0</v>
      </c>
      <c r="E162" s="95">
        <v>0</v>
      </c>
      <c r="F162" s="95">
        <v>0</v>
      </c>
      <c r="G162" s="96">
        <f t="shared" si="10"/>
        <v>0</v>
      </c>
      <c r="H162" s="97"/>
      <c r="I162" s="98">
        <v>0</v>
      </c>
      <c r="J162" s="98">
        <v>0</v>
      </c>
      <c r="K162" s="98">
        <v>0</v>
      </c>
      <c r="L162" s="96">
        <f t="shared" si="11"/>
        <v>0</v>
      </c>
      <c r="M162" s="99">
        <f t="shared" si="12"/>
        <v>0</v>
      </c>
    </row>
    <row r="163" spans="1:13" ht="25.5" x14ac:dyDescent="0.2">
      <c r="A163" s="35">
        <v>45</v>
      </c>
      <c r="B163" s="103">
        <v>1920</v>
      </c>
      <c r="C163" s="94" t="s">
        <v>193</v>
      </c>
      <c r="D163" s="95">
        <v>0</v>
      </c>
      <c r="E163" s="95">
        <v>0</v>
      </c>
      <c r="F163" s="95">
        <v>0</v>
      </c>
      <c r="G163" s="96">
        <f t="shared" si="10"/>
        <v>0</v>
      </c>
      <c r="H163" s="97"/>
      <c r="I163" s="98">
        <v>0</v>
      </c>
      <c r="J163" s="98">
        <v>0</v>
      </c>
      <c r="K163" s="98">
        <v>0</v>
      </c>
      <c r="L163" s="96">
        <f t="shared" si="11"/>
        <v>0</v>
      </c>
      <c r="M163" s="99">
        <f t="shared" si="12"/>
        <v>0</v>
      </c>
    </row>
    <row r="164" spans="1:13" x14ac:dyDescent="0.2">
      <c r="A164" s="35">
        <v>10</v>
      </c>
      <c r="B164" s="1530">
        <v>1930</v>
      </c>
      <c r="C164" s="102" t="s">
        <v>263</v>
      </c>
      <c r="D164" s="95">
        <v>159404.95000000001</v>
      </c>
      <c r="E164" s="95">
        <v>44962.720000000001</v>
      </c>
      <c r="F164" s="95">
        <v>-34598.800000000003</v>
      </c>
      <c r="G164" s="96">
        <f t="shared" si="10"/>
        <v>169768.87</v>
      </c>
      <c r="H164" s="97"/>
      <c r="I164" s="98">
        <v>121548.09999999999</v>
      </c>
      <c r="J164" s="98">
        <v>15430.34</v>
      </c>
      <c r="K164" s="98">
        <v>-34598.800000000003</v>
      </c>
      <c r="L164" s="96">
        <f t="shared" si="11"/>
        <v>102379.64</v>
      </c>
      <c r="M164" s="99">
        <f t="shared" si="12"/>
        <v>67389.23</v>
      </c>
    </row>
    <row r="165" spans="1:13" x14ac:dyDescent="0.2">
      <c r="A165" s="35">
        <v>10</v>
      </c>
      <c r="B165" s="1473">
        <v>1930</v>
      </c>
      <c r="C165" s="1474" t="s">
        <v>1403</v>
      </c>
      <c r="D165" s="95">
        <v>940581.07</v>
      </c>
      <c r="E165" s="95">
        <v>0</v>
      </c>
      <c r="F165" s="95">
        <v>0</v>
      </c>
      <c r="G165" s="96">
        <f t="shared" si="10"/>
        <v>940581.07</v>
      </c>
      <c r="H165" s="97"/>
      <c r="I165" s="98">
        <v>475984.30000000005</v>
      </c>
      <c r="J165" s="98">
        <v>79258.009999999995</v>
      </c>
      <c r="K165" s="98">
        <v>0</v>
      </c>
      <c r="L165" s="96">
        <f t="shared" si="11"/>
        <v>555242.31000000006</v>
      </c>
      <c r="M165" s="99">
        <f t="shared" si="12"/>
        <v>385338.75999999989</v>
      </c>
    </row>
    <row r="166" spans="1:13" x14ac:dyDescent="0.2">
      <c r="A166" s="35">
        <v>10</v>
      </c>
      <c r="B166" s="1473">
        <v>1930</v>
      </c>
      <c r="C166" s="1474" t="s">
        <v>1404</v>
      </c>
      <c r="D166" s="95">
        <v>38458.050000000003</v>
      </c>
      <c r="E166" s="95">
        <v>0</v>
      </c>
      <c r="F166" s="95">
        <v>0</v>
      </c>
      <c r="G166" s="96">
        <f t="shared" si="10"/>
        <v>38458.050000000003</v>
      </c>
      <c r="H166" s="97"/>
      <c r="I166" s="98">
        <v>38458.050000000003</v>
      </c>
      <c r="J166" s="98">
        <v>0</v>
      </c>
      <c r="K166" s="98">
        <v>0</v>
      </c>
      <c r="L166" s="96">
        <f t="shared" si="11"/>
        <v>38458.050000000003</v>
      </c>
      <c r="M166" s="99">
        <f t="shared" si="12"/>
        <v>0</v>
      </c>
    </row>
    <row r="167" spans="1:13" x14ac:dyDescent="0.2">
      <c r="A167" s="35">
        <v>8</v>
      </c>
      <c r="B167" s="1530">
        <v>1935</v>
      </c>
      <c r="C167" s="102" t="s">
        <v>264</v>
      </c>
      <c r="D167" s="95">
        <v>24683.61</v>
      </c>
      <c r="E167" s="95">
        <v>0</v>
      </c>
      <c r="F167" s="95">
        <v>0</v>
      </c>
      <c r="G167" s="96">
        <f t="shared" si="10"/>
        <v>24683.61</v>
      </c>
      <c r="H167" s="97"/>
      <c r="I167" s="98">
        <v>20463.960000000003</v>
      </c>
      <c r="J167" s="98">
        <v>1044.31</v>
      </c>
      <c r="K167" s="98">
        <v>0</v>
      </c>
      <c r="L167" s="96">
        <f t="shared" si="11"/>
        <v>21508.270000000004</v>
      </c>
      <c r="M167" s="99">
        <f t="shared" si="12"/>
        <v>3175.3399999999965</v>
      </c>
    </row>
    <row r="168" spans="1:13" x14ac:dyDescent="0.2">
      <c r="A168" s="35">
        <v>8</v>
      </c>
      <c r="B168" s="1530">
        <v>1940</v>
      </c>
      <c r="C168" s="102" t="s">
        <v>265</v>
      </c>
      <c r="D168" s="95">
        <v>471612.56</v>
      </c>
      <c r="E168" s="95">
        <v>3842</v>
      </c>
      <c r="F168" s="95">
        <v>0</v>
      </c>
      <c r="G168" s="96">
        <f t="shared" si="10"/>
        <v>475454.56</v>
      </c>
      <c r="H168" s="97"/>
      <c r="I168" s="98">
        <v>440376.74</v>
      </c>
      <c r="J168" s="98">
        <v>11984.08</v>
      </c>
      <c r="K168" s="98">
        <v>0</v>
      </c>
      <c r="L168" s="96">
        <f t="shared" si="11"/>
        <v>452360.82</v>
      </c>
      <c r="M168" s="99">
        <f t="shared" si="12"/>
        <v>23093.739999999991</v>
      </c>
    </row>
    <row r="169" spans="1:13" x14ac:dyDescent="0.2">
      <c r="A169" s="35">
        <v>8</v>
      </c>
      <c r="B169" s="1530">
        <v>1945</v>
      </c>
      <c r="C169" s="102" t="s">
        <v>266</v>
      </c>
      <c r="D169" s="95">
        <v>0</v>
      </c>
      <c r="E169" s="95">
        <v>0</v>
      </c>
      <c r="F169" s="95">
        <v>0</v>
      </c>
      <c r="G169" s="96">
        <f t="shared" si="10"/>
        <v>0</v>
      </c>
      <c r="H169" s="97"/>
      <c r="I169" s="98">
        <v>0</v>
      </c>
      <c r="J169" s="98">
        <v>0</v>
      </c>
      <c r="K169" s="98">
        <v>0</v>
      </c>
      <c r="L169" s="96">
        <f t="shared" si="11"/>
        <v>0</v>
      </c>
      <c r="M169" s="99">
        <f t="shared" si="12"/>
        <v>0</v>
      </c>
    </row>
    <row r="170" spans="1:13" x14ac:dyDescent="0.2">
      <c r="A170" s="35">
        <v>8</v>
      </c>
      <c r="B170" s="1530">
        <v>1950</v>
      </c>
      <c r="C170" s="102" t="s">
        <v>195</v>
      </c>
      <c r="D170" s="95">
        <v>0</v>
      </c>
      <c r="E170" s="95">
        <v>0</v>
      </c>
      <c r="F170" s="95">
        <v>0</v>
      </c>
      <c r="G170" s="96">
        <f t="shared" si="10"/>
        <v>0</v>
      </c>
      <c r="H170" s="97"/>
      <c r="I170" s="98">
        <v>0</v>
      </c>
      <c r="J170" s="98">
        <v>0</v>
      </c>
      <c r="K170" s="98">
        <v>0</v>
      </c>
      <c r="L170" s="96">
        <f t="shared" si="11"/>
        <v>0</v>
      </c>
      <c r="M170" s="99">
        <f t="shared" si="12"/>
        <v>0</v>
      </c>
    </row>
    <row r="171" spans="1:13" x14ac:dyDescent="0.2">
      <c r="A171" s="35">
        <v>8</v>
      </c>
      <c r="B171" s="1530">
        <v>1955</v>
      </c>
      <c r="C171" s="102" t="s">
        <v>267</v>
      </c>
      <c r="D171" s="95">
        <v>54383.11</v>
      </c>
      <c r="E171" s="95">
        <v>0</v>
      </c>
      <c r="F171" s="95">
        <v>0</v>
      </c>
      <c r="G171" s="96">
        <f t="shared" si="10"/>
        <v>54383.11</v>
      </c>
      <c r="H171" s="97"/>
      <c r="I171" s="98">
        <v>46435.090000000004</v>
      </c>
      <c r="J171" s="98">
        <v>2869.19</v>
      </c>
      <c r="K171" s="98">
        <v>0</v>
      </c>
      <c r="L171" s="96">
        <f t="shared" si="11"/>
        <v>49304.280000000006</v>
      </c>
      <c r="M171" s="99">
        <f t="shared" si="12"/>
        <v>5078.8299999999945</v>
      </c>
    </row>
    <row r="172" spans="1:13" x14ac:dyDescent="0.2">
      <c r="A172" s="35">
        <v>8</v>
      </c>
      <c r="B172" s="103">
        <v>1955</v>
      </c>
      <c r="C172" s="104" t="s">
        <v>196</v>
      </c>
      <c r="D172" s="95">
        <v>0</v>
      </c>
      <c r="E172" s="95">
        <v>0</v>
      </c>
      <c r="F172" s="95">
        <v>0</v>
      </c>
      <c r="G172" s="96">
        <f t="shared" si="10"/>
        <v>0</v>
      </c>
      <c r="H172" s="97"/>
      <c r="I172" s="98">
        <v>0</v>
      </c>
      <c r="J172" s="98">
        <v>0</v>
      </c>
      <c r="K172" s="98">
        <v>0</v>
      </c>
      <c r="L172" s="96">
        <f t="shared" si="11"/>
        <v>0</v>
      </c>
      <c r="M172" s="99">
        <f t="shared" si="12"/>
        <v>0</v>
      </c>
    </row>
    <row r="173" spans="1:13" x14ac:dyDescent="0.2">
      <c r="A173" s="35">
        <v>8</v>
      </c>
      <c r="B173" s="105">
        <v>1960</v>
      </c>
      <c r="C173" s="94" t="s">
        <v>197</v>
      </c>
      <c r="D173" s="95">
        <v>0</v>
      </c>
      <c r="E173" s="95">
        <v>0</v>
      </c>
      <c r="F173" s="95">
        <v>0</v>
      </c>
      <c r="G173" s="96">
        <f t="shared" si="10"/>
        <v>0</v>
      </c>
      <c r="H173" s="97"/>
      <c r="I173" s="98">
        <v>0</v>
      </c>
      <c r="J173" s="98">
        <v>0</v>
      </c>
      <c r="K173" s="98">
        <v>0</v>
      </c>
      <c r="L173" s="96">
        <f t="shared" si="11"/>
        <v>0</v>
      </c>
      <c r="M173" s="99">
        <f t="shared" si="12"/>
        <v>0</v>
      </c>
    </row>
    <row r="174" spans="1:13" ht="25.5" x14ac:dyDescent="0.2">
      <c r="A174" s="35">
        <v>47</v>
      </c>
      <c r="B174" s="105">
        <v>1970</v>
      </c>
      <c r="C174" s="102" t="s">
        <v>448</v>
      </c>
      <c r="D174" s="95">
        <v>0</v>
      </c>
      <c r="E174" s="95">
        <v>0</v>
      </c>
      <c r="F174" s="95">
        <v>0</v>
      </c>
      <c r="G174" s="96">
        <f t="shared" si="10"/>
        <v>0</v>
      </c>
      <c r="H174" s="97"/>
      <c r="I174" s="98">
        <v>0</v>
      </c>
      <c r="J174" s="98">
        <v>0</v>
      </c>
      <c r="K174" s="98">
        <v>0</v>
      </c>
      <c r="L174" s="96">
        <f t="shared" si="11"/>
        <v>0</v>
      </c>
      <c r="M174" s="99">
        <f t="shared" si="12"/>
        <v>0</v>
      </c>
    </row>
    <row r="175" spans="1:13" ht="25.5" x14ac:dyDescent="0.2">
      <c r="A175" s="35">
        <v>47</v>
      </c>
      <c r="B175" s="1530">
        <v>1975</v>
      </c>
      <c r="C175" s="102" t="s">
        <v>268</v>
      </c>
      <c r="D175" s="95">
        <v>0</v>
      </c>
      <c r="E175" s="95">
        <v>0</v>
      </c>
      <c r="F175" s="95">
        <v>0</v>
      </c>
      <c r="G175" s="96">
        <f t="shared" si="10"/>
        <v>0</v>
      </c>
      <c r="H175" s="97"/>
      <c r="I175" s="98">
        <v>0</v>
      </c>
      <c r="J175" s="98">
        <v>0</v>
      </c>
      <c r="K175" s="98">
        <v>0</v>
      </c>
      <c r="L175" s="96">
        <f t="shared" si="11"/>
        <v>0</v>
      </c>
      <c r="M175" s="99">
        <f t="shared" si="12"/>
        <v>0</v>
      </c>
    </row>
    <row r="176" spans="1:13" x14ac:dyDescent="0.2">
      <c r="A176" s="35">
        <v>47</v>
      </c>
      <c r="B176" s="1530">
        <v>1980</v>
      </c>
      <c r="C176" s="102" t="s">
        <v>269</v>
      </c>
      <c r="D176" s="95">
        <v>563919.71</v>
      </c>
      <c r="E176" s="95">
        <v>0</v>
      </c>
      <c r="F176" s="95">
        <v>0</v>
      </c>
      <c r="G176" s="96">
        <f t="shared" si="10"/>
        <v>563919.71</v>
      </c>
      <c r="H176" s="97"/>
      <c r="I176" s="98">
        <v>335168.71999999997</v>
      </c>
      <c r="J176" s="98">
        <v>35409.06</v>
      </c>
      <c r="K176" s="98">
        <v>0</v>
      </c>
      <c r="L176" s="96">
        <f t="shared" si="11"/>
        <v>370577.77999999997</v>
      </c>
      <c r="M176" s="99">
        <f t="shared" si="12"/>
        <v>193341.93</v>
      </c>
    </row>
    <row r="177" spans="1:13" x14ac:dyDescent="0.2">
      <c r="A177" s="35">
        <v>47</v>
      </c>
      <c r="B177" s="1530">
        <v>1985</v>
      </c>
      <c r="C177" s="102" t="s">
        <v>270</v>
      </c>
      <c r="D177" s="95">
        <v>0</v>
      </c>
      <c r="E177" s="95">
        <v>0</v>
      </c>
      <c r="F177" s="95">
        <v>0</v>
      </c>
      <c r="G177" s="96">
        <f t="shared" si="10"/>
        <v>0</v>
      </c>
      <c r="H177" s="97"/>
      <c r="I177" s="98">
        <v>0</v>
      </c>
      <c r="J177" s="98">
        <v>0</v>
      </c>
      <c r="K177" s="98">
        <v>0</v>
      </c>
      <c r="L177" s="96">
        <f t="shared" si="11"/>
        <v>0</v>
      </c>
      <c r="M177" s="99">
        <f t="shared" si="12"/>
        <v>0</v>
      </c>
    </row>
    <row r="178" spans="1:13" x14ac:dyDescent="0.2">
      <c r="A178" s="35">
        <v>47</v>
      </c>
      <c r="B178" s="1530">
        <v>1990</v>
      </c>
      <c r="C178" s="1491" t="s">
        <v>449</v>
      </c>
      <c r="D178" s="95">
        <v>0</v>
      </c>
      <c r="E178" s="95">
        <v>0</v>
      </c>
      <c r="F178" s="95">
        <v>0</v>
      </c>
      <c r="G178" s="96">
        <f t="shared" si="10"/>
        <v>0</v>
      </c>
      <c r="H178" s="97"/>
      <c r="I178" s="98">
        <v>0</v>
      </c>
      <c r="J178" s="98">
        <v>0</v>
      </c>
      <c r="K178" s="98">
        <v>0</v>
      </c>
      <c r="L178" s="96">
        <f t="shared" si="11"/>
        <v>0</v>
      </c>
      <c r="M178" s="99">
        <f t="shared" si="12"/>
        <v>0</v>
      </c>
    </row>
    <row r="179" spans="1:13" x14ac:dyDescent="0.2">
      <c r="A179" s="35">
        <v>47</v>
      </c>
      <c r="B179" s="1473">
        <v>1995</v>
      </c>
      <c r="C179" s="1474" t="s">
        <v>1405</v>
      </c>
      <c r="D179" s="95">
        <v>-238366.01</v>
      </c>
      <c r="E179" s="95">
        <v>0</v>
      </c>
      <c r="F179" s="95">
        <v>0</v>
      </c>
      <c r="G179" s="96">
        <f t="shared" si="10"/>
        <v>-238366.01</v>
      </c>
      <c r="H179" s="97"/>
      <c r="I179" s="98">
        <v>-71138.540000000037</v>
      </c>
      <c r="J179" s="98">
        <v>-4547.6400000000003</v>
      </c>
      <c r="K179" s="98">
        <v>0</v>
      </c>
      <c r="L179" s="96">
        <f t="shared" si="11"/>
        <v>-75686.180000000037</v>
      </c>
      <c r="M179" s="99">
        <f t="shared" si="12"/>
        <v>-162679.82999999996</v>
      </c>
    </row>
    <row r="180" spans="1:13" x14ac:dyDescent="0.2">
      <c r="A180" s="35">
        <v>47</v>
      </c>
      <c r="B180" s="1473">
        <v>1995</v>
      </c>
      <c r="C180" s="1474" t="s">
        <v>1406</v>
      </c>
      <c r="D180" s="95">
        <v>-235221.35</v>
      </c>
      <c r="E180" s="95">
        <v>0</v>
      </c>
      <c r="F180" s="95">
        <v>0</v>
      </c>
      <c r="G180" s="96">
        <f t="shared" si="10"/>
        <v>-235221.35</v>
      </c>
      <c r="H180" s="97"/>
      <c r="I180" s="98">
        <v>-77319.75</v>
      </c>
      <c r="J180" s="98">
        <v>-3107.25</v>
      </c>
      <c r="K180" s="98">
        <v>0</v>
      </c>
      <c r="L180" s="96">
        <f t="shared" si="11"/>
        <v>-80427</v>
      </c>
      <c r="M180" s="99">
        <f t="shared" si="12"/>
        <v>-154794.35</v>
      </c>
    </row>
    <row r="181" spans="1:13" x14ac:dyDescent="0.2">
      <c r="A181" s="35">
        <v>47</v>
      </c>
      <c r="B181" s="1473">
        <v>1995</v>
      </c>
      <c r="C181" s="1474" t="s">
        <v>1407</v>
      </c>
      <c r="D181" s="95">
        <v>-146562.29999999999</v>
      </c>
      <c r="E181" s="95">
        <v>0</v>
      </c>
      <c r="F181" s="95">
        <v>0</v>
      </c>
      <c r="G181" s="96">
        <f t="shared" si="10"/>
        <v>-146562.29999999999</v>
      </c>
      <c r="H181" s="97"/>
      <c r="I181" s="98">
        <v>-52709.15</v>
      </c>
      <c r="J181" s="98">
        <v>-1877.9399999999998</v>
      </c>
      <c r="K181" s="98">
        <v>0</v>
      </c>
      <c r="L181" s="96">
        <f t="shared" si="11"/>
        <v>-54587.090000000004</v>
      </c>
      <c r="M181" s="99">
        <f t="shared" si="12"/>
        <v>-91975.209999999992</v>
      </c>
    </row>
    <row r="182" spans="1:13" x14ac:dyDescent="0.2">
      <c r="A182" s="35">
        <v>47</v>
      </c>
      <c r="B182" s="1473">
        <v>1995</v>
      </c>
      <c r="C182" s="1474" t="s">
        <v>1408</v>
      </c>
      <c r="D182" s="95">
        <v>-879221.65999999968</v>
      </c>
      <c r="E182" s="95">
        <v>0</v>
      </c>
      <c r="F182" s="95">
        <v>0</v>
      </c>
      <c r="G182" s="96">
        <f t="shared" si="10"/>
        <v>-879221.65999999968</v>
      </c>
      <c r="H182" s="97"/>
      <c r="I182" s="98">
        <v>-225235.76</v>
      </c>
      <c r="J182" s="98">
        <v>-11279.98</v>
      </c>
      <c r="K182" s="98">
        <v>0</v>
      </c>
      <c r="L182" s="96">
        <f t="shared" si="11"/>
        <v>-236515.74000000002</v>
      </c>
      <c r="M182" s="99">
        <f t="shared" si="12"/>
        <v>-642705.91999999969</v>
      </c>
    </row>
    <row r="183" spans="1:13" x14ac:dyDescent="0.2">
      <c r="A183" s="35">
        <v>47</v>
      </c>
      <c r="B183" s="1473">
        <v>1995</v>
      </c>
      <c r="C183" s="1474" t="s">
        <v>1409</v>
      </c>
      <c r="D183" s="95">
        <v>-1788777.8800000001</v>
      </c>
      <c r="E183" s="95">
        <v>0</v>
      </c>
      <c r="F183" s="95">
        <v>0</v>
      </c>
      <c r="G183" s="96">
        <f t="shared" si="10"/>
        <v>-1788777.8800000001</v>
      </c>
      <c r="H183" s="97"/>
      <c r="I183" s="98">
        <v>-617675.89999999991</v>
      </c>
      <c r="J183" s="98">
        <v>-32680.69</v>
      </c>
      <c r="K183" s="98">
        <v>0</v>
      </c>
      <c r="L183" s="96">
        <f t="shared" si="11"/>
        <v>-650356.58999999985</v>
      </c>
      <c r="M183" s="99">
        <f t="shared" si="12"/>
        <v>-1138421.2900000003</v>
      </c>
    </row>
    <row r="184" spans="1:13" x14ac:dyDescent="0.2">
      <c r="A184" s="35">
        <v>47</v>
      </c>
      <c r="B184" s="1473">
        <v>1995</v>
      </c>
      <c r="C184" s="1474" t="s">
        <v>1410</v>
      </c>
      <c r="D184" s="95">
        <v>-1606652.53</v>
      </c>
      <c r="E184" s="95">
        <v>0</v>
      </c>
      <c r="F184" s="95">
        <v>0</v>
      </c>
      <c r="G184" s="96">
        <f t="shared" si="10"/>
        <v>-1606652.53</v>
      </c>
      <c r="H184" s="97"/>
      <c r="I184" s="98">
        <v>-462902.76</v>
      </c>
      <c r="J184" s="98">
        <v>-30624.559999999998</v>
      </c>
      <c r="K184" s="98">
        <v>0</v>
      </c>
      <c r="L184" s="96">
        <f t="shared" si="11"/>
        <v>-493527.32</v>
      </c>
      <c r="M184" s="99">
        <f t="shared" si="12"/>
        <v>-1113125.21</v>
      </c>
    </row>
    <row r="185" spans="1:13" x14ac:dyDescent="0.2">
      <c r="A185" s="35">
        <v>47</v>
      </c>
      <c r="B185" s="1473">
        <v>1995</v>
      </c>
      <c r="C185" s="1474" t="s">
        <v>1411</v>
      </c>
      <c r="D185" s="95">
        <v>-2283741.11</v>
      </c>
      <c r="E185" s="95">
        <v>0</v>
      </c>
      <c r="F185" s="95">
        <v>0</v>
      </c>
      <c r="G185" s="96">
        <f t="shared" si="10"/>
        <v>-2283741.11</v>
      </c>
      <c r="H185" s="97"/>
      <c r="I185" s="98">
        <v>-714651.86</v>
      </c>
      <c r="J185" s="98">
        <v>-42859.020000000004</v>
      </c>
      <c r="K185" s="98">
        <v>0</v>
      </c>
      <c r="L185" s="96">
        <f t="shared" si="11"/>
        <v>-757510.88</v>
      </c>
      <c r="M185" s="99">
        <f t="shared" si="12"/>
        <v>-1526230.23</v>
      </c>
    </row>
    <row r="186" spans="1:13" x14ac:dyDescent="0.2">
      <c r="A186" s="35">
        <v>47</v>
      </c>
      <c r="B186" s="1473">
        <v>1995</v>
      </c>
      <c r="C186" s="1474" t="s">
        <v>1412</v>
      </c>
      <c r="D186" s="95">
        <v>-7343.73</v>
      </c>
      <c r="E186" s="95">
        <v>0</v>
      </c>
      <c r="F186" s="95">
        <v>0</v>
      </c>
      <c r="G186" s="96">
        <f t="shared" si="10"/>
        <v>-7343.73</v>
      </c>
      <c r="H186" s="97"/>
      <c r="I186" s="98">
        <v>-3611.87</v>
      </c>
      <c r="J186" s="98">
        <v>-293.75</v>
      </c>
      <c r="K186" s="98">
        <v>0</v>
      </c>
      <c r="L186" s="96">
        <f t="shared" si="11"/>
        <v>-3905.62</v>
      </c>
      <c r="M186" s="99">
        <f t="shared" si="12"/>
        <v>-3438.1099999999997</v>
      </c>
    </row>
    <row r="187" spans="1:13" x14ac:dyDescent="0.2">
      <c r="A187" s="35">
        <v>47</v>
      </c>
      <c r="B187" s="1473">
        <v>1995</v>
      </c>
      <c r="C187" s="1474" t="s">
        <v>1413</v>
      </c>
      <c r="D187" s="95">
        <v>-13000</v>
      </c>
      <c r="E187" s="95">
        <v>0</v>
      </c>
      <c r="F187" s="95">
        <v>0</v>
      </c>
      <c r="G187" s="96">
        <f t="shared" si="10"/>
        <v>-13000</v>
      </c>
      <c r="H187" s="97"/>
      <c r="I187" s="98">
        <v>-3789.6499999999996</v>
      </c>
      <c r="J187" s="98">
        <v>-204.68</v>
      </c>
      <c r="K187" s="98">
        <v>0</v>
      </c>
      <c r="L187" s="96">
        <f t="shared" si="11"/>
        <v>-3994.3299999999995</v>
      </c>
      <c r="M187" s="99">
        <f t="shared" si="12"/>
        <v>-9005.67</v>
      </c>
    </row>
    <row r="188" spans="1:13" x14ac:dyDescent="0.2">
      <c r="A188" s="35">
        <v>47</v>
      </c>
      <c r="B188" s="1473">
        <v>1995</v>
      </c>
      <c r="C188" s="1474" t="s">
        <v>1414</v>
      </c>
      <c r="D188" s="95">
        <v>-9721.93</v>
      </c>
      <c r="E188" s="95">
        <v>0</v>
      </c>
      <c r="F188" s="95">
        <v>0</v>
      </c>
      <c r="G188" s="96">
        <f t="shared" si="10"/>
        <v>-9721.93</v>
      </c>
      <c r="H188" s="97"/>
      <c r="I188" s="98">
        <v>-9721.93</v>
      </c>
      <c r="J188" s="98">
        <v>0</v>
      </c>
      <c r="K188" s="98">
        <v>0</v>
      </c>
      <c r="L188" s="96">
        <f t="shared" si="11"/>
        <v>-9721.93</v>
      </c>
      <c r="M188" s="99">
        <f t="shared" si="12"/>
        <v>0</v>
      </c>
    </row>
    <row r="189" spans="1:13" x14ac:dyDescent="0.2">
      <c r="A189" s="35">
        <v>47</v>
      </c>
      <c r="B189" s="1473">
        <v>2440</v>
      </c>
      <c r="C189" s="1474" t="s">
        <v>1415</v>
      </c>
      <c r="D189" s="95">
        <v>9252.48</v>
      </c>
      <c r="E189" s="95">
        <v>-4658.47</v>
      </c>
      <c r="F189" s="95">
        <v>0</v>
      </c>
      <c r="G189" s="96">
        <f t="shared" si="10"/>
        <v>4594.0099999999993</v>
      </c>
      <c r="I189" s="98">
        <v>102.81</v>
      </c>
      <c r="J189" s="98">
        <v>153.85</v>
      </c>
      <c r="K189" s="98">
        <v>0</v>
      </c>
      <c r="L189" s="96">
        <f t="shared" si="11"/>
        <v>256.65999999999997</v>
      </c>
      <c r="M189" s="99">
        <f t="shared" si="12"/>
        <v>4337.3499999999995</v>
      </c>
    </row>
    <row r="190" spans="1:13" ht="25.5" x14ac:dyDescent="0.2">
      <c r="A190" s="35">
        <v>47</v>
      </c>
      <c r="B190" s="1473">
        <v>2440</v>
      </c>
      <c r="C190" s="1474" t="s">
        <v>1416</v>
      </c>
      <c r="D190" s="95">
        <v>167.62</v>
      </c>
      <c r="E190" s="95">
        <v>-4515.87</v>
      </c>
      <c r="F190" s="95">
        <v>0</v>
      </c>
      <c r="G190" s="96">
        <f t="shared" si="10"/>
        <v>-4348.25</v>
      </c>
      <c r="H190" s="97"/>
      <c r="I190" s="98">
        <v>1.4</v>
      </c>
      <c r="J190" s="98">
        <v>-34.840000000000003</v>
      </c>
      <c r="K190" s="98">
        <v>0</v>
      </c>
      <c r="L190" s="96">
        <f t="shared" si="11"/>
        <v>-33.440000000000005</v>
      </c>
      <c r="M190" s="99">
        <f t="shared" si="12"/>
        <v>-4314.8100000000004</v>
      </c>
    </row>
    <row r="191" spans="1:13" ht="25.5" x14ac:dyDescent="0.2">
      <c r="A191" s="35">
        <v>47</v>
      </c>
      <c r="B191" s="1473">
        <v>2440</v>
      </c>
      <c r="C191" s="1474" t="s">
        <v>1417</v>
      </c>
      <c r="D191" s="95">
        <v>-15377.18</v>
      </c>
      <c r="E191" s="95">
        <v>-8277.3799999999992</v>
      </c>
      <c r="F191" s="95">
        <v>0</v>
      </c>
      <c r="G191" s="96">
        <f t="shared" si="10"/>
        <v>-23654.559999999998</v>
      </c>
      <c r="H191" s="97"/>
      <c r="I191" s="98">
        <v>-128.13999999999999</v>
      </c>
      <c r="J191" s="98">
        <v>-325.26</v>
      </c>
      <c r="K191" s="98">
        <v>0</v>
      </c>
      <c r="L191" s="96">
        <f t="shared" si="11"/>
        <v>-453.4</v>
      </c>
      <c r="M191" s="99">
        <f t="shared" si="12"/>
        <v>-23201.159999999996</v>
      </c>
    </row>
    <row r="192" spans="1:13" ht="25.5" x14ac:dyDescent="0.2">
      <c r="A192" s="35">
        <v>47</v>
      </c>
      <c r="B192" s="1473">
        <v>2440</v>
      </c>
      <c r="C192" s="1474" t="s">
        <v>1418</v>
      </c>
      <c r="D192" s="95">
        <v>-219666.69</v>
      </c>
      <c r="E192" s="95">
        <v>-95395.23</v>
      </c>
      <c r="F192" s="95">
        <v>0</v>
      </c>
      <c r="G192" s="96">
        <f t="shared" ref="G192:G201" si="13">D192+E192+F192</f>
        <v>-315061.92</v>
      </c>
      <c r="H192" s="97"/>
      <c r="I192" s="98">
        <v>-1689.74</v>
      </c>
      <c r="J192" s="98">
        <v>-4113.3</v>
      </c>
      <c r="K192" s="98">
        <v>0</v>
      </c>
      <c r="L192" s="96">
        <f t="shared" ref="L192:L201" si="14">I192+J192+K192</f>
        <v>-5803.04</v>
      </c>
      <c r="M192" s="99">
        <f t="shared" si="12"/>
        <v>-309258.88</v>
      </c>
    </row>
    <row r="193" spans="1:13" ht="25.5" x14ac:dyDescent="0.2">
      <c r="A193" s="35">
        <v>47</v>
      </c>
      <c r="B193" s="1473">
        <v>2440</v>
      </c>
      <c r="C193" s="1474" t="s">
        <v>1419</v>
      </c>
      <c r="D193" s="95">
        <v>-212022.33</v>
      </c>
      <c r="E193" s="95">
        <v>-108235.89</v>
      </c>
      <c r="F193" s="95">
        <v>0</v>
      </c>
      <c r="G193" s="96">
        <f t="shared" si="13"/>
        <v>-320258.21999999997</v>
      </c>
      <c r="H193" s="97"/>
      <c r="I193" s="98">
        <v>-2355.8000000000002</v>
      </c>
      <c r="J193" s="98">
        <v>-5914.23</v>
      </c>
      <c r="K193" s="98">
        <v>0</v>
      </c>
      <c r="L193" s="96">
        <f t="shared" si="14"/>
        <v>-8270.0299999999988</v>
      </c>
      <c r="M193" s="99">
        <f t="shared" ref="M193:M201" si="15">G193-L193</f>
        <v>-311988.18999999994</v>
      </c>
    </row>
    <row r="194" spans="1:13" ht="25.5" x14ac:dyDescent="0.2">
      <c r="A194" s="35">
        <v>47</v>
      </c>
      <c r="B194" s="1473">
        <v>2440</v>
      </c>
      <c r="C194" s="1474" t="s">
        <v>1420</v>
      </c>
      <c r="D194" s="95">
        <v>-207443.45</v>
      </c>
      <c r="E194" s="95">
        <v>-262080.34</v>
      </c>
      <c r="F194" s="95">
        <v>0</v>
      </c>
      <c r="G194" s="96">
        <f t="shared" si="13"/>
        <v>-469523.79000000004</v>
      </c>
      <c r="H194" s="97"/>
      <c r="I194" s="98">
        <v>-2304.9299999999998</v>
      </c>
      <c r="J194" s="98">
        <v>-7521.86</v>
      </c>
      <c r="K194" s="98">
        <v>0</v>
      </c>
      <c r="L194" s="96">
        <f t="shared" si="14"/>
        <v>-9826.7899999999991</v>
      </c>
      <c r="M194" s="99">
        <f t="shared" si="15"/>
        <v>-459697.00000000006</v>
      </c>
    </row>
    <row r="195" spans="1:13" ht="25.5" x14ac:dyDescent="0.2">
      <c r="A195" s="35">
        <v>47</v>
      </c>
      <c r="B195" s="1473">
        <v>2440</v>
      </c>
      <c r="C195" s="1474" t="s">
        <v>1421</v>
      </c>
      <c r="D195" s="95">
        <v>-63054.84</v>
      </c>
      <c r="E195" s="95">
        <v>-110362.11</v>
      </c>
      <c r="F195" s="95">
        <v>0</v>
      </c>
      <c r="G195" s="96">
        <f t="shared" si="13"/>
        <v>-173416.95</v>
      </c>
      <c r="H195" s="97"/>
      <c r="I195" s="98">
        <v>-700.61</v>
      </c>
      <c r="J195" s="98">
        <v>-2627.46</v>
      </c>
      <c r="K195" s="98">
        <v>0</v>
      </c>
      <c r="L195" s="96">
        <f t="shared" si="14"/>
        <v>-3328.07</v>
      </c>
      <c r="M195" s="99">
        <f t="shared" si="15"/>
        <v>-170088.88</v>
      </c>
    </row>
    <row r="196" spans="1:13" x14ac:dyDescent="0.2">
      <c r="A196" s="35">
        <v>47</v>
      </c>
      <c r="B196" s="1473">
        <v>2440</v>
      </c>
      <c r="C196" s="1474" t="s">
        <v>1422</v>
      </c>
      <c r="D196" s="95">
        <v>-319.83</v>
      </c>
      <c r="E196" s="95">
        <v>-7196.27</v>
      </c>
      <c r="F196" s="95">
        <v>0</v>
      </c>
      <c r="G196" s="96">
        <f t="shared" si="13"/>
        <v>-7516.1</v>
      </c>
      <c r="H196" s="97"/>
      <c r="I196" s="98">
        <v>-6.39</v>
      </c>
      <c r="J196" s="98">
        <v>-156.71</v>
      </c>
      <c r="K196" s="98">
        <v>0</v>
      </c>
      <c r="L196" s="96">
        <f t="shared" si="14"/>
        <v>-163.1</v>
      </c>
      <c r="M196" s="99">
        <f t="shared" si="15"/>
        <v>-7353</v>
      </c>
    </row>
    <row r="197" spans="1:13" x14ac:dyDescent="0.2">
      <c r="A197" s="35">
        <v>47</v>
      </c>
      <c r="B197" s="1473">
        <v>2440</v>
      </c>
      <c r="C197" s="1474" t="s">
        <v>1423</v>
      </c>
      <c r="D197" s="95">
        <v>0</v>
      </c>
      <c r="E197" s="95">
        <v>0</v>
      </c>
      <c r="F197" s="95">
        <v>0</v>
      </c>
      <c r="G197" s="96">
        <f t="shared" si="13"/>
        <v>0</v>
      </c>
      <c r="H197" s="97"/>
      <c r="I197" s="98">
        <v>0</v>
      </c>
      <c r="J197" s="98">
        <v>0</v>
      </c>
      <c r="K197" s="98">
        <v>0</v>
      </c>
      <c r="L197" s="96">
        <f t="shared" si="14"/>
        <v>0</v>
      </c>
      <c r="M197" s="99">
        <f t="shared" si="15"/>
        <v>0</v>
      </c>
    </row>
    <row r="198" spans="1:13" ht="25.5" x14ac:dyDescent="0.2">
      <c r="A198" s="35">
        <v>47</v>
      </c>
      <c r="B198" s="1473">
        <v>2440</v>
      </c>
      <c r="C198" s="1474" t="s">
        <v>1424</v>
      </c>
      <c r="D198" s="95">
        <v>0</v>
      </c>
      <c r="E198" s="95">
        <v>0</v>
      </c>
      <c r="F198" s="95">
        <v>0</v>
      </c>
      <c r="G198" s="96">
        <f t="shared" si="13"/>
        <v>0</v>
      </c>
      <c r="H198" s="97"/>
      <c r="I198" s="98">
        <v>0</v>
      </c>
      <c r="J198" s="98">
        <v>0</v>
      </c>
      <c r="K198" s="98">
        <v>0</v>
      </c>
      <c r="L198" s="96">
        <f t="shared" si="14"/>
        <v>0</v>
      </c>
      <c r="M198" s="99">
        <f t="shared" si="15"/>
        <v>0</v>
      </c>
    </row>
    <row r="199" spans="1:13" x14ac:dyDescent="0.2">
      <c r="A199" s="35">
        <v>47</v>
      </c>
      <c r="B199" s="1473">
        <v>2440</v>
      </c>
      <c r="C199" s="1474" t="s">
        <v>1425</v>
      </c>
      <c r="D199" s="95">
        <v>0</v>
      </c>
      <c r="E199" s="95">
        <v>0</v>
      </c>
      <c r="F199" s="95">
        <v>0</v>
      </c>
      <c r="G199" s="96">
        <f t="shared" si="13"/>
        <v>0</v>
      </c>
      <c r="H199" s="97"/>
      <c r="I199" s="98">
        <v>0</v>
      </c>
      <c r="J199" s="98">
        <v>0</v>
      </c>
      <c r="K199" s="98">
        <v>0</v>
      </c>
      <c r="L199" s="96">
        <f t="shared" si="14"/>
        <v>0</v>
      </c>
      <c r="M199" s="99">
        <f t="shared" si="15"/>
        <v>0</v>
      </c>
    </row>
    <row r="200" spans="1:13" x14ac:dyDescent="0.2">
      <c r="A200" s="35">
        <v>43.1</v>
      </c>
      <c r="B200" s="1473">
        <v>2440</v>
      </c>
      <c r="C200" s="1474" t="s">
        <v>1426</v>
      </c>
      <c r="D200" s="95">
        <v>0</v>
      </c>
      <c r="E200" s="95">
        <v>0</v>
      </c>
      <c r="F200" s="95">
        <v>0</v>
      </c>
      <c r="G200" s="96">
        <f t="shared" si="13"/>
        <v>0</v>
      </c>
      <c r="H200" s="97"/>
      <c r="I200" s="98">
        <v>0</v>
      </c>
      <c r="J200" s="98">
        <v>0</v>
      </c>
      <c r="K200" s="98">
        <v>0</v>
      </c>
      <c r="L200" s="96">
        <f t="shared" si="14"/>
        <v>0</v>
      </c>
      <c r="M200" s="99">
        <f t="shared" si="15"/>
        <v>0</v>
      </c>
    </row>
    <row r="201" spans="1:13" x14ac:dyDescent="0.2">
      <c r="A201" s="106"/>
      <c r="B201" s="106"/>
      <c r="C201" s="107"/>
      <c r="D201" s="95">
        <v>0</v>
      </c>
      <c r="E201" s="95">
        <v>0</v>
      </c>
      <c r="F201" s="95">
        <v>0</v>
      </c>
      <c r="G201" s="96">
        <f t="shared" si="13"/>
        <v>0</v>
      </c>
      <c r="I201" s="98">
        <v>0</v>
      </c>
      <c r="J201" s="98">
        <v>0</v>
      </c>
      <c r="K201" s="98">
        <v>0</v>
      </c>
      <c r="L201" s="96">
        <f t="shared" si="14"/>
        <v>0</v>
      </c>
      <c r="M201" s="99">
        <f t="shared" si="15"/>
        <v>0</v>
      </c>
    </row>
    <row r="202" spans="1:13" x14ac:dyDescent="0.2">
      <c r="A202" s="106"/>
      <c r="B202" s="106"/>
      <c r="C202" s="109" t="s">
        <v>180</v>
      </c>
      <c r="D202" s="110">
        <f>SUM(D129:D201)</f>
        <v>45977885.969999999</v>
      </c>
      <c r="E202" s="110">
        <f>SUM(E129:E201)</f>
        <v>3649237.7299999995</v>
      </c>
      <c r="F202" s="110">
        <f>SUM(F129:F201)</f>
        <v>-320555.45</v>
      </c>
      <c r="G202" s="110">
        <f>SUM(G129:G201)</f>
        <v>49306568.249999993</v>
      </c>
      <c r="H202" s="110"/>
      <c r="I202" s="110">
        <f>SUM(I129:I201)</f>
        <v>23829773.99000001</v>
      </c>
      <c r="J202" s="110">
        <f>SUM(J129:J201)</f>
        <v>1043515.1100000005</v>
      </c>
      <c r="K202" s="110">
        <f>SUM(K129:K201)</f>
        <v>-276486.08</v>
      </c>
      <c r="L202" s="110">
        <f>SUM(L129:L201)</f>
        <v>24596803.02</v>
      </c>
      <c r="M202" s="110">
        <f>SUM(M129:M201)</f>
        <v>24709765.230000004</v>
      </c>
    </row>
    <row r="203" spans="1:13" ht="37.5" x14ac:dyDescent="0.2">
      <c r="A203" s="106"/>
      <c r="B203" s="106"/>
      <c r="C203" s="111" t="s">
        <v>541</v>
      </c>
      <c r="D203" s="108"/>
      <c r="E203" s="108"/>
      <c r="F203" s="108"/>
      <c r="G203" s="96">
        <f>D203+E203+F203</f>
        <v>0</v>
      </c>
      <c r="I203" s="108"/>
      <c r="J203" s="108"/>
      <c r="K203" s="108"/>
      <c r="L203" s="96">
        <f>I203+J203+K203</f>
        <v>0</v>
      </c>
      <c r="M203" s="99">
        <f>G203+L203</f>
        <v>0</v>
      </c>
    </row>
    <row r="204" spans="1:13" ht="25.5" x14ac:dyDescent="0.2">
      <c r="A204" s="106"/>
      <c r="B204" s="106"/>
      <c r="C204" s="112" t="s">
        <v>540</v>
      </c>
      <c r="D204" s="108"/>
      <c r="E204" s="108"/>
      <c r="F204" s="108"/>
      <c r="G204" s="96">
        <f>D204+E204+F204</f>
        <v>0</v>
      </c>
      <c r="I204" s="108"/>
      <c r="J204" s="108"/>
      <c r="K204" s="108"/>
      <c r="L204" s="96">
        <f>I204+J204+K204</f>
        <v>0</v>
      </c>
      <c r="M204" s="99">
        <f>G204+L204</f>
        <v>0</v>
      </c>
    </row>
    <row r="205" spans="1:13" x14ac:dyDescent="0.2">
      <c r="A205" s="106"/>
      <c r="B205" s="106"/>
      <c r="C205" s="109" t="s">
        <v>450</v>
      </c>
      <c r="D205" s="110">
        <f>SUM(D202:D204)</f>
        <v>45977885.969999999</v>
      </c>
      <c r="E205" s="110">
        <f>SUM(E202:E204)</f>
        <v>3649237.7299999995</v>
      </c>
      <c r="F205" s="110">
        <f>SUM(F202:F204)</f>
        <v>-320555.45</v>
      </c>
      <c r="G205" s="110">
        <f>SUM(G202:G204)</f>
        <v>49306568.249999993</v>
      </c>
      <c r="H205" s="110"/>
      <c r="I205" s="110">
        <f>SUM(I202:I204)</f>
        <v>23829773.99000001</v>
      </c>
      <c r="J205" s="110">
        <f>SUM(J202:J204)</f>
        <v>1043515.1100000005</v>
      </c>
      <c r="K205" s="110">
        <f>SUM(K202:K204)</f>
        <v>-276486.08</v>
      </c>
      <c r="L205" s="110">
        <f>SUM(L202:L204)</f>
        <v>24596803.02</v>
      </c>
      <c r="M205" s="110">
        <f>SUM(M202:M204)</f>
        <v>24709765.230000004</v>
      </c>
    </row>
    <row r="206" spans="1:13" ht="14.25" x14ac:dyDescent="0.2">
      <c r="A206" s="106"/>
      <c r="B206" s="106"/>
      <c r="C206" s="1674" t="s">
        <v>848</v>
      </c>
      <c r="D206" s="1675"/>
      <c r="E206" s="1675"/>
      <c r="F206" s="1675"/>
      <c r="G206" s="1675"/>
      <c r="H206" s="1675"/>
      <c r="I206" s="1676"/>
      <c r="J206" s="108"/>
      <c r="K206" s="113"/>
      <c r="L206" s="114"/>
      <c r="M206" s="115"/>
    </row>
    <row r="207" spans="1:13" x14ac:dyDescent="0.2">
      <c r="A207" s="106"/>
      <c r="B207" s="106"/>
      <c r="C207" s="1674" t="s">
        <v>272</v>
      </c>
      <c r="D207" s="1675"/>
      <c r="E207" s="1675"/>
      <c r="F207" s="1675"/>
      <c r="G207" s="1675"/>
      <c r="H207" s="1675"/>
      <c r="I207" s="1676"/>
      <c r="J207" s="110">
        <f>J205+J206</f>
        <v>1043515.1100000005</v>
      </c>
      <c r="K207" s="113"/>
      <c r="L207" s="114"/>
      <c r="M207" s="115"/>
    </row>
    <row r="208" spans="1:13" x14ac:dyDescent="0.2">
      <c r="A208" s="1498"/>
      <c r="B208" s="1498"/>
    </row>
    <row r="209" spans="1:14" x14ac:dyDescent="0.2">
      <c r="A209" s="1498"/>
      <c r="B209" s="1498"/>
      <c r="I209" s="116" t="s">
        <v>379</v>
      </c>
      <c r="J209" s="1499"/>
    </row>
    <row r="210" spans="1:14" x14ac:dyDescent="0.2">
      <c r="A210" s="106">
        <v>10</v>
      </c>
      <c r="B210" s="106"/>
      <c r="C210" s="107" t="s">
        <v>273</v>
      </c>
      <c r="I210" s="1499" t="s">
        <v>273</v>
      </c>
      <c r="J210" s="1499"/>
      <c r="K210" s="117">
        <v>-94688.349999999991</v>
      </c>
    </row>
    <row r="211" spans="1:14" x14ac:dyDescent="0.2">
      <c r="A211" s="106">
        <v>8</v>
      </c>
      <c r="B211" s="106"/>
      <c r="C211" s="107" t="s">
        <v>264</v>
      </c>
      <c r="I211" s="1499" t="s">
        <v>264</v>
      </c>
      <c r="J211" s="1499"/>
      <c r="K211" s="117">
        <v>-1044.31</v>
      </c>
    </row>
    <row r="212" spans="1:14" x14ac:dyDescent="0.2">
      <c r="A212" s="106">
        <v>8</v>
      </c>
      <c r="B212" s="106"/>
      <c r="C212" s="1480" t="s">
        <v>1433</v>
      </c>
      <c r="I212" s="1477" t="s">
        <v>1433</v>
      </c>
      <c r="J212" s="1499"/>
      <c r="K212" s="117">
        <v>0</v>
      </c>
    </row>
    <row r="213" spans="1:14" x14ac:dyDescent="0.2">
      <c r="A213" s="106">
        <v>8</v>
      </c>
      <c r="B213" s="106"/>
      <c r="C213" s="1480" t="s">
        <v>1434</v>
      </c>
      <c r="I213" s="1477" t="s">
        <v>1434</v>
      </c>
      <c r="J213" s="1499"/>
      <c r="K213" s="117">
        <v>0</v>
      </c>
    </row>
    <row r="214" spans="1:14" x14ac:dyDescent="0.2">
      <c r="A214" s="106">
        <v>8</v>
      </c>
      <c r="B214" s="106"/>
      <c r="C214" s="1480" t="s">
        <v>791</v>
      </c>
      <c r="I214" s="1478">
        <v>1576</v>
      </c>
      <c r="J214" s="1499"/>
      <c r="K214" s="117">
        <v>-145981.34</v>
      </c>
    </row>
    <row r="215" spans="1:14" x14ac:dyDescent="0.2">
      <c r="A215" s="1498"/>
      <c r="B215" s="1498"/>
      <c r="I215" s="1479" t="s">
        <v>1435</v>
      </c>
      <c r="J215" s="1499"/>
      <c r="K215" s="117">
        <v>20539.809999999998</v>
      </c>
    </row>
    <row r="216" spans="1:14" x14ac:dyDescent="0.2">
      <c r="A216" s="1498"/>
      <c r="B216" s="1498"/>
      <c r="I216" s="118" t="s">
        <v>274</v>
      </c>
      <c r="K216" s="1481">
        <f>J207+K212+K210+K211+K213+K214+K215</f>
        <v>822340.92000000039</v>
      </c>
    </row>
    <row r="217" spans="1:14" x14ac:dyDescent="0.2">
      <c r="A217" s="1498"/>
      <c r="B217" s="1498"/>
      <c r="N217" s="119"/>
    </row>
    <row r="218" spans="1:14" x14ac:dyDescent="0.2">
      <c r="A218" s="1498"/>
      <c r="B218" s="1498"/>
    </row>
    <row r="219" spans="1:14" x14ac:dyDescent="0.2">
      <c r="A219" s="1498"/>
      <c r="B219" s="1498"/>
    </row>
    <row r="220" spans="1:14" x14ac:dyDescent="0.2">
      <c r="A220" s="1498"/>
      <c r="B220" s="1498"/>
      <c r="E220" s="68" t="s">
        <v>822</v>
      </c>
      <c r="F220" s="30" t="s">
        <v>95</v>
      </c>
      <c r="H220" s="34"/>
    </row>
    <row r="221" spans="1:14" ht="15" x14ac:dyDescent="0.25">
      <c r="A221" s="1498"/>
      <c r="B221" s="1498"/>
      <c r="C221" s="38"/>
      <c r="E221" s="68" t="s">
        <v>92</v>
      </c>
      <c r="F221" s="82">
        <v>2016</v>
      </c>
      <c r="G221" s="83"/>
    </row>
    <row r="222" spans="1:14" x14ac:dyDescent="0.2">
      <c r="A222" s="1498"/>
      <c r="B222" s="1498"/>
    </row>
    <row r="223" spans="1:14" x14ac:dyDescent="0.2">
      <c r="A223" s="1498"/>
      <c r="B223" s="1498"/>
      <c r="D223" s="1677" t="s">
        <v>242</v>
      </c>
      <c r="E223" s="1678"/>
      <c r="F223" s="1678"/>
      <c r="G223" s="1679"/>
      <c r="I223" s="84"/>
      <c r="J223" s="85" t="s">
        <v>243</v>
      </c>
      <c r="K223" s="85"/>
      <c r="L223" s="86"/>
      <c r="M223" s="81"/>
    </row>
    <row r="224" spans="1:14" ht="25.5" customHeight="1" x14ac:dyDescent="0.2">
      <c r="A224" s="87" t="s">
        <v>917</v>
      </c>
      <c r="B224" s="87" t="s">
        <v>919</v>
      </c>
      <c r="C224" s="88" t="s">
        <v>920</v>
      </c>
      <c r="D224" s="87" t="s">
        <v>213</v>
      </c>
      <c r="E224" s="89" t="s">
        <v>918</v>
      </c>
      <c r="F224" s="89" t="s">
        <v>995</v>
      </c>
      <c r="G224" s="87" t="s">
        <v>241</v>
      </c>
      <c r="H224" s="90"/>
      <c r="I224" s="91" t="s">
        <v>213</v>
      </c>
      <c r="J224" s="92" t="s">
        <v>214</v>
      </c>
      <c r="K224" s="92" t="s">
        <v>995</v>
      </c>
      <c r="L224" s="93" t="s">
        <v>241</v>
      </c>
      <c r="M224" s="87" t="s">
        <v>276</v>
      </c>
    </row>
    <row r="225" spans="1:16" s="1467" customFormat="1" ht="25.5" x14ac:dyDescent="0.2">
      <c r="A225" s="35">
        <v>47</v>
      </c>
      <c r="B225" s="1530">
        <v>1508</v>
      </c>
      <c r="C225" s="94" t="s">
        <v>1390</v>
      </c>
      <c r="D225" s="95">
        <v>2536746.92</v>
      </c>
      <c r="E225" s="95">
        <v>47547.78</v>
      </c>
      <c r="F225" s="95">
        <v>0</v>
      </c>
      <c r="G225" s="96">
        <f t="shared" ref="G225:G287" si="16">D225+E225+F225</f>
        <v>2584294.6999999997</v>
      </c>
      <c r="H225" s="97"/>
      <c r="I225" s="98">
        <v>26417.01</v>
      </c>
      <c r="J225" s="98">
        <v>53133.45</v>
      </c>
      <c r="K225" s="98">
        <v>0</v>
      </c>
      <c r="L225" s="96">
        <f t="shared" ref="L225:L287" si="17">I225+J225+K225</f>
        <v>79550.459999999992</v>
      </c>
      <c r="M225" s="99">
        <f>G225-L225</f>
        <v>2504744.2399999998</v>
      </c>
      <c r="N225" s="1465"/>
      <c r="O225" s="1466">
        <f>AVERAGE(G225,D225)</f>
        <v>2560520.8099999996</v>
      </c>
      <c r="P225" s="1466">
        <f>AVERAGE(L225,I225)</f>
        <v>52983.734999999993</v>
      </c>
    </row>
    <row r="226" spans="1:16" s="1467" customFormat="1" x14ac:dyDescent="0.2">
      <c r="A226" s="35" t="s">
        <v>244</v>
      </c>
      <c r="B226" s="1468">
        <v>1606</v>
      </c>
      <c r="C226" s="1469" t="s">
        <v>1391</v>
      </c>
      <c r="D226" s="1470">
        <v>0</v>
      </c>
      <c r="E226" s="1470">
        <v>0</v>
      </c>
      <c r="F226" s="1470">
        <v>0</v>
      </c>
      <c r="G226" s="96">
        <f t="shared" si="16"/>
        <v>0</v>
      </c>
      <c r="H226" s="1471"/>
      <c r="I226" s="1470">
        <v>0</v>
      </c>
      <c r="J226" s="1470">
        <v>0</v>
      </c>
      <c r="K226" s="1470">
        <v>0</v>
      </c>
      <c r="L226" s="96">
        <f t="shared" si="17"/>
        <v>0</v>
      </c>
      <c r="M226" s="99">
        <f t="shared" ref="M226:M288" si="18">G226-L226</f>
        <v>0</v>
      </c>
      <c r="O226" s="1472">
        <f>AVERAGE(G226,D226)</f>
        <v>0</v>
      </c>
      <c r="P226" s="1472">
        <f>AVERAGE(L226,I226)</f>
        <v>0</v>
      </c>
    </row>
    <row r="227" spans="1:16" ht="25.5" x14ac:dyDescent="0.2">
      <c r="A227" s="35">
        <v>12</v>
      </c>
      <c r="B227" s="1530">
        <v>1611</v>
      </c>
      <c r="C227" s="94" t="s">
        <v>352</v>
      </c>
      <c r="D227" s="95">
        <v>2224505.3499999996</v>
      </c>
      <c r="E227" s="95">
        <v>110456.44</v>
      </c>
      <c r="F227" s="95">
        <v>0</v>
      </c>
      <c r="G227" s="96">
        <f t="shared" si="16"/>
        <v>2334961.7899999996</v>
      </c>
      <c r="H227" s="97"/>
      <c r="I227" s="98">
        <v>2034693.69</v>
      </c>
      <c r="J227" s="98">
        <v>132249.68</v>
      </c>
      <c r="K227" s="98">
        <v>0</v>
      </c>
      <c r="L227" s="96">
        <f t="shared" si="17"/>
        <v>2166943.37</v>
      </c>
      <c r="M227" s="99">
        <f t="shared" si="18"/>
        <v>168018.41999999946</v>
      </c>
    </row>
    <row r="228" spans="1:16" ht="25.5" x14ac:dyDescent="0.2">
      <c r="A228" s="35" t="s">
        <v>1621</v>
      </c>
      <c r="B228" s="1530">
        <v>1612</v>
      </c>
      <c r="C228" s="94" t="s">
        <v>397</v>
      </c>
      <c r="D228" s="95">
        <v>0</v>
      </c>
      <c r="E228" s="95">
        <v>0</v>
      </c>
      <c r="F228" s="95">
        <v>0</v>
      </c>
      <c r="G228" s="96">
        <f t="shared" si="16"/>
        <v>0</v>
      </c>
      <c r="H228" s="97"/>
      <c r="I228" s="98">
        <v>0</v>
      </c>
      <c r="J228" s="98">
        <v>0</v>
      </c>
      <c r="K228" s="98">
        <v>0</v>
      </c>
      <c r="L228" s="96">
        <f t="shared" si="17"/>
        <v>0</v>
      </c>
      <c r="M228" s="99">
        <f t="shared" si="18"/>
        <v>0</v>
      </c>
    </row>
    <row r="229" spans="1:16" x14ac:dyDescent="0.2">
      <c r="A229" s="35" t="s">
        <v>244</v>
      </c>
      <c r="B229" s="100">
        <v>1805</v>
      </c>
      <c r="C229" s="101" t="s">
        <v>245</v>
      </c>
      <c r="D229" s="95">
        <v>258134.21000000002</v>
      </c>
      <c r="E229" s="95">
        <v>0</v>
      </c>
      <c r="F229" s="95">
        <v>0</v>
      </c>
      <c r="G229" s="96">
        <f t="shared" si="16"/>
        <v>258134.21000000002</v>
      </c>
      <c r="H229" s="97"/>
      <c r="I229" s="98">
        <v>0</v>
      </c>
      <c r="J229" s="98">
        <v>0</v>
      </c>
      <c r="K229" s="98">
        <v>0</v>
      </c>
      <c r="L229" s="96">
        <f t="shared" si="17"/>
        <v>0</v>
      </c>
      <c r="M229" s="99">
        <f t="shared" si="18"/>
        <v>258134.21000000002</v>
      </c>
    </row>
    <row r="230" spans="1:16" x14ac:dyDescent="0.2">
      <c r="A230" s="35">
        <v>47</v>
      </c>
      <c r="B230" s="100">
        <v>1808</v>
      </c>
      <c r="C230" s="102" t="s">
        <v>246</v>
      </c>
      <c r="D230" s="95">
        <v>0</v>
      </c>
      <c r="E230" s="95">
        <v>0</v>
      </c>
      <c r="F230" s="95">
        <v>0</v>
      </c>
      <c r="G230" s="96">
        <f t="shared" si="16"/>
        <v>0</v>
      </c>
      <c r="H230" s="97"/>
      <c r="I230" s="98">
        <v>0</v>
      </c>
      <c r="J230" s="98">
        <v>0</v>
      </c>
      <c r="K230" s="98">
        <v>0</v>
      </c>
      <c r="L230" s="96">
        <f t="shared" si="17"/>
        <v>0</v>
      </c>
      <c r="M230" s="99">
        <f t="shared" si="18"/>
        <v>0</v>
      </c>
    </row>
    <row r="231" spans="1:16" x14ac:dyDescent="0.2">
      <c r="A231" s="35">
        <v>13</v>
      </c>
      <c r="B231" s="100">
        <v>1810</v>
      </c>
      <c r="C231" s="102" t="s">
        <v>275</v>
      </c>
      <c r="D231" s="95">
        <v>0</v>
      </c>
      <c r="E231" s="95">
        <v>0</v>
      </c>
      <c r="F231" s="95">
        <v>0</v>
      </c>
      <c r="G231" s="96">
        <f t="shared" si="16"/>
        <v>0</v>
      </c>
      <c r="H231" s="97"/>
      <c r="I231" s="98">
        <v>0</v>
      </c>
      <c r="J231" s="98">
        <v>0</v>
      </c>
      <c r="K231" s="98">
        <v>0</v>
      </c>
      <c r="L231" s="96">
        <f t="shared" si="17"/>
        <v>0</v>
      </c>
      <c r="M231" s="99">
        <f t="shared" si="18"/>
        <v>0</v>
      </c>
    </row>
    <row r="232" spans="1:16" ht="25.5" x14ac:dyDescent="0.2">
      <c r="A232" s="35">
        <v>47</v>
      </c>
      <c r="B232" s="1473">
        <v>1815</v>
      </c>
      <c r="C232" s="1474" t="s">
        <v>1392</v>
      </c>
      <c r="D232" s="95">
        <v>2753217.54</v>
      </c>
      <c r="E232" s="95">
        <v>29229.94</v>
      </c>
      <c r="F232" s="95">
        <v>0</v>
      </c>
      <c r="G232" s="96">
        <f t="shared" si="16"/>
        <v>2782447.48</v>
      </c>
      <c r="H232" s="97"/>
      <c r="I232" s="98">
        <v>795386.3</v>
      </c>
      <c r="J232" s="98">
        <v>50465.22</v>
      </c>
      <c r="K232" s="98">
        <v>0</v>
      </c>
      <c r="L232" s="96">
        <f t="shared" si="17"/>
        <v>845851.52</v>
      </c>
      <c r="M232" s="99">
        <f t="shared" si="18"/>
        <v>1936595.96</v>
      </c>
    </row>
    <row r="233" spans="1:16" ht="25.5" x14ac:dyDescent="0.2">
      <c r="A233" s="35">
        <v>47</v>
      </c>
      <c r="B233" s="1468">
        <v>1815</v>
      </c>
      <c r="C233" s="1474" t="s">
        <v>1393</v>
      </c>
      <c r="D233" s="95">
        <v>2680846.46</v>
      </c>
      <c r="E233" s="95">
        <v>0</v>
      </c>
      <c r="F233" s="95">
        <v>0</v>
      </c>
      <c r="G233" s="96">
        <f t="shared" si="16"/>
        <v>2680846.46</v>
      </c>
      <c r="H233" s="97"/>
      <c r="I233" s="98">
        <v>619020.84</v>
      </c>
      <c r="J233" s="98">
        <v>49212.17</v>
      </c>
      <c r="K233" s="98">
        <v>0</v>
      </c>
      <c r="L233" s="96">
        <f t="shared" si="17"/>
        <v>668233.01</v>
      </c>
      <c r="M233" s="99">
        <f t="shared" si="18"/>
        <v>2012613.45</v>
      </c>
    </row>
    <row r="234" spans="1:16" x14ac:dyDescent="0.2">
      <c r="A234" s="35">
        <v>47</v>
      </c>
      <c r="B234" s="100">
        <v>1820</v>
      </c>
      <c r="C234" s="94" t="s">
        <v>184</v>
      </c>
      <c r="D234" s="95">
        <v>160630.29</v>
      </c>
      <c r="E234" s="95">
        <v>0</v>
      </c>
      <c r="F234" s="95">
        <v>0</v>
      </c>
      <c r="G234" s="96">
        <f t="shared" si="16"/>
        <v>160630.29</v>
      </c>
      <c r="H234" s="97"/>
      <c r="I234" s="98">
        <v>160630.29</v>
      </c>
      <c r="J234" s="98">
        <v>0</v>
      </c>
      <c r="K234" s="98">
        <v>0</v>
      </c>
      <c r="L234" s="96">
        <f t="shared" si="17"/>
        <v>160630.29</v>
      </c>
      <c r="M234" s="99">
        <f t="shared" si="18"/>
        <v>0</v>
      </c>
    </row>
    <row r="235" spans="1:16" x14ac:dyDescent="0.2">
      <c r="A235" s="35">
        <v>43.1</v>
      </c>
      <c r="B235" s="100">
        <v>1825</v>
      </c>
      <c r="C235" s="102" t="s">
        <v>248</v>
      </c>
      <c r="D235" s="95">
        <v>0</v>
      </c>
      <c r="E235" s="95">
        <v>0</v>
      </c>
      <c r="F235" s="95">
        <v>0</v>
      </c>
      <c r="G235" s="96">
        <f t="shared" si="16"/>
        <v>0</v>
      </c>
      <c r="H235" s="97"/>
      <c r="I235" s="98">
        <v>0</v>
      </c>
      <c r="J235" s="98">
        <v>0</v>
      </c>
      <c r="K235" s="98">
        <v>0</v>
      </c>
      <c r="L235" s="96">
        <f t="shared" si="17"/>
        <v>0</v>
      </c>
      <c r="M235" s="99">
        <f t="shared" si="18"/>
        <v>0</v>
      </c>
    </row>
    <row r="236" spans="1:16" x14ac:dyDescent="0.2">
      <c r="A236" s="35">
        <v>47</v>
      </c>
      <c r="B236" s="100">
        <v>1830</v>
      </c>
      <c r="C236" s="102" t="s">
        <v>249</v>
      </c>
      <c r="D236" s="95">
        <v>5564351.7200000007</v>
      </c>
      <c r="E236" s="95">
        <v>389987.57</v>
      </c>
      <c r="F236" s="95">
        <v>-59103.91</v>
      </c>
      <c r="G236" s="96">
        <f t="shared" si="16"/>
        <v>5895235.3800000008</v>
      </c>
      <c r="H236" s="97"/>
      <c r="I236" s="98">
        <v>3071309.9699999997</v>
      </c>
      <c r="J236" s="98">
        <v>96079.57</v>
      </c>
      <c r="K236" s="98">
        <v>-57285.020000000004</v>
      </c>
      <c r="L236" s="96">
        <f t="shared" si="17"/>
        <v>3110104.5199999996</v>
      </c>
      <c r="M236" s="99">
        <f t="shared" si="18"/>
        <v>2785130.8600000013</v>
      </c>
    </row>
    <row r="237" spans="1:16" x14ac:dyDescent="0.2">
      <c r="A237" s="35">
        <v>47</v>
      </c>
      <c r="B237" s="100">
        <v>1835</v>
      </c>
      <c r="C237" s="102" t="s">
        <v>185</v>
      </c>
      <c r="D237" s="95">
        <v>6984764.9300000006</v>
      </c>
      <c r="E237" s="95">
        <v>220210.87</v>
      </c>
      <c r="F237" s="95">
        <v>-50524.02</v>
      </c>
      <c r="G237" s="96">
        <f t="shared" si="16"/>
        <v>7154451.7800000012</v>
      </c>
      <c r="H237" s="97"/>
      <c r="I237" s="98">
        <v>3849741.23</v>
      </c>
      <c r="J237" s="98">
        <v>74058.240000000005</v>
      </c>
      <c r="K237" s="98">
        <v>-47984.759999999995</v>
      </c>
      <c r="L237" s="96">
        <f t="shared" si="17"/>
        <v>3875814.7100000004</v>
      </c>
      <c r="M237" s="99">
        <f t="shared" si="18"/>
        <v>3278637.0700000008</v>
      </c>
    </row>
    <row r="238" spans="1:16" x14ac:dyDescent="0.2">
      <c r="A238" s="35">
        <v>47</v>
      </c>
      <c r="B238" s="100">
        <v>1840</v>
      </c>
      <c r="C238" s="102" t="s">
        <v>186</v>
      </c>
      <c r="D238" s="95">
        <v>5798608.6999999993</v>
      </c>
      <c r="E238" s="95">
        <v>242371.26</v>
      </c>
      <c r="F238" s="95">
        <v>0</v>
      </c>
      <c r="G238" s="96">
        <f t="shared" si="16"/>
        <v>6040979.959999999</v>
      </c>
      <c r="H238" s="97"/>
      <c r="I238" s="98">
        <v>2454708.71</v>
      </c>
      <c r="J238" s="98">
        <v>65262.84</v>
      </c>
      <c r="K238" s="98">
        <v>0</v>
      </c>
      <c r="L238" s="96">
        <f t="shared" si="17"/>
        <v>2519971.5499999998</v>
      </c>
      <c r="M238" s="99">
        <f t="shared" si="18"/>
        <v>3521008.4099999992</v>
      </c>
    </row>
    <row r="239" spans="1:16" x14ac:dyDescent="0.2">
      <c r="A239" s="35">
        <v>47</v>
      </c>
      <c r="B239" s="100">
        <v>1845</v>
      </c>
      <c r="C239" s="102" t="s">
        <v>187</v>
      </c>
      <c r="D239" s="95">
        <v>10100981.9</v>
      </c>
      <c r="E239" s="95">
        <v>490830.39</v>
      </c>
      <c r="F239" s="95">
        <v>0</v>
      </c>
      <c r="G239" s="96">
        <f t="shared" si="16"/>
        <v>10591812.290000001</v>
      </c>
      <c r="H239" s="97"/>
      <c r="I239" s="98">
        <v>5109104.47</v>
      </c>
      <c r="J239" s="98">
        <v>173948.68</v>
      </c>
      <c r="K239" s="98">
        <v>0</v>
      </c>
      <c r="L239" s="96">
        <f t="shared" si="17"/>
        <v>5283053.1499999994</v>
      </c>
      <c r="M239" s="99">
        <f t="shared" si="18"/>
        <v>5308759.1400000015</v>
      </c>
    </row>
    <row r="240" spans="1:16" x14ac:dyDescent="0.2">
      <c r="A240" s="35">
        <v>47</v>
      </c>
      <c r="B240" s="100">
        <v>1850</v>
      </c>
      <c r="C240" s="102" t="s">
        <v>250</v>
      </c>
      <c r="D240" s="95">
        <v>8010764.2599999998</v>
      </c>
      <c r="E240" s="95">
        <v>793436.39</v>
      </c>
      <c r="F240" s="95">
        <v>-107634.54</v>
      </c>
      <c r="G240" s="96">
        <f t="shared" si="16"/>
        <v>8696566.1100000013</v>
      </c>
      <c r="H240" s="97"/>
      <c r="I240" s="98">
        <v>4028894.5700000003</v>
      </c>
      <c r="J240" s="98">
        <v>134855.33000000002</v>
      </c>
      <c r="K240" s="98">
        <v>-74222.940000000017</v>
      </c>
      <c r="L240" s="96">
        <f t="shared" si="17"/>
        <v>4089526.9600000004</v>
      </c>
      <c r="M240" s="99">
        <f t="shared" si="18"/>
        <v>4607039.1500000004</v>
      </c>
    </row>
    <row r="241" spans="1:13" x14ac:dyDescent="0.2">
      <c r="A241" s="35">
        <v>47</v>
      </c>
      <c r="B241" s="1468">
        <v>1850</v>
      </c>
      <c r="C241" s="1475" t="s">
        <v>1394</v>
      </c>
      <c r="D241" s="95">
        <v>247790.75</v>
      </c>
      <c r="E241" s="95">
        <v>-67705.25</v>
      </c>
      <c r="F241" s="95">
        <v>0</v>
      </c>
      <c r="G241" s="96">
        <f t="shared" si="16"/>
        <v>180085.5</v>
      </c>
      <c r="H241" s="97"/>
      <c r="I241" s="98">
        <v>89290.78</v>
      </c>
      <c r="J241" s="98">
        <v>3620.61</v>
      </c>
      <c r="K241" s="98">
        <v>0</v>
      </c>
      <c r="L241" s="96">
        <f t="shared" si="17"/>
        <v>92911.39</v>
      </c>
      <c r="M241" s="99">
        <f t="shared" si="18"/>
        <v>87174.11</v>
      </c>
    </row>
    <row r="242" spans="1:13" x14ac:dyDescent="0.2">
      <c r="A242" s="35">
        <v>47</v>
      </c>
      <c r="B242" s="1468">
        <v>1850</v>
      </c>
      <c r="C242" s="1475" t="s">
        <v>1395</v>
      </c>
      <c r="D242" s="95">
        <v>0</v>
      </c>
      <c r="E242" s="95">
        <v>0</v>
      </c>
      <c r="F242" s="95">
        <v>0</v>
      </c>
      <c r="G242" s="96">
        <f t="shared" si="16"/>
        <v>0</v>
      </c>
      <c r="H242" s="97"/>
      <c r="I242" s="98">
        <v>0</v>
      </c>
      <c r="J242" s="98">
        <v>0</v>
      </c>
      <c r="K242" s="98">
        <v>0</v>
      </c>
      <c r="L242" s="96">
        <f t="shared" si="17"/>
        <v>0</v>
      </c>
      <c r="M242" s="99">
        <f t="shared" si="18"/>
        <v>0</v>
      </c>
    </row>
    <row r="243" spans="1:13" x14ac:dyDescent="0.2">
      <c r="A243" s="35">
        <v>47</v>
      </c>
      <c r="B243" s="1468">
        <v>1850</v>
      </c>
      <c r="C243" s="1475" t="s">
        <v>1396</v>
      </c>
      <c r="D243" s="95">
        <v>118352.10999999999</v>
      </c>
      <c r="E243" s="95">
        <v>45642.48</v>
      </c>
      <c r="F243" s="95">
        <v>0</v>
      </c>
      <c r="G243" s="96">
        <f t="shared" si="16"/>
        <v>163994.59</v>
      </c>
      <c r="H243" s="97"/>
      <c r="I243" s="98">
        <v>20656.02</v>
      </c>
      <c r="J243" s="98">
        <v>2987.65</v>
      </c>
      <c r="K243" s="98">
        <v>0</v>
      </c>
      <c r="L243" s="96">
        <f t="shared" si="17"/>
        <v>23643.670000000002</v>
      </c>
      <c r="M243" s="99">
        <f t="shared" si="18"/>
        <v>140350.91999999998</v>
      </c>
    </row>
    <row r="244" spans="1:13" x14ac:dyDescent="0.2">
      <c r="A244" s="35">
        <v>47</v>
      </c>
      <c r="B244" s="100">
        <v>1855</v>
      </c>
      <c r="C244" s="1474" t="s">
        <v>1397</v>
      </c>
      <c r="D244" s="95">
        <v>634013.21000000008</v>
      </c>
      <c r="E244" s="95">
        <v>10231.16</v>
      </c>
      <c r="F244" s="95">
        <v>0</v>
      </c>
      <c r="G244" s="96">
        <f t="shared" si="16"/>
        <v>644244.37000000011</v>
      </c>
      <c r="H244" s="97"/>
      <c r="I244" s="98">
        <v>158148.03999999998</v>
      </c>
      <c r="J244" s="98">
        <v>9128.36</v>
      </c>
      <c r="K244" s="98">
        <v>0</v>
      </c>
      <c r="L244" s="96">
        <f t="shared" si="17"/>
        <v>167276.39999999997</v>
      </c>
      <c r="M244" s="99">
        <f t="shared" si="18"/>
        <v>476967.97000000015</v>
      </c>
    </row>
    <row r="245" spans="1:13" x14ac:dyDescent="0.2">
      <c r="A245" s="35">
        <v>47</v>
      </c>
      <c r="B245" s="100">
        <v>1855</v>
      </c>
      <c r="C245" s="1474" t="s">
        <v>1398</v>
      </c>
      <c r="D245" s="95">
        <v>3146293.73</v>
      </c>
      <c r="E245" s="95">
        <v>282564.26</v>
      </c>
      <c r="F245" s="95">
        <v>0</v>
      </c>
      <c r="G245" s="96">
        <f t="shared" si="16"/>
        <v>3428857.99</v>
      </c>
      <c r="H245" s="97"/>
      <c r="I245" s="98">
        <v>785677.86</v>
      </c>
      <c r="J245" s="98">
        <v>65353.84</v>
      </c>
      <c r="K245" s="98">
        <v>0</v>
      </c>
      <c r="L245" s="96">
        <f t="shared" si="17"/>
        <v>851031.7</v>
      </c>
      <c r="M245" s="99">
        <f t="shared" si="18"/>
        <v>2577826.29</v>
      </c>
    </row>
    <row r="246" spans="1:13" x14ac:dyDescent="0.2">
      <c r="A246" s="35">
        <v>47</v>
      </c>
      <c r="B246" s="100">
        <v>1860</v>
      </c>
      <c r="C246" s="102" t="s">
        <v>251</v>
      </c>
      <c r="D246" s="95">
        <v>726753.7699999999</v>
      </c>
      <c r="E246" s="95">
        <v>52667.99</v>
      </c>
      <c r="F246" s="95">
        <v>-4998.6400000000003</v>
      </c>
      <c r="G246" s="96">
        <f t="shared" si="16"/>
        <v>774423.11999999988</v>
      </c>
      <c r="H246" s="97"/>
      <c r="I246" s="98">
        <v>511426.00000000006</v>
      </c>
      <c r="J246" s="98">
        <v>11925.619999999999</v>
      </c>
      <c r="K246" s="98">
        <v>-1992.22</v>
      </c>
      <c r="L246" s="96">
        <f t="shared" si="17"/>
        <v>521359.40000000008</v>
      </c>
      <c r="M246" s="99">
        <f t="shared" si="18"/>
        <v>253063.7199999998</v>
      </c>
    </row>
    <row r="247" spans="1:13" x14ac:dyDescent="0.2">
      <c r="A247" s="35">
        <v>47</v>
      </c>
      <c r="B247" s="100">
        <v>1860</v>
      </c>
      <c r="C247" s="101" t="s">
        <v>189</v>
      </c>
      <c r="D247" s="95">
        <v>1739939.2499999998</v>
      </c>
      <c r="E247" s="95">
        <v>93188.26</v>
      </c>
      <c r="F247" s="95">
        <v>-1086.48</v>
      </c>
      <c r="G247" s="96">
        <f t="shared" si="16"/>
        <v>1832041.0299999998</v>
      </c>
      <c r="H247" s="97"/>
      <c r="I247" s="98">
        <v>617083.75</v>
      </c>
      <c r="J247" s="98">
        <v>119954.67</v>
      </c>
      <c r="K247" s="98">
        <v>-333.51</v>
      </c>
      <c r="L247" s="96">
        <f t="shared" si="17"/>
        <v>736704.91</v>
      </c>
      <c r="M247" s="99">
        <f t="shared" si="18"/>
        <v>1095336.1199999996</v>
      </c>
    </row>
    <row r="248" spans="1:13" x14ac:dyDescent="0.2">
      <c r="A248" s="35">
        <v>47</v>
      </c>
      <c r="B248" s="100">
        <v>1860</v>
      </c>
      <c r="C248" s="1476" t="s">
        <v>1399</v>
      </c>
      <c r="D248" s="95">
        <v>59064.549999999996</v>
      </c>
      <c r="E248" s="95">
        <v>-18902.650000000001</v>
      </c>
      <c r="F248" s="95">
        <v>0</v>
      </c>
      <c r="G248" s="96">
        <f t="shared" si="16"/>
        <v>40161.899999999994</v>
      </c>
      <c r="H248" s="97"/>
      <c r="I248" s="98">
        <v>24378.37</v>
      </c>
      <c r="J248" s="98">
        <v>2158.65</v>
      </c>
      <c r="K248" s="98">
        <v>0</v>
      </c>
      <c r="L248" s="96">
        <f t="shared" si="17"/>
        <v>26537.02</v>
      </c>
      <c r="M248" s="99">
        <f t="shared" si="18"/>
        <v>13624.879999999994</v>
      </c>
    </row>
    <row r="249" spans="1:13" x14ac:dyDescent="0.2">
      <c r="A249" s="35">
        <v>47</v>
      </c>
      <c r="B249" s="100">
        <v>1860</v>
      </c>
      <c r="C249" s="1476" t="s">
        <v>1400</v>
      </c>
      <c r="D249" s="95">
        <v>34296.080000000002</v>
      </c>
      <c r="E249" s="95">
        <v>-589.80999999999995</v>
      </c>
      <c r="F249" s="95">
        <v>0</v>
      </c>
      <c r="G249" s="96">
        <f t="shared" si="16"/>
        <v>33706.270000000004</v>
      </c>
      <c r="H249" s="97"/>
      <c r="I249" s="98">
        <v>10706.97</v>
      </c>
      <c r="J249" s="98">
        <v>2266.75</v>
      </c>
      <c r="K249" s="98">
        <v>0</v>
      </c>
      <c r="L249" s="96">
        <f t="shared" si="17"/>
        <v>12973.72</v>
      </c>
      <c r="M249" s="99">
        <f t="shared" si="18"/>
        <v>20732.550000000003</v>
      </c>
    </row>
    <row r="250" spans="1:13" x14ac:dyDescent="0.2">
      <c r="A250" s="35">
        <v>47</v>
      </c>
      <c r="B250" s="100">
        <v>1860</v>
      </c>
      <c r="C250" s="1476" t="s">
        <v>1401</v>
      </c>
      <c r="D250" s="95">
        <v>0</v>
      </c>
      <c r="E250" s="95">
        <v>5961.51</v>
      </c>
      <c r="F250" s="95">
        <v>0</v>
      </c>
      <c r="G250" s="96">
        <f t="shared" si="16"/>
        <v>5961.51</v>
      </c>
      <c r="H250" s="97"/>
      <c r="I250" s="98">
        <v>0</v>
      </c>
      <c r="J250" s="98">
        <v>74.52</v>
      </c>
      <c r="K250" s="98">
        <v>0</v>
      </c>
      <c r="L250" s="96">
        <f t="shared" si="17"/>
        <v>74.52</v>
      </c>
      <c r="M250" s="99">
        <f t="shared" si="18"/>
        <v>5886.99</v>
      </c>
    </row>
    <row r="251" spans="1:13" x14ac:dyDescent="0.2">
      <c r="A251" s="35" t="s">
        <v>244</v>
      </c>
      <c r="B251" s="100">
        <v>1905</v>
      </c>
      <c r="C251" s="101" t="s">
        <v>245</v>
      </c>
      <c r="D251" s="95">
        <v>49000</v>
      </c>
      <c r="E251" s="95">
        <v>0</v>
      </c>
      <c r="F251" s="95">
        <v>0</v>
      </c>
      <c r="G251" s="96">
        <f t="shared" si="16"/>
        <v>49000</v>
      </c>
      <c r="H251" s="97"/>
      <c r="I251" s="98">
        <v>0</v>
      </c>
      <c r="J251" s="98">
        <v>0</v>
      </c>
      <c r="K251" s="98">
        <v>0</v>
      </c>
      <c r="L251" s="96">
        <f t="shared" si="17"/>
        <v>0</v>
      </c>
      <c r="M251" s="99">
        <f t="shared" si="18"/>
        <v>49000</v>
      </c>
    </row>
    <row r="252" spans="1:13" x14ac:dyDescent="0.2">
      <c r="A252" s="35">
        <v>47</v>
      </c>
      <c r="B252" s="100">
        <v>1908</v>
      </c>
      <c r="C252" s="102" t="s">
        <v>252</v>
      </c>
      <c r="D252" s="95">
        <v>1058742.49</v>
      </c>
      <c r="E252" s="95">
        <v>81142.210000000006</v>
      </c>
      <c r="F252" s="95">
        <v>0</v>
      </c>
      <c r="G252" s="96">
        <f t="shared" si="16"/>
        <v>1139884.7</v>
      </c>
      <c r="H252" s="97"/>
      <c r="I252" s="98">
        <v>418579.38</v>
      </c>
      <c r="J252" s="98">
        <v>18201.88</v>
      </c>
      <c r="K252" s="98">
        <v>0</v>
      </c>
      <c r="L252" s="96">
        <f t="shared" si="17"/>
        <v>436781.26</v>
      </c>
      <c r="M252" s="99">
        <f t="shared" si="18"/>
        <v>703103.44</v>
      </c>
    </row>
    <row r="253" spans="1:13" x14ac:dyDescent="0.2">
      <c r="A253" s="35">
        <v>47</v>
      </c>
      <c r="B253" s="1473">
        <v>1908</v>
      </c>
      <c r="C253" s="1474" t="s">
        <v>1402</v>
      </c>
      <c r="D253" s="95">
        <v>8690.41</v>
      </c>
      <c r="E253" s="95">
        <v>0</v>
      </c>
      <c r="F253" s="95">
        <v>0</v>
      </c>
      <c r="G253" s="96">
        <f t="shared" si="16"/>
        <v>8690.41</v>
      </c>
      <c r="H253" s="97"/>
      <c r="I253" s="98">
        <v>8047.68</v>
      </c>
      <c r="J253" s="98">
        <v>321.8</v>
      </c>
      <c r="K253" s="98">
        <v>0</v>
      </c>
      <c r="L253" s="96">
        <f t="shared" si="17"/>
        <v>8369.48</v>
      </c>
      <c r="M253" s="99">
        <f t="shared" si="18"/>
        <v>320.93000000000029</v>
      </c>
    </row>
    <row r="254" spans="1:13" x14ac:dyDescent="0.2">
      <c r="A254" s="35">
        <v>13</v>
      </c>
      <c r="B254" s="100">
        <v>1910</v>
      </c>
      <c r="C254" s="102" t="s">
        <v>275</v>
      </c>
      <c r="D254" s="95">
        <v>0</v>
      </c>
      <c r="E254" s="95">
        <v>0</v>
      </c>
      <c r="F254" s="95">
        <v>0</v>
      </c>
      <c r="G254" s="96">
        <f t="shared" si="16"/>
        <v>0</v>
      </c>
      <c r="H254" s="97"/>
      <c r="I254" s="98">
        <v>0</v>
      </c>
      <c r="J254" s="98">
        <v>0</v>
      </c>
      <c r="K254" s="98">
        <v>0</v>
      </c>
      <c r="L254" s="96">
        <f t="shared" si="17"/>
        <v>0</v>
      </c>
      <c r="M254" s="99">
        <f t="shared" si="18"/>
        <v>0</v>
      </c>
    </row>
    <row r="255" spans="1:13" x14ac:dyDescent="0.2">
      <c r="A255" s="35">
        <v>8</v>
      </c>
      <c r="B255" s="100">
        <v>1915</v>
      </c>
      <c r="C255" s="102" t="s">
        <v>190</v>
      </c>
      <c r="D255" s="95">
        <v>220935.46000000002</v>
      </c>
      <c r="E255" s="95">
        <v>1541.89</v>
      </c>
      <c r="F255" s="95">
        <v>0</v>
      </c>
      <c r="G255" s="96">
        <f t="shared" si="16"/>
        <v>222477.35000000003</v>
      </c>
      <c r="H255" s="97"/>
      <c r="I255" s="98">
        <v>192339.74</v>
      </c>
      <c r="J255" s="98">
        <v>6615.13</v>
      </c>
      <c r="K255" s="98">
        <v>0</v>
      </c>
      <c r="L255" s="96">
        <f t="shared" si="17"/>
        <v>198954.87</v>
      </c>
      <c r="M255" s="99">
        <f t="shared" si="18"/>
        <v>23522.48000000004</v>
      </c>
    </row>
    <row r="256" spans="1:13" x14ac:dyDescent="0.2">
      <c r="A256" s="35">
        <v>8</v>
      </c>
      <c r="B256" s="100">
        <v>1915</v>
      </c>
      <c r="C256" s="102" t="s">
        <v>191</v>
      </c>
      <c r="D256" s="95">
        <v>0</v>
      </c>
      <c r="E256" s="95">
        <v>0</v>
      </c>
      <c r="F256" s="95">
        <v>0</v>
      </c>
      <c r="G256" s="96">
        <f t="shared" si="16"/>
        <v>0</v>
      </c>
      <c r="H256" s="97"/>
      <c r="I256" s="98">
        <v>0</v>
      </c>
      <c r="J256" s="98">
        <v>0</v>
      </c>
      <c r="K256" s="98">
        <v>0</v>
      </c>
      <c r="L256" s="96">
        <f t="shared" si="17"/>
        <v>0</v>
      </c>
      <c r="M256" s="99">
        <f t="shared" si="18"/>
        <v>0</v>
      </c>
    </row>
    <row r="257" spans="1:13" x14ac:dyDescent="0.2">
      <c r="A257" s="35">
        <v>50</v>
      </c>
      <c r="B257" s="100">
        <v>1920</v>
      </c>
      <c r="C257" s="102" t="s">
        <v>192</v>
      </c>
      <c r="D257" s="95">
        <v>439689.45999999996</v>
      </c>
      <c r="E257" s="95">
        <v>9825.27</v>
      </c>
      <c r="F257" s="95">
        <v>0</v>
      </c>
      <c r="G257" s="96">
        <f t="shared" si="16"/>
        <v>449514.73</v>
      </c>
      <c r="H257" s="97"/>
      <c r="I257" s="98">
        <v>414584.09</v>
      </c>
      <c r="J257" s="98">
        <v>16360.32</v>
      </c>
      <c r="K257" s="98">
        <v>0</v>
      </c>
      <c r="L257" s="96">
        <f t="shared" si="17"/>
        <v>430944.41000000003</v>
      </c>
      <c r="M257" s="99">
        <f t="shared" si="18"/>
        <v>18570.319999999949</v>
      </c>
    </row>
    <row r="258" spans="1:13" ht="25.5" x14ac:dyDescent="0.2">
      <c r="A258" s="35">
        <v>45</v>
      </c>
      <c r="B258" s="103">
        <v>1920</v>
      </c>
      <c r="C258" s="94" t="s">
        <v>194</v>
      </c>
      <c r="D258" s="95">
        <v>0</v>
      </c>
      <c r="E258" s="95">
        <v>0</v>
      </c>
      <c r="F258" s="95">
        <v>0</v>
      </c>
      <c r="G258" s="96">
        <f t="shared" si="16"/>
        <v>0</v>
      </c>
      <c r="H258" s="97"/>
      <c r="I258" s="98">
        <v>0</v>
      </c>
      <c r="J258" s="98">
        <v>0</v>
      </c>
      <c r="K258" s="98">
        <v>0</v>
      </c>
      <c r="L258" s="96">
        <f t="shared" si="17"/>
        <v>0</v>
      </c>
      <c r="M258" s="99">
        <f t="shared" si="18"/>
        <v>0</v>
      </c>
    </row>
    <row r="259" spans="1:13" ht="25.5" x14ac:dyDescent="0.2">
      <c r="A259" s="35">
        <v>45</v>
      </c>
      <c r="B259" s="103">
        <v>1920</v>
      </c>
      <c r="C259" s="94" t="s">
        <v>193</v>
      </c>
      <c r="D259" s="95">
        <v>0</v>
      </c>
      <c r="E259" s="95">
        <v>0</v>
      </c>
      <c r="F259" s="95">
        <v>0</v>
      </c>
      <c r="G259" s="96">
        <f t="shared" si="16"/>
        <v>0</v>
      </c>
      <c r="H259" s="97"/>
      <c r="I259" s="98">
        <v>0</v>
      </c>
      <c r="J259" s="98">
        <v>0</v>
      </c>
      <c r="K259" s="98">
        <v>0</v>
      </c>
      <c r="L259" s="96">
        <f t="shared" si="17"/>
        <v>0</v>
      </c>
      <c r="M259" s="99">
        <f t="shared" si="18"/>
        <v>0</v>
      </c>
    </row>
    <row r="260" spans="1:13" x14ac:dyDescent="0.2">
      <c r="A260" s="35">
        <v>10</v>
      </c>
      <c r="B260" s="1530">
        <v>1930</v>
      </c>
      <c r="C260" s="102" t="s">
        <v>263</v>
      </c>
      <c r="D260" s="95">
        <v>169768.87</v>
      </c>
      <c r="E260" s="95">
        <v>0</v>
      </c>
      <c r="F260" s="95">
        <v>0</v>
      </c>
      <c r="G260" s="96">
        <f t="shared" si="16"/>
        <v>169768.87</v>
      </c>
      <c r="H260" s="97"/>
      <c r="I260" s="98">
        <v>102379.64</v>
      </c>
      <c r="J260" s="98">
        <v>19811.099999999999</v>
      </c>
      <c r="K260" s="98">
        <v>0</v>
      </c>
      <c r="L260" s="96">
        <f t="shared" si="17"/>
        <v>122190.73999999999</v>
      </c>
      <c r="M260" s="99">
        <f t="shared" si="18"/>
        <v>47578.130000000005</v>
      </c>
    </row>
    <row r="261" spans="1:13" x14ac:dyDescent="0.2">
      <c r="A261" s="35">
        <v>10</v>
      </c>
      <c r="B261" s="1473">
        <v>1930</v>
      </c>
      <c r="C261" s="1474" t="s">
        <v>1403</v>
      </c>
      <c r="D261" s="95">
        <v>940581.07</v>
      </c>
      <c r="E261" s="95">
        <v>0</v>
      </c>
      <c r="F261" s="95">
        <v>0</v>
      </c>
      <c r="G261" s="96">
        <f t="shared" si="16"/>
        <v>940581.07</v>
      </c>
      <c r="H261" s="97"/>
      <c r="I261" s="98">
        <v>555242.31000000006</v>
      </c>
      <c r="J261" s="98">
        <v>79475.16</v>
      </c>
      <c r="K261" s="98">
        <v>0</v>
      </c>
      <c r="L261" s="96">
        <f t="shared" si="17"/>
        <v>634717.47000000009</v>
      </c>
      <c r="M261" s="99">
        <f t="shared" si="18"/>
        <v>305863.59999999986</v>
      </c>
    </row>
    <row r="262" spans="1:13" x14ac:dyDescent="0.2">
      <c r="A262" s="35">
        <v>10</v>
      </c>
      <c r="B262" s="1473">
        <v>1930</v>
      </c>
      <c r="C262" s="1474" t="s">
        <v>1404</v>
      </c>
      <c r="D262" s="95">
        <v>38458.050000000003</v>
      </c>
      <c r="E262" s="95">
        <v>0</v>
      </c>
      <c r="F262" s="95">
        <v>0</v>
      </c>
      <c r="G262" s="96">
        <f t="shared" si="16"/>
        <v>38458.050000000003</v>
      </c>
      <c r="H262" s="97"/>
      <c r="I262" s="98">
        <v>38458.050000000003</v>
      </c>
      <c r="J262" s="98">
        <v>0</v>
      </c>
      <c r="K262" s="98">
        <v>0</v>
      </c>
      <c r="L262" s="96">
        <f t="shared" si="17"/>
        <v>38458.050000000003</v>
      </c>
      <c r="M262" s="99">
        <f t="shared" si="18"/>
        <v>0</v>
      </c>
    </row>
    <row r="263" spans="1:13" x14ac:dyDescent="0.2">
      <c r="A263" s="35">
        <v>8</v>
      </c>
      <c r="B263" s="1530">
        <v>1935</v>
      </c>
      <c r="C263" s="102" t="s">
        <v>264</v>
      </c>
      <c r="D263" s="95">
        <v>24683.61</v>
      </c>
      <c r="E263" s="95">
        <v>0</v>
      </c>
      <c r="F263" s="95">
        <v>0</v>
      </c>
      <c r="G263" s="96">
        <f t="shared" si="16"/>
        <v>24683.61</v>
      </c>
      <c r="H263" s="97"/>
      <c r="I263" s="98">
        <v>21508.270000000004</v>
      </c>
      <c r="J263" s="98">
        <v>1047.17</v>
      </c>
      <c r="K263" s="98">
        <v>0</v>
      </c>
      <c r="L263" s="96">
        <f t="shared" si="17"/>
        <v>22555.440000000002</v>
      </c>
      <c r="M263" s="99">
        <f t="shared" si="18"/>
        <v>2128.1699999999983</v>
      </c>
    </row>
    <row r="264" spans="1:13" x14ac:dyDescent="0.2">
      <c r="A264" s="35">
        <v>8</v>
      </c>
      <c r="B264" s="1530">
        <v>1940</v>
      </c>
      <c r="C264" s="102" t="s">
        <v>265</v>
      </c>
      <c r="D264" s="95">
        <v>475454.56</v>
      </c>
      <c r="E264" s="95">
        <v>13286.01</v>
      </c>
      <c r="F264" s="95">
        <v>0</v>
      </c>
      <c r="G264" s="96">
        <f t="shared" si="16"/>
        <v>488740.57</v>
      </c>
      <c r="H264" s="97"/>
      <c r="I264" s="98">
        <v>452360.82</v>
      </c>
      <c r="J264" s="98">
        <v>8478.0300000000007</v>
      </c>
      <c r="K264" s="98">
        <v>0</v>
      </c>
      <c r="L264" s="96">
        <f t="shared" si="17"/>
        <v>460838.85000000003</v>
      </c>
      <c r="M264" s="99">
        <f t="shared" si="18"/>
        <v>27901.719999999972</v>
      </c>
    </row>
    <row r="265" spans="1:13" x14ac:dyDescent="0.2">
      <c r="A265" s="35">
        <v>8</v>
      </c>
      <c r="B265" s="1530">
        <v>1945</v>
      </c>
      <c r="C265" s="102" t="s">
        <v>266</v>
      </c>
      <c r="D265" s="95">
        <v>0</v>
      </c>
      <c r="E265" s="95">
        <v>0</v>
      </c>
      <c r="F265" s="95">
        <v>0</v>
      </c>
      <c r="G265" s="96">
        <f t="shared" si="16"/>
        <v>0</v>
      </c>
      <c r="H265" s="97"/>
      <c r="I265" s="98">
        <v>0</v>
      </c>
      <c r="J265" s="98">
        <v>0</v>
      </c>
      <c r="K265" s="98">
        <v>0</v>
      </c>
      <c r="L265" s="96">
        <f t="shared" si="17"/>
        <v>0</v>
      </c>
      <c r="M265" s="99">
        <f t="shared" si="18"/>
        <v>0</v>
      </c>
    </row>
    <row r="266" spans="1:13" x14ac:dyDescent="0.2">
      <c r="A266" s="35">
        <v>8</v>
      </c>
      <c r="B266" s="1530">
        <v>1950</v>
      </c>
      <c r="C266" s="102" t="s">
        <v>195</v>
      </c>
      <c r="D266" s="95">
        <v>0</v>
      </c>
      <c r="E266" s="95">
        <v>0</v>
      </c>
      <c r="F266" s="95">
        <v>0</v>
      </c>
      <c r="G266" s="96">
        <f t="shared" si="16"/>
        <v>0</v>
      </c>
      <c r="H266" s="97"/>
      <c r="I266" s="98">
        <v>0</v>
      </c>
      <c r="J266" s="98">
        <v>0</v>
      </c>
      <c r="K266" s="98">
        <v>0</v>
      </c>
      <c r="L266" s="96">
        <f t="shared" si="17"/>
        <v>0</v>
      </c>
      <c r="M266" s="99">
        <f t="shared" si="18"/>
        <v>0</v>
      </c>
    </row>
    <row r="267" spans="1:13" x14ac:dyDescent="0.2">
      <c r="A267" s="35">
        <v>8</v>
      </c>
      <c r="B267" s="1530">
        <v>1955</v>
      </c>
      <c r="C267" s="102" t="s">
        <v>267</v>
      </c>
      <c r="D267" s="95">
        <v>54383.11</v>
      </c>
      <c r="E267" s="95">
        <v>0</v>
      </c>
      <c r="F267" s="95">
        <v>0</v>
      </c>
      <c r="G267" s="96">
        <f t="shared" si="16"/>
        <v>54383.11</v>
      </c>
      <c r="H267" s="97"/>
      <c r="I267" s="98">
        <v>49304.280000000006</v>
      </c>
      <c r="J267" s="98">
        <v>1766.68</v>
      </c>
      <c r="K267" s="98">
        <v>0</v>
      </c>
      <c r="L267" s="96">
        <f t="shared" si="17"/>
        <v>51070.960000000006</v>
      </c>
      <c r="M267" s="99">
        <f t="shared" si="18"/>
        <v>3312.1499999999942</v>
      </c>
    </row>
    <row r="268" spans="1:13" x14ac:dyDescent="0.2">
      <c r="A268" s="35">
        <v>8</v>
      </c>
      <c r="B268" s="103">
        <v>1955</v>
      </c>
      <c r="C268" s="104" t="s">
        <v>196</v>
      </c>
      <c r="D268" s="95">
        <v>0</v>
      </c>
      <c r="E268" s="95">
        <v>0</v>
      </c>
      <c r="F268" s="95">
        <v>0</v>
      </c>
      <c r="G268" s="96">
        <f t="shared" si="16"/>
        <v>0</v>
      </c>
      <c r="H268" s="97"/>
      <c r="I268" s="98">
        <v>0</v>
      </c>
      <c r="J268" s="98">
        <v>0</v>
      </c>
      <c r="K268" s="98">
        <v>0</v>
      </c>
      <c r="L268" s="96">
        <f t="shared" si="17"/>
        <v>0</v>
      </c>
      <c r="M268" s="99">
        <f t="shared" si="18"/>
        <v>0</v>
      </c>
    </row>
    <row r="269" spans="1:13" x14ac:dyDescent="0.2">
      <c r="A269" s="35">
        <v>8</v>
      </c>
      <c r="B269" s="105">
        <v>1960</v>
      </c>
      <c r="C269" s="94" t="s">
        <v>197</v>
      </c>
      <c r="D269" s="95">
        <v>0</v>
      </c>
      <c r="E269" s="95">
        <v>0</v>
      </c>
      <c r="F269" s="95">
        <v>0</v>
      </c>
      <c r="G269" s="96">
        <f t="shared" si="16"/>
        <v>0</v>
      </c>
      <c r="H269" s="97"/>
      <c r="I269" s="98">
        <v>0</v>
      </c>
      <c r="J269" s="98">
        <v>0</v>
      </c>
      <c r="K269" s="98">
        <v>0</v>
      </c>
      <c r="L269" s="96">
        <f t="shared" si="17"/>
        <v>0</v>
      </c>
      <c r="M269" s="99">
        <f t="shared" si="18"/>
        <v>0</v>
      </c>
    </row>
    <row r="270" spans="1:13" ht="25.5" x14ac:dyDescent="0.2">
      <c r="A270" s="35">
        <v>47</v>
      </c>
      <c r="B270" s="105">
        <v>1970</v>
      </c>
      <c r="C270" s="102" t="s">
        <v>448</v>
      </c>
      <c r="D270" s="95">
        <v>0</v>
      </c>
      <c r="E270" s="95">
        <v>0</v>
      </c>
      <c r="F270" s="95">
        <v>0</v>
      </c>
      <c r="G270" s="96">
        <f t="shared" si="16"/>
        <v>0</v>
      </c>
      <c r="H270" s="97"/>
      <c r="I270" s="98">
        <v>0</v>
      </c>
      <c r="J270" s="98">
        <v>0</v>
      </c>
      <c r="K270" s="98">
        <v>0</v>
      </c>
      <c r="L270" s="96">
        <f t="shared" si="17"/>
        <v>0</v>
      </c>
      <c r="M270" s="99">
        <f t="shared" si="18"/>
        <v>0</v>
      </c>
    </row>
    <row r="271" spans="1:13" ht="25.5" x14ac:dyDescent="0.2">
      <c r="A271" s="35">
        <v>47</v>
      </c>
      <c r="B271" s="1530">
        <v>1975</v>
      </c>
      <c r="C271" s="102" t="s">
        <v>268</v>
      </c>
      <c r="D271" s="95">
        <v>0</v>
      </c>
      <c r="E271" s="95">
        <v>0</v>
      </c>
      <c r="F271" s="95">
        <v>0</v>
      </c>
      <c r="G271" s="96">
        <f t="shared" si="16"/>
        <v>0</v>
      </c>
      <c r="H271" s="97"/>
      <c r="I271" s="98">
        <v>0</v>
      </c>
      <c r="J271" s="98">
        <v>0</v>
      </c>
      <c r="K271" s="98">
        <v>0</v>
      </c>
      <c r="L271" s="96">
        <f t="shared" si="17"/>
        <v>0</v>
      </c>
      <c r="M271" s="99">
        <f t="shared" si="18"/>
        <v>0</v>
      </c>
    </row>
    <row r="272" spans="1:13" x14ac:dyDescent="0.2">
      <c r="A272" s="35">
        <v>47</v>
      </c>
      <c r="B272" s="1530">
        <v>1980</v>
      </c>
      <c r="C272" s="102" t="s">
        <v>269</v>
      </c>
      <c r="D272" s="95">
        <v>563919.71</v>
      </c>
      <c r="E272" s="95">
        <v>43203.81</v>
      </c>
      <c r="F272" s="95">
        <v>0</v>
      </c>
      <c r="G272" s="96">
        <f t="shared" si="16"/>
        <v>607123.52</v>
      </c>
      <c r="H272" s="97"/>
      <c r="I272" s="98">
        <v>370577.77999999997</v>
      </c>
      <c r="J272" s="98">
        <v>25004.58</v>
      </c>
      <c r="K272" s="98">
        <v>0</v>
      </c>
      <c r="L272" s="96">
        <f t="shared" si="17"/>
        <v>395582.36</v>
      </c>
      <c r="M272" s="99">
        <f t="shared" si="18"/>
        <v>211541.16000000003</v>
      </c>
    </row>
    <row r="273" spans="1:13" x14ac:dyDescent="0.2">
      <c r="A273" s="35">
        <v>47</v>
      </c>
      <c r="B273" s="1530">
        <v>1985</v>
      </c>
      <c r="C273" s="102" t="s">
        <v>270</v>
      </c>
      <c r="D273" s="95">
        <v>0</v>
      </c>
      <c r="E273" s="95">
        <v>0</v>
      </c>
      <c r="F273" s="95">
        <v>0</v>
      </c>
      <c r="G273" s="96">
        <f t="shared" si="16"/>
        <v>0</v>
      </c>
      <c r="H273" s="97"/>
      <c r="I273" s="98">
        <v>0</v>
      </c>
      <c r="J273" s="98">
        <v>0</v>
      </c>
      <c r="K273" s="98">
        <v>0</v>
      </c>
      <c r="L273" s="96">
        <f t="shared" si="17"/>
        <v>0</v>
      </c>
      <c r="M273" s="99">
        <f t="shared" si="18"/>
        <v>0</v>
      </c>
    </row>
    <row r="274" spans="1:13" x14ac:dyDescent="0.2">
      <c r="A274" s="35">
        <v>47</v>
      </c>
      <c r="B274" s="1530">
        <v>1990</v>
      </c>
      <c r="C274" s="1491" t="s">
        <v>449</v>
      </c>
      <c r="D274" s="95">
        <v>0</v>
      </c>
      <c r="E274" s="95">
        <v>0</v>
      </c>
      <c r="F274" s="95">
        <v>0</v>
      </c>
      <c r="G274" s="96">
        <f t="shared" si="16"/>
        <v>0</v>
      </c>
      <c r="H274" s="97"/>
      <c r="I274" s="98">
        <v>0</v>
      </c>
      <c r="J274" s="98">
        <v>0</v>
      </c>
      <c r="K274" s="98">
        <v>0</v>
      </c>
      <c r="L274" s="96">
        <f t="shared" si="17"/>
        <v>0</v>
      </c>
      <c r="M274" s="99">
        <f t="shared" si="18"/>
        <v>0</v>
      </c>
    </row>
    <row r="275" spans="1:13" x14ac:dyDescent="0.2">
      <c r="A275" s="35">
        <v>47</v>
      </c>
      <c r="B275" s="1473">
        <v>1995</v>
      </c>
      <c r="C275" s="1474" t="s">
        <v>1405</v>
      </c>
      <c r="D275" s="95">
        <v>-238366.01</v>
      </c>
      <c r="E275" s="95">
        <v>0</v>
      </c>
      <c r="F275" s="95">
        <v>0</v>
      </c>
      <c r="G275" s="96">
        <f t="shared" si="16"/>
        <v>-238366.01</v>
      </c>
      <c r="H275" s="97"/>
      <c r="I275" s="98">
        <v>-75686.180000000037</v>
      </c>
      <c r="J275" s="98">
        <v>-4547.6400000000003</v>
      </c>
      <c r="K275" s="98">
        <v>0</v>
      </c>
      <c r="L275" s="96">
        <f t="shared" si="17"/>
        <v>-80233.820000000036</v>
      </c>
      <c r="M275" s="99">
        <f t="shared" si="18"/>
        <v>-158132.18999999997</v>
      </c>
    </row>
    <row r="276" spans="1:13" x14ac:dyDescent="0.2">
      <c r="A276" s="35">
        <v>47</v>
      </c>
      <c r="B276" s="1473">
        <v>1995</v>
      </c>
      <c r="C276" s="1474" t="s">
        <v>1406</v>
      </c>
      <c r="D276" s="95">
        <v>-235221.35</v>
      </c>
      <c r="E276" s="95">
        <v>0</v>
      </c>
      <c r="F276" s="95">
        <v>0</v>
      </c>
      <c r="G276" s="96">
        <f t="shared" si="16"/>
        <v>-235221.35</v>
      </c>
      <c r="H276" s="97"/>
      <c r="I276" s="98">
        <v>-80427</v>
      </c>
      <c r="J276" s="98">
        <v>-3107.25</v>
      </c>
      <c r="K276" s="98">
        <v>0</v>
      </c>
      <c r="L276" s="96">
        <f t="shared" si="17"/>
        <v>-83534.25</v>
      </c>
      <c r="M276" s="99">
        <f t="shared" si="18"/>
        <v>-151687.1</v>
      </c>
    </row>
    <row r="277" spans="1:13" x14ac:dyDescent="0.2">
      <c r="A277" s="35">
        <v>47</v>
      </c>
      <c r="B277" s="1473">
        <v>1995</v>
      </c>
      <c r="C277" s="1474" t="s">
        <v>1407</v>
      </c>
      <c r="D277" s="95">
        <v>-146562.29999999999</v>
      </c>
      <c r="E277" s="95">
        <v>0</v>
      </c>
      <c r="F277" s="95">
        <v>0</v>
      </c>
      <c r="G277" s="96">
        <f t="shared" si="16"/>
        <v>-146562.29999999999</v>
      </c>
      <c r="H277" s="97"/>
      <c r="I277" s="98">
        <v>-54587.090000000004</v>
      </c>
      <c r="J277" s="98">
        <v>-1877.93</v>
      </c>
      <c r="K277" s="98">
        <v>0</v>
      </c>
      <c r="L277" s="96">
        <f t="shared" si="17"/>
        <v>-56465.020000000004</v>
      </c>
      <c r="M277" s="99">
        <f t="shared" si="18"/>
        <v>-90097.279999999984</v>
      </c>
    </row>
    <row r="278" spans="1:13" x14ac:dyDescent="0.2">
      <c r="A278" s="35">
        <v>47</v>
      </c>
      <c r="B278" s="1473">
        <v>1995</v>
      </c>
      <c r="C278" s="1474" t="s">
        <v>1408</v>
      </c>
      <c r="D278" s="95">
        <v>-879221.65999999968</v>
      </c>
      <c r="E278" s="95">
        <v>0</v>
      </c>
      <c r="F278" s="95">
        <v>0</v>
      </c>
      <c r="G278" s="96">
        <f t="shared" si="16"/>
        <v>-879221.65999999968</v>
      </c>
      <c r="H278" s="97"/>
      <c r="I278" s="98">
        <v>-236515.74000000002</v>
      </c>
      <c r="J278" s="98">
        <v>-11279.98</v>
      </c>
      <c r="K278" s="98">
        <v>0</v>
      </c>
      <c r="L278" s="96">
        <f t="shared" si="17"/>
        <v>-247795.72000000003</v>
      </c>
      <c r="M278" s="99">
        <f t="shared" si="18"/>
        <v>-631425.93999999971</v>
      </c>
    </row>
    <row r="279" spans="1:13" x14ac:dyDescent="0.2">
      <c r="A279" s="35">
        <v>47</v>
      </c>
      <c r="B279" s="1473">
        <v>1995</v>
      </c>
      <c r="C279" s="1474" t="s">
        <v>1409</v>
      </c>
      <c r="D279" s="95">
        <v>-1788777.8800000001</v>
      </c>
      <c r="E279" s="95">
        <v>0</v>
      </c>
      <c r="F279" s="95">
        <v>0</v>
      </c>
      <c r="G279" s="96">
        <f t="shared" si="16"/>
        <v>-1788777.8800000001</v>
      </c>
      <c r="H279" s="97"/>
      <c r="I279" s="98">
        <v>-650356.58999999985</v>
      </c>
      <c r="J279" s="98">
        <v>-32680.690000000002</v>
      </c>
      <c r="K279" s="98">
        <v>0</v>
      </c>
      <c r="L279" s="96">
        <f t="shared" si="17"/>
        <v>-683037.2799999998</v>
      </c>
      <c r="M279" s="99">
        <f t="shared" si="18"/>
        <v>-1105740.6000000003</v>
      </c>
    </row>
    <row r="280" spans="1:13" x14ac:dyDescent="0.2">
      <c r="A280" s="35">
        <v>47</v>
      </c>
      <c r="B280" s="1473">
        <v>1995</v>
      </c>
      <c r="C280" s="1474" t="s">
        <v>1410</v>
      </c>
      <c r="D280" s="95">
        <v>-1606652.53</v>
      </c>
      <c r="E280" s="95">
        <v>0</v>
      </c>
      <c r="F280" s="95">
        <v>0</v>
      </c>
      <c r="G280" s="96">
        <f t="shared" si="16"/>
        <v>-1606652.53</v>
      </c>
      <c r="H280" s="97"/>
      <c r="I280" s="98">
        <v>-493527.32</v>
      </c>
      <c r="J280" s="98">
        <v>-30624.6</v>
      </c>
      <c r="K280" s="98">
        <v>0</v>
      </c>
      <c r="L280" s="96">
        <f t="shared" si="17"/>
        <v>-524151.92</v>
      </c>
      <c r="M280" s="99">
        <f t="shared" si="18"/>
        <v>-1082500.6100000001</v>
      </c>
    </row>
    <row r="281" spans="1:13" x14ac:dyDescent="0.2">
      <c r="A281" s="35">
        <v>47</v>
      </c>
      <c r="B281" s="1473">
        <v>1995</v>
      </c>
      <c r="C281" s="1474" t="s">
        <v>1411</v>
      </c>
      <c r="D281" s="95">
        <v>-2283741.11</v>
      </c>
      <c r="E281" s="95">
        <v>0</v>
      </c>
      <c r="F281" s="95">
        <v>0</v>
      </c>
      <c r="G281" s="96">
        <f t="shared" si="16"/>
        <v>-2283741.11</v>
      </c>
      <c r="H281" s="97"/>
      <c r="I281" s="98">
        <v>-757510.88</v>
      </c>
      <c r="J281" s="98">
        <v>-42859.020000000004</v>
      </c>
      <c r="K281" s="98">
        <v>0</v>
      </c>
      <c r="L281" s="96">
        <f t="shared" si="17"/>
        <v>-800369.9</v>
      </c>
      <c r="M281" s="99">
        <f t="shared" si="18"/>
        <v>-1483371.21</v>
      </c>
    </row>
    <row r="282" spans="1:13" x14ac:dyDescent="0.2">
      <c r="A282" s="35">
        <v>47</v>
      </c>
      <c r="B282" s="1473">
        <v>1995</v>
      </c>
      <c r="C282" s="1474" t="s">
        <v>1412</v>
      </c>
      <c r="D282" s="95">
        <v>-7343.73</v>
      </c>
      <c r="E282" s="95">
        <v>0</v>
      </c>
      <c r="F282" s="95">
        <v>0</v>
      </c>
      <c r="G282" s="96">
        <f t="shared" si="16"/>
        <v>-7343.73</v>
      </c>
      <c r="H282" s="97"/>
      <c r="I282" s="98">
        <v>-3905.62</v>
      </c>
      <c r="J282" s="98">
        <v>-293.75</v>
      </c>
      <c r="K282" s="98">
        <v>0</v>
      </c>
      <c r="L282" s="96">
        <f t="shared" si="17"/>
        <v>-4199.37</v>
      </c>
      <c r="M282" s="99">
        <f t="shared" si="18"/>
        <v>-3144.3599999999997</v>
      </c>
    </row>
    <row r="283" spans="1:13" x14ac:dyDescent="0.2">
      <c r="A283" s="35">
        <v>47</v>
      </c>
      <c r="B283" s="1473">
        <v>1995</v>
      </c>
      <c r="C283" s="1474" t="s">
        <v>1413</v>
      </c>
      <c r="D283" s="95">
        <v>-13000</v>
      </c>
      <c r="E283" s="95">
        <v>0</v>
      </c>
      <c r="F283" s="95">
        <v>0</v>
      </c>
      <c r="G283" s="96">
        <f t="shared" si="16"/>
        <v>-13000</v>
      </c>
      <c r="H283" s="97"/>
      <c r="I283" s="98">
        <v>-3994.3299999999995</v>
      </c>
      <c r="J283" s="98">
        <v>-204.68</v>
      </c>
      <c r="K283" s="98">
        <v>0</v>
      </c>
      <c r="L283" s="96">
        <f t="shared" si="17"/>
        <v>-4199.0099999999993</v>
      </c>
      <c r="M283" s="99">
        <f t="shared" si="18"/>
        <v>-8800.9900000000016</v>
      </c>
    </row>
    <row r="284" spans="1:13" x14ac:dyDescent="0.2">
      <c r="A284" s="35">
        <v>47</v>
      </c>
      <c r="B284" s="1473">
        <v>1995</v>
      </c>
      <c r="C284" s="1474" t="s">
        <v>1414</v>
      </c>
      <c r="D284" s="95">
        <v>-9721.93</v>
      </c>
      <c r="E284" s="95">
        <v>0</v>
      </c>
      <c r="F284" s="95">
        <v>0</v>
      </c>
      <c r="G284" s="96">
        <f t="shared" si="16"/>
        <v>-9721.93</v>
      </c>
      <c r="H284" s="97"/>
      <c r="I284" s="98">
        <v>-9721.93</v>
      </c>
      <c r="J284" s="98">
        <v>0</v>
      </c>
      <c r="K284" s="98">
        <v>0</v>
      </c>
      <c r="L284" s="96">
        <f t="shared" si="17"/>
        <v>-9721.93</v>
      </c>
      <c r="M284" s="99">
        <f t="shared" si="18"/>
        <v>0</v>
      </c>
    </row>
    <row r="285" spans="1:13" x14ac:dyDescent="0.2">
      <c r="A285" s="35">
        <v>47</v>
      </c>
      <c r="B285" s="1473">
        <v>2440</v>
      </c>
      <c r="C285" s="1474" t="s">
        <v>1415</v>
      </c>
      <c r="D285" s="95">
        <v>4594.0099999999993</v>
      </c>
      <c r="E285" s="95">
        <v>-200138.25</v>
      </c>
      <c r="F285" s="95">
        <v>0</v>
      </c>
      <c r="G285" s="96">
        <f t="shared" si="16"/>
        <v>-195544.24</v>
      </c>
      <c r="I285" s="98">
        <v>256.65999999999997</v>
      </c>
      <c r="J285" s="98">
        <v>-2121.67</v>
      </c>
      <c r="K285" s="98">
        <v>0</v>
      </c>
      <c r="L285" s="96">
        <f t="shared" si="17"/>
        <v>-1865.0100000000002</v>
      </c>
      <c r="M285" s="99">
        <f t="shared" si="18"/>
        <v>-193679.22999999998</v>
      </c>
    </row>
    <row r="286" spans="1:13" ht="25.5" x14ac:dyDescent="0.2">
      <c r="A286" s="35">
        <v>47</v>
      </c>
      <c r="B286" s="1473">
        <v>2440</v>
      </c>
      <c r="C286" s="1474" t="s">
        <v>1416</v>
      </c>
      <c r="D286" s="95">
        <v>-4348.25</v>
      </c>
      <c r="E286" s="95">
        <v>-83434.42</v>
      </c>
      <c r="F286" s="95">
        <v>0</v>
      </c>
      <c r="G286" s="96">
        <f t="shared" si="16"/>
        <v>-87782.67</v>
      </c>
      <c r="H286" s="97"/>
      <c r="I286" s="98">
        <v>-33.440000000000005</v>
      </c>
      <c r="J286" s="98">
        <v>-767.76</v>
      </c>
      <c r="K286" s="98">
        <v>0</v>
      </c>
      <c r="L286" s="96">
        <f t="shared" si="17"/>
        <v>-801.2</v>
      </c>
      <c r="M286" s="99">
        <f t="shared" si="18"/>
        <v>-86981.47</v>
      </c>
    </row>
    <row r="287" spans="1:13" ht="25.5" x14ac:dyDescent="0.2">
      <c r="A287" s="35">
        <v>47</v>
      </c>
      <c r="B287" s="1473">
        <v>2440</v>
      </c>
      <c r="C287" s="1474" t="s">
        <v>1417</v>
      </c>
      <c r="D287" s="95">
        <v>-23654.559999999998</v>
      </c>
      <c r="E287" s="95">
        <v>-4549.4799999999996</v>
      </c>
      <c r="F287" s="95">
        <v>0</v>
      </c>
      <c r="G287" s="96">
        <f t="shared" si="16"/>
        <v>-28204.039999999997</v>
      </c>
      <c r="H287" s="97"/>
      <c r="I287" s="98">
        <v>-453.4</v>
      </c>
      <c r="J287" s="98">
        <v>-432.16</v>
      </c>
      <c r="K287" s="98">
        <v>0</v>
      </c>
      <c r="L287" s="96">
        <f t="shared" si="17"/>
        <v>-885.56</v>
      </c>
      <c r="M287" s="99">
        <f t="shared" si="18"/>
        <v>-27318.479999999996</v>
      </c>
    </row>
    <row r="288" spans="1:13" ht="25.5" x14ac:dyDescent="0.2">
      <c r="A288" s="35">
        <v>47</v>
      </c>
      <c r="B288" s="1473">
        <v>2440</v>
      </c>
      <c r="C288" s="1474" t="s">
        <v>1418</v>
      </c>
      <c r="D288" s="95">
        <v>-315061.92</v>
      </c>
      <c r="E288" s="95">
        <v>-128954.79</v>
      </c>
      <c r="F288" s="95">
        <v>0</v>
      </c>
      <c r="G288" s="96">
        <f t="shared" ref="G288:G297" si="19">D288+E288+F288</f>
        <v>-444016.70999999996</v>
      </c>
      <c r="H288" s="97"/>
      <c r="I288" s="98">
        <v>-5803.04</v>
      </c>
      <c r="J288" s="98">
        <v>-5839.07</v>
      </c>
      <c r="K288" s="98">
        <v>0</v>
      </c>
      <c r="L288" s="96">
        <f t="shared" ref="L288:L297" si="20">I288+J288+K288</f>
        <v>-11642.11</v>
      </c>
      <c r="M288" s="99">
        <f t="shared" si="18"/>
        <v>-432374.6</v>
      </c>
    </row>
    <row r="289" spans="1:13" ht="25.5" x14ac:dyDescent="0.2">
      <c r="A289" s="35">
        <v>47</v>
      </c>
      <c r="B289" s="1473">
        <v>2440</v>
      </c>
      <c r="C289" s="1474" t="s">
        <v>1419</v>
      </c>
      <c r="D289" s="95">
        <v>-320258.21999999997</v>
      </c>
      <c r="E289" s="95">
        <v>-281790.59999999998</v>
      </c>
      <c r="F289" s="95">
        <v>0</v>
      </c>
      <c r="G289" s="96">
        <f t="shared" si="19"/>
        <v>-602048.81999999995</v>
      </c>
      <c r="H289" s="97"/>
      <c r="I289" s="98">
        <v>-8270.0299999999988</v>
      </c>
      <c r="J289" s="98">
        <v>-10247.86</v>
      </c>
      <c r="K289" s="98">
        <v>0</v>
      </c>
      <c r="L289" s="96">
        <f t="shared" si="20"/>
        <v>-18517.89</v>
      </c>
      <c r="M289" s="99">
        <f t="shared" ref="M289:M297" si="21">G289-L289</f>
        <v>-583530.92999999993</v>
      </c>
    </row>
    <row r="290" spans="1:13" ht="25.5" x14ac:dyDescent="0.2">
      <c r="A290" s="35">
        <v>47</v>
      </c>
      <c r="B290" s="1473">
        <v>2440</v>
      </c>
      <c r="C290" s="1474" t="s">
        <v>1420</v>
      </c>
      <c r="D290" s="95">
        <v>-469523.79000000004</v>
      </c>
      <c r="E290" s="95">
        <v>-195466.47</v>
      </c>
      <c r="F290" s="95">
        <v>0</v>
      </c>
      <c r="G290" s="96">
        <f t="shared" si="19"/>
        <v>-664990.26</v>
      </c>
      <c r="H290" s="97"/>
      <c r="I290" s="98">
        <v>-9826.7899999999991</v>
      </c>
      <c r="J290" s="98">
        <v>-12605.71</v>
      </c>
      <c r="K290" s="98">
        <v>0</v>
      </c>
      <c r="L290" s="96">
        <f t="shared" si="20"/>
        <v>-22432.5</v>
      </c>
      <c r="M290" s="99">
        <f t="shared" si="21"/>
        <v>-642557.76</v>
      </c>
    </row>
    <row r="291" spans="1:13" ht="25.5" x14ac:dyDescent="0.2">
      <c r="A291" s="35">
        <v>47</v>
      </c>
      <c r="B291" s="1473">
        <v>2440</v>
      </c>
      <c r="C291" s="1474" t="s">
        <v>1421</v>
      </c>
      <c r="D291" s="95">
        <v>-173416.95</v>
      </c>
      <c r="E291" s="95">
        <v>-658899.25</v>
      </c>
      <c r="F291" s="95">
        <v>0</v>
      </c>
      <c r="G291" s="96">
        <f t="shared" si="19"/>
        <v>-832316.2</v>
      </c>
      <c r="H291" s="97"/>
      <c r="I291" s="98">
        <v>-3328.07</v>
      </c>
      <c r="J291" s="98">
        <v>-11174.81</v>
      </c>
      <c r="K291" s="98">
        <v>0</v>
      </c>
      <c r="L291" s="96">
        <f t="shared" si="20"/>
        <v>-14502.88</v>
      </c>
      <c r="M291" s="99">
        <f t="shared" si="21"/>
        <v>-817813.32</v>
      </c>
    </row>
    <row r="292" spans="1:13" x14ac:dyDescent="0.2">
      <c r="A292" s="35">
        <v>47</v>
      </c>
      <c r="B292" s="1473">
        <v>2440</v>
      </c>
      <c r="C292" s="1474" t="s">
        <v>1422</v>
      </c>
      <c r="D292" s="95">
        <v>-7516.1</v>
      </c>
      <c r="E292" s="95">
        <v>-50044.02</v>
      </c>
      <c r="F292" s="95">
        <v>0</v>
      </c>
      <c r="G292" s="96">
        <f t="shared" si="19"/>
        <v>-57560.119999999995</v>
      </c>
      <c r="H292" s="97"/>
      <c r="I292" s="98">
        <v>-163.1</v>
      </c>
      <c r="J292" s="98">
        <v>-1301.52</v>
      </c>
      <c r="K292" s="98">
        <v>0</v>
      </c>
      <c r="L292" s="96">
        <f t="shared" si="20"/>
        <v>-1464.62</v>
      </c>
      <c r="M292" s="99">
        <f t="shared" si="21"/>
        <v>-56095.499999999993</v>
      </c>
    </row>
    <row r="293" spans="1:13" x14ac:dyDescent="0.2">
      <c r="A293" s="35">
        <v>47</v>
      </c>
      <c r="B293" s="1473">
        <v>2440</v>
      </c>
      <c r="C293" s="1474" t="s">
        <v>1423</v>
      </c>
      <c r="D293" s="95">
        <v>0</v>
      </c>
      <c r="E293" s="95">
        <v>0</v>
      </c>
      <c r="F293" s="95">
        <v>0</v>
      </c>
      <c r="G293" s="96">
        <f t="shared" si="19"/>
        <v>0</v>
      </c>
      <c r="H293" s="97"/>
      <c r="I293" s="98">
        <v>0</v>
      </c>
      <c r="J293" s="98">
        <v>0</v>
      </c>
      <c r="K293" s="98">
        <v>0</v>
      </c>
      <c r="L293" s="96">
        <f t="shared" si="20"/>
        <v>0</v>
      </c>
      <c r="M293" s="99">
        <f t="shared" si="21"/>
        <v>0</v>
      </c>
    </row>
    <row r="294" spans="1:13" ht="25.5" x14ac:dyDescent="0.2">
      <c r="A294" s="35">
        <v>47</v>
      </c>
      <c r="B294" s="1473">
        <v>2440</v>
      </c>
      <c r="C294" s="1474" t="s">
        <v>1424</v>
      </c>
      <c r="D294" s="95">
        <v>0</v>
      </c>
      <c r="E294" s="95">
        <v>0</v>
      </c>
      <c r="F294" s="95">
        <v>0</v>
      </c>
      <c r="G294" s="96">
        <f t="shared" si="19"/>
        <v>0</v>
      </c>
      <c r="H294" s="97"/>
      <c r="I294" s="98">
        <v>0</v>
      </c>
      <c r="J294" s="98">
        <v>0</v>
      </c>
      <c r="K294" s="98">
        <v>0</v>
      </c>
      <c r="L294" s="96">
        <f t="shared" si="20"/>
        <v>0</v>
      </c>
      <c r="M294" s="99">
        <f t="shared" si="21"/>
        <v>0</v>
      </c>
    </row>
    <row r="295" spans="1:13" x14ac:dyDescent="0.2">
      <c r="A295" s="35">
        <v>47</v>
      </c>
      <c r="B295" s="1473">
        <v>2440</v>
      </c>
      <c r="C295" s="1474" t="s">
        <v>1425</v>
      </c>
      <c r="D295" s="95">
        <v>0</v>
      </c>
      <c r="E295" s="95">
        <v>0</v>
      </c>
      <c r="F295" s="95">
        <v>0</v>
      </c>
      <c r="G295" s="96">
        <f t="shared" si="19"/>
        <v>0</v>
      </c>
      <c r="H295" s="97"/>
      <c r="I295" s="98">
        <v>0</v>
      </c>
      <c r="J295" s="98">
        <v>0</v>
      </c>
      <c r="K295" s="98">
        <v>0</v>
      </c>
      <c r="L295" s="96">
        <f t="shared" si="20"/>
        <v>0</v>
      </c>
      <c r="M295" s="99">
        <f t="shared" si="21"/>
        <v>0</v>
      </c>
    </row>
    <row r="296" spans="1:13" x14ac:dyDescent="0.2">
      <c r="A296" s="35">
        <v>43.1</v>
      </c>
      <c r="B296" s="1473">
        <v>2440</v>
      </c>
      <c r="C296" s="1474" t="s">
        <v>1426</v>
      </c>
      <c r="D296" s="95">
        <v>0</v>
      </c>
      <c r="E296" s="95">
        <v>0</v>
      </c>
      <c r="F296" s="95">
        <v>0</v>
      </c>
      <c r="G296" s="96">
        <f t="shared" si="19"/>
        <v>0</v>
      </c>
      <c r="H296" s="97"/>
      <c r="I296" s="98">
        <v>0</v>
      </c>
      <c r="J296" s="98">
        <v>0</v>
      </c>
      <c r="K296" s="98">
        <v>0</v>
      </c>
      <c r="L296" s="96">
        <f t="shared" si="20"/>
        <v>0</v>
      </c>
      <c r="M296" s="99">
        <f t="shared" si="21"/>
        <v>0</v>
      </c>
    </row>
    <row r="297" spans="1:13" x14ac:dyDescent="0.2">
      <c r="A297" s="106"/>
      <c r="B297" s="106"/>
      <c r="C297" s="107"/>
      <c r="D297" s="95">
        <v>0</v>
      </c>
      <c r="E297" s="95">
        <v>0</v>
      </c>
      <c r="F297" s="95">
        <v>0</v>
      </c>
      <c r="G297" s="96">
        <f t="shared" si="19"/>
        <v>0</v>
      </c>
      <c r="I297" s="98">
        <v>0</v>
      </c>
      <c r="J297" s="98">
        <v>0</v>
      </c>
      <c r="K297" s="98">
        <v>0</v>
      </c>
      <c r="L297" s="96">
        <f t="shared" si="20"/>
        <v>0</v>
      </c>
      <c r="M297" s="99">
        <f t="shared" si="21"/>
        <v>0</v>
      </c>
    </row>
    <row r="298" spans="1:13" x14ac:dyDescent="0.2">
      <c r="A298" s="106"/>
      <c r="B298" s="106"/>
      <c r="C298" s="109" t="s">
        <v>180</v>
      </c>
      <c r="D298" s="110">
        <f>SUM(D225:D297)</f>
        <v>49306568.249999993</v>
      </c>
      <c r="E298" s="110">
        <f>SUM(E225:E297)</f>
        <v>1272850.4999999998</v>
      </c>
      <c r="F298" s="110">
        <f>SUM(F225:F297)</f>
        <v>-223347.59</v>
      </c>
      <c r="G298" s="110">
        <f>SUM(G225:G297)</f>
        <v>50356071.160000004</v>
      </c>
      <c r="H298" s="110"/>
      <c r="I298" s="110">
        <f>SUM(I225:I297)</f>
        <v>24596803.02</v>
      </c>
      <c r="J298" s="110">
        <f>SUM(J225:J297)</f>
        <v>1051851.6000000003</v>
      </c>
      <c r="K298" s="110">
        <f>SUM(K225:K297)</f>
        <v>-181818.45000000004</v>
      </c>
      <c r="L298" s="110">
        <f>SUM(L225:L297)</f>
        <v>25466836.169999998</v>
      </c>
      <c r="M298" s="110">
        <f>SUM(M225:M297)</f>
        <v>24889234.989999995</v>
      </c>
    </row>
    <row r="299" spans="1:13" ht="37.5" x14ac:dyDescent="0.2">
      <c r="A299" s="106"/>
      <c r="B299" s="106"/>
      <c r="C299" s="111" t="s">
        <v>541</v>
      </c>
      <c r="D299" s="108"/>
      <c r="E299" s="108"/>
      <c r="F299" s="108"/>
      <c r="G299" s="96">
        <f>D299+E299+F299</f>
        <v>0</v>
      </c>
      <c r="I299" s="108"/>
      <c r="J299" s="108"/>
      <c r="K299" s="108"/>
      <c r="L299" s="96">
        <f>I299+J299+K299</f>
        <v>0</v>
      </c>
      <c r="M299" s="99">
        <f>G299+L299</f>
        <v>0</v>
      </c>
    </row>
    <row r="300" spans="1:13" ht="25.5" x14ac:dyDescent="0.2">
      <c r="A300" s="106"/>
      <c r="B300" s="106"/>
      <c r="C300" s="112" t="s">
        <v>540</v>
      </c>
      <c r="D300" s="108"/>
      <c r="E300" s="108"/>
      <c r="F300" s="108"/>
      <c r="G300" s="96">
        <f>D300+E300+F300</f>
        <v>0</v>
      </c>
      <c r="I300" s="108"/>
      <c r="J300" s="108"/>
      <c r="K300" s="108"/>
      <c r="L300" s="96">
        <f>I300+J300+K300</f>
        <v>0</v>
      </c>
      <c r="M300" s="99">
        <f>G300+L300</f>
        <v>0</v>
      </c>
    </row>
    <row r="301" spans="1:13" x14ac:dyDescent="0.2">
      <c r="A301" s="106"/>
      <c r="B301" s="106"/>
      <c r="C301" s="109" t="s">
        <v>450</v>
      </c>
      <c r="D301" s="110">
        <f>SUM(D298:D300)</f>
        <v>49306568.249999993</v>
      </c>
      <c r="E301" s="110">
        <f>SUM(E298:E300)</f>
        <v>1272850.4999999998</v>
      </c>
      <c r="F301" s="110">
        <f>SUM(F298:F300)</f>
        <v>-223347.59</v>
      </c>
      <c r="G301" s="110">
        <f>SUM(G298:G300)</f>
        <v>50356071.160000004</v>
      </c>
      <c r="H301" s="110"/>
      <c r="I301" s="110">
        <f>SUM(I298:I300)</f>
        <v>24596803.02</v>
      </c>
      <c r="J301" s="110">
        <f>SUM(J298:J300)</f>
        <v>1051851.6000000003</v>
      </c>
      <c r="K301" s="110">
        <f>SUM(K298:K300)</f>
        <v>-181818.45000000004</v>
      </c>
      <c r="L301" s="110">
        <f>SUM(L298:L300)</f>
        <v>25466836.169999998</v>
      </c>
      <c r="M301" s="110">
        <f>SUM(M298:M300)</f>
        <v>24889234.989999995</v>
      </c>
    </row>
    <row r="302" spans="1:13" ht="14.25" x14ac:dyDescent="0.2">
      <c r="A302" s="106"/>
      <c r="B302" s="106"/>
      <c r="C302" s="1674" t="s">
        <v>848</v>
      </c>
      <c r="D302" s="1675"/>
      <c r="E302" s="1675"/>
      <c r="F302" s="1675"/>
      <c r="G302" s="1675"/>
      <c r="H302" s="1675"/>
      <c r="I302" s="1676"/>
      <c r="J302" s="108"/>
      <c r="K302" s="113"/>
      <c r="L302" s="114"/>
      <c r="M302" s="115"/>
    </row>
    <row r="303" spans="1:13" x14ac:dyDescent="0.2">
      <c r="A303" s="106"/>
      <c r="B303" s="106"/>
      <c r="C303" s="1674" t="s">
        <v>272</v>
      </c>
      <c r="D303" s="1675"/>
      <c r="E303" s="1675"/>
      <c r="F303" s="1675"/>
      <c r="G303" s="1675"/>
      <c r="H303" s="1675"/>
      <c r="I303" s="1676"/>
      <c r="J303" s="110">
        <f>J301+J302</f>
        <v>1051851.6000000003</v>
      </c>
      <c r="K303" s="113"/>
      <c r="L303" s="114"/>
      <c r="M303" s="115"/>
    </row>
    <row r="304" spans="1:13" x14ac:dyDescent="0.2">
      <c r="A304" s="1498"/>
      <c r="B304" s="1498"/>
    </row>
    <row r="305" spans="1:16" x14ac:dyDescent="0.2">
      <c r="A305" s="1498"/>
      <c r="B305" s="1498"/>
      <c r="I305" s="116" t="s">
        <v>379</v>
      </c>
      <c r="J305" s="1499"/>
    </row>
    <row r="306" spans="1:16" x14ac:dyDescent="0.2">
      <c r="A306" s="106">
        <v>10</v>
      </c>
      <c r="B306" s="106"/>
      <c r="C306" s="107" t="s">
        <v>273</v>
      </c>
      <c r="I306" s="1499" t="s">
        <v>273</v>
      </c>
      <c r="J306" s="1499"/>
      <c r="K306" s="117">
        <v>-99286.260000000009</v>
      </c>
    </row>
    <row r="307" spans="1:16" x14ac:dyDescent="0.2">
      <c r="A307" s="106">
        <v>8</v>
      </c>
      <c r="B307" s="106"/>
      <c r="C307" s="107" t="s">
        <v>264</v>
      </c>
      <c r="I307" s="1499" t="s">
        <v>264</v>
      </c>
      <c r="J307" s="1499"/>
      <c r="K307" s="117">
        <v>-1047.17</v>
      </c>
    </row>
    <row r="308" spans="1:16" x14ac:dyDescent="0.2">
      <c r="A308" s="106">
        <v>8</v>
      </c>
      <c r="B308" s="106"/>
      <c r="C308" s="1480" t="s">
        <v>1433</v>
      </c>
      <c r="I308" s="1477" t="s">
        <v>1433</v>
      </c>
      <c r="J308" s="1499"/>
      <c r="K308" s="117">
        <v>0</v>
      </c>
    </row>
    <row r="309" spans="1:16" x14ac:dyDescent="0.2">
      <c r="A309" s="106">
        <v>8</v>
      </c>
      <c r="B309" s="106"/>
      <c r="C309" s="1480" t="s">
        <v>1434</v>
      </c>
      <c r="I309" s="1477" t="s">
        <v>1434</v>
      </c>
      <c r="J309" s="1499"/>
      <c r="K309" s="117">
        <v>0</v>
      </c>
    </row>
    <row r="310" spans="1:16" x14ac:dyDescent="0.2">
      <c r="A310" s="106">
        <v>8</v>
      </c>
      <c r="B310" s="106"/>
      <c r="C310" s="1480" t="s">
        <v>791</v>
      </c>
      <c r="I310" s="1478">
        <v>1576</v>
      </c>
      <c r="J310" s="1499"/>
      <c r="K310" s="117">
        <v>-200949.81</v>
      </c>
    </row>
    <row r="311" spans="1:16" x14ac:dyDescent="0.2">
      <c r="A311" s="1498"/>
      <c r="B311" s="1498"/>
      <c r="I311" s="1479" t="s">
        <v>1435</v>
      </c>
      <c r="J311" s="1499"/>
      <c r="K311" s="117">
        <v>44490.559999999998</v>
      </c>
    </row>
    <row r="312" spans="1:16" x14ac:dyDescent="0.2">
      <c r="A312" s="1498"/>
      <c r="B312" s="1498"/>
      <c r="I312" s="118" t="s">
        <v>274</v>
      </c>
      <c r="K312" s="1481">
        <f>J303+K308+K306+K307+K309+K310+K311</f>
        <v>795058.92000000039</v>
      </c>
    </row>
    <row r="313" spans="1:16" x14ac:dyDescent="0.2">
      <c r="A313" s="1498"/>
      <c r="B313" s="1498"/>
      <c r="N313" s="119"/>
    </row>
    <row r="314" spans="1:16" x14ac:dyDescent="0.2">
      <c r="A314" s="1498"/>
      <c r="B314" s="1498"/>
    </row>
    <row r="315" spans="1:16" x14ac:dyDescent="0.2">
      <c r="A315" s="1498"/>
      <c r="B315" s="1498"/>
      <c r="E315" s="68" t="s">
        <v>822</v>
      </c>
      <c r="F315" s="30" t="s">
        <v>95</v>
      </c>
      <c r="H315" s="34"/>
    </row>
    <row r="316" spans="1:16" ht="15" x14ac:dyDescent="0.25">
      <c r="A316" s="1498"/>
      <c r="B316" s="1498"/>
      <c r="C316" s="38"/>
      <c r="E316" s="68" t="s">
        <v>92</v>
      </c>
      <c r="F316" s="82">
        <v>2017</v>
      </c>
      <c r="G316" s="83"/>
    </row>
    <row r="317" spans="1:16" x14ac:dyDescent="0.2">
      <c r="A317" s="1498"/>
      <c r="B317" s="1498"/>
    </row>
    <row r="318" spans="1:16" x14ac:dyDescent="0.2">
      <c r="A318" s="1498"/>
      <c r="B318" s="1498"/>
      <c r="D318" s="1677" t="s">
        <v>242</v>
      </c>
      <c r="E318" s="1678"/>
      <c r="F318" s="1678"/>
      <c r="G318" s="1679"/>
      <c r="I318" s="84"/>
      <c r="J318" s="85" t="s">
        <v>243</v>
      </c>
      <c r="K318" s="85"/>
      <c r="L318" s="86"/>
      <c r="M318" s="81"/>
    </row>
    <row r="319" spans="1:16" ht="25.5" customHeight="1" x14ac:dyDescent="0.2">
      <c r="A319" s="87" t="s">
        <v>917</v>
      </c>
      <c r="B319" s="87" t="s">
        <v>919</v>
      </c>
      <c r="C319" s="88" t="s">
        <v>920</v>
      </c>
      <c r="D319" s="87" t="s">
        <v>213</v>
      </c>
      <c r="E319" s="89" t="s">
        <v>918</v>
      </c>
      <c r="F319" s="89" t="s">
        <v>995</v>
      </c>
      <c r="G319" s="87" t="s">
        <v>241</v>
      </c>
      <c r="H319" s="90"/>
      <c r="I319" s="91" t="s">
        <v>213</v>
      </c>
      <c r="J319" s="92" t="s">
        <v>214</v>
      </c>
      <c r="K319" s="92" t="s">
        <v>995</v>
      </c>
      <c r="L319" s="93" t="s">
        <v>241</v>
      </c>
      <c r="M319" s="87" t="s">
        <v>276</v>
      </c>
    </row>
    <row r="320" spans="1:16" s="1467" customFormat="1" ht="25.5" x14ac:dyDescent="0.2">
      <c r="A320" s="35">
        <v>47</v>
      </c>
      <c r="B320" s="1530">
        <v>1508</v>
      </c>
      <c r="C320" s="94" t="s">
        <v>1390</v>
      </c>
      <c r="D320" s="95">
        <v>2584294.6999999997</v>
      </c>
      <c r="E320" s="95">
        <v>-18767</v>
      </c>
      <c r="F320" s="95">
        <v>0</v>
      </c>
      <c r="G320" s="96">
        <f t="shared" ref="G320:G382" si="22">D320+E320+F320</f>
        <v>2565527.6999999997</v>
      </c>
      <c r="H320" s="97"/>
      <c r="I320" s="98">
        <v>79550.459999999992</v>
      </c>
      <c r="J320" s="98">
        <v>53432.88</v>
      </c>
      <c r="K320" s="98">
        <v>0</v>
      </c>
      <c r="L320" s="96">
        <f t="shared" ref="L320:L382" si="23">I320+J320+K320</f>
        <v>132983.34</v>
      </c>
      <c r="M320" s="99">
        <f>G320-L320</f>
        <v>2432544.36</v>
      </c>
      <c r="N320" s="1465"/>
      <c r="O320" s="1466">
        <f>AVERAGE(G320,D320)</f>
        <v>2574911.1999999997</v>
      </c>
      <c r="P320" s="1466">
        <f>AVERAGE(L320,I320)</f>
        <v>106266.9</v>
      </c>
    </row>
    <row r="321" spans="1:16" s="1467" customFormat="1" x14ac:dyDescent="0.2">
      <c r="A321" s="35" t="s">
        <v>244</v>
      </c>
      <c r="B321" s="1468">
        <v>1606</v>
      </c>
      <c r="C321" s="1469" t="s">
        <v>1391</v>
      </c>
      <c r="D321" s="1470">
        <v>0</v>
      </c>
      <c r="E321" s="1470">
        <v>0</v>
      </c>
      <c r="F321" s="1470">
        <v>0</v>
      </c>
      <c r="G321" s="96">
        <f t="shared" si="22"/>
        <v>0</v>
      </c>
      <c r="H321" s="1471"/>
      <c r="I321" s="1470">
        <v>0</v>
      </c>
      <c r="J321" s="1470">
        <v>0</v>
      </c>
      <c r="K321" s="1470">
        <v>0</v>
      </c>
      <c r="L321" s="96">
        <f t="shared" si="23"/>
        <v>0</v>
      </c>
      <c r="M321" s="99">
        <f t="shared" ref="M321:M383" si="24">G321-L321</f>
        <v>0</v>
      </c>
      <c r="O321" s="1472">
        <f>AVERAGE(G321,D321)</f>
        <v>0</v>
      </c>
      <c r="P321" s="1472">
        <f>AVERAGE(L321,I321)</f>
        <v>0</v>
      </c>
    </row>
    <row r="322" spans="1:16" ht="25.5" x14ac:dyDescent="0.2">
      <c r="A322" s="35">
        <v>12</v>
      </c>
      <c r="B322" s="1530">
        <v>1611</v>
      </c>
      <c r="C322" s="94" t="s">
        <v>352</v>
      </c>
      <c r="D322" s="95">
        <v>2334961.7899999996</v>
      </c>
      <c r="E322" s="95">
        <v>128950.64</v>
      </c>
      <c r="F322" s="95">
        <v>0</v>
      </c>
      <c r="G322" s="96">
        <f t="shared" si="22"/>
        <v>2463912.4299999997</v>
      </c>
      <c r="H322" s="97"/>
      <c r="I322" s="98">
        <v>2166943.37</v>
      </c>
      <c r="J322" s="98">
        <v>116145.71</v>
      </c>
      <c r="K322" s="98">
        <v>0</v>
      </c>
      <c r="L322" s="96">
        <f t="shared" si="23"/>
        <v>2283089.08</v>
      </c>
      <c r="M322" s="99">
        <f t="shared" si="24"/>
        <v>180823.34999999963</v>
      </c>
    </row>
    <row r="323" spans="1:16" ht="25.5" x14ac:dyDescent="0.2">
      <c r="A323" s="35" t="s">
        <v>1621</v>
      </c>
      <c r="B323" s="1530">
        <v>1612</v>
      </c>
      <c r="C323" s="94" t="s">
        <v>397</v>
      </c>
      <c r="D323" s="95">
        <v>0</v>
      </c>
      <c r="E323" s="95">
        <v>0</v>
      </c>
      <c r="F323" s="95">
        <v>0</v>
      </c>
      <c r="G323" s="96">
        <f t="shared" si="22"/>
        <v>0</v>
      </c>
      <c r="H323" s="97"/>
      <c r="I323" s="98">
        <v>0</v>
      </c>
      <c r="J323" s="98">
        <v>0</v>
      </c>
      <c r="K323" s="98">
        <v>0</v>
      </c>
      <c r="L323" s="96">
        <f t="shared" si="23"/>
        <v>0</v>
      </c>
      <c r="M323" s="99">
        <f t="shared" si="24"/>
        <v>0</v>
      </c>
    </row>
    <row r="324" spans="1:16" x14ac:dyDescent="0.2">
      <c r="A324" s="35" t="s">
        <v>244</v>
      </c>
      <c r="B324" s="100">
        <v>1805</v>
      </c>
      <c r="C324" s="101" t="s">
        <v>245</v>
      </c>
      <c r="D324" s="95">
        <v>258134.21000000002</v>
      </c>
      <c r="E324" s="95">
        <v>0</v>
      </c>
      <c r="F324" s="95">
        <v>0</v>
      </c>
      <c r="G324" s="96">
        <f t="shared" si="22"/>
        <v>258134.21000000002</v>
      </c>
      <c r="H324" s="97"/>
      <c r="I324" s="98">
        <v>0</v>
      </c>
      <c r="J324" s="98">
        <v>0</v>
      </c>
      <c r="K324" s="98">
        <v>0</v>
      </c>
      <c r="L324" s="96">
        <f t="shared" si="23"/>
        <v>0</v>
      </c>
      <c r="M324" s="99">
        <f t="shared" si="24"/>
        <v>258134.21000000002</v>
      </c>
    </row>
    <row r="325" spans="1:16" x14ac:dyDescent="0.2">
      <c r="A325" s="35">
        <v>47</v>
      </c>
      <c r="B325" s="100">
        <v>1808</v>
      </c>
      <c r="C325" s="102" t="s">
        <v>246</v>
      </c>
      <c r="D325" s="95">
        <v>0</v>
      </c>
      <c r="E325" s="95">
        <v>0</v>
      </c>
      <c r="F325" s="95">
        <v>0</v>
      </c>
      <c r="G325" s="96">
        <f t="shared" si="22"/>
        <v>0</v>
      </c>
      <c r="H325" s="97"/>
      <c r="I325" s="98">
        <v>0</v>
      </c>
      <c r="J325" s="98">
        <v>0</v>
      </c>
      <c r="K325" s="98">
        <v>0</v>
      </c>
      <c r="L325" s="96">
        <f t="shared" si="23"/>
        <v>0</v>
      </c>
      <c r="M325" s="99">
        <f t="shared" si="24"/>
        <v>0</v>
      </c>
    </row>
    <row r="326" spans="1:16" x14ac:dyDescent="0.2">
      <c r="A326" s="35">
        <v>13</v>
      </c>
      <c r="B326" s="100">
        <v>1810</v>
      </c>
      <c r="C326" s="102" t="s">
        <v>275</v>
      </c>
      <c r="D326" s="95">
        <v>0</v>
      </c>
      <c r="E326" s="95">
        <v>0</v>
      </c>
      <c r="F326" s="95">
        <v>0</v>
      </c>
      <c r="G326" s="96">
        <f t="shared" si="22"/>
        <v>0</v>
      </c>
      <c r="H326" s="97"/>
      <c r="I326" s="98">
        <v>0</v>
      </c>
      <c r="J326" s="98">
        <v>0</v>
      </c>
      <c r="K326" s="98">
        <v>0</v>
      </c>
      <c r="L326" s="96">
        <f t="shared" si="23"/>
        <v>0</v>
      </c>
      <c r="M326" s="99">
        <f t="shared" si="24"/>
        <v>0</v>
      </c>
    </row>
    <row r="327" spans="1:16" ht="25.5" x14ac:dyDescent="0.2">
      <c r="A327" s="35">
        <v>47</v>
      </c>
      <c r="B327" s="1473">
        <v>1815</v>
      </c>
      <c r="C327" s="1474" t="s">
        <v>1392</v>
      </c>
      <c r="D327" s="95">
        <v>2782447.48</v>
      </c>
      <c r="E327" s="95">
        <v>0</v>
      </c>
      <c r="F327" s="95">
        <v>0</v>
      </c>
      <c r="G327" s="96">
        <f t="shared" si="22"/>
        <v>2782447.48</v>
      </c>
      <c r="H327" s="97"/>
      <c r="I327" s="98">
        <v>845851.52</v>
      </c>
      <c r="J327" s="98">
        <v>50594.34</v>
      </c>
      <c r="K327" s="98">
        <v>0</v>
      </c>
      <c r="L327" s="96">
        <f t="shared" si="23"/>
        <v>896445.86</v>
      </c>
      <c r="M327" s="99">
        <f t="shared" si="24"/>
        <v>1886001.62</v>
      </c>
    </row>
    <row r="328" spans="1:16" ht="25.5" x14ac:dyDescent="0.2">
      <c r="A328" s="35">
        <v>47</v>
      </c>
      <c r="B328" s="1468">
        <v>1815</v>
      </c>
      <c r="C328" s="1474" t="s">
        <v>1393</v>
      </c>
      <c r="D328" s="95">
        <v>2680846.46</v>
      </c>
      <c r="E328" s="95">
        <v>62902.18</v>
      </c>
      <c r="F328" s="95">
        <v>0</v>
      </c>
      <c r="G328" s="96">
        <f t="shared" si="22"/>
        <v>2743748.64</v>
      </c>
      <c r="H328" s="97"/>
      <c r="I328" s="98">
        <v>668233.01</v>
      </c>
      <c r="J328" s="98">
        <v>49649.54</v>
      </c>
      <c r="K328" s="98">
        <v>0</v>
      </c>
      <c r="L328" s="96">
        <f t="shared" si="23"/>
        <v>717882.55</v>
      </c>
      <c r="M328" s="99">
        <f t="shared" si="24"/>
        <v>2025866.09</v>
      </c>
    </row>
    <row r="329" spans="1:16" x14ac:dyDescent="0.2">
      <c r="A329" s="35">
        <v>47</v>
      </c>
      <c r="B329" s="100">
        <v>1820</v>
      </c>
      <c r="C329" s="94" t="s">
        <v>184</v>
      </c>
      <c r="D329" s="95">
        <v>160630.29</v>
      </c>
      <c r="E329" s="95">
        <v>0</v>
      </c>
      <c r="F329" s="95">
        <v>-160630.29</v>
      </c>
      <c r="G329" s="96">
        <f t="shared" si="22"/>
        <v>0</v>
      </c>
      <c r="H329" s="97"/>
      <c r="I329" s="98">
        <v>160630.29</v>
      </c>
      <c r="J329" s="98">
        <v>0</v>
      </c>
      <c r="K329" s="98">
        <v>-160630.29</v>
      </c>
      <c r="L329" s="96">
        <f t="shared" si="23"/>
        <v>0</v>
      </c>
      <c r="M329" s="99">
        <f t="shared" si="24"/>
        <v>0</v>
      </c>
    </row>
    <row r="330" spans="1:16" x14ac:dyDescent="0.2">
      <c r="A330" s="35">
        <v>43.1</v>
      </c>
      <c r="B330" s="100">
        <v>1825</v>
      </c>
      <c r="C330" s="102" t="s">
        <v>248</v>
      </c>
      <c r="D330" s="95">
        <v>0</v>
      </c>
      <c r="E330" s="95">
        <v>0</v>
      </c>
      <c r="F330" s="95">
        <v>0</v>
      </c>
      <c r="G330" s="96">
        <f t="shared" si="22"/>
        <v>0</v>
      </c>
      <c r="H330" s="97"/>
      <c r="I330" s="98">
        <v>0</v>
      </c>
      <c r="J330" s="98">
        <v>0</v>
      </c>
      <c r="K330" s="98">
        <v>0</v>
      </c>
      <c r="L330" s="96">
        <f t="shared" si="23"/>
        <v>0</v>
      </c>
      <c r="M330" s="99">
        <f t="shared" si="24"/>
        <v>0</v>
      </c>
    </row>
    <row r="331" spans="1:16" x14ac:dyDescent="0.2">
      <c r="A331" s="35">
        <v>47</v>
      </c>
      <c r="B331" s="100">
        <v>1830</v>
      </c>
      <c r="C331" s="102" t="s">
        <v>249</v>
      </c>
      <c r="D331" s="95">
        <v>5895235.3800000008</v>
      </c>
      <c r="E331" s="95">
        <v>200277.09</v>
      </c>
      <c r="F331" s="95">
        <v>-117944.04</v>
      </c>
      <c r="G331" s="96">
        <f t="shared" si="22"/>
        <v>5977568.4300000006</v>
      </c>
      <c r="H331" s="97"/>
      <c r="I331" s="98">
        <v>3110104.5199999996</v>
      </c>
      <c r="J331" s="98">
        <v>94853.91</v>
      </c>
      <c r="K331" s="98">
        <v>-106114.82</v>
      </c>
      <c r="L331" s="96">
        <f t="shared" si="23"/>
        <v>3098843.61</v>
      </c>
      <c r="M331" s="99">
        <f t="shared" si="24"/>
        <v>2878724.8200000008</v>
      </c>
    </row>
    <row r="332" spans="1:16" x14ac:dyDescent="0.2">
      <c r="A332" s="35">
        <v>47</v>
      </c>
      <c r="B332" s="100">
        <v>1835</v>
      </c>
      <c r="C332" s="102" t="s">
        <v>185</v>
      </c>
      <c r="D332" s="95">
        <v>7154451.7800000012</v>
      </c>
      <c r="E332" s="95">
        <v>204722.39</v>
      </c>
      <c r="F332" s="95">
        <v>-141617.60999999999</v>
      </c>
      <c r="G332" s="96">
        <f t="shared" si="22"/>
        <v>7217556.5600000005</v>
      </c>
      <c r="H332" s="97"/>
      <c r="I332" s="98">
        <v>3875814.7100000004</v>
      </c>
      <c r="J332" s="98">
        <v>76723.42</v>
      </c>
      <c r="K332" s="98">
        <v>-101049.17</v>
      </c>
      <c r="L332" s="96">
        <f t="shared" si="23"/>
        <v>3851488.9600000004</v>
      </c>
      <c r="M332" s="99">
        <f t="shared" si="24"/>
        <v>3366067.6</v>
      </c>
    </row>
    <row r="333" spans="1:16" x14ac:dyDescent="0.2">
      <c r="A333" s="35">
        <v>47</v>
      </c>
      <c r="B333" s="100">
        <v>1840</v>
      </c>
      <c r="C333" s="102" t="s">
        <v>186</v>
      </c>
      <c r="D333" s="95">
        <v>6040979.959999999</v>
      </c>
      <c r="E333" s="95">
        <v>79251.8</v>
      </c>
      <c r="F333" s="95">
        <v>0</v>
      </c>
      <c r="G333" s="96">
        <f t="shared" si="22"/>
        <v>6120231.7599999988</v>
      </c>
      <c r="H333" s="97"/>
      <c r="I333" s="98">
        <v>2519971.5499999998</v>
      </c>
      <c r="J333" s="98">
        <v>67624.73</v>
      </c>
      <c r="K333" s="98">
        <v>0</v>
      </c>
      <c r="L333" s="96">
        <f t="shared" si="23"/>
        <v>2587596.2799999998</v>
      </c>
      <c r="M333" s="99">
        <f t="shared" si="24"/>
        <v>3532635.4799999991</v>
      </c>
    </row>
    <row r="334" spans="1:16" x14ac:dyDescent="0.2">
      <c r="A334" s="35">
        <v>47</v>
      </c>
      <c r="B334" s="100">
        <v>1845</v>
      </c>
      <c r="C334" s="102" t="s">
        <v>187</v>
      </c>
      <c r="D334" s="95">
        <v>10591812.290000001</v>
      </c>
      <c r="E334" s="95">
        <v>153949.97</v>
      </c>
      <c r="F334" s="95">
        <v>0</v>
      </c>
      <c r="G334" s="96">
        <f t="shared" si="22"/>
        <v>10745762.260000002</v>
      </c>
      <c r="H334" s="97"/>
      <c r="I334" s="98">
        <v>5283053.1499999994</v>
      </c>
      <c r="J334" s="98">
        <v>180731.43</v>
      </c>
      <c r="K334" s="98">
        <v>0</v>
      </c>
      <c r="L334" s="96">
        <f t="shared" si="23"/>
        <v>5463784.5799999991</v>
      </c>
      <c r="M334" s="99">
        <f t="shared" si="24"/>
        <v>5281977.6800000025</v>
      </c>
    </row>
    <row r="335" spans="1:16" x14ac:dyDescent="0.2">
      <c r="A335" s="35">
        <v>47</v>
      </c>
      <c r="B335" s="100">
        <v>1850</v>
      </c>
      <c r="C335" s="102" t="s">
        <v>250</v>
      </c>
      <c r="D335" s="95">
        <v>8696566.1100000013</v>
      </c>
      <c r="E335" s="95">
        <v>337663.07</v>
      </c>
      <c r="F335" s="95">
        <v>-165406.87</v>
      </c>
      <c r="G335" s="96">
        <f t="shared" si="22"/>
        <v>8868822.3100000024</v>
      </c>
      <c r="H335" s="97"/>
      <c r="I335" s="98">
        <v>4089526.9600000004</v>
      </c>
      <c r="J335" s="98">
        <v>144995.75999999998</v>
      </c>
      <c r="K335" s="98">
        <v>-116427.19</v>
      </c>
      <c r="L335" s="96">
        <f t="shared" si="23"/>
        <v>4118095.5300000007</v>
      </c>
      <c r="M335" s="99">
        <f t="shared" si="24"/>
        <v>4750726.7800000012</v>
      </c>
    </row>
    <row r="336" spans="1:16" x14ac:dyDescent="0.2">
      <c r="A336" s="35">
        <v>47</v>
      </c>
      <c r="B336" s="1468">
        <v>1850</v>
      </c>
      <c r="C336" s="1475" t="s">
        <v>1394</v>
      </c>
      <c r="D336" s="95">
        <v>180085.5</v>
      </c>
      <c r="E336" s="95">
        <v>-11493.18</v>
      </c>
      <c r="F336" s="95">
        <v>0</v>
      </c>
      <c r="G336" s="96">
        <f t="shared" si="22"/>
        <v>168592.32</v>
      </c>
      <c r="H336" s="97"/>
      <c r="I336" s="98">
        <v>92911.39</v>
      </c>
      <c r="J336" s="98">
        <v>2740.62</v>
      </c>
      <c r="K336" s="98">
        <v>0</v>
      </c>
      <c r="L336" s="96">
        <f t="shared" si="23"/>
        <v>95652.01</v>
      </c>
      <c r="M336" s="99">
        <f t="shared" si="24"/>
        <v>72940.310000000012</v>
      </c>
    </row>
    <row r="337" spans="1:13" x14ac:dyDescent="0.2">
      <c r="A337" s="35">
        <v>47</v>
      </c>
      <c r="B337" s="1468">
        <v>1850</v>
      </c>
      <c r="C337" s="1475" t="s">
        <v>1395</v>
      </c>
      <c r="D337" s="95">
        <v>0</v>
      </c>
      <c r="E337" s="95">
        <v>0</v>
      </c>
      <c r="F337" s="95">
        <v>0</v>
      </c>
      <c r="G337" s="96">
        <f t="shared" si="22"/>
        <v>0</v>
      </c>
      <c r="H337" s="97"/>
      <c r="I337" s="98">
        <v>0</v>
      </c>
      <c r="J337" s="98">
        <v>0</v>
      </c>
      <c r="K337" s="98">
        <v>0</v>
      </c>
      <c r="L337" s="96">
        <f t="shared" si="23"/>
        <v>0</v>
      </c>
      <c r="M337" s="99">
        <f t="shared" si="24"/>
        <v>0</v>
      </c>
    </row>
    <row r="338" spans="1:13" x14ac:dyDescent="0.2">
      <c r="A338" s="35">
        <v>47</v>
      </c>
      <c r="B338" s="1468">
        <v>1850</v>
      </c>
      <c r="C338" s="1475" t="s">
        <v>1396</v>
      </c>
      <c r="D338" s="95">
        <v>163994.59</v>
      </c>
      <c r="E338" s="95">
        <v>-6052.85</v>
      </c>
      <c r="F338" s="95">
        <v>0</v>
      </c>
      <c r="G338" s="96">
        <f t="shared" si="22"/>
        <v>157941.74</v>
      </c>
      <c r="H338" s="97"/>
      <c r="I338" s="98">
        <v>23643.670000000002</v>
      </c>
      <c r="J338" s="98">
        <v>3427.54</v>
      </c>
      <c r="K338" s="98">
        <v>0</v>
      </c>
      <c r="L338" s="96">
        <f t="shared" si="23"/>
        <v>27071.210000000003</v>
      </c>
      <c r="M338" s="99">
        <f t="shared" si="24"/>
        <v>130870.52999999998</v>
      </c>
    </row>
    <row r="339" spans="1:13" x14ac:dyDescent="0.2">
      <c r="A339" s="35">
        <v>47</v>
      </c>
      <c r="B339" s="100">
        <v>1855</v>
      </c>
      <c r="C339" s="1474" t="s">
        <v>1397</v>
      </c>
      <c r="D339" s="95">
        <v>644244.37000000011</v>
      </c>
      <c r="E339" s="95">
        <v>5769.95</v>
      </c>
      <c r="F339" s="95">
        <v>0</v>
      </c>
      <c r="G339" s="96">
        <f t="shared" si="22"/>
        <v>650014.32000000007</v>
      </c>
      <c r="H339" s="97"/>
      <c r="I339" s="98">
        <v>167276.39999999997</v>
      </c>
      <c r="J339" s="98">
        <v>9239.68</v>
      </c>
      <c r="K339" s="98">
        <v>0</v>
      </c>
      <c r="L339" s="96">
        <f t="shared" si="23"/>
        <v>176516.07999999996</v>
      </c>
      <c r="M339" s="99">
        <f t="shared" si="24"/>
        <v>473498.24000000011</v>
      </c>
    </row>
    <row r="340" spans="1:13" x14ac:dyDescent="0.2">
      <c r="A340" s="35">
        <v>47</v>
      </c>
      <c r="B340" s="100">
        <v>1855</v>
      </c>
      <c r="C340" s="1474" t="s">
        <v>1398</v>
      </c>
      <c r="D340" s="95">
        <v>3428857.99</v>
      </c>
      <c r="E340" s="95">
        <v>198083.08</v>
      </c>
      <c r="F340" s="95">
        <v>0</v>
      </c>
      <c r="G340" s="96">
        <f t="shared" si="22"/>
        <v>3626941.0700000003</v>
      </c>
      <c r="H340" s="97"/>
      <c r="I340" s="98">
        <v>851031.7</v>
      </c>
      <c r="J340" s="98">
        <v>70575.259999999995</v>
      </c>
      <c r="K340" s="98">
        <v>0</v>
      </c>
      <c r="L340" s="96">
        <f t="shared" si="23"/>
        <v>921606.96</v>
      </c>
      <c r="M340" s="99">
        <f t="shared" si="24"/>
        <v>2705334.1100000003</v>
      </c>
    </row>
    <row r="341" spans="1:13" x14ac:dyDescent="0.2">
      <c r="A341" s="35">
        <v>47</v>
      </c>
      <c r="B341" s="100">
        <v>1860</v>
      </c>
      <c r="C341" s="102" t="s">
        <v>251</v>
      </c>
      <c r="D341" s="95">
        <v>774423.11999999988</v>
      </c>
      <c r="E341" s="95">
        <v>4774.07</v>
      </c>
      <c r="F341" s="95">
        <v>-1458.4</v>
      </c>
      <c r="G341" s="96">
        <f t="shared" si="22"/>
        <v>777738.7899999998</v>
      </c>
      <c r="H341" s="97"/>
      <c r="I341" s="98">
        <v>521359.40000000008</v>
      </c>
      <c r="J341" s="98">
        <v>12215.01</v>
      </c>
      <c r="K341" s="98">
        <v>-1363.26</v>
      </c>
      <c r="L341" s="96">
        <f t="shared" si="23"/>
        <v>532211.15</v>
      </c>
      <c r="M341" s="99">
        <f t="shared" si="24"/>
        <v>245527.63999999978</v>
      </c>
    </row>
    <row r="342" spans="1:13" x14ac:dyDescent="0.2">
      <c r="A342" s="35">
        <v>47</v>
      </c>
      <c r="B342" s="100">
        <v>1860</v>
      </c>
      <c r="C342" s="101" t="s">
        <v>189</v>
      </c>
      <c r="D342" s="95">
        <v>1832041.0299999998</v>
      </c>
      <c r="E342" s="95">
        <v>71670.17</v>
      </c>
      <c r="F342" s="95">
        <v>0</v>
      </c>
      <c r="G342" s="96">
        <f t="shared" si="22"/>
        <v>1903711.1999999997</v>
      </c>
      <c r="H342" s="97"/>
      <c r="I342" s="98">
        <v>736704.91</v>
      </c>
      <c r="J342" s="98">
        <v>125082.51</v>
      </c>
      <c r="K342" s="98">
        <v>0</v>
      </c>
      <c r="L342" s="96">
        <f t="shared" si="23"/>
        <v>861787.42</v>
      </c>
      <c r="M342" s="99">
        <f t="shared" si="24"/>
        <v>1041923.7799999997</v>
      </c>
    </row>
    <row r="343" spans="1:13" x14ac:dyDescent="0.2">
      <c r="A343" s="35">
        <v>47</v>
      </c>
      <c r="B343" s="100">
        <v>1860</v>
      </c>
      <c r="C343" s="1476" t="s">
        <v>1399</v>
      </c>
      <c r="D343" s="95">
        <v>40161.899999999994</v>
      </c>
      <c r="E343" s="95">
        <v>4637.55</v>
      </c>
      <c r="F343" s="95">
        <v>0</v>
      </c>
      <c r="G343" s="96">
        <f t="shared" si="22"/>
        <v>44799.45</v>
      </c>
      <c r="H343" s="97"/>
      <c r="I343" s="98">
        <v>26537.02</v>
      </c>
      <c r="J343" s="98">
        <v>1873.35</v>
      </c>
      <c r="K343" s="98">
        <v>0</v>
      </c>
      <c r="L343" s="96">
        <f t="shared" si="23"/>
        <v>28410.37</v>
      </c>
      <c r="M343" s="99">
        <f t="shared" si="24"/>
        <v>16389.079999999998</v>
      </c>
    </row>
    <row r="344" spans="1:13" x14ac:dyDescent="0.2">
      <c r="A344" s="35">
        <v>47</v>
      </c>
      <c r="B344" s="100">
        <v>1860</v>
      </c>
      <c r="C344" s="1476" t="s">
        <v>1400</v>
      </c>
      <c r="D344" s="95">
        <v>33706.270000000004</v>
      </c>
      <c r="E344" s="95">
        <v>-1660.99</v>
      </c>
      <c r="F344" s="95">
        <v>0</v>
      </c>
      <c r="G344" s="96">
        <f t="shared" si="22"/>
        <v>32045.280000000002</v>
      </c>
      <c r="H344" s="97"/>
      <c r="I344" s="98">
        <v>12973.72</v>
      </c>
      <c r="J344" s="98">
        <v>2345.09</v>
      </c>
      <c r="K344" s="98">
        <v>0</v>
      </c>
      <c r="L344" s="96">
        <f t="shared" si="23"/>
        <v>15318.81</v>
      </c>
      <c r="M344" s="99">
        <f t="shared" si="24"/>
        <v>16726.47</v>
      </c>
    </row>
    <row r="345" spans="1:13" x14ac:dyDescent="0.2">
      <c r="A345" s="35">
        <v>47</v>
      </c>
      <c r="B345" s="100">
        <v>1860</v>
      </c>
      <c r="C345" s="1476" t="s">
        <v>1401</v>
      </c>
      <c r="D345" s="95">
        <v>5961.51</v>
      </c>
      <c r="E345" s="95">
        <v>346.42</v>
      </c>
      <c r="F345" s="95">
        <v>0</v>
      </c>
      <c r="G345" s="96">
        <f t="shared" si="22"/>
        <v>6307.93</v>
      </c>
      <c r="H345" s="97"/>
      <c r="I345" s="98">
        <v>74.52</v>
      </c>
      <c r="J345" s="98">
        <v>0</v>
      </c>
      <c r="K345" s="98">
        <v>0</v>
      </c>
      <c r="L345" s="96">
        <f t="shared" si="23"/>
        <v>74.52</v>
      </c>
      <c r="M345" s="99">
        <f t="shared" si="24"/>
        <v>6233.41</v>
      </c>
    </row>
    <row r="346" spans="1:13" x14ac:dyDescent="0.2">
      <c r="A346" s="35" t="s">
        <v>244</v>
      </c>
      <c r="B346" s="100">
        <v>1905</v>
      </c>
      <c r="C346" s="101" t="s">
        <v>245</v>
      </c>
      <c r="D346" s="95">
        <v>49000</v>
      </c>
      <c r="E346" s="95">
        <v>0</v>
      </c>
      <c r="F346" s="95">
        <v>0</v>
      </c>
      <c r="G346" s="96">
        <f t="shared" si="22"/>
        <v>49000</v>
      </c>
      <c r="H346" s="97"/>
      <c r="I346" s="98">
        <v>0</v>
      </c>
      <c r="J346" s="98">
        <v>0</v>
      </c>
      <c r="K346" s="98">
        <v>0</v>
      </c>
      <c r="L346" s="96">
        <f t="shared" si="23"/>
        <v>0</v>
      </c>
      <c r="M346" s="99">
        <f t="shared" si="24"/>
        <v>49000</v>
      </c>
    </row>
    <row r="347" spans="1:13" x14ac:dyDescent="0.2">
      <c r="A347" s="35">
        <v>47</v>
      </c>
      <c r="B347" s="100">
        <v>1908</v>
      </c>
      <c r="C347" s="102" t="s">
        <v>252</v>
      </c>
      <c r="D347" s="95">
        <v>1139884.7</v>
      </c>
      <c r="E347" s="95">
        <v>49690.42</v>
      </c>
      <c r="F347" s="95">
        <v>0</v>
      </c>
      <c r="G347" s="96">
        <f t="shared" si="22"/>
        <v>1189575.1199999999</v>
      </c>
      <c r="H347" s="97"/>
      <c r="I347" s="98">
        <v>436781.26</v>
      </c>
      <c r="J347" s="98">
        <v>19244.89</v>
      </c>
      <c r="K347" s="98">
        <v>0</v>
      </c>
      <c r="L347" s="96">
        <f t="shared" si="23"/>
        <v>456026.15</v>
      </c>
      <c r="M347" s="99">
        <f t="shared" si="24"/>
        <v>733548.96999999986</v>
      </c>
    </row>
    <row r="348" spans="1:13" x14ac:dyDescent="0.2">
      <c r="A348" s="35">
        <v>47</v>
      </c>
      <c r="B348" s="1473">
        <v>1908</v>
      </c>
      <c r="C348" s="1474" t="s">
        <v>1402</v>
      </c>
      <c r="D348" s="95">
        <v>8690.41</v>
      </c>
      <c r="E348" s="95">
        <v>0</v>
      </c>
      <c r="F348" s="95">
        <v>0</v>
      </c>
      <c r="G348" s="96">
        <f t="shared" si="22"/>
        <v>8690.41</v>
      </c>
      <c r="H348" s="97"/>
      <c r="I348" s="98">
        <v>8369.48</v>
      </c>
      <c r="J348" s="98">
        <v>320.93</v>
      </c>
      <c r="K348" s="98">
        <v>0</v>
      </c>
      <c r="L348" s="96">
        <f t="shared" si="23"/>
        <v>8690.41</v>
      </c>
      <c r="M348" s="99">
        <f t="shared" si="24"/>
        <v>0</v>
      </c>
    </row>
    <row r="349" spans="1:13" x14ac:dyDescent="0.2">
      <c r="A349" s="35">
        <v>13</v>
      </c>
      <c r="B349" s="100">
        <v>1910</v>
      </c>
      <c r="C349" s="102" t="s">
        <v>275</v>
      </c>
      <c r="D349" s="95">
        <v>0</v>
      </c>
      <c r="E349" s="95">
        <v>0</v>
      </c>
      <c r="F349" s="95">
        <v>0</v>
      </c>
      <c r="G349" s="96">
        <f t="shared" si="22"/>
        <v>0</v>
      </c>
      <c r="H349" s="97"/>
      <c r="I349" s="98">
        <v>0</v>
      </c>
      <c r="J349" s="98">
        <v>0</v>
      </c>
      <c r="K349" s="98">
        <v>0</v>
      </c>
      <c r="L349" s="96">
        <f t="shared" si="23"/>
        <v>0</v>
      </c>
      <c r="M349" s="99">
        <f t="shared" si="24"/>
        <v>0</v>
      </c>
    </row>
    <row r="350" spans="1:13" x14ac:dyDescent="0.2">
      <c r="A350" s="35">
        <v>8</v>
      </c>
      <c r="B350" s="100">
        <v>1915</v>
      </c>
      <c r="C350" s="102" t="s">
        <v>190</v>
      </c>
      <c r="D350" s="95">
        <v>222477.35000000003</v>
      </c>
      <c r="E350" s="95">
        <v>4854.34</v>
      </c>
      <c r="F350" s="95">
        <v>0</v>
      </c>
      <c r="G350" s="96">
        <f t="shared" si="22"/>
        <v>227331.69000000003</v>
      </c>
      <c r="H350" s="97"/>
      <c r="I350" s="98">
        <v>198954.87</v>
      </c>
      <c r="J350" s="98">
        <v>6029.48</v>
      </c>
      <c r="K350" s="98">
        <v>0</v>
      </c>
      <c r="L350" s="96">
        <f t="shared" si="23"/>
        <v>204984.35</v>
      </c>
      <c r="M350" s="99">
        <f t="shared" si="24"/>
        <v>22347.340000000026</v>
      </c>
    </row>
    <row r="351" spans="1:13" x14ac:dyDescent="0.2">
      <c r="A351" s="35">
        <v>8</v>
      </c>
      <c r="B351" s="100">
        <v>1915</v>
      </c>
      <c r="C351" s="102" t="s">
        <v>191</v>
      </c>
      <c r="D351" s="95">
        <v>0</v>
      </c>
      <c r="E351" s="95">
        <v>0</v>
      </c>
      <c r="F351" s="95">
        <v>0</v>
      </c>
      <c r="G351" s="96">
        <f t="shared" si="22"/>
        <v>0</v>
      </c>
      <c r="H351" s="97"/>
      <c r="I351" s="98">
        <v>0</v>
      </c>
      <c r="J351" s="98">
        <v>0</v>
      </c>
      <c r="K351" s="98">
        <v>0</v>
      </c>
      <c r="L351" s="96">
        <f t="shared" si="23"/>
        <v>0</v>
      </c>
      <c r="M351" s="99">
        <f t="shared" si="24"/>
        <v>0</v>
      </c>
    </row>
    <row r="352" spans="1:13" x14ac:dyDescent="0.2">
      <c r="A352" s="35">
        <v>50</v>
      </c>
      <c r="B352" s="100">
        <v>1920</v>
      </c>
      <c r="C352" s="102" t="s">
        <v>192</v>
      </c>
      <c r="D352" s="95">
        <v>449514.73</v>
      </c>
      <c r="E352" s="95">
        <v>17583.599999999999</v>
      </c>
      <c r="F352" s="95">
        <v>0</v>
      </c>
      <c r="G352" s="96">
        <f t="shared" si="22"/>
        <v>467098.32999999996</v>
      </c>
      <c r="H352" s="97"/>
      <c r="I352" s="98">
        <v>430944.41000000003</v>
      </c>
      <c r="J352" s="98">
        <v>13462.61</v>
      </c>
      <c r="K352" s="98">
        <v>0</v>
      </c>
      <c r="L352" s="96">
        <f t="shared" si="23"/>
        <v>444407.02</v>
      </c>
      <c r="M352" s="99">
        <f t="shared" si="24"/>
        <v>22691.309999999939</v>
      </c>
    </row>
    <row r="353" spans="1:13" ht="25.5" x14ac:dyDescent="0.2">
      <c r="A353" s="35">
        <v>45</v>
      </c>
      <c r="B353" s="103">
        <v>1920</v>
      </c>
      <c r="C353" s="94" t="s">
        <v>194</v>
      </c>
      <c r="D353" s="95">
        <v>0</v>
      </c>
      <c r="E353" s="95">
        <v>0</v>
      </c>
      <c r="F353" s="95">
        <v>0</v>
      </c>
      <c r="G353" s="96">
        <f t="shared" si="22"/>
        <v>0</v>
      </c>
      <c r="H353" s="97"/>
      <c r="I353" s="98">
        <v>0</v>
      </c>
      <c r="J353" s="98">
        <v>0</v>
      </c>
      <c r="K353" s="98">
        <v>0</v>
      </c>
      <c r="L353" s="96">
        <f t="shared" si="23"/>
        <v>0</v>
      </c>
      <c r="M353" s="99">
        <f t="shared" si="24"/>
        <v>0</v>
      </c>
    </row>
    <row r="354" spans="1:13" ht="25.5" x14ac:dyDescent="0.2">
      <c r="A354" s="35">
        <v>45</v>
      </c>
      <c r="B354" s="103">
        <v>1920</v>
      </c>
      <c r="C354" s="94" t="s">
        <v>193</v>
      </c>
      <c r="D354" s="95">
        <v>0</v>
      </c>
      <c r="E354" s="95">
        <v>0</v>
      </c>
      <c r="F354" s="95">
        <v>0</v>
      </c>
      <c r="G354" s="96">
        <f t="shared" si="22"/>
        <v>0</v>
      </c>
      <c r="H354" s="97"/>
      <c r="I354" s="98">
        <v>0</v>
      </c>
      <c r="J354" s="98">
        <v>0</v>
      </c>
      <c r="K354" s="98">
        <v>0</v>
      </c>
      <c r="L354" s="96">
        <f t="shared" si="23"/>
        <v>0</v>
      </c>
      <c r="M354" s="99">
        <f t="shared" si="24"/>
        <v>0</v>
      </c>
    </row>
    <row r="355" spans="1:13" x14ac:dyDescent="0.2">
      <c r="A355" s="35">
        <v>10</v>
      </c>
      <c r="B355" s="1530">
        <v>1930</v>
      </c>
      <c r="C355" s="102" t="s">
        <v>263</v>
      </c>
      <c r="D355" s="95">
        <v>169768.87</v>
      </c>
      <c r="E355" s="95">
        <v>0</v>
      </c>
      <c r="F355" s="95">
        <v>0</v>
      </c>
      <c r="G355" s="96">
        <f t="shared" si="22"/>
        <v>169768.87</v>
      </c>
      <c r="H355" s="97"/>
      <c r="I355" s="98">
        <v>122190.73999999999</v>
      </c>
      <c r="J355" s="98">
        <v>19728.68</v>
      </c>
      <c r="K355" s="98">
        <v>0</v>
      </c>
      <c r="L355" s="96">
        <f t="shared" si="23"/>
        <v>141919.41999999998</v>
      </c>
      <c r="M355" s="99">
        <f t="shared" si="24"/>
        <v>27849.450000000012</v>
      </c>
    </row>
    <row r="356" spans="1:13" x14ac:dyDescent="0.2">
      <c r="A356" s="35">
        <v>10</v>
      </c>
      <c r="B356" s="1473">
        <v>1930</v>
      </c>
      <c r="C356" s="1474" t="s">
        <v>1403</v>
      </c>
      <c r="D356" s="95">
        <v>940581.07</v>
      </c>
      <c r="E356" s="95">
        <v>0</v>
      </c>
      <c r="F356" s="95">
        <v>0</v>
      </c>
      <c r="G356" s="96">
        <f t="shared" si="22"/>
        <v>940581.07</v>
      </c>
      <c r="H356" s="97"/>
      <c r="I356" s="98">
        <v>634717.47000000009</v>
      </c>
      <c r="J356" s="98">
        <v>70504.37</v>
      </c>
      <c r="K356" s="98">
        <v>0</v>
      </c>
      <c r="L356" s="96">
        <f t="shared" si="23"/>
        <v>705221.84000000008</v>
      </c>
      <c r="M356" s="99">
        <f t="shared" si="24"/>
        <v>235359.22999999986</v>
      </c>
    </row>
    <row r="357" spans="1:13" x14ac:dyDescent="0.2">
      <c r="A357" s="35">
        <v>10</v>
      </c>
      <c r="B357" s="1473">
        <v>1930</v>
      </c>
      <c r="C357" s="1474" t="s">
        <v>1404</v>
      </c>
      <c r="D357" s="95">
        <v>38458.050000000003</v>
      </c>
      <c r="E357" s="95">
        <v>45650</v>
      </c>
      <c r="F357" s="95">
        <v>0</v>
      </c>
      <c r="G357" s="96">
        <f t="shared" si="22"/>
        <v>84108.05</v>
      </c>
      <c r="H357" s="97"/>
      <c r="I357" s="98">
        <v>38458.050000000003</v>
      </c>
      <c r="J357" s="98">
        <v>1521.67</v>
      </c>
      <c r="K357" s="98">
        <v>0</v>
      </c>
      <c r="L357" s="96">
        <f t="shared" si="23"/>
        <v>39979.72</v>
      </c>
      <c r="M357" s="99">
        <f t="shared" si="24"/>
        <v>44128.33</v>
      </c>
    </row>
    <row r="358" spans="1:13" x14ac:dyDescent="0.2">
      <c r="A358" s="35">
        <v>8</v>
      </c>
      <c r="B358" s="1530">
        <v>1935</v>
      </c>
      <c r="C358" s="102" t="s">
        <v>264</v>
      </c>
      <c r="D358" s="95">
        <v>24683.61</v>
      </c>
      <c r="E358" s="95">
        <v>0</v>
      </c>
      <c r="F358" s="95">
        <v>0</v>
      </c>
      <c r="G358" s="96">
        <f t="shared" si="22"/>
        <v>24683.61</v>
      </c>
      <c r="H358" s="97"/>
      <c r="I358" s="98">
        <v>22555.440000000002</v>
      </c>
      <c r="J358" s="98">
        <v>953.57</v>
      </c>
      <c r="K358" s="98">
        <v>0</v>
      </c>
      <c r="L358" s="96">
        <f t="shared" si="23"/>
        <v>23509.010000000002</v>
      </c>
      <c r="M358" s="99">
        <f t="shared" si="24"/>
        <v>1174.5999999999985</v>
      </c>
    </row>
    <row r="359" spans="1:13" x14ac:dyDescent="0.2">
      <c r="A359" s="35">
        <v>8</v>
      </c>
      <c r="B359" s="1530">
        <v>1940</v>
      </c>
      <c r="C359" s="102" t="s">
        <v>265</v>
      </c>
      <c r="D359" s="95">
        <v>488740.57</v>
      </c>
      <c r="E359" s="95">
        <v>9498.33</v>
      </c>
      <c r="F359" s="95">
        <v>0</v>
      </c>
      <c r="G359" s="96">
        <f t="shared" si="22"/>
        <v>498238.9</v>
      </c>
      <c r="H359" s="97"/>
      <c r="I359" s="98">
        <v>460838.85000000003</v>
      </c>
      <c r="J359" s="98">
        <v>7715.05</v>
      </c>
      <c r="K359" s="98">
        <v>0</v>
      </c>
      <c r="L359" s="96">
        <f t="shared" si="23"/>
        <v>468553.9</v>
      </c>
      <c r="M359" s="99">
        <f t="shared" si="24"/>
        <v>29685</v>
      </c>
    </row>
    <row r="360" spans="1:13" x14ac:dyDescent="0.2">
      <c r="A360" s="35">
        <v>8</v>
      </c>
      <c r="B360" s="1530">
        <v>1945</v>
      </c>
      <c r="C360" s="102" t="s">
        <v>266</v>
      </c>
      <c r="D360" s="95">
        <v>0</v>
      </c>
      <c r="E360" s="95">
        <v>0</v>
      </c>
      <c r="F360" s="95">
        <v>0</v>
      </c>
      <c r="G360" s="96">
        <f t="shared" si="22"/>
        <v>0</v>
      </c>
      <c r="H360" s="97"/>
      <c r="I360" s="98">
        <v>0</v>
      </c>
      <c r="J360" s="98">
        <v>0</v>
      </c>
      <c r="K360" s="98">
        <v>0</v>
      </c>
      <c r="L360" s="96">
        <f t="shared" si="23"/>
        <v>0</v>
      </c>
      <c r="M360" s="99">
        <f t="shared" si="24"/>
        <v>0</v>
      </c>
    </row>
    <row r="361" spans="1:13" x14ac:dyDescent="0.2">
      <c r="A361" s="35">
        <v>8</v>
      </c>
      <c r="B361" s="1530">
        <v>1950</v>
      </c>
      <c r="C361" s="102" t="s">
        <v>195</v>
      </c>
      <c r="D361" s="95">
        <v>0</v>
      </c>
      <c r="E361" s="95">
        <v>0</v>
      </c>
      <c r="F361" s="95">
        <v>0</v>
      </c>
      <c r="G361" s="96">
        <f t="shared" si="22"/>
        <v>0</v>
      </c>
      <c r="H361" s="97"/>
      <c r="I361" s="98">
        <v>0</v>
      </c>
      <c r="J361" s="98">
        <v>0</v>
      </c>
      <c r="K361" s="98">
        <v>0</v>
      </c>
      <c r="L361" s="96">
        <f t="shared" si="23"/>
        <v>0</v>
      </c>
      <c r="M361" s="99">
        <f t="shared" si="24"/>
        <v>0</v>
      </c>
    </row>
    <row r="362" spans="1:13" x14ac:dyDescent="0.2">
      <c r="A362" s="35">
        <v>8</v>
      </c>
      <c r="B362" s="1530">
        <v>1955</v>
      </c>
      <c r="C362" s="102" t="s">
        <v>267</v>
      </c>
      <c r="D362" s="95">
        <v>54383.11</v>
      </c>
      <c r="E362" s="95">
        <v>0</v>
      </c>
      <c r="F362" s="95">
        <v>0</v>
      </c>
      <c r="G362" s="96">
        <f t="shared" si="22"/>
        <v>54383.11</v>
      </c>
      <c r="H362" s="97"/>
      <c r="I362" s="98">
        <v>51070.960000000006</v>
      </c>
      <c r="J362" s="98">
        <v>1761.86</v>
      </c>
      <c r="K362" s="98">
        <v>0</v>
      </c>
      <c r="L362" s="96">
        <f t="shared" si="23"/>
        <v>52832.820000000007</v>
      </c>
      <c r="M362" s="99">
        <f t="shared" si="24"/>
        <v>1550.2899999999936</v>
      </c>
    </row>
    <row r="363" spans="1:13" x14ac:dyDescent="0.2">
      <c r="A363" s="35">
        <v>8</v>
      </c>
      <c r="B363" s="103">
        <v>1955</v>
      </c>
      <c r="C363" s="104" t="s">
        <v>196</v>
      </c>
      <c r="D363" s="95">
        <v>0</v>
      </c>
      <c r="E363" s="95">
        <v>0</v>
      </c>
      <c r="F363" s="95">
        <v>0</v>
      </c>
      <c r="G363" s="96">
        <f t="shared" si="22"/>
        <v>0</v>
      </c>
      <c r="H363" s="97"/>
      <c r="I363" s="98">
        <v>0</v>
      </c>
      <c r="J363" s="98">
        <v>0</v>
      </c>
      <c r="K363" s="98">
        <v>0</v>
      </c>
      <c r="L363" s="96">
        <f t="shared" si="23"/>
        <v>0</v>
      </c>
      <c r="M363" s="99">
        <f t="shared" si="24"/>
        <v>0</v>
      </c>
    </row>
    <row r="364" spans="1:13" x14ac:dyDescent="0.2">
      <c r="A364" s="35">
        <v>8</v>
      </c>
      <c r="B364" s="105">
        <v>1960</v>
      </c>
      <c r="C364" s="94" t="s">
        <v>197</v>
      </c>
      <c r="D364" s="95">
        <v>0</v>
      </c>
      <c r="E364" s="95">
        <v>0</v>
      </c>
      <c r="F364" s="95">
        <v>0</v>
      </c>
      <c r="G364" s="96">
        <f t="shared" si="22"/>
        <v>0</v>
      </c>
      <c r="H364" s="97"/>
      <c r="I364" s="98">
        <v>0</v>
      </c>
      <c r="J364" s="98">
        <v>0</v>
      </c>
      <c r="K364" s="98">
        <v>0</v>
      </c>
      <c r="L364" s="96">
        <f t="shared" si="23"/>
        <v>0</v>
      </c>
      <c r="M364" s="99">
        <f t="shared" si="24"/>
        <v>0</v>
      </c>
    </row>
    <row r="365" spans="1:13" ht="25.5" x14ac:dyDescent="0.2">
      <c r="A365" s="35">
        <v>47</v>
      </c>
      <c r="B365" s="105">
        <v>1970</v>
      </c>
      <c r="C365" s="102" t="s">
        <v>448</v>
      </c>
      <c r="D365" s="95">
        <v>0</v>
      </c>
      <c r="E365" s="95">
        <v>0</v>
      </c>
      <c r="F365" s="95">
        <v>0</v>
      </c>
      <c r="G365" s="96">
        <f t="shared" si="22"/>
        <v>0</v>
      </c>
      <c r="H365" s="97"/>
      <c r="I365" s="98">
        <v>0</v>
      </c>
      <c r="J365" s="98">
        <v>0</v>
      </c>
      <c r="K365" s="98">
        <v>0</v>
      </c>
      <c r="L365" s="96">
        <f t="shared" si="23"/>
        <v>0</v>
      </c>
      <c r="M365" s="99">
        <f t="shared" si="24"/>
        <v>0</v>
      </c>
    </row>
    <row r="366" spans="1:13" ht="25.5" x14ac:dyDescent="0.2">
      <c r="A366" s="35">
        <v>47</v>
      </c>
      <c r="B366" s="1530">
        <v>1975</v>
      </c>
      <c r="C366" s="102" t="s">
        <v>268</v>
      </c>
      <c r="D366" s="95">
        <v>0</v>
      </c>
      <c r="E366" s="95">
        <v>0</v>
      </c>
      <c r="F366" s="95">
        <v>0</v>
      </c>
      <c r="G366" s="96">
        <f t="shared" si="22"/>
        <v>0</v>
      </c>
      <c r="H366" s="97"/>
      <c r="I366" s="98">
        <v>0</v>
      </c>
      <c r="J366" s="98">
        <v>0</v>
      </c>
      <c r="K366" s="98">
        <v>0</v>
      </c>
      <c r="L366" s="96">
        <f t="shared" si="23"/>
        <v>0</v>
      </c>
      <c r="M366" s="99">
        <f t="shared" si="24"/>
        <v>0</v>
      </c>
    </row>
    <row r="367" spans="1:13" x14ac:dyDescent="0.2">
      <c r="A367" s="35">
        <v>47</v>
      </c>
      <c r="B367" s="1530">
        <v>1980</v>
      </c>
      <c r="C367" s="102" t="s">
        <v>269</v>
      </c>
      <c r="D367" s="95">
        <v>607123.52</v>
      </c>
      <c r="E367" s="95">
        <v>60943.38</v>
      </c>
      <c r="F367" s="95">
        <v>0</v>
      </c>
      <c r="G367" s="96">
        <f t="shared" si="22"/>
        <v>668066.9</v>
      </c>
      <c r="H367" s="97"/>
      <c r="I367" s="98">
        <v>395582.36</v>
      </c>
      <c r="J367" s="98">
        <v>27662.06</v>
      </c>
      <c r="K367" s="98">
        <v>0</v>
      </c>
      <c r="L367" s="96">
        <f t="shared" si="23"/>
        <v>423244.42</v>
      </c>
      <c r="M367" s="99">
        <f t="shared" si="24"/>
        <v>244822.48000000004</v>
      </c>
    </row>
    <row r="368" spans="1:13" x14ac:dyDescent="0.2">
      <c r="A368" s="35">
        <v>47</v>
      </c>
      <c r="B368" s="1530">
        <v>1985</v>
      </c>
      <c r="C368" s="102" t="s">
        <v>270</v>
      </c>
      <c r="D368" s="95">
        <v>0</v>
      </c>
      <c r="E368" s="95">
        <v>0</v>
      </c>
      <c r="F368" s="95">
        <v>0</v>
      </c>
      <c r="G368" s="96">
        <f t="shared" si="22"/>
        <v>0</v>
      </c>
      <c r="H368" s="97"/>
      <c r="I368" s="98">
        <v>0</v>
      </c>
      <c r="J368" s="98">
        <v>0</v>
      </c>
      <c r="K368" s="98">
        <v>0</v>
      </c>
      <c r="L368" s="96">
        <f t="shared" si="23"/>
        <v>0</v>
      </c>
      <c r="M368" s="99">
        <f t="shared" si="24"/>
        <v>0</v>
      </c>
    </row>
    <row r="369" spans="1:13" x14ac:dyDescent="0.2">
      <c r="A369" s="35">
        <v>47</v>
      </c>
      <c r="B369" s="1530">
        <v>1990</v>
      </c>
      <c r="C369" s="1491" t="s">
        <v>449</v>
      </c>
      <c r="D369" s="95">
        <v>0</v>
      </c>
      <c r="E369" s="95">
        <v>0</v>
      </c>
      <c r="F369" s="95">
        <v>0</v>
      </c>
      <c r="G369" s="96">
        <f t="shared" si="22"/>
        <v>0</v>
      </c>
      <c r="H369" s="97"/>
      <c r="I369" s="98">
        <v>0</v>
      </c>
      <c r="J369" s="98">
        <v>0</v>
      </c>
      <c r="K369" s="98">
        <v>0</v>
      </c>
      <c r="L369" s="96">
        <f t="shared" si="23"/>
        <v>0</v>
      </c>
      <c r="M369" s="99">
        <f t="shared" si="24"/>
        <v>0</v>
      </c>
    </row>
    <row r="370" spans="1:13" x14ac:dyDescent="0.2">
      <c r="A370" s="35">
        <v>47</v>
      </c>
      <c r="B370" s="1473">
        <v>1995</v>
      </c>
      <c r="C370" s="1474" t="s">
        <v>1405</v>
      </c>
      <c r="D370" s="95">
        <v>-238366.01</v>
      </c>
      <c r="E370" s="95">
        <v>0</v>
      </c>
      <c r="F370" s="95">
        <v>0</v>
      </c>
      <c r="G370" s="96">
        <f t="shared" si="22"/>
        <v>-238366.01</v>
      </c>
      <c r="H370" s="97"/>
      <c r="I370" s="98">
        <v>-80233.820000000036</v>
      </c>
      <c r="J370" s="98">
        <v>-4547.6400000000003</v>
      </c>
      <c r="K370" s="98">
        <v>0</v>
      </c>
      <c r="L370" s="96">
        <f t="shared" si="23"/>
        <v>-84781.460000000036</v>
      </c>
      <c r="M370" s="99">
        <f t="shared" si="24"/>
        <v>-153584.54999999999</v>
      </c>
    </row>
    <row r="371" spans="1:13" x14ac:dyDescent="0.2">
      <c r="A371" s="35">
        <v>47</v>
      </c>
      <c r="B371" s="1473">
        <v>1995</v>
      </c>
      <c r="C371" s="1474" t="s">
        <v>1406</v>
      </c>
      <c r="D371" s="95">
        <v>-235221.35</v>
      </c>
      <c r="E371" s="95">
        <v>0</v>
      </c>
      <c r="F371" s="95">
        <v>0</v>
      </c>
      <c r="G371" s="96">
        <f t="shared" si="22"/>
        <v>-235221.35</v>
      </c>
      <c r="H371" s="97"/>
      <c r="I371" s="98">
        <v>-83534.25</v>
      </c>
      <c r="J371" s="98">
        <v>-3107.2599999999998</v>
      </c>
      <c r="K371" s="98">
        <v>0</v>
      </c>
      <c r="L371" s="96">
        <f t="shared" si="23"/>
        <v>-86641.51</v>
      </c>
      <c r="M371" s="99">
        <f t="shared" si="24"/>
        <v>-148579.84000000003</v>
      </c>
    </row>
    <row r="372" spans="1:13" x14ac:dyDescent="0.2">
      <c r="A372" s="35">
        <v>47</v>
      </c>
      <c r="B372" s="1473">
        <v>1995</v>
      </c>
      <c r="C372" s="1474" t="s">
        <v>1407</v>
      </c>
      <c r="D372" s="95">
        <v>-146562.29999999999</v>
      </c>
      <c r="E372" s="95">
        <v>0</v>
      </c>
      <c r="F372" s="95">
        <v>0</v>
      </c>
      <c r="G372" s="96">
        <f t="shared" si="22"/>
        <v>-146562.29999999999</v>
      </c>
      <c r="H372" s="97"/>
      <c r="I372" s="98">
        <v>-56465.020000000004</v>
      </c>
      <c r="J372" s="98">
        <v>-1877.94</v>
      </c>
      <c r="K372" s="98">
        <v>0</v>
      </c>
      <c r="L372" s="96">
        <f t="shared" si="23"/>
        <v>-58342.960000000006</v>
      </c>
      <c r="M372" s="99">
        <f t="shared" si="24"/>
        <v>-88219.339999999982</v>
      </c>
    </row>
    <row r="373" spans="1:13" x14ac:dyDescent="0.2">
      <c r="A373" s="35">
        <v>47</v>
      </c>
      <c r="B373" s="1473">
        <v>1995</v>
      </c>
      <c r="C373" s="1474" t="s">
        <v>1408</v>
      </c>
      <c r="D373" s="95">
        <v>-879221.65999999968</v>
      </c>
      <c r="E373" s="95">
        <v>0</v>
      </c>
      <c r="F373" s="95">
        <v>0</v>
      </c>
      <c r="G373" s="96">
        <f t="shared" si="22"/>
        <v>-879221.65999999968</v>
      </c>
      <c r="H373" s="97"/>
      <c r="I373" s="98">
        <v>-247795.72000000003</v>
      </c>
      <c r="J373" s="98">
        <v>-11279.980000000001</v>
      </c>
      <c r="K373" s="98">
        <v>0</v>
      </c>
      <c r="L373" s="96">
        <f t="shared" si="23"/>
        <v>-259075.70000000004</v>
      </c>
      <c r="M373" s="99">
        <f t="shared" si="24"/>
        <v>-620145.95999999961</v>
      </c>
    </row>
    <row r="374" spans="1:13" x14ac:dyDescent="0.2">
      <c r="A374" s="35">
        <v>47</v>
      </c>
      <c r="B374" s="1473">
        <v>1995</v>
      </c>
      <c r="C374" s="1474" t="s">
        <v>1409</v>
      </c>
      <c r="D374" s="95">
        <v>-1788777.8800000001</v>
      </c>
      <c r="E374" s="95">
        <v>0</v>
      </c>
      <c r="F374" s="95">
        <v>0</v>
      </c>
      <c r="G374" s="96">
        <f t="shared" si="22"/>
        <v>-1788777.8800000001</v>
      </c>
      <c r="H374" s="97"/>
      <c r="I374" s="98">
        <v>-683037.2799999998</v>
      </c>
      <c r="J374" s="98">
        <v>-32680.700000000004</v>
      </c>
      <c r="K374" s="98">
        <v>0</v>
      </c>
      <c r="L374" s="96">
        <f t="shared" si="23"/>
        <v>-715717.97999999975</v>
      </c>
      <c r="M374" s="99">
        <f t="shared" si="24"/>
        <v>-1073059.9000000004</v>
      </c>
    </row>
    <row r="375" spans="1:13" x14ac:dyDescent="0.2">
      <c r="A375" s="35">
        <v>47</v>
      </c>
      <c r="B375" s="1473">
        <v>1995</v>
      </c>
      <c r="C375" s="1474" t="s">
        <v>1410</v>
      </c>
      <c r="D375" s="95">
        <v>-1606652.53</v>
      </c>
      <c r="E375" s="95">
        <v>0</v>
      </c>
      <c r="F375" s="95">
        <v>0</v>
      </c>
      <c r="G375" s="96">
        <f t="shared" si="22"/>
        <v>-1606652.53</v>
      </c>
      <c r="H375" s="97"/>
      <c r="I375" s="98">
        <v>-524151.92</v>
      </c>
      <c r="J375" s="98">
        <v>-30624.6</v>
      </c>
      <c r="K375" s="98">
        <v>0</v>
      </c>
      <c r="L375" s="96">
        <f t="shared" si="23"/>
        <v>-554776.52</v>
      </c>
      <c r="M375" s="99">
        <f t="shared" si="24"/>
        <v>-1051876.01</v>
      </c>
    </row>
    <row r="376" spans="1:13" x14ac:dyDescent="0.2">
      <c r="A376" s="35">
        <v>47</v>
      </c>
      <c r="B376" s="1473">
        <v>1995</v>
      </c>
      <c r="C376" s="1474" t="s">
        <v>1411</v>
      </c>
      <c r="D376" s="95">
        <v>-2283741.11</v>
      </c>
      <c r="E376" s="95">
        <v>0</v>
      </c>
      <c r="F376" s="95">
        <v>0</v>
      </c>
      <c r="G376" s="96">
        <f t="shared" si="22"/>
        <v>-2283741.11</v>
      </c>
      <c r="H376" s="97"/>
      <c r="I376" s="98">
        <v>-800369.9</v>
      </c>
      <c r="J376" s="98">
        <v>-42859.009999999995</v>
      </c>
      <c r="K376" s="98">
        <v>0</v>
      </c>
      <c r="L376" s="96">
        <f t="shared" si="23"/>
        <v>-843228.91</v>
      </c>
      <c r="M376" s="99">
        <f t="shared" si="24"/>
        <v>-1440512.1999999997</v>
      </c>
    </row>
    <row r="377" spans="1:13" x14ac:dyDescent="0.2">
      <c r="A377" s="35">
        <v>47</v>
      </c>
      <c r="B377" s="1473">
        <v>1995</v>
      </c>
      <c r="C377" s="1474" t="s">
        <v>1412</v>
      </c>
      <c r="D377" s="95">
        <v>-7343.73</v>
      </c>
      <c r="E377" s="95">
        <v>0</v>
      </c>
      <c r="F377" s="95">
        <v>0</v>
      </c>
      <c r="G377" s="96">
        <f t="shared" si="22"/>
        <v>-7343.73</v>
      </c>
      <c r="H377" s="97"/>
      <c r="I377" s="98">
        <v>-4199.37</v>
      </c>
      <c r="J377" s="98">
        <v>-293.75</v>
      </c>
      <c r="K377" s="98">
        <v>0</v>
      </c>
      <c r="L377" s="96">
        <f t="shared" si="23"/>
        <v>-4493.12</v>
      </c>
      <c r="M377" s="99">
        <f t="shared" si="24"/>
        <v>-2850.6099999999997</v>
      </c>
    </row>
    <row r="378" spans="1:13" x14ac:dyDescent="0.2">
      <c r="A378" s="35">
        <v>47</v>
      </c>
      <c r="B378" s="1473">
        <v>1995</v>
      </c>
      <c r="C378" s="1474" t="s">
        <v>1413</v>
      </c>
      <c r="D378" s="95">
        <v>-13000</v>
      </c>
      <c r="E378" s="95">
        <v>0</v>
      </c>
      <c r="F378" s="95">
        <v>0</v>
      </c>
      <c r="G378" s="96">
        <f t="shared" si="22"/>
        <v>-13000</v>
      </c>
      <c r="H378" s="97"/>
      <c r="I378" s="98">
        <v>-4199.0099999999993</v>
      </c>
      <c r="J378" s="98">
        <v>-204.68</v>
      </c>
      <c r="K378" s="98">
        <v>0</v>
      </c>
      <c r="L378" s="96">
        <f t="shared" si="23"/>
        <v>-4403.6899999999996</v>
      </c>
      <c r="M378" s="99">
        <f t="shared" si="24"/>
        <v>-8596.3100000000013</v>
      </c>
    </row>
    <row r="379" spans="1:13" x14ac:dyDescent="0.2">
      <c r="A379" s="35">
        <v>47</v>
      </c>
      <c r="B379" s="1473">
        <v>1995</v>
      </c>
      <c r="C379" s="1474" t="s">
        <v>1414</v>
      </c>
      <c r="D379" s="95">
        <v>-9721.93</v>
      </c>
      <c r="E379" s="95">
        <v>0</v>
      </c>
      <c r="F379" s="95">
        <v>0</v>
      </c>
      <c r="G379" s="96">
        <f t="shared" si="22"/>
        <v>-9721.93</v>
      </c>
      <c r="H379" s="97"/>
      <c r="I379" s="98">
        <v>-9721.93</v>
      </c>
      <c r="J379" s="98">
        <v>0</v>
      </c>
      <c r="K379" s="98">
        <v>0</v>
      </c>
      <c r="L379" s="96">
        <f t="shared" si="23"/>
        <v>-9721.93</v>
      </c>
      <c r="M379" s="99">
        <f t="shared" si="24"/>
        <v>0</v>
      </c>
    </row>
    <row r="380" spans="1:13" x14ac:dyDescent="0.2">
      <c r="A380" s="35">
        <v>47</v>
      </c>
      <c r="B380" s="1473">
        <v>2440</v>
      </c>
      <c r="C380" s="1474" t="s">
        <v>1415</v>
      </c>
      <c r="D380" s="95">
        <v>-195544.24</v>
      </c>
      <c r="E380" s="95">
        <v>-5410.62</v>
      </c>
      <c r="F380" s="95">
        <v>0</v>
      </c>
      <c r="G380" s="96">
        <f t="shared" si="22"/>
        <v>-200954.86</v>
      </c>
      <c r="I380" s="98">
        <v>-1865.0100000000002</v>
      </c>
      <c r="J380" s="98">
        <v>-4405.55</v>
      </c>
      <c r="K380" s="98">
        <v>0</v>
      </c>
      <c r="L380" s="96">
        <f t="shared" si="23"/>
        <v>-6270.56</v>
      </c>
      <c r="M380" s="99">
        <f t="shared" si="24"/>
        <v>-194684.3</v>
      </c>
    </row>
    <row r="381" spans="1:13" ht="25.5" x14ac:dyDescent="0.2">
      <c r="A381" s="35">
        <v>47</v>
      </c>
      <c r="B381" s="1473">
        <v>2440</v>
      </c>
      <c r="C381" s="1474" t="s">
        <v>1416</v>
      </c>
      <c r="D381" s="95">
        <v>-87782.67</v>
      </c>
      <c r="E381" s="95">
        <v>-5713.16</v>
      </c>
      <c r="F381" s="95">
        <v>0</v>
      </c>
      <c r="G381" s="96">
        <f t="shared" si="22"/>
        <v>-93495.83</v>
      </c>
      <c r="H381" s="97"/>
      <c r="I381" s="98">
        <v>-801.2</v>
      </c>
      <c r="J381" s="98">
        <v>-1510.65</v>
      </c>
      <c r="K381" s="98">
        <v>0</v>
      </c>
      <c r="L381" s="96">
        <f t="shared" si="23"/>
        <v>-2311.8500000000004</v>
      </c>
      <c r="M381" s="99">
        <f t="shared" si="24"/>
        <v>-91183.98</v>
      </c>
    </row>
    <row r="382" spans="1:13" ht="25.5" x14ac:dyDescent="0.2">
      <c r="A382" s="35">
        <v>47</v>
      </c>
      <c r="B382" s="1473">
        <v>2440</v>
      </c>
      <c r="C382" s="1474" t="s">
        <v>1417</v>
      </c>
      <c r="D382" s="95">
        <v>-28204.039999999997</v>
      </c>
      <c r="E382" s="95">
        <v>-5774.03</v>
      </c>
      <c r="F382" s="95">
        <v>0</v>
      </c>
      <c r="G382" s="96">
        <f t="shared" si="22"/>
        <v>-33978.07</v>
      </c>
      <c r="H382" s="97"/>
      <c r="I382" s="98">
        <v>-885.56</v>
      </c>
      <c r="J382" s="98">
        <v>-518.17999999999995</v>
      </c>
      <c r="K382" s="98">
        <v>0</v>
      </c>
      <c r="L382" s="96">
        <f t="shared" si="23"/>
        <v>-1403.7399999999998</v>
      </c>
      <c r="M382" s="99">
        <f t="shared" si="24"/>
        <v>-32574.33</v>
      </c>
    </row>
    <row r="383" spans="1:13" ht="25.5" x14ac:dyDescent="0.2">
      <c r="A383" s="35">
        <v>47</v>
      </c>
      <c r="B383" s="1473">
        <v>2440</v>
      </c>
      <c r="C383" s="1474" t="s">
        <v>1418</v>
      </c>
      <c r="D383" s="95">
        <v>-444016.70999999996</v>
      </c>
      <c r="E383" s="95">
        <v>-12498.18</v>
      </c>
      <c r="F383" s="95">
        <v>0</v>
      </c>
      <c r="G383" s="96">
        <f t="shared" ref="G383:G392" si="25">D383+E383+F383</f>
        <v>-456514.88999999996</v>
      </c>
      <c r="H383" s="97"/>
      <c r="I383" s="98">
        <v>-11642.11</v>
      </c>
      <c r="J383" s="98">
        <v>-6927.17</v>
      </c>
      <c r="K383" s="98">
        <v>0</v>
      </c>
      <c r="L383" s="96">
        <f t="shared" ref="L383:L392" si="26">I383+J383+K383</f>
        <v>-18569.28</v>
      </c>
      <c r="M383" s="99">
        <f t="shared" si="24"/>
        <v>-437945.61</v>
      </c>
    </row>
    <row r="384" spans="1:13" ht="25.5" x14ac:dyDescent="0.2">
      <c r="A384" s="35">
        <v>47</v>
      </c>
      <c r="B384" s="1473">
        <v>2440</v>
      </c>
      <c r="C384" s="1474" t="s">
        <v>1419</v>
      </c>
      <c r="D384" s="95">
        <v>-602048.81999999995</v>
      </c>
      <c r="E384" s="95">
        <v>-60736.62</v>
      </c>
      <c r="F384" s="95">
        <v>0</v>
      </c>
      <c r="G384" s="96">
        <f t="shared" si="25"/>
        <v>-662785.43999999994</v>
      </c>
      <c r="H384" s="97"/>
      <c r="I384" s="98">
        <v>-18517.89</v>
      </c>
      <c r="J384" s="98">
        <v>-14053.71</v>
      </c>
      <c r="K384" s="98">
        <v>0</v>
      </c>
      <c r="L384" s="96">
        <f t="shared" si="26"/>
        <v>-32571.599999999999</v>
      </c>
      <c r="M384" s="99">
        <f t="shared" ref="M384:M392" si="27">G384-L384</f>
        <v>-630213.84</v>
      </c>
    </row>
    <row r="385" spans="1:13" ht="25.5" x14ac:dyDescent="0.2">
      <c r="A385" s="35">
        <v>47</v>
      </c>
      <c r="B385" s="1473">
        <v>2440</v>
      </c>
      <c r="C385" s="1474" t="s">
        <v>1420</v>
      </c>
      <c r="D385" s="95">
        <v>-664990.26</v>
      </c>
      <c r="E385" s="95">
        <v>-115089.48</v>
      </c>
      <c r="F385" s="95">
        <v>0</v>
      </c>
      <c r="G385" s="96">
        <f t="shared" si="25"/>
        <v>-780079.74</v>
      </c>
      <c r="H385" s="97"/>
      <c r="I385" s="98">
        <v>-22432.5</v>
      </c>
      <c r="J385" s="98">
        <v>-16056.33</v>
      </c>
      <c r="K385" s="98">
        <v>0</v>
      </c>
      <c r="L385" s="96">
        <f t="shared" si="26"/>
        <v>-38488.83</v>
      </c>
      <c r="M385" s="99">
        <f t="shared" si="27"/>
        <v>-741590.91</v>
      </c>
    </row>
    <row r="386" spans="1:13" ht="25.5" x14ac:dyDescent="0.2">
      <c r="A386" s="35">
        <v>47</v>
      </c>
      <c r="B386" s="1473">
        <v>2440</v>
      </c>
      <c r="C386" s="1474" t="s">
        <v>1421</v>
      </c>
      <c r="D386" s="95">
        <v>-832316.2</v>
      </c>
      <c r="E386" s="95">
        <v>-102696.43</v>
      </c>
      <c r="F386" s="95">
        <v>0</v>
      </c>
      <c r="G386" s="96">
        <f t="shared" si="25"/>
        <v>-935012.62999999989</v>
      </c>
      <c r="H386" s="97"/>
      <c r="I386" s="98">
        <v>-14502.88</v>
      </c>
      <c r="J386" s="98">
        <v>-19636.990000000002</v>
      </c>
      <c r="K386" s="98">
        <v>0</v>
      </c>
      <c r="L386" s="96">
        <f t="shared" si="26"/>
        <v>-34139.870000000003</v>
      </c>
      <c r="M386" s="99">
        <f t="shared" si="27"/>
        <v>-900872.75999999989</v>
      </c>
    </row>
    <row r="387" spans="1:13" x14ac:dyDescent="0.2">
      <c r="A387" s="35">
        <v>47</v>
      </c>
      <c r="B387" s="1473">
        <v>2440</v>
      </c>
      <c r="C387" s="1474" t="s">
        <v>1422</v>
      </c>
      <c r="D387" s="95">
        <v>-57560.119999999995</v>
      </c>
      <c r="E387" s="95">
        <v>-12035.39</v>
      </c>
      <c r="F387" s="95">
        <v>0</v>
      </c>
      <c r="G387" s="96">
        <f t="shared" si="25"/>
        <v>-69595.509999999995</v>
      </c>
      <c r="H387" s="97"/>
      <c r="I387" s="98">
        <v>-1464.62</v>
      </c>
      <c r="J387" s="98">
        <v>-2543.11</v>
      </c>
      <c r="K387" s="98">
        <v>0</v>
      </c>
      <c r="L387" s="96">
        <f t="shared" si="26"/>
        <v>-4007.73</v>
      </c>
      <c r="M387" s="99">
        <f t="shared" si="27"/>
        <v>-65587.78</v>
      </c>
    </row>
    <row r="388" spans="1:13" x14ac:dyDescent="0.2">
      <c r="A388" s="35">
        <v>47</v>
      </c>
      <c r="B388" s="1473">
        <v>2440</v>
      </c>
      <c r="C388" s="1474" t="s">
        <v>1423</v>
      </c>
      <c r="D388" s="95">
        <v>0</v>
      </c>
      <c r="E388" s="95">
        <v>0</v>
      </c>
      <c r="F388" s="95">
        <v>0</v>
      </c>
      <c r="G388" s="96">
        <f t="shared" si="25"/>
        <v>0</v>
      </c>
      <c r="H388" s="97"/>
      <c r="I388" s="98">
        <v>0</v>
      </c>
      <c r="J388" s="98">
        <v>0</v>
      </c>
      <c r="K388" s="98">
        <v>0</v>
      </c>
      <c r="L388" s="96">
        <f t="shared" si="26"/>
        <v>0</v>
      </c>
      <c r="M388" s="99">
        <f t="shared" si="27"/>
        <v>0</v>
      </c>
    </row>
    <row r="389" spans="1:13" ht="25.5" x14ac:dyDescent="0.2">
      <c r="A389" s="35">
        <v>47</v>
      </c>
      <c r="B389" s="1473">
        <v>2440</v>
      </c>
      <c r="C389" s="1474" t="s">
        <v>1424</v>
      </c>
      <c r="D389" s="95">
        <v>0</v>
      </c>
      <c r="E389" s="95">
        <v>0</v>
      </c>
      <c r="F389" s="95">
        <v>0</v>
      </c>
      <c r="G389" s="96">
        <f t="shared" si="25"/>
        <v>0</v>
      </c>
      <c r="H389" s="97"/>
      <c r="I389" s="98">
        <v>0</v>
      </c>
      <c r="J389" s="98">
        <v>0</v>
      </c>
      <c r="K389" s="98">
        <v>0</v>
      </c>
      <c r="L389" s="96">
        <f t="shared" si="26"/>
        <v>0</v>
      </c>
      <c r="M389" s="99">
        <f t="shared" si="27"/>
        <v>0</v>
      </c>
    </row>
    <row r="390" spans="1:13" x14ac:dyDescent="0.2">
      <c r="A390" s="35">
        <v>47</v>
      </c>
      <c r="B390" s="1473">
        <v>2440</v>
      </c>
      <c r="C390" s="1474" t="s">
        <v>1425</v>
      </c>
      <c r="D390" s="95">
        <v>0</v>
      </c>
      <c r="E390" s="95">
        <v>0</v>
      </c>
      <c r="F390" s="95">
        <v>0</v>
      </c>
      <c r="G390" s="96">
        <f t="shared" si="25"/>
        <v>0</v>
      </c>
      <c r="H390" s="97"/>
      <c r="I390" s="98">
        <v>0</v>
      </c>
      <c r="J390" s="98">
        <v>0</v>
      </c>
      <c r="K390" s="98">
        <v>0</v>
      </c>
      <c r="L390" s="96">
        <f t="shared" si="26"/>
        <v>0</v>
      </c>
      <c r="M390" s="99">
        <f t="shared" si="27"/>
        <v>0</v>
      </c>
    </row>
    <row r="391" spans="1:13" x14ac:dyDescent="0.2">
      <c r="A391" s="35">
        <v>43.1</v>
      </c>
      <c r="B391" s="1473">
        <v>2440</v>
      </c>
      <c r="C391" s="1474" t="s">
        <v>1426</v>
      </c>
      <c r="D391" s="95">
        <v>0</v>
      </c>
      <c r="E391" s="95">
        <v>0</v>
      </c>
      <c r="F391" s="95">
        <v>0</v>
      </c>
      <c r="G391" s="96">
        <f t="shared" si="25"/>
        <v>0</v>
      </c>
      <c r="H391" s="97"/>
      <c r="I391" s="98">
        <v>0</v>
      </c>
      <c r="J391" s="98">
        <v>0</v>
      </c>
      <c r="K391" s="98">
        <v>0</v>
      </c>
      <c r="L391" s="96">
        <f t="shared" si="26"/>
        <v>0</v>
      </c>
      <c r="M391" s="99">
        <f t="shared" si="27"/>
        <v>0</v>
      </c>
    </row>
    <row r="392" spans="1:13" x14ac:dyDescent="0.2">
      <c r="A392" s="106"/>
      <c r="B392" s="106"/>
      <c r="C392" s="107"/>
      <c r="D392" s="95">
        <v>0</v>
      </c>
      <c r="E392" s="95">
        <v>0</v>
      </c>
      <c r="F392" s="95">
        <v>0</v>
      </c>
      <c r="G392" s="96">
        <f t="shared" si="25"/>
        <v>0</v>
      </c>
      <c r="I392" s="98">
        <v>0</v>
      </c>
      <c r="J392" s="98">
        <v>0</v>
      </c>
      <c r="K392" s="98">
        <v>0</v>
      </c>
      <c r="L392" s="96">
        <f t="shared" si="26"/>
        <v>0</v>
      </c>
      <c r="M392" s="99">
        <f t="shared" si="27"/>
        <v>0</v>
      </c>
    </row>
    <row r="393" spans="1:13" x14ac:dyDescent="0.2">
      <c r="A393" s="106"/>
      <c r="B393" s="106"/>
      <c r="C393" s="109" t="s">
        <v>180</v>
      </c>
      <c r="D393" s="110">
        <f>SUM(D320:D392)</f>
        <v>50356071.160000004</v>
      </c>
      <c r="E393" s="110">
        <f>SUM(E320:E392)</f>
        <v>1283290.5200000003</v>
      </c>
      <c r="F393" s="110">
        <f>SUM(F320:F392)</f>
        <v>-587057.21000000008</v>
      </c>
      <c r="G393" s="110">
        <f>SUM(G320:G392)</f>
        <v>51052304.469999999</v>
      </c>
      <c r="H393" s="110"/>
      <c r="I393" s="110">
        <f>SUM(I320:I392)</f>
        <v>25466836.169999998</v>
      </c>
      <c r="J393" s="110">
        <f>SUM(J320:J392)</f>
        <v>1038028.7000000008</v>
      </c>
      <c r="K393" s="110">
        <f>SUM(K320:K392)</f>
        <v>-485584.73</v>
      </c>
      <c r="L393" s="110">
        <f>SUM(L320:L392)</f>
        <v>26019280.139999997</v>
      </c>
      <c r="M393" s="110">
        <f>SUM(M320:M392)</f>
        <v>25033024.329999991</v>
      </c>
    </row>
    <row r="394" spans="1:13" ht="37.5" x14ac:dyDescent="0.2">
      <c r="A394" s="106"/>
      <c r="B394" s="106"/>
      <c r="C394" s="111" t="s">
        <v>541</v>
      </c>
      <c r="D394" s="108"/>
      <c r="E394" s="108"/>
      <c r="F394" s="108"/>
      <c r="G394" s="96">
        <f>D394+E394+F394</f>
        <v>0</v>
      </c>
      <c r="I394" s="108"/>
      <c r="J394" s="108"/>
      <c r="K394" s="108"/>
      <c r="L394" s="96">
        <f>I394+J394+K394</f>
        <v>0</v>
      </c>
      <c r="M394" s="99">
        <f>G394+L394</f>
        <v>0</v>
      </c>
    </row>
    <row r="395" spans="1:13" ht="25.5" x14ac:dyDescent="0.2">
      <c r="A395" s="106"/>
      <c r="B395" s="106"/>
      <c r="C395" s="112" t="s">
        <v>540</v>
      </c>
      <c r="D395" s="108"/>
      <c r="E395" s="108"/>
      <c r="F395" s="108"/>
      <c r="G395" s="96">
        <f>D395+E395+F395</f>
        <v>0</v>
      </c>
      <c r="I395" s="108"/>
      <c r="J395" s="108"/>
      <c r="K395" s="108"/>
      <c r="L395" s="96">
        <f>I395+J395+K395</f>
        <v>0</v>
      </c>
      <c r="M395" s="99">
        <f>G395+L395</f>
        <v>0</v>
      </c>
    </row>
    <row r="396" spans="1:13" x14ac:dyDescent="0.2">
      <c r="A396" s="106"/>
      <c r="B396" s="106"/>
      <c r="C396" s="109" t="s">
        <v>450</v>
      </c>
      <c r="D396" s="110">
        <f>SUM(D393:D395)</f>
        <v>50356071.160000004</v>
      </c>
      <c r="E396" s="110">
        <f>SUM(E393:E395)</f>
        <v>1283290.5200000003</v>
      </c>
      <c r="F396" s="110">
        <f>SUM(F393:F395)</f>
        <v>-587057.21000000008</v>
      </c>
      <c r="G396" s="110">
        <f>SUM(G393:G395)</f>
        <v>51052304.469999999</v>
      </c>
      <c r="H396" s="110"/>
      <c r="I396" s="110">
        <f>SUM(I393:I395)</f>
        <v>25466836.169999998</v>
      </c>
      <c r="J396" s="110">
        <f>SUM(J393:J395)</f>
        <v>1038028.7000000008</v>
      </c>
      <c r="K396" s="110">
        <f>SUM(K393:K395)</f>
        <v>-485584.73</v>
      </c>
      <c r="L396" s="110">
        <f>SUM(L393:L395)</f>
        <v>26019280.139999997</v>
      </c>
      <c r="M396" s="110">
        <f>SUM(M393:M395)</f>
        <v>25033024.329999991</v>
      </c>
    </row>
    <row r="397" spans="1:13" ht="14.25" x14ac:dyDescent="0.2">
      <c r="A397" s="106"/>
      <c r="B397" s="106"/>
      <c r="C397" s="1674" t="s">
        <v>848</v>
      </c>
      <c r="D397" s="1675"/>
      <c r="E397" s="1675"/>
      <c r="F397" s="1675"/>
      <c r="G397" s="1675"/>
      <c r="H397" s="1675"/>
      <c r="I397" s="1676"/>
      <c r="J397" s="108"/>
      <c r="K397" s="113"/>
      <c r="L397" s="114"/>
      <c r="M397" s="115"/>
    </row>
    <row r="398" spans="1:13" x14ac:dyDescent="0.2">
      <c r="A398" s="106"/>
      <c r="B398" s="106"/>
      <c r="C398" s="1674" t="s">
        <v>272</v>
      </c>
      <c r="D398" s="1675"/>
      <c r="E398" s="1675"/>
      <c r="F398" s="1675"/>
      <c r="G398" s="1675"/>
      <c r="H398" s="1675"/>
      <c r="I398" s="1676"/>
      <c r="J398" s="110">
        <f>J396+J397</f>
        <v>1038028.7000000008</v>
      </c>
      <c r="K398" s="113"/>
      <c r="L398" s="114"/>
      <c r="M398" s="115"/>
    </row>
    <row r="399" spans="1:13" x14ac:dyDescent="0.2">
      <c r="A399" s="1498"/>
      <c r="B399" s="1498"/>
    </row>
    <row r="400" spans="1:13" x14ac:dyDescent="0.2">
      <c r="A400" s="1498"/>
      <c r="B400" s="1498"/>
      <c r="I400" s="116" t="s">
        <v>379</v>
      </c>
      <c r="J400" s="1499"/>
    </row>
    <row r="401" spans="1:16" x14ac:dyDescent="0.2">
      <c r="A401" s="106">
        <v>10</v>
      </c>
      <c r="B401" s="106"/>
      <c r="C401" s="107" t="s">
        <v>273</v>
      </c>
      <c r="I401" s="1499" t="s">
        <v>273</v>
      </c>
      <c r="J401" s="1499"/>
      <c r="K401" s="117">
        <v>-91754.719999999987</v>
      </c>
    </row>
    <row r="402" spans="1:16" x14ac:dyDescent="0.2">
      <c r="A402" s="106">
        <v>8</v>
      </c>
      <c r="B402" s="106"/>
      <c r="C402" s="107" t="s">
        <v>264</v>
      </c>
      <c r="I402" s="1499" t="s">
        <v>264</v>
      </c>
      <c r="J402" s="1499"/>
      <c r="K402" s="117">
        <v>-953.57</v>
      </c>
    </row>
    <row r="403" spans="1:16" x14ac:dyDescent="0.2">
      <c r="A403" s="106">
        <v>8</v>
      </c>
      <c r="B403" s="106"/>
      <c r="C403" s="1480" t="s">
        <v>1433</v>
      </c>
      <c r="I403" s="1477" t="s">
        <v>1433</v>
      </c>
      <c r="J403" s="1499"/>
      <c r="K403" s="117">
        <v>0</v>
      </c>
    </row>
    <row r="404" spans="1:16" x14ac:dyDescent="0.2">
      <c r="A404" s="106">
        <v>8</v>
      </c>
      <c r="B404" s="106"/>
      <c r="C404" s="1480" t="s">
        <v>1434</v>
      </c>
      <c r="I404" s="1477" t="s">
        <v>1434</v>
      </c>
      <c r="J404" s="1499"/>
      <c r="K404" s="117">
        <v>0</v>
      </c>
    </row>
    <row r="405" spans="1:16" x14ac:dyDescent="0.2">
      <c r="A405" s="106">
        <v>8</v>
      </c>
      <c r="B405" s="106"/>
      <c r="C405" s="1480" t="s">
        <v>791</v>
      </c>
      <c r="I405" s="1478">
        <v>1576</v>
      </c>
      <c r="J405" s="1499"/>
      <c r="K405" s="117">
        <v>-239781.83</v>
      </c>
    </row>
    <row r="406" spans="1:16" x14ac:dyDescent="0.2">
      <c r="A406" s="1498"/>
      <c r="B406" s="1498"/>
      <c r="I406" s="1479" t="s">
        <v>1435</v>
      </c>
      <c r="J406" s="1499"/>
      <c r="K406" s="117">
        <v>65651.69</v>
      </c>
    </row>
    <row r="407" spans="1:16" x14ac:dyDescent="0.2">
      <c r="A407" s="1498"/>
      <c r="B407" s="1498"/>
      <c r="I407" s="118" t="s">
        <v>274</v>
      </c>
      <c r="K407" s="1481">
        <f>J398+K403+K401+K402+K404+K405+K406</f>
        <v>771190.27000000095</v>
      </c>
    </row>
    <row r="408" spans="1:16" x14ac:dyDescent="0.2">
      <c r="A408" s="1498"/>
      <c r="B408" s="1498"/>
    </row>
    <row r="409" spans="1:16" x14ac:dyDescent="0.2">
      <c r="A409" s="1498"/>
      <c r="B409" s="1498"/>
    </row>
    <row r="410" spans="1:16" x14ac:dyDescent="0.2">
      <c r="A410" s="1498"/>
      <c r="B410" s="1498"/>
      <c r="E410" s="68" t="s">
        <v>822</v>
      </c>
      <c r="F410" s="30" t="s">
        <v>95</v>
      </c>
      <c r="H410" s="34"/>
    </row>
    <row r="411" spans="1:16" ht="15" x14ac:dyDescent="0.25">
      <c r="A411" s="1498"/>
      <c r="B411" s="1498"/>
      <c r="C411" s="38"/>
      <c r="E411" s="68" t="s">
        <v>92</v>
      </c>
      <c r="F411" s="82">
        <v>2018</v>
      </c>
      <c r="G411" s="83"/>
    </row>
    <row r="412" spans="1:16" x14ac:dyDescent="0.2">
      <c r="A412" s="1498"/>
      <c r="B412" s="1498"/>
    </row>
    <row r="413" spans="1:16" x14ac:dyDescent="0.2">
      <c r="A413" s="1498"/>
      <c r="B413" s="1498"/>
      <c r="D413" s="1677" t="s">
        <v>242</v>
      </c>
      <c r="E413" s="1678"/>
      <c r="F413" s="1678"/>
      <c r="G413" s="1679"/>
      <c r="I413" s="84"/>
      <c r="J413" s="85" t="s">
        <v>243</v>
      </c>
      <c r="K413" s="85"/>
      <c r="L413" s="86"/>
      <c r="M413" s="81"/>
    </row>
    <row r="414" spans="1:16" ht="25.5" customHeight="1" x14ac:dyDescent="0.2">
      <c r="A414" s="87" t="s">
        <v>917</v>
      </c>
      <c r="B414" s="87" t="s">
        <v>919</v>
      </c>
      <c r="C414" s="88" t="s">
        <v>920</v>
      </c>
      <c r="D414" s="87" t="s">
        <v>213</v>
      </c>
      <c r="E414" s="89" t="s">
        <v>918</v>
      </c>
      <c r="F414" s="89" t="s">
        <v>995</v>
      </c>
      <c r="G414" s="87" t="s">
        <v>241</v>
      </c>
      <c r="H414" s="90"/>
      <c r="I414" s="91" t="s">
        <v>213</v>
      </c>
      <c r="J414" s="92" t="s">
        <v>214</v>
      </c>
      <c r="K414" s="92" t="s">
        <v>995</v>
      </c>
      <c r="L414" s="93" t="s">
        <v>241</v>
      </c>
      <c r="M414" s="87" t="s">
        <v>276</v>
      </c>
    </row>
    <row r="415" spans="1:16" s="1467" customFormat="1" ht="25.5" x14ac:dyDescent="0.2">
      <c r="A415" s="35">
        <v>47</v>
      </c>
      <c r="B415" s="1530">
        <v>1508</v>
      </c>
      <c r="C415" s="94" t="s">
        <v>1390</v>
      </c>
      <c r="D415" s="95">
        <v>2565527.6999999997</v>
      </c>
      <c r="E415" s="95">
        <v>0</v>
      </c>
      <c r="F415" s="95">
        <v>0</v>
      </c>
      <c r="G415" s="96">
        <f t="shared" ref="G415:G477" si="28">D415+E415+F415</f>
        <v>2565527.6999999997</v>
      </c>
      <c r="H415" s="97"/>
      <c r="I415" s="98">
        <v>132983.34</v>
      </c>
      <c r="J415" s="98">
        <v>53432.88</v>
      </c>
      <c r="K415" s="98">
        <v>0</v>
      </c>
      <c r="L415" s="96">
        <f t="shared" ref="L415:L477" si="29">I415+J415+K415</f>
        <v>186416.22</v>
      </c>
      <c r="M415" s="99">
        <f>G415-L415</f>
        <v>2379111.4799999995</v>
      </c>
      <c r="N415" s="1465"/>
      <c r="O415" s="1466">
        <f>AVERAGE(G415,D415)</f>
        <v>2565527.6999999997</v>
      </c>
      <c r="P415" s="1466">
        <f>AVERAGE(L415,I415)</f>
        <v>159699.78</v>
      </c>
    </row>
    <row r="416" spans="1:16" s="1467" customFormat="1" x14ac:dyDescent="0.2">
      <c r="A416" s="35" t="s">
        <v>244</v>
      </c>
      <c r="B416" s="1468">
        <v>1606</v>
      </c>
      <c r="C416" s="1469" t="s">
        <v>1391</v>
      </c>
      <c r="D416" s="1470">
        <v>0</v>
      </c>
      <c r="E416" s="1470">
        <v>0</v>
      </c>
      <c r="F416" s="1470">
        <v>0</v>
      </c>
      <c r="G416" s="96">
        <f t="shared" si="28"/>
        <v>0</v>
      </c>
      <c r="H416" s="1471"/>
      <c r="I416" s="1470">
        <v>0</v>
      </c>
      <c r="J416" s="1470">
        <v>0</v>
      </c>
      <c r="K416" s="1470">
        <v>0</v>
      </c>
      <c r="L416" s="96">
        <f t="shared" si="29"/>
        <v>0</v>
      </c>
      <c r="M416" s="99">
        <f t="shared" ref="M416:M478" si="30">G416-L416</f>
        <v>0</v>
      </c>
      <c r="O416" s="1472">
        <f>AVERAGE(G416,D416)</f>
        <v>0</v>
      </c>
      <c r="P416" s="1472">
        <f>AVERAGE(L416,I416)</f>
        <v>0</v>
      </c>
    </row>
    <row r="417" spans="1:13" ht="25.5" x14ac:dyDescent="0.2">
      <c r="A417" s="35">
        <v>12</v>
      </c>
      <c r="B417" s="1530">
        <v>1611</v>
      </c>
      <c r="C417" s="94" t="s">
        <v>352</v>
      </c>
      <c r="D417" s="95">
        <v>2463912.4299999997</v>
      </c>
      <c r="E417" s="95">
        <v>16877.5</v>
      </c>
      <c r="F417" s="95">
        <v>0</v>
      </c>
      <c r="G417" s="96">
        <f t="shared" si="28"/>
        <v>2480789.9299999997</v>
      </c>
      <c r="H417" s="97"/>
      <c r="I417" s="98">
        <v>2283089.08</v>
      </c>
      <c r="J417" s="98">
        <v>100751.55666666667</v>
      </c>
      <c r="K417" s="98">
        <v>0</v>
      </c>
      <c r="L417" s="96">
        <f t="shared" si="29"/>
        <v>2383840.6366666667</v>
      </c>
      <c r="M417" s="99">
        <f t="shared" si="30"/>
        <v>96949.293333332986</v>
      </c>
    </row>
    <row r="418" spans="1:13" ht="25.5" x14ac:dyDescent="0.2">
      <c r="A418" s="35" t="s">
        <v>1621</v>
      </c>
      <c r="B418" s="1530">
        <v>1612</v>
      </c>
      <c r="C418" s="94" t="s">
        <v>397</v>
      </c>
      <c r="D418" s="95">
        <v>0</v>
      </c>
      <c r="E418" s="95">
        <v>0</v>
      </c>
      <c r="F418" s="95">
        <v>0</v>
      </c>
      <c r="G418" s="96">
        <f t="shared" si="28"/>
        <v>0</v>
      </c>
      <c r="H418" s="97"/>
      <c r="I418" s="98">
        <v>0</v>
      </c>
      <c r="J418" s="98">
        <v>0</v>
      </c>
      <c r="K418" s="98">
        <v>0</v>
      </c>
      <c r="L418" s="96">
        <f t="shared" si="29"/>
        <v>0</v>
      </c>
      <c r="M418" s="99">
        <f t="shared" si="30"/>
        <v>0</v>
      </c>
    </row>
    <row r="419" spans="1:13" x14ac:dyDescent="0.2">
      <c r="A419" s="35" t="s">
        <v>244</v>
      </c>
      <c r="B419" s="100">
        <v>1805</v>
      </c>
      <c r="C419" s="101" t="s">
        <v>245</v>
      </c>
      <c r="D419" s="95">
        <v>258134.21000000002</v>
      </c>
      <c r="E419" s="95">
        <v>0</v>
      </c>
      <c r="F419" s="95">
        <v>0</v>
      </c>
      <c r="G419" s="96">
        <f t="shared" si="28"/>
        <v>258134.21000000002</v>
      </c>
      <c r="H419" s="97"/>
      <c r="I419" s="98">
        <v>0</v>
      </c>
      <c r="J419" s="98">
        <v>0</v>
      </c>
      <c r="K419" s="98">
        <v>0</v>
      </c>
      <c r="L419" s="96">
        <f t="shared" si="29"/>
        <v>0</v>
      </c>
      <c r="M419" s="99">
        <f t="shared" si="30"/>
        <v>258134.21000000002</v>
      </c>
    </row>
    <row r="420" spans="1:13" x14ac:dyDescent="0.2">
      <c r="A420" s="35">
        <v>47</v>
      </c>
      <c r="B420" s="100">
        <v>1808</v>
      </c>
      <c r="C420" s="102" t="s">
        <v>246</v>
      </c>
      <c r="D420" s="95">
        <v>0</v>
      </c>
      <c r="E420" s="95">
        <v>0</v>
      </c>
      <c r="F420" s="95">
        <v>0</v>
      </c>
      <c r="G420" s="96">
        <f t="shared" si="28"/>
        <v>0</v>
      </c>
      <c r="H420" s="97"/>
      <c r="I420" s="98">
        <v>0</v>
      </c>
      <c r="J420" s="98">
        <v>0</v>
      </c>
      <c r="K420" s="98">
        <v>0</v>
      </c>
      <c r="L420" s="96">
        <f t="shared" si="29"/>
        <v>0</v>
      </c>
      <c r="M420" s="99">
        <f t="shared" si="30"/>
        <v>0</v>
      </c>
    </row>
    <row r="421" spans="1:13" x14ac:dyDescent="0.2">
      <c r="A421" s="35">
        <v>13</v>
      </c>
      <c r="B421" s="100">
        <v>1810</v>
      </c>
      <c r="C421" s="102" t="s">
        <v>275</v>
      </c>
      <c r="D421" s="95">
        <v>0</v>
      </c>
      <c r="E421" s="95">
        <v>0</v>
      </c>
      <c r="F421" s="95">
        <v>0</v>
      </c>
      <c r="G421" s="96">
        <f t="shared" si="28"/>
        <v>0</v>
      </c>
      <c r="H421" s="97"/>
      <c r="I421" s="98">
        <v>0</v>
      </c>
      <c r="J421" s="98">
        <v>0</v>
      </c>
      <c r="K421" s="98">
        <v>0</v>
      </c>
      <c r="L421" s="96">
        <f t="shared" si="29"/>
        <v>0</v>
      </c>
      <c r="M421" s="99">
        <f t="shared" si="30"/>
        <v>0</v>
      </c>
    </row>
    <row r="422" spans="1:13" ht="25.5" x14ac:dyDescent="0.2">
      <c r="A422" s="35">
        <v>47</v>
      </c>
      <c r="B422" s="1473">
        <v>1815</v>
      </c>
      <c r="C422" s="1474" t="s">
        <v>1392</v>
      </c>
      <c r="D422" s="95">
        <v>2782447.48</v>
      </c>
      <c r="E422" s="95">
        <v>0</v>
      </c>
      <c r="F422" s="95">
        <v>0</v>
      </c>
      <c r="G422" s="96">
        <f t="shared" si="28"/>
        <v>2782447.48</v>
      </c>
      <c r="H422" s="97"/>
      <c r="I422" s="98">
        <v>896445.86</v>
      </c>
      <c r="J422" s="98">
        <v>50594.33</v>
      </c>
      <c r="K422" s="98">
        <v>0</v>
      </c>
      <c r="L422" s="96">
        <f t="shared" si="29"/>
        <v>947040.19</v>
      </c>
      <c r="M422" s="99">
        <f t="shared" si="30"/>
        <v>1835407.29</v>
      </c>
    </row>
    <row r="423" spans="1:13" ht="25.5" x14ac:dyDescent="0.2">
      <c r="A423" s="35">
        <v>47</v>
      </c>
      <c r="B423" s="1468">
        <v>1815</v>
      </c>
      <c r="C423" s="1474" t="s">
        <v>1393</v>
      </c>
      <c r="D423" s="95">
        <v>2743748.64</v>
      </c>
      <c r="E423" s="95">
        <v>289000</v>
      </c>
      <c r="F423" s="95">
        <v>-335048.09499999997</v>
      </c>
      <c r="G423" s="96">
        <f t="shared" si="28"/>
        <v>2697700.5449999999</v>
      </c>
      <c r="H423" s="97"/>
      <c r="I423" s="98">
        <v>717882.55</v>
      </c>
      <c r="J423" s="98">
        <v>52848.652727272725</v>
      </c>
      <c r="K423" s="98">
        <v>-110001.07</v>
      </c>
      <c r="L423" s="96">
        <f t="shared" si="29"/>
        <v>660730.13272727281</v>
      </c>
      <c r="M423" s="99">
        <f t="shared" si="30"/>
        <v>2036970.4122727271</v>
      </c>
    </row>
    <row r="424" spans="1:13" x14ac:dyDescent="0.2">
      <c r="A424" s="35">
        <v>47</v>
      </c>
      <c r="B424" s="100">
        <v>1820</v>
      </c>
      <c r="C424" s="94" t="s">
        <v>184</v>
      </c>
      <c r="D424" s="95">
        <v>0</v>
      </c>
      <c r="E424" s="95">
        <v>0</v>
      </c>
      <c r="F424" s="95">
        <v>0</v>
      </c>
      <c r="G424" s="96">
        <f t="shared" si="28"/>
        <v>0</v>
      </c>
      <c r="H424" s="97"/>
      <c r="I424" s="98">
        <v>0</v>
      </c>
      <c r="J424" s="98">
        <v>0</v>
      </c>
      <c r="K424" s="98">
        <v>0</v>
      </c>
      <c r="L424" s="96">
        <f t="shared" si="29"/>
        <v>0</v>
      </c>
      <c r="M424" s="99">
        <f t="shared" si="30"/>
        <v>0</v>
      </c>
    </row>
    <row r="425" spans="1:13" x14ac:dyDescent="0.2">
      <c r="A425" s="35">
        <v>43.1</v>
      </c>
      <c r="B425" s="100">
        <v>1825</v>
      </c>
      <c r="C425" s="102" t="s">
        <v>248</v>
      </c>
      <c r="D425" s="95">
        <v>0</v>
      </c>
      <c r="E425" s="95">
        <v>0</v>
      </c>
      <c r="F425" s="95">
        <v>0</v>
      </c>
      <c r="G425" s="96">
        <f t="shared" si="28"/>
        <v>0</v>
      </c>
      <c r="H425" s="97"/>
      <c r="I425" s="98">
        <v>0</v>
      </c>
      <c r="J425" s="98">
        <v>0</v>
      </c>
      <c r="K425" s="98">
        <v>0</v>
      </c>
      <c r="L425" s="96">
        <f t="shared" si="29"/>
        <v>0</v>
      </c>
      <c r="M425" s="99">
        <f t="shared" si="30"/>
        <v>0</v>
      </c>
    </row>
    <row r="426" spans="1:13" x14ac:dyDescent="0.2">
      <c r="A426" s="35">
        <v>47</v>
      </c>
      <c r="B426" s="100">
        <v>1830</v>
      </c>
      <c r="C426" s="102" t="s">
        <v>249</v>
      </c>
      <c r="D426" s="95">
        <v>5977568.4300000006</v>
      </c>
      <c r="E426" s="95">
        <v>1006772.59</v>
      </c>
      <c r="F426" s="95">
        <v>-292156.38</v>
      </c>
      <c r="G426" s="96">
        <f t="shared" si="28"/>
        <v>6692184.6400000006</v>
      </c>
      <c r="H426" s="97"/>
      <c r="I426" s="98">
        <v>3098843.61</v>
      </c>
      <c r="J426" s="98">
        <v>107293.87211111111</v>
      </c>
      <c r="K426" s="98">
        <v>-287695.5</v>
      </c>
      <c r="L426" s="96">
        <f t="shared" si="29"/>
        <v>2918441.9821111108</v>
      </c>
      <c r="M426" s="99">
        <f t="shared" si="30"/>
        <v>3773742.6578888898</v>
      </c>
    </row>
    <row r="427" spans="1:13" x14ac:dyDescent="0.2">
      <c r="A427" s="35">
        <v>47</v>
      </c>
      <c r="B427" s="100">
        <v>1835</v>
      </c>
      <c r="C427" s="102" t="s">
        <v>185</v>
      </c>
      <c r="D427" s="95">
        <v>7217556.5600000005</v>
      </c>
      <c r="E427" s="95">
        <v>813583.98699999996</v>
      </c>
      <c r="F427" s="95">
        <v>-212886.27</v>
      </c>
      <c r="G427" s="96">
        <f t="shared" si="28"/>
        <v>7818254.2770000007</v>
      </c>
      <c r="H427" s="97"/>
      <c r="I427" s="98">
        <v>3851488.9600000004</v>
      </c>
      <c r="J427" s="98">
        <v>84518.766558333329</v>
      </c>
      <c r="K427" s="98">
        <v>-201819.56</v>
      </c>
      <c r="L427" s="96">
        <f t="shared" si="29"/>
        <v>3734188.1665583337</v>
      </c>
      <c r="M427" s="99">
        <f t="shared" si="30"/>
        <v>4084066.110441667</v>
      </c>
    </row>
    <row r="428" spans="1:13" x14ac:dyDescent="0.2">
      <c r="A428" s="35">
        <v>47</v>
      </c>
      <c r="B428" s="100">
        <v>1840</v>
      </c>
      <c r="C428" s="102" t="s">
        <v>186</v>
      </c>
      <c r="D428" s="95">
        <v>6120231.7599999988</v>
      </c>
      <c r="E428" s="95">
        <v>366746.58950000006</v>
      </c>
      <c r="F428" s="95">
        <v>0</v>
      </c>
      <c r="G428" s="96">
        <f t="shared" si="28"/>
        <v>6486978.3494999986</v>
      </c>
      <c r="H428" s="97"/>
      <c r="I428" s="98">
        <v>2587596.2799999998</v>
      </c>
      <c r="J428" s="98">
        <v>71028.417611538462</v>
      </c>
      <c r="K428" s="98">
        <v>0</v>
      </c>
      <c r="L428" s="96">
        <f t="shared" si="29"/>
        <v>2658624.6976115382</v>
      </c>
      <c r="M428" s="99">
        <f t="shared" si="30"/>
        <v>3828353.6518884604</v>
      </c>
    </row>
    <row r="429" spans="1:13" x14ac:dyDescent="0.2">
      <c r="A429" s="35">
        <v>47</v>
      </c>
      <c r="B429" s="100">
        <v>1845</v>
      </c>
      <c r="C429" s="102" t="s">
        <v>187</v>
      </c>
      <c r="D429" s="95">
        <v>10745762.260000002</v>
      </c>
      <c r="E429" s="95">
        <v>353708.56049999996</v>
      </c>
      <c r="F429" s="95">
        <v>0</v>
      </c>
      <c r="G429" s="96">
        <f t="shared" si="28"/>
        <v>11099470.820500001</v>
      </c>
      <c r="H429" s="97"/>
      <c r="I429" s="98">
        <v>5463784.5799999991</v>
      </c>
      <c r="J429" s="98">
        <v>186372.09511666666</v>
      </c>
      <c r="K429" s="98">
        <v>0</v>
      </c>
      <c r="L429" s="96">
        <f t="shared" si="29"/>
        <v>5650156.6751166657</v>
      </c>
      <c r="M429" s="99">
        <f t="shared" si="30"/>
        <v>5449314.1453833356</v>
      </c>
    </row>
    <row r="430" spans="1:13" x14ac:dyDescent="0.2">
      <c r="A430" s="35">
        <v>47</v>
      </c>
      <c r="B430" s="100">
        <v>1850</v>
      </c>
      <c r="C430" s="102" t="s">
        <v>250</v>
      </c>
      <c r="D430" s="95">
        <v>8868822.3100000024</v>
      </c>
      <c r="E430" s="95">
        <v>239682.00200000004</v>
      </c>
      <c r="F430" s="95">
        <v>-38400.93</v>
      </c>
      <c r="G430" s="96">
        <f t="shared" si="28"/>
        <v>9070103.382000003</v>
      </c>
      <c r="H430" s="97"/>
      <c r="I430" s="98">
        <v>4118095.5300000007</v>
      </c>
      <c r="J430" s="98">
        <v>149826.03335555556</v>
      </c>
      <c r="K430" s="98">
        <v>-19938.960000000003</v>
      </c>
      <c r="L430" s="96">
        <f t="shared" si="29"/>
        <v>4247982.6033555567</v>
      </c>
      <c r="M430" s="99">
        <f t="shared" si="30"/>
        <v>4822120.7786444463</v>
      </c>
    </row>
    <row r="431" spans="1:13" x14ac:dyDescent="0.2">
      <c r="A431" s="35">
        <v>47</v>
      </c>
      <c r="B431" s="1468">
        <v>1850</v>
      </c>
      <c r="C431" s="1475" t="s">
        <v>1394</v>
      </c>
      <c r="D431" s="95">
        <v>168592.32</v>
      </c>
      <c r="E431" s="95">
        <v>0</v>
      </c>
      <c r="F431" s="95">
        <v>0</v>
      </c>
      <c r="G431" s="96">
        <f t="shared" si="28"/>
        <v>168592.32</v>
      </c>
      <c r="H431" s="97"/>
      <c r="I431" s="98">
        <v>95652.01</v>
      </c>
      <c r="J431" s="98">
        <v>2612.921177984213</v>
      </c>
      <c r="K431" s="98">
        <v>0</v>
      </c>
      <c r="L431" s="96">
        <f t="shared" si="29"/>
        <v>98264.93117798421</v>
      </c>
      <c r="M431" s="99">
        <f t="shared" si="30"/>
        <v>70327.388822015797</v>
      </c>
    </row>
    <row r="432" spans="1:13" x14ac:dyDescent="0.2">
      <c r="A432" s="35">
        <v>47</v>
      </c>
      <c r="B432" s="1468">
        <v>1850</v>
      </c>
      <c r="C432" s="1475" t="s">
        <v>1395</v>
      </c>
      <c r="D432" s="95">
        <v>0</v>
      </c>
      <c r="E432" s="95">
        <v>0</v>
      </c>
      <c r="F432" s="95">
        <v>0</v>
      </c>
      <c r="G432" s="96">
        <f t="shared" si="28"/>
        <v>0</v>
      </c>
      <c r="H432" s="97"/>
      <c r="I432" s="98">
        <v>0</v>
      </c>
      <c r="J432" s="98">
        <v>0</v>
      </c>
      <c r="K432" s="98">
        <v>0</v>
      </c>
      <c r="L432" s="96">
        <f t="shared" si="29"/>
        <v>0</v>
      </c>
      <c r="M432" s="99">
        <f t="shared" si="30"/>
        <v>0</v>
      </c>
    </row>
    <row r="433" spans="1:13" x14ac:dyDescent="0.2">
      <c r="A433" s="35">
        <v>47</v>
      </c>
      <c r="B433" s="1468">
        <v>1850</v>
      </c>
      <c r="C433" s="1475" t="s">
        <v>1396</v>
      </c>
      <c r="D433" s="95">
        <v>157941.74</v>
      </c>
      <c r="E433" s="95">
        <v>0</v>
      </c>
      <c r="F433" s="95">
        <v>0</v>
      </c>
      <c r="G433" s="96">
        <f t="shared" si="28"/>
        <v>157941.74</v>
      </c>
      <c r="H433" s="97"/>
      <c r="I433" s="98">
        <v>27071.210000000003</v>
      </c>
      <c r="J433" s="98">
        <v>3360.2827155239647</v>
      </c>
      <c r="K433" s="98">
        <v>0</v>
      </c>
      <c r="L433" s="96">
        <f t="shared" si="29"/>
        <v>30431.492715523967</v>
      </c>
      <c r="M433" s="99">
        <f t="shared" si="30"/>
        <v>127510.24728447602</v>
      </c>
    </row>
    <row r="434" spans="1:13" x14ac:dyDescent="0.2">
      <c r="A434" s="35">
        <v>47</v>
      </c>
      <c r="B434" s="100">
        <v>1855</v>
      </c>
      <c r="C434" s="1474" t="s">
        <v>1397</v>
      </c>
      <c r="D434" s="95">
        <v>650014.32000000007</v>
      </c>
      <c r="E434" s="95">
        <v>85000.005000000005</v>
      </c>
      <c r="F434" s="95">
        <v>0</v>
      </c>
      <c r="G434" s="96">
        <f t="shared" si="28"/>
        <v>735014.32500000007</v>
      </c>
      <c r="H434" s="97"/>
      <c r="I434" s="98">
        <v>176516.07999999996</v>
      </c>
      <c r="J434" s="98">
        <v>9996.1033750000006</v>
      </c>
      <c r="K434" s="98">
        <v>0</v>
      </c>
      <c r="L434" s="96">
        <f t="shared" si="29"/>
        <v>186512.18337499996</v>
      </c>
      <c r="M434" s="99">
        <f t="shared" si="30"/>
        <v>548502.14162500016</v>
      </c>
    </row>
    <row r="435" spans="1:13" x14ac:dyDescent="0.2">
      <c r="A435" s="35">
        <v>47</v>
      </c>
      <c r="B435" s="100">
        <v>1855</v>
      </c>
      <c r="C435" s="1474" t="s">
        <v>1398</v>
      </c>
      <c r="D435" s="95">
        <v>3626941.0700000003</v>
      </c>
      <c r="E435" s="95">
        <v>554590.83299999998</v>
      </c>
      <c r="F435" s="95">
        <v>0</v>
      </c>
      <c r="G435" s="96">
        <f t="shared" si="28"/>
        <v>4181531.9030000004</v>
      </c>
      <c r="H435" s="97"/>
      <c r="I435" s="98">
        <v>921606.96</v>
      </c>
      <c r="J435" s="98">
        <v>78938.320366666667</v>
      </c>
      <c r="K435" s="98">
        <v>0</v>
      </c>
      <c r="L435" s="96">
        <f t="shared" si="29"/>
        <v>1000545.2803666666</v>
      </c>
      <c r="M435" s="99">
        <f t="shared" si="30"/>
        <v>3180986.6226333338</v>
      </c>
    </row>
    <row r="436" spans="1:13" x14ac:dyDescent="0.2">
      <c r="A436" s="35">
        <v>47</v>
      </c>
      <c r="B436" s="100">
        <v>1860</v>
      </c>
      <c r="C436" s="102" t="s">
        <v>251</v>
      </c>
      <c r="D436" s="95">
        <v>777738.7899999998</v>
      </c>
      <c r="E436" s="95">
        <v>30000.002</v>
      </c>
      <c r="F436" s="95">
        <v>0</v>
      </c>
      <c r="G436" s="96">
        <f t="shared" si="28"/>
        <v>807738.79199999978</v>
      </c>
      <c r="H436" s="97"/>
      <c r="I436" s="98">
        <v>532211.15</v>
      </c>
      <c r="J436" s="98">
        <v>12359.130032500001</v>
      </c>
      <c r="K436" s="98">
        <v>0</v>
      </c>
      <c r="L436" s="96">
        <f t="shared" si="29"/>
        <v>544570.28003250004</v>
      </c>
      <c r="M436" s="99">
        <f t="shared" si="30"/>
        <v>263168.51196749974</v>
      </c>
    </row>
    <row r="437" spans="1:13" x14ac:dyDescent="0.2">
      <c r="A437" s="35">
        <v>47</v>
      </c>
      <c r="B437" s="100">
        <v>1860</v>
      </c>
      <c r="C437" s="101" t="s">
        <v>189</v>
      </c>
      <c r="D437" s="95">
        <v>1903711.1999999997</v>
      </c>
      <c r="E437" s="95">
        <v>45000.001000000004</v>
      </c>
      <c r="F437" s="95">
        <v>0</v>
      </c>
      <c r="G437" s="96">
        <f t="shared" si="28"/>
        <v>1948711.2009999997</v>
      </c>
      <c r="H437" s="97"/>
      <c r="I437" s="98">
        <v>861787.42</v>
      </c>
      <c r="J437" s="98">
        <v>128971.49003333334</v>
      </c>
      <c r="K437" s="98">
        <v>0</v>
      </c>
      <c r="L437" s="96">
        <f t="shared" si="29"/>
        <v>990758.91003333335</v>
      </c>
      <c r="M437" s="99">
        <f t="shared" si="30"/>
        <v>957952.2909666663</v>
      </c>
    </row>
    <row r="438" spans="1:13" x14ac:dyDescent="0.2">
      <c r="A438" s="35">
        <v>47</v>
      </c>
      <c r="B438" s="100">
        <v>1860</v>
      </c>
      <c r="C438" s="1476" t="s">
        <v>1399</v>
      </c>
      <c r="D438" s="95">
        <v>44799.45</v>
      </c>
      <c r="E438" s="95">
        <v>0</v>
      </c>
      <c r="F438" s="95">
        <v>0</v>
      </c>
      <c r="G438" s="96">
        <f t="shared" si="28"/>
        <v>44799.45</v>
      </c>
      <c r="H438" s="97"/>
      <c r="I438" s="98">
        <v>28410.37</v>
      </c>
      <c r="J438" s="98">
        <v>1780.5975692307688</v>
      </c>
      <c r="K438" s="98">
        <v>0</v>
      </c>
      <c r="L438" s="96">
        <f t="shared" si="29"/>
        <v>30190.967569230768</v>
      </c>
      <c r="M438" s="99">
        <f t="shared" si="30"/>
        <v>14608.482430769229</v>
      </c>
    </row>
    <row r="439" spans="1:13" x14ac:dyDescent="0.2">
      <c r="A439" s="35">
        <v>47</v>
      </c>
      <c r="B439" s="100">
        <v>1860</v>
      </c>
      <c r="C439" s="1476" t="s">
        <v>1400</v>
      </c>
      <c r="D439" s="95">
        <v>32045.280000000002</v>
      </c>
      <c r="E439" s="95">
        <v>0</v>
      </c>
      <c r="F439" s="95">
        <v>0</v>
      </c>
      <c r="G439" s="96">
        <f t="shared" si="28"/>
        <v>32045.280000000002</v>
      </c>
      <c r="H439" s="97"/>
      <c r="I439" s="98">
        <v>15318.81</v>
      </c>
      <c r="J439" s="98">
        <v>2136.3519999999999</v>
      </c>
      <c r="K439" s="98">
        <v>0</v>
      </c>
      <c r="L439" s="96">
        <f t="shared" si="29"/>
        <v>17455.162</v>
      </c>
      <c r="M439" s="99">
        <f t="shared" si="30"/>
        <v>14590.118000000002</v>
      </c>
    </row>
    <row r="440" spans="1:13" x14ac:dyDescent="0.2">
      <c r="A440" s="35">
        <v>47</v>
      </c>
      <c r="B440" s="100">
        <v>1860</v>
      </c>
      <c r="C440" s="1476" t="s">
        <v>1401</v>
      </c>
      <c r="D440" s="95">
        <v>6307.93</v>
      </c>
      <c r="E440" s="95">
        <v>0</v>
      </c>
      <c r="F440" s="95">
        <v>0</v>
      </c>
      <c r="G440" s="96">
        <f t="shared" si="28"/>
        <v>6307.93</v>
      </c>
      <c r="H440" s="97"/>
      <c r="I440" s="98">
        <v>74.52</v>
      </c>
      <c r="J440" s="98">
        <v>157.69825000000003</v>
      </c>
      <c r="K440" s="98">
        <v>0</v>
      </c>
      <c r="L440" s="96">
        <f t="shared" si="29"/>
        <v>232.21825000000001</v>
      </c>
      <c r="M440" s="99">
        <f t="shared" si="30"/>
        <v>6075.7117500000004</v>
      </c>
    </row>
    <row r="441" spans="1:13" x14ac:dyDescent="0.2">
      <c r="A441" s="35" t="s">
        <v>244</v>
      </c>
      <c r="B441" s="100">
        <v>1905</v>
      </c>
      <c r="C441" s="101" t="s">
        <v>245</v>
      </c>
      <c r="D441" s="95">
        <v>49000</v>
      </c>
      <c r="E441" s="95">
        <v>0</v>
      </c>
      <c r="F441" s="95">
        <v>0</v>
      </c>
      <c r="G441" s="96">
        <f t="shared" si="28"/>
        <v>49000</v>
      </c>
      <c r="H441" s="97"/>
      <c r="I441" s="98">
        <v>0</v>
      </c>
      <c r="J441" s="98">
        <v>0</v>
      </c>
      <c r="K441" s="98">
        <v>0</v>
      </c>
      <c r="L441" s="96">
        <f t="shared" si="29"/>
        <v>0</v>
      </c>
      <c r="M441" s="99">
        <f t="shared" si="30"/>
        <v>49000</v>
      </c>
    </row>
    <row r="442" spans="1:13" x14ac:dyDescent="0.2">
      <c r="A442" s="35" t="s">
        <v>1622</v>
      </c>
      <c r="B442" s="100">
        <v>1908</v>
      </c>
      <c r="C442" s="102" t="s">
        <v>252</v>
      </c>
      <c r="D442" s="95">
        <v>1189575.1199999999</v>
      </c>
      <c r="E442" s="95">
        <v>51510.100000000006</v>
      </c>
      <c r="F442" s="95">
        <v>0</v>
      </c>
      <c r="G442" s="96">
        <f t="shared" si="28"/>
        <v>1241085.22</v>
      </c>
      <c r="H442" s="97"/>
      <c r="I442" s="98">
        <v>456026.15</v>
      </c>
      <c r="J442" s="98">
        <v>20088.240833333333</v>
      </c>
      <c r="K442" s="98">
        <v>0</v>
      </c>
      <c r="L442" s="96">
        <f t="shared" si="29"/>
        <v>476114.39083333337</v>
      </c>
      <c r="M442" s="99">
        <f t="shared" si="30"/>
        <v>764970.8291666666</v>
      </c>
    </row>
    <row r="443" spans="1:13" x14ac:dyDescent="0.2">
      <c r="A443" s="35" t="s">
        <v>1622</v>
      </c>
      <c r="B443" s="1473">
        <v>1908</v>
      </c>
      <c r="C443" s="1474" t="s">
        <v>1402</v>
      </c>
      <c r="D443" s="95">
        <v>8690.41</v>
      </c>
      <c r="E443" s="95">
        <v>0</v>
      </c>
      <c r="F443" s="95">
        <v>0</v>
      </c>
      <c r="G443" s="96">
        <f t="shared" si="28"/>
        <v>8690.41</v>
      </c>
      <c r="H443" s="97"/>
      <c r="I443" s="98">
        <v>8690.41</v>
      </c>
      <c r="J443" s="98">
        <v>0</v>
      </c>
      <c r="K443" s="98">
        <v>0</v>
      </c>
      <c r="L443" s="96">
        <f t="shared" si="29"/>
        <v>8690.41</v>
      </c>
      <c r="M443" s="99">
        <f t="shared" si="30"/>
        <v>0</v>
      </c>
    </row>
    <row r="444" spans="1:13" x14ac:dyDescent="0.2">
      <c r="A444" s="35">
        <v>13</v>
      </c>
      <c r="B444" s="100">
        <v>1910</v>
      </c>
      <c r="C444" s="102" t="s">
        <v>275</v>
      </c>
      <c r="D444" s="95">
        <v>0</v>
      </c>
      <c r="E444" s="95">
        <v>0</v>
      </c>
      <c r="F444" s="95">
        <v>0</v>
      </c>
      <c r="G444" s="96">
        <f t="shared" si="28"/>
        <v>0</v>
      </c>
      <c r="H444" s="97"/>
      <c r="I444" s="98">
        <v>0</v>
      </c>
      <c r="J444" s="98">
        <v>0</v>
      </c>
      <c r="K444" s="98">
        <v>0</v>
      </c>
      <c r="L444" s="96">
        <f t="shared" si="29"/>
        <v>0</v>
      </c>
      <c r="M444" s="99">
        <f t="shared" si="30"/>
        <v>0</v>
      </c>
    </row>
    <row r="445" spans="1:13" x14ac:dyDescent="0.2">
      <c r="A445" s="35">
        <v>8</v>
      </c>
      <c r="B445" s="100">
        <v>1915</v>
      </c>
      <c r="C445" s="102" t="s">
        <v>190</v>
      </c>
      <c r="D445" s="95">
        <v>227331.69000000003</v>
      </c>
      <c r="E445" s="95">
        <v>6077.75</v>
      </c>
      <c r="F445" s="95">
        <v>0</v>
      </c>
      <c r="G445" s="96">
        <f t="shared" si="28"/>
        <v>233409.44000000003</v>
      </c>
      <c r="H445" s="97"/>
      <c r="I445" s="98">
        <v>204984.35</v>
      </c>
      <c r="J445" s="98">
        <v>5966.2874999999995</v>
      </c>
      <c r="K445" s="98">
        <v>0</v>
      </c>
      <c r="L445" s="96">
        <f t="shared" si="29"/>
        <v>210950.63750000001</v>
      </c>
      <c r="M445" s="99">
        <f t="shared" si="30"/>
        <v>22458.80250000002</v>
      </c>
    </row>
    <row r="446" spans="1:13" x14ac:dyDescent="0.2">
      <c r="A446" s="35">
        <v>8</v>
      </c>
      <c r="B446" s="100">
        <v>1915</v>
      </c>
      <c r="C446" s="102" t="s">
        <v>191</v>
      </c>
      <c r="D446" s="95">
        <v>0</v>
      </c>
      <c r="E446" s="95">
        <v>0</v>
      </c>
      <c r="F446" s="95">
        <v>0</v>
      </c>
      <c r="G446" s="96">
        <f t="shared" si="28"/>
        <v>0</v>
      </c>
      <c r="H446" s="97"/>
      <c r="I446" s="98">
        <v>0</v>
      </c>
      <c r="J446" s="98">
        <v>0</v>
      </c>
      <c r="K446" s="98">
        <v>0</v>
      </c>
      <c r="L446" s="96">
        <f t="shared" si="29"/>
        <v>0</v>
      </c>
      <c r="M446" s="99">
        <f t="shared" si="30"/>
        <v>0</v>
      </c>
    </row>
    <row r="447" spans="1:13" x14ac:dyDescent="0.2">
      <c r="A447" s="35">
        <v>50</v>
      </c>
      <c r="B447" s="100">
        <v>1920</v>
      </c>
      <c r="C447" s="102" t="s">
        <v>192</v>
      </c>
      <c r="D447" s="95">
        <v>467098.32999999996</v>
      </c>
      <c r="E447" s="95">
        <v>9999.9999999999982</v>
      </c>
      <c r="F447" s="95">
        <v>0</v>
      </c>
      <c r="G447" s="96">
        <f t="shared" si="28"/>
        <v>477098.32999999996</v>
      </c>
      <c r="H447" s="97"/>
      <c r="I447" s="98">
        <v>444407.02</v>
      </c>
      <c r="J447" s="98">
        <v>13928.636666666665</v>
      </c>
      <c r="K447" s="98">
        <v>0</v>
      </c>
      <c r="L447" s="96">
        <f t="shared" si="29"/>
        <v>458335.65666666668</v>
      </c>
      <c r="M447" s="99">
        <f t="shared" si="30"/>
        <v>18762.673333333281</v>
      </c>
    </row>
    <row r="448" spans="1:13" ht="25.5" x14ac:dyDescent="0.2">
      <c r="A448" s="35">
        <v>45</v>
      </c>
      <c r="B448" s="103">
        <v>1920</v>
      </c>
      <c r="C448" s="94" t="s">
        <v>194</v>
      </c>
      <c r="D448" s="95">
        <v>0</v>
      </c>
      <c r="E448" s="95">
        <v>0</v>
      </c>
      <c r="F448" s="95">
        <v>0</v>
      </c>
      <c r="G448" s="96">
        <f t="shared" si="28"/>
        <v>0</v>
      </c>
      <c r="H448" s="97"/>
      <c r="I448" s="98">
        <v>0</v>
      </c>
      <c r="J448" s="98">
        <v>0</v>
      </c>
      <c r="K448" s="98">
        <v>0</v>
      </c>
      <c r="L448" s="96">
        <f t="shared" si="29"/>
        <v>0</v>
      </c>
      <c r="M448" s="99">
        <f t="shared" si="30"/>
        <v>0</v>
      </c>
    </row>
    <row r="449" spans="1:13" ht="25.5" x14ac:dyDescent="0.2">
      <c r="A449" s="35">
        <v>45</v>
      </c>
      <c r="B449" s="103">
        <v>1920</v>
      </c>
      <c r="C449" s="94" t="s">
        <v>193</v>
      </c>
      <c r="D449" s="95">
        <v>0</v>
      </c>
      <c r="E449" s="95">
        <v>0</v>
      </c>
      <c r="F449" s="95">
        <v>0</v>
      </c>
      <c r="G449" s="96">
        <f t="shared" si="28"/>
        <v>0</v>
      </c>
      <c r="H449" s="97"/>
      <c r="I449" s="98">
        <v>0</v>
      </c>
      <c r="J449" s="98">
        <v>0</v>
      </c>
      <c r="K449" s="98">
        <v>0</v>
      </c>
      <c r="L449" s="96">
        <f t="shared" si="29"/>
        <v>0</v>
      </c>
      <c r="M449" s="99">
        <f t="shared" si="30"/>
        <v>0</v>
      </c>
    </row>
    <row r="450" spans="1:13" x14ac:dyDescent="0.2">
      <c r="A450" s="35">
        <v>10</v>
      </c>
      <c r="B450" s="1530">
        <v>1930</v>
      </c>
      <c r="C450" s="102" t="s">
        <v>263</v>
      </c>
      <c r="D450" s="95">
        <v>169768.87</v>
      </c>
      <c r="E450" s="95">
        <v>0</v>
      </c>
      <c r="F450" s="95">
        <v>0</v>
      </c>
      <c r="G450" s="96">
        <f t="shared" si="28"/>
        <v>169768.87</v>
      </c>
      <c r="H450" s="97"/>
      <c r="I450" s="98">
        <v>141919.41999999998</v>
      </c>
      <c r="J450" s="98">
        <v>14360.62</v>
      </c>
      <c r="K450" s="98">
        <v>0</v>
      </c>
      <c r="L450" s="96">
        <f t="shared" si="29"/>
        <v>156280.03999999998</v>
      </c>
      <c r="M450" s="99">
        <f t="shared" si="30"/>
        <v>13488.830000000016</v>
      </c>
    </row>
    <row r="451" spans="1:13" x14ac:dyDescent="0.2">
      <c r="A451" s="35">
        <v>10</v>
      </c>
      <c r="B451" s="1473">
        <v>1930</v>
      </c>
      <c r="C451" s="1474" t="s">
        <v>1403</v>
      </c>
      <c r="D451" s="95">
        <v>940581.07</v>
      </c>
      <c r="E451" s="95">
        <v>364294.68999999994</v>
      </c>
      <c r="F451" s="95">
        <v>-250400.16</v>
      </c>
      <c r="G451" s="96">
        <f t="shared" si="28"/>
        <v>1054475.5999999999</v>
      </c>
      <c r="H451" s="97"/>
      <c r="I451" s="98">
        <v>705221.84000000008</v>
      </c>
      <c r="J451" s="98">
        <v>80108.224499999997</v>
      </c>
      <c r="K451" s="98">
        <v>-250400.16</v>
      </c>
      <c r="L451" s="96">
        <f t="shared" si="29"/>
        <v>534929.90450000006</v>
      </c>
      <c r="M451" s="99">
        <f t="shared" si="30"/>
        <v>519545.6954999998</v>
      </c>
    </row>
    <row r="452" spans="1:13" x14ac:dyDescent="0.2">
      <c r="A452" s="35">
        <v>10</v>
      </c>
      <c r="B452" s="1473">
        <v>1930</v>
      </c>
      <c r="C452" s="1474" t="s">
        <v>1404</v>
      </c>
      <c r="D452" s="95">
        <v>84108.05</v>
      </c>
      <c r="E452" s="95">
        <v>0</v>
      </c>
      <c r="F452" s="95">
        <v>0</v>
      </c>
      <c r="G452" s="96">
        <f t="shared" si="28"/>
        <v>84108.05</v>
      </c>
      <c r="H452" s="97"/>
      <c r="I452" s="98">
        <v>39979.72</v>
      </c>
      <c r="J452" s="98">
        <v>3043.33</v>
      </c>
      <c r="K452" s="98">
        <v>0</v>
      </c>
      <c r="L452" s="96">
        <f t="shared" si="29"/>
        <v>43023.05</v>
      </c>
      <c r="M452" s="99">
        <f t="shared" si="30"/>
        <v>41085</v>
      </c>
    </row>
    <row r="453" spans="1:13" x14ac:dyDescent="0.2">
      <c r="A453" s="35">
        <v>8</v>
      </c>
      <c r="B453" s="1530">
        <v>1935</v>
      </c>
      <c r="C453" s="102" t="s">
        <v>264</v>
      </c>
      <c r="D453" s="95">
        <v>24683.61</v>
      </c>
      <c r="E453" s="95">
        <v>0</v>
      </c>
      <c r="F453" s="95">
        <v>0</v>
      </c>
      <c r="G453" s="96">
        <f t="shared" si="28"/>
        <v>24683.61</v>
      </c>
      <c r="H453" s="97"/>
      <c r="I453" s="98">
        <v>23509.010000000002</v>
      </c>
      <c r="J453" s="98">
        <v>798.02</v>
      </c>
      <c r="K453" s="98">
        <v>0</v>
      </c>
      <c r="L453" s="96">
        <f t="shared" si="29"/>
        <v>24307.030000000002</v>
      </c>
      <c r="M453" s="99">
        <f t="shared" si="30"/>
        <v>376.57999999999811</v>
      </c>
    </row>
    <row r="454" spans="1:13" x14ac:dyDescent="0.2">
      <c r="A454" s="35">
        <v>8</v>
      </c>
      <c r="B454" s="1530">
        <v>1940</v>
      </c>
      <c r="C454" s="102" t="s">
        <v>265</v>
      </c>
      <c r="D454" s="95">
        <v>498238.9</v>
      </c>
      <c r="E454" s="95">
        <v>51031.979999999996</v>
      </c>
      <c r="F454" s="95">
        <v>0</v>
      </c>
      <c r="G454" s="96">
        <f t="shared" si="28"/>
        <v>549270.88</v>
      </c>
      <c r="H454" s="97"/>
      <c r="I454" s="98">
        <v>468553.9</v>
      </c>
      <c r="J454" s="98">
        <v>9924.838749999999</v>
      </c>
      <c r="K454" s="98">
        <v>0</v>
      </c>
      <c r="L454" s="96">
        <f t="shared" si="29"/>
        <v>478478.73875000002</v>
      </c>
      <c r="M454" s="99">
        <f t="shared" si="30"/>
        <v>70792.141249999986</v>
      </c>
    </row>
    <row r="455" spans="1:13" x14ac:dyDescent="0.2">
      <c r="A455" s="35">
        <v>8</v>
      </c>
      <c r="B455" s="1530">
        <v>1945</v>
      </c>
      <c r="C455" s="102" t="s">
        <v>266</v>
      </c>
      <c r="D455" s="95">
        <v>0</v>
      </c>
      <c r="E455" s="95">
        <v>0</v>
      </c>
      <c r="F455" s="95">
        <v>0</v>
      </c>
      <c r="G455" s="96">
        <f t="shared" si="28"/>
        <v>0</v>
      </c>
      <c r="H455" s="97"/>
      <c r="I455" s="98">
        <v>0</v>
      </c>
      <c r="J455" s="98">
        <v>0</v>
      </c>
      <c r="K455" s="98">
        <v>0</v>
      </c>
      <c r="L455" s="96">
        <f t="shared" si="29"/>
        <v>0</v>
      </c>
      <c r="M455" s="99">
        <f t="shared" si="30"/>
        <v>0</v>
      </c>
    </row>
    <row r="456" spans="1:13" x14ac:dyDescent="0.2">
      <c r="A456" s="35">
        <v>8</v>
      </c>
      <c r="B456" s="1530">
        <v>1950</v>
      </c>
      <c r="C456" s="102" t="s">
        <v>195</v>
      </c>
      <c r="D456" s="95">
        <v>0</v>
      </c>
      <c r="E456" s="95">
        <v>0</v>
      </c>
      <c r="F456" s="95">
        <v>0</v>
      </c>
      <c r="G456" s="96">
        <f t="shared" si="28"/>
        <v>0</v>
      </c>
      <c r="H456" s="97"/>
      <c r="I456" s="98">
        <v>0</v>
      </c>
      <c r="J456" s="98">
        <v>0</v>
      </c>
      <c r="K456" s="98">
        <v>0</v>
      </c>
      <c r="L456" s="96">
        <f t="shared" si="29"/>
        <v>0</v>
      </c>
      <c r="M456" s="99">
        <f t="shared" si="30"/>
        <v>0</v>
      </c>
    </row>
    <row r="457" spans="1:13" x14ac:dyDescent="0.2">
      <c r="A457" s="35">
        <v>8</v>
      </c>
      <c r="B457" s="1530">
        <v>1955</v>
      </c>
      <c r="C457" s="102" t="s">
        <v>267</v>
      </c>
      <c r="D457" s="95">
        <v>54383.11</v>
      </c>
      <c r="E457" s="95">
        <v>0</v>
      </c>
      <c r="F457" s="95">
        <v>0</v>
      </c>
      <c r="G457" s="96">
        <f t="shared" si="28"/>
        <v>54383.11</v>
      </c>
      <c r="H457" s="97"/>
      <c r="I457" s="98">
        <v>52832.820000000007</v>
      </c>
      <c r="J457" s="98">
        <v>1163.08</v>
      </c>
      <c r="K457" s="98">
        <v>0</v>
      </c>
      <c r="L457" s="96">
        <f t="shared" si="29"/>
        <v>53995.900000000009</v>
      </c>
      <c r="M457" s="99">
        <f t="shared" si="30"/>
        <v>387.20999999999185</v>
      </c>
    </row>
    <row r="458" spans="1:13" x14ac:dyDescent="0.2">
      <c r="A458" s="35">
        <v>8</v>
      </c>
      <c r="B458" s="103">
        <v>1955</v>
      </c>
      <c r="C458" s="104" t="s">
        <v>196</v>
      </c>
      <c r="D458" s="95">
        <v>0</v>
      </c>
      <c r="E458" s="95">
        <v>0</v>
      </c>
      <c r="F458" s="95">
        <v>0</v>
      </c>
      <c r="G458" s="96">
        <f t="shared" si="28"/>
        <v>0</v>
      </c>
      <c r="H458" s="97"/>
      <c r="I458" s="98">
        <v>0</v>
      </c>
      <c r="J458" s="98">
        <v>0</v>
      </c>
      <c r="K458" s="98">
        <v>0</v>
      </c>
      <c r="L458" s="96">
        <f t="shared" si="29"/>
        <v>0</v>
      </c>
      <c r="M458" s="99">
        <f t="shared" si="30"/>
        <v>0</v>
      </c>
    </row>
    <row r="459" spans="1:13" x14ac:dyDescent="0.2">
      <c r="A459" s="35">
        <v>8</v>
      </c>
      <c r="B459" s="105">
        <v>1960</v>
      </c>
      <c r="C459" s="94" t="s">
        <v>197</v>
      </c>
      <c r="D459" s="95">
        <v>0</v>
      </c>
      <c r="E459" s="95">
        <v>0</v>
      </c>
      <c r="F459" s="95">
        <v>0</v>
      </c>
      <c r="G459" s="96">
        <f t="shared" si="28"/>
        <v>0</v>
      </c>
      <c r="H459" s="97"/>
      <c r="I459" s="98">
        <v>0</v>
      </c>
      <c r="J459" s="98">
        <v>0</v>
      </c>
      <c r="K459" s="98">
        <v>0</v>
      </c>
      <c r="L459" s="96">
        <f t="shared" si="29"/>
        <v>0</v>
      </c>
      <c r="M459" s="99">
        <f t="shared" si="30"/>
        <v>0</v>
      </c>
    </row>
    <row r="460" spans="1:13" ht="25.5" x14ac:dyDescent="0.2">
      <c r="A460" s="35">
        <v>47</v>
      </c>
      <c r="B460" s="105">
        <v>1970</v>
      </c>
      <c r="C460" s="102" t="s">
        <v>448</v>
      </c>
      <c r="D460" s="95">
        <v>0</v>
      </c>
      <c r="E460" s="95">
        <v>0</v>
      </c>
      <c r="F460" s="95">
        <v>0</v>
      </c>
      <c r="G460" s="96">
        <f t="shared" si="28"/>
        <v>0</v>
      </c>
      <c r="H460" s="97"/>
      <c r="I460" s="98">
        <v>0</v>
      </c>
      <c r="J460" s="98">
        <v>0</v>
      </c>
      <c r="K460" s="98">
        <v>0</v>
      </c>
      <c r="L460" s="96">
        <f t="shared" si="29"/>
        <v>0</v>
      </c>
      <c r="M460" s="99">
        <f t="shared" si="30"/>
        <v>0</v>
      </c>
    </row>
    <row r="461" spans="1:13" ht="25.5" x14ac:dyDescent="0.2">
      <c r="A461" s="35">
        <v>47</v>
      </c>
      <c r="B461" s="1530">
        <v>1975</v>
      </c>
      <c r="C461" s="102" t="s">
        <v>268</v>
      </c>
      <c r="D461" s="95">
        <v>0</v>
      </c>
      <c r="E461" s="95">
        <v>0</v>
      </c>
      <c r="F461" s="95">
        <v>0</v>
      </c>
      <c r="G461" s="96">
        <f t="shared" si="28"/>
        <v>0</v>
      </c>
      <c r="H461" s="97"/>
      <c r="I461" s="98">
        <v>0</v>
      </c>
      <c r="J461" s="98">
        <v>0</v>
      </c>
      <c r="K461" s="98">
        <v>0</v>
      </c>
      <c r="L461" s="96">
        <f t="shared" si="29"/>
        <v>0</v>
      </c>
      <c r="M461" s="99">
        <f t="shared" si="30"/>
        <v>0</v>
      </c>
    </row>
    <row r="462" spans="1:13" x14ac:dyDescent="0.2">
      <c r="A462" s="35">
        <v>47</v>
      </c>
      <c r="B462" s="1530">
        <v>1980</v>
      </c>
      <c r="C462" s="102" t="s">
        <v>269</v>
      </c>
      <c r="D462" s="95">
        <v>668066.9</v>
      </c>
      <c r="E462" s="95">
        <v>20170.63</v>
      </c>
      <c r="F462" s="95">
        <v>0</v>
      </c>
      <c r="G462" s="96">
        <f t="shared" si="28"/>
        <v>688237.53</v>
      </c>
      <c r="H462" s="97"/>
      <c r="I462" s="98">
        <v>423244.42</v>
      </c>
      <c r="J462" s="98">
        <v>30829.691500000001</v>
      </c>
      <c r="K462" s="98">
        <v>0</v>
      </c>
      <c r="L462" s="96">
        <f t="shared" si="29"/>
        <v>454074.1115</v>
      </c>
      <c r="M462" s="99">
        <f t="shared" si="30"/>
        <v>234163.41850000003</v>
      </c>
    </row>
    <row r="463" spans="1:13" x14ac:dyDescent="0.2">
      <c r="A463" s="35">
        <v>47</v>
      </c>
      <c r="B463" s="1530">
        <v>1985</v>
      </c>
      <c r="C463" s="102" t="s">
        <v>270</v>
      </c>
      <c r="D463" s="95">
        <v>0</v>
      </c>
      <c r="E463" s="95">
        <v>0</v>
      </c>
      <c r="F463" s="95">
        <v>0</v>
      </c>
      <c r="G463" s="96">
        <f t="shared" si="28"/>
        <v>0</v>
      </c>
      <c r="H463" s="97"/>
      <c r="I463" s="98">
        <v>0</v>
      </c>
      <c r="J463" s="98">
        <v>0</v>
      </c>
      <c r="K463" s="98">
        <v>0</v>
      </c>
      <c r="L463" s="96">
        <f t="shared" si="29"/>
        <v>0</v>
      </c>
      <c r="M463" s="99">
        <f t="shared" si="30"/>
        <v>0</v>
      </c>
    </row>
    <row r="464" spans="1:13" x14ac:dyDescent="0.2">
      <c r="A464" s="35">
        <v>47</v>
      </c>
      <c r="B464" s="1530">
        <v>1990</v>
      </c>
      <c r="C464" s="1491" t="s">
        <v>449</v>
      </c>
      <c r="D464" s="95">
        <v>0</v>
      </c>
      <c r="E464" s="95">
        <v>0</v>
      </c>
      <c r="F464" s="95">
        <v>0</v>
      </c>
      <c r="G464" s="96">
        <f t="shared" si="28"/>
        <v>0</v>
      </c>
      <c r="H464" s="97"/>
      <c r="I464" s="98">
        <v>0</v>
      </c>
      <c r="J464" s="98">
        <v>0</v>
      </c>
      <c r="K464" s="98">
        <v>0</v>
      </c>
      <c r="L464" s="96">
        <f t="shared" si="29"/>
        <v>0</v>
      </c>
      <c r="M464" s="99">
        <f t="shared" si="30"/>
        <v>0</v>
      </c>
    </row>
    <row r="465" spans="1:13" x14ac:dyDescent="0.2">
      <c r="A465" s="35">
        <v>47</v>
      </c>
      <c r="B465" s="1473">
        <v>1995</v>
      </c>
      <c r="C465" s="1474" t="s">
        <v>1405</v>
      </c>
      <c r="D465" s="95">
        <v>-238366.01</v>
      </c>
      <c r="E465" s="95">
        <v>0</v>
      </c>
      <c r="F465" s="95">
        <v>0</v>
      </c>
      <c r="G465" s="96">
        <f t="shared" si="28"/>
        <v>-238366.01</v>
      </c>
      <c r="H465" s="97"/>
      <c r="I465" s="98">
        <v>-84781.460000000036</v>
      </c>
      <c r="J465" s="98">
        <v>-4547.644378309149</v>
      </c>
      <c r="K465" s="98">
        <v>0</v>
      </c>
      <c r="L465" s="96">
        <f t="shared" si="29"/>
        <v>-89329.104378309188</v>
      </c>
      <c r="M465" s="99">
        <f t="shared" si="30"/>
        <v>-149036.90562169082</v>
      </c>
    </row>
    <row r="466" spans="1:13" x14ac:dyDescent="0.2">
      <c r="A466" s="35">
        <v>47</v>
      </c>
      <c r="B466" s="1473">
        <v>1995</v>
      </c>
      <c r="C466" s="1474" t="s">
        <v>1406</v>
      </c>
      <c r="D466" s="95">
        <v>-235221.35</v>
      </c>
      <c r="E466" s="95">
        <v>0</v>
      </c>
      <c r="F466" s="95">
        <v>0</v>
      </c>
      <c r="G466" s="96">
        <f t="shared" si="28"/>
        <v>-235221.35</v>
      </c>
      <c r="H466" s="97"/>
      <c r="I466" s="98">
        <v>-86641.51</v>
      </c>
      <c r="J466" s="98">
        <v>-3107.2524453970591</v>
      </c>
      <c r="K466" s="98">
        <v>0</v>
      </c>
      <c r="L466" s="96">
        <f t="shared" si="29"/>
        <v>-89748.762445397049</v>
      </c>
      <c r="M466" s="99">
        <f t="shared" si="30"/>
        <v>-145472.58755460294</v>
      </c>
    </row>
    <row r="467" spans="1:13" x14ac:dyDescent="0.2">
      <c r="A467" s="35">
        <v>47</v>
      </c>
      <c r="B467" s="1473">
        <v>1995</v>
      </c>
      <c r="C467" s="1474" t="s">
        <v>1407</v>
      </c>
      <c r="D467" s="95">
        <v>-146562.29999999999</v>
      </c>
      <c r="E467" s="95">
        <v>0</v>
      </c>
      <c r="F467" s="95">
        <v>0</v>
      </c>
      <c r="G467" s="96">
        <f t="shared" si="28"/>
        <v>-146562.29999999999</v>
      </c>
      <c r="H467" s="97"/>
      <c r="I467" s="98">
        <v>-58342.960000000006</v>
      </c>
      <c r="J467" s="98">
        <v>-1877.9328435799157</v>
      </c>
      <c r="K467" s="98">
        <v>0</v>
      </c>
      <c r="L467" s="96">
        <f t="shared" si="29"/>
        <v>-60220.892843579924</v>
      </c>
      <c r="M467" s="99">
        <f t="shared" si="30"/>
        <v>-86341.407156420057</v>
      </c>
    </row>
    <row r="468" spans="1:13" x14ac:dyDescent="0.2">
      <c r="A468" s="35">
        <v>47</v>
      </c>
      <c r="B468" s="1473">
        <v>1995</v>
      </c>
      <c r="C468" s="1474" t="s">
        <v>1408</v>
      </c>
      <c r="D468" s="95">
        <v>-879221.65999999968</v>
      </c>
      <c r="E468" s="95">
        <v>0</v>
      </c>
      <c r="F468" s="95">
        <v>0</v>
      </c>
      <c r="G468" s="96">
        <f t="shared" si="28"/>
        <v>-879221.65999999968</v>
      </c>
      <c r="H468" s="97"/>
      <c r="I468" s="98">
        <v>-259075.70000000004</v>
      </c>
      <c r="J468" s="98">
        <v>-11279.981450451478</v>
      </c>
      <c r="K468" s="98">
        <v>0</v>
      </c>
      <c r="L468" s="96">
        <f t="shared" si="29"/>
        <v>-270355.68145045149</v>
      </c>
      <c r="M468" s="99">
        <f t="shared" si="30"/>
        <v>-608865.97854954819</v>
      </c>
    </row>
    <row r="469" spans="1:13" x14ac:dyDescent="0.2">
      <c r="A469" s="35">
        <v>47</v>
      </c>
      <c r="B469" s="1473">
        <v>1995</v>
      </c>
      <c r="C469" s="1474" t="s">
        <v>1409</v>
      </c>
      <c r="D469" s="95">
        <v>-1788777.8800000001</v>
      </c>
      <c r="E469" s="95">
        <v>0</v>
      </c>
      <c r="F469" s="95">
        <v>0</v>
      </c>
      <c r="G469" s="96">
        <f t="shared" si="28"/>
        <v>-1788777.8800000001</v>
      </c>
      <c r="H469" s="97"/>
      <c r="I469" s="98">
        <v>-715717.97999999975</v>
      </c>
      <c r="J469" s="98">
        <v>-32680.693037432306</v>
      </c>
      <c r="K469" s="98">
        <v>0</v>
      </c>
      <c r="L469" s="96">
        <f t="shared" si="29"/>
        <v>-748398.67303743202</v>
      </c>
      <c r="M469" s="99">
        <f t="shared" si="30"/>
        <v>-1040379.2069625681</v>
      </c>
    </row>
    <row r="470" spans="1:13" x14ac:dyDescent="0.2">
      <c r="A470" s="35">
        <v>47</v>
      </c>
      <c r="B470" s="1473">
        <v>1995</v>
      </c>
      <c r="C470" s="1474" t="s">
        <v>1410</v>
      </c>
      <c r="D470" s="95">
        <v>-1606652.53</v>
      </c>
      <c r="E470" s="95">
        <v>0</v>
      </c>
      <c r="F470" s="95">
        <v>0</v>
      </c>
      <c r="G470" s="96">
        <f t="shared" si="28"/>
        <v>-1606652.53</v>
      </c>
      <c r="H470" s="97"/>
      <c r="I470" s="98">
        <v>-554776.52</v>
      </c>
      <c r="J470" s="98">
        <v>-30624.599945469214</v>
      </c>
      <c r="K470" s="98">
        <v>0</v>
      </c>
      <c r="L470" s="96">
        <f t="shared" si="29"/>
        <v>-585401.1199454692</v>
      </c>
      <c r="M470" s="99">
        <f t="shared" si="30"/>
        <v>-1021251.4100545308</v>
      </c>
    </row>
    <row r="471" spans="1:13" x14ac:dyDescent="0.2">
      <c r="A471" s="35">
        <v>47</v>
      </c>
      <c r="B471" s="1473">
        <v>1995</v>
      </c>
      <c r="C471" s="1474" t="s">
        <v>1411</v>
      </c>
      <c r="D471" s="95">
        <v>-2283741.11</v>
      </c>
      <c r="E471" s="95">
        <v>0</v>
      </c>
      <c r="F471" s="95">
        <v>0</v>
      </c>
      <c r="G471" s="96">
        <f t="shared" si="28"/>
        <v>-2283741.11</v>
      </c>
      <c r="H471" s="97"/>
      <c r="I471" s="98">
        <v>-843228.91</v>
      </c>
      <c r="J471" s="98">
        <v>-42859.014427970425</v>
      </c>
      <c r="K471" s="98">
        <v>0</v>
      </c>
      <c r="L471" s="96">
        <f t="shared" si="29"/>
        <v>-886087.92442797043</v>
      </c>
      <c r="M471" s="99">
        <f t="shared" si="30"/>
        <v>-1397653.1855720296</v>
      </c>
    </row>
    <row r="472" spans="1:13" x14ac:dyDescent="0.2">
      <c r="A472" s="35">
        <v>47</v>
      </c>
      <c r="B472" s="1473">
        <v>1995</v>
      </c>
      <c r="C472" s="1474" t="s">
        <v>1412</v>
      </c>
      <c r="D472" s="95">
        <v>-7343.73</v>
      </c>
      <c r="E472" s="95">
        <v>0</v>
      </c>
      <c r="F472" s="95">
        <v>0</v>
      </c>
      <c r="G472" s="96">
        <f t="shared" si="28"/>
        <v>-7343.73</v>
      </c>
      <c r="H472" s="97"/>
      <c r="I472" s="98">
        <v>-4493.12</v>
      </c>
      <c r="J472" s="98">
        <v>-293.74919999999929</v>
      </c>
      <c r="K472" s="98">
        <v>0</v>
      </c>
      <c r="L472" s="96">
        <f t="shared" si="29"/>
        <v>-4786.8691999999992</v>
      </c>
      <c r="M472" s="99">
        <f t="shared" si="30"/>
        <v>-2556.8608000000004</v>
      </c>
    </row>
    <row r="473" spans="1:13" x14ac:dyDescent="0.2">
      <c r="A473" s="35">
        <v>47</v>
      </c>
      <c r="B473" s="1473">
        <v>1995</v>
      </c>
      <c r="C473" s="1474" t="s">
        <v>1413</v>
      </c>
      <c r="D473" s="95">
        <v>-13000</v>
      </c>
      <c r="E473" s="95">
        <v>0</v>
      </c>
      <c r="F473" s="95">
        <v>0</v>
      </c>
      <c r="G473" s="96">
        <f t="shared" si="28"/>
        <v>-13000</v>
      </c>
      <c r="H473" s="97"/>
      <c r="I473" s="98">
        <v>-4403.6899999999996</v>
      </c>
      <c r="J473" s="98">
        <v>-204.68085106382978</v>
      </c>
      <c r="K473" s="98">
        <v>0</v>
      </c>
      <c r="L473" s="96">
        <f t="shared" si="29"/>
        <v>-4608.3708510638298</v>
      </c>
      <c r="M473" s="99">
        <f t="shared" si="30"/>
        <v>-8391.6291489361702</v>
      </c>
    </row>
    <row r="474" spans="1:13" x14ac:dyDescent="0.2">
      <c r="A474" s="35">
        <v>47</v>
      </c>
      <c r="B474" s="1473">
        <v>1995</v>
      </c>
      <c r="C474" s="1474" t="s">
        <v>1414</v>
      </c>
      <c r="D474" s="95">
        <v>-9721.93</v>
      </c>
      <c r="E474" s="95">
        <v>0</v>
      </c>
      <c r="F474" s="95">
        <v>0</v>
      </c>
      <c r="G474" s="96">
        <f t="shared" si="28"/>
        <v>-9721.93</v>
      </c>
      <c r="H474" s="97"/>
      <c r="I474" s="98">
        <v>-9721.93</v>
      </c>
      <c r="J474" s="98">
        <v>0</v>
      </c>
      <c r="K474" s="98">
        <v>0</v>
      </c>
      <c r="L474" s="96">
        <f t="shared" si="29"/>
        <v>-9721.93</v>
      </c>
      <c r="M474" s="99">
        <f t="shared" si="30"/>
        <v>0</v>
      </c>
    </row>
    <row r="475" spans="1:13" x14ac:dyDescent="0.2">
      <c r="A475" s="35">
        <v>47</v>
      </c>
      <c r="B475" s="1473">
        <v>2440</v>
      </c>
      <c r="C475" s="1474" t="s">
        <v>1415</v>
      </c>
      <c r="D475" s="95">
        <v>-200954.86</v>
      </c>
      <c r="E475" s="95">
        <v>-327500.005</v>
      </c>
      <c r="F475" s="95">
        <v>0</v>
      </c>
      <c r="G475" s="96">
        <f t="shared" si="28"/>
        <v>-528454.86499999999</v>
      </c>
      <c r="I475" s="98">
        <v>-6270.56</v>
      </c>
      <c r="J475" s="98">
        <v>-8104.5524999999998</v>
      </c>
      <c r="K475" s="98">
        <v>0</v>
      </c>
      <c r="L475" s="96">
        <f t="shared" si="29"/>
        <v>-14375.112499999999</v>
      </c>
      <c r="M475" s="99">
        <f t="shared" si="30"/>
        <v>-514079.7525</v>
      </c>
    </row>
    <row r="476" spans="1:13" ht="25.5" x14ac:dyDescent="0.2">
      <c r="A476" s="35">
        <v>47</v>
      </c>
      <c r="B476" s="1473">
        <v>2440</v>
      </c>
      <c r="C476" s="1474" t="s">
        <v>1416</v>
      </c>
      <c r="D476" s="95">
        <v>-93495.83</v>
      </c>
      <c r="E476" s="95">
        <v>-267000.005</v>
      </c>
      <c r="F476" s="95">
        <v>0</v>
      </c>
      <c r="G476" s="96">
        <f t="shared" si="28"/>
        <v>-360495.83500000002</v>
      </c>
      <c r="H476" s="97"/>
      <c r="I476" s="98">
        <v>-2311.8500000000004</v>
      </c>
      <c r="J476" s="98">
        <v>-3783.2638749999996</v>
      </c>
      <c r="K476" s="98">
        <v>0</v>
      </c>
      <c r="L476" s="96">
        <f t="shared" si="29"/>
        <v>-6095.113875</v>
      </c>
      <c r="M476" s="99">
        <f t="shared" si="30"/>
        <v>-354400.72112500004</v>
      </c>
    </row>
    <row r="477" spans="1:13" ht="25.5" x14ac:dyDescent="0.2">
      <c r="A477" s="35">
        <v>47</v>
      </c>
      <c r="B477" s="1473">
        <v>2440</v>
      </c>
      <c r="C477" s="1474" t="s">
        <v>1417</v>
      </c>
      <c r="D477" s="95">
        <v>-33978.07</v>
      </c>
      <c r="E477" s="95">
        <v>-65000.005000000005</v>
      </c>
      <c r="F477" s="95">
        <v>0</v>
      </c>
      <c r="G477" s="96">
        <f t="shared" si="28"/>
        <v>-98978.075000000012</v>
      </c>
      <c r="H477" s="97"/>
      <c r="I477" s="98">
        <v>-1403.7399999999998</v>
      </c>
      <c r="J477" s="98">
        <v>-1107.9678749999998</v>
      </c>
      <c r="K477" s="98">
        <v>0</v>
      </c>
      <c r="L477" s="96">
        <f t="shared" si="29"/>
        <v>-2511.7078749999996</v>
      </c>
      <c r="M477" s="99">
        <f t="shared" si="30"/>
        <v>-96466.367125000019</v>
      </c>
    </row>
    <row r="478" spans="1:13" ht="25.5" x14ac:dyDescent="0.2">
      <c r="A478" s="35">
        <v>47</v>
      </c>
      <c r="B478" s="1473">
        <v>2440</v>
      </c>
      <c r="C478" s="1474" t="s">
        <v>1418</v>
      </c>
      <c r="D478" s="95">
        <v>-456514.88999999996</v>
      </c>
      <c r="E478" s="95">
        <v>-291125.01200000005</v>
      </c>
      <c r="F478" s="95">
        <v>0</v>
      </c>
      <c r="G478" s="96">
        <f t="shared" ref="G478:G487" si="31">D478+E478+F478</f>
        <v>-747639.902</v>
      </c>
      <c r="H478" s="97"/>
      <c r="I478" s="98">
        <v>-18569.28</v>
      </c>
      <c r="J478" s="98">
        <v>-9262.7291692307681</v>
      </c>
      <c r="K478" s="98">
        <v>0</v>
      </c>
      <c r="L478" s="96">
        <f t="shared" ref="L478:L487" si="32">I478+J478+K478</f>
        <v>-27832.009169230769</v>
      </c>
      <c r="M478" s="99">
        <f t="shared" si="30"/>
        <v>-719807.89283076918</v>
      </c>
    </row>
    <row r="479" spans="1:13" ht="25.5" x14ac:dyDescent="0.2">
      <c r="A479" s="35">
        <v>47</v>
      </c>
      <c r="B479" s="1473">
        <v>2440</v>
      </c>
      <c r="C479" s="1474" t="s">
        <v>1419</v>
      </c>
      <c r="D479" s="95">
        <v>-662785.43999999994</v>
      </c>
      <c r="E479" s="95">
        <v>-200125.01300000001</v>
      </c>
      <c r="F479" s="95">
        <v>0</v>
      </c>
      <c r="G479" s="96">
        <f t="shared" si="31"/>
        <v>-862910.45299999998</v>
      </c>
      <c r="H479" s="97"/>
      <c r="I479" s="98">
        <v>-32571.599999999999</v>
      </c>
      <c r="J479" s="98">
        <v>-16952.176588888884</v>
      </c>
      <c r="K479" s="98">
        <v>0</v>
      </c>
      <c r="L479" s="96">
        <f t="shared" si="32"/>
        <v>-49523.776588888883</v>
      </c>
      <c r="M479" s="99">
        <f t="shared" ref="M479:M487" si="33">G479-L479</f>
        <v>-813386.67641111114</v>
      </c>
    </row>
    <row r="480" spans="1:13" ht="25.5" x14ac:dyDescent="0.2">
      <c r="A480" s="35">
        <v>47</v>
      </c>
      <c r="B480" s="1473">
        <v>2440</v>
      </c>
      <c r="C480" s="1474" t="s">
        <v>1420</v>
      </c>
      <c r="D480" s="95">
        <v>-780079.74</v>
      </c>
      <c r="E480" s="95">
        <v>-65000.013000000014</v>
      </c>
      <c r="F480" s="95">
        <v>0</v>
      </c>
      <c r="G480" s="96">
        <f t="shared" si="31"/>
        <v>-845079.75300000003</v>
      </c>
      <c r="H480" s="97"/>
      <c r="I480" s="98">
        <v>-38488.83</v>
      </c>
      <c r="J480" s="98">
        <v>-18057.327700000002</v>
      </c>
      <c r="K480" s="98">
        <v>0</v>
      </c>
      <c r="L480" s="96">
        <f t="shared" si="32"/>
        <v>-56546.157700000003</v>
      </c>
      <c r="M480" s="99">
        <f t="shared" si="33"/>
        <v>-788533.59530000004</v>
      </c>
    </row>
    <row r="481" spans="1:13" ht="25.5" x14ac:dyDescent="0.2">
      <c r="A481" s="35">
        <v>47</v>
      </c>
      <c r="B481" s="1473">
        <v>2440</v>
      </c>
      <c r="C481" s="1474" t="s">
        <v>1421</v>
      </c>
      <c r="D481" s="95">
        <v>-935012.62999999989</v>
      </c>
      <c r="E481" s="95">
        <v>-216750.01400000002</v>
      </c>
      <c r="F481" s="95">
        <v>0</v>
      </c>
      <c r="G481" s="96">
        <f t="shared" si="31"/>
        <v>-1151762.6439999999</v>
      </c>
      <c r="H481" s="97"/>
      <c r="I481" s="98">
        <v>-34139.870000000003</v>
      </c>
      <c r="J481" s="98">
        <v>-23186.391933333336</v>
      </c>
      <c r="K481" s="98">
        <v>0</v>
      </c>
      <c r="L481" s="96">
        <f t="shared" si="32"/>
        <v>-57326.261933333342</v>
      </c>
      <c r="M481" s="99">
        <f t="shared" si="33"/>
        <v>-1094436.3820666666</v>
      </c>
    </row>
    <row r="482" spans="1:13" x14ac:dyDescent="0.2">
      <c r="A482" s="35">
        <v>47</v>
      </c>
      <c r="B482" s="1473">
        <v>2440</v>
      </c>
      <c r="C482" s="1474" t="s">
        <v>1422</v>
      </c>
      <c r="D482" s="95">
        <v>-69595.509999999995</v>
      </c>
      <c r="E482" s="95">
        <v>-15000.003000000004</v>
      </c>
      <c r="F482" s="95">
        <v>0</v>
      </c>
      <c r="G482" s="96">
        <f t="shared" si="31"/>
        <v>-84595.513000000006</v>
      </c>
      <c r="H482" s="97"/>
      <c r="I482" s="98">
        <v>-4007.73</v>
      </c>
      <c r="J482" s="98">
        <v>-3083.81646</v>
      </c>
      <c r="K482" s="98">
        <v>0</v>
      </c>
      <c r="L482" s="96">
        <f t="shared" si="32"/>
        <v>-7091.5464599999996</v>
      </c>
      <c r="M482" s="99">
        <f t="shared" si="33"/>
        <v>-77503.966540000009</v>
      </c>
    </row>
    <row r="483" spans="1:13" x14ac:dyDescent="0.2">
      <c r="A483" s="35">
        <v>47</v>
      </c>
      <c r="B483" s="1473">
        <v>2440</v>
      </c>
      <c r="C483" s="1474" t="s">
        <v>1423</v>
      </c>
      <c r="D483" s="95">
        <v>0</v>
      </c>
      <c r="E483" s="95">
        <v>0</v>
      </c>
      <c r="F483" s="95">
        <v>0</v>
      </c>
      <c r="G483" s="96">
        <f t="shared" si="31"/>
        <v>0</v>
      </c>
      <c r="H483" s="97"/>
      <c r="I483" s="98">
        <v>0</v>
      </c>
      <c r="J483" s="98">
        <v>0</v>
      </c>
      <c r="K483" s="98">
        <v>0</v>
      </c>
      <c r="L483" s="96">
        <f t="shared" si="32"/>
        <v>0</v>
      </c>
      <c r="M483" s="99">
        <f t="shared" si="33"/>
        <v>0</v>
      </c>
    </row>
    <row r="484" spans="1:13" ht="25.5" x14ac:dyDescent="0.2">
      <c r="A484" s="35">
        <v>47</v>
      </c>
      <c r="B484" s="1473">
        <v>2440</v>
      </c>
      <c r="C484" s="1474" t="s">
        <v>1424</v>
      </c>
      <c r="D484" s="95">
        <v>0</v>
      </c>
      <c r="E484" s="95">
        <v>0</v>
      </c>
      <c r="F484" s="95">
        <v>0</v>
      </c>
      <c r="G484" s="96">
        <f t="shared" si="31"/>
        <v>0</v>
      </c>
      <c r="H484" s="97"/>
      <c r="I484" s="98">
        <v>0</v>
      </c>
      <c r="J484" s="98">
        <v>0</v>
      </c>
      <c r="K484" s="98">
        <v>0</v>
      </c>
      <c r="L484" s="96">
        <f t="shared" si="32"/>
        <v>0</v>
      </c>
      <c r="M484" s="99">
        <f t="shared" si="33"/>
        <v>0</v>
      </c>
    </row>
    <row r="485" spans="1:13" x14ac:dyDescent="0.2">
      <c r="A485" s="35">
        <v>47</v>
      </c>
      <c r="B485" s="1473">
        <v>2440</v>
      </c>
      <c r="C485" s="1474" t="s">
        <v>1425</v>
      </c>
      <c r="D485" s="95">
        <v>0</v>
      </c>
      <c r="E485" s="95">
        <v>-160000</v>
      </c>
      <c r="F485" s="95">
        <v>0</v>
      </c>
      <c r="G485" s="96">
        <f t="shared" si="31"/>
        <v>-160000</v>
      </c>
      <c r="H485" s="97"/>
      <c r="I485" s="98">
        <v>0</v>
      </c>
      <c r="J485" s="98">
        <v>-1777.7777777777778</v>
      </c>
      <c r="K485" s="98">
        <v>0</v>
      </c>
      <c r="L485" s="96">
        <f t="shared" si="32"/>
        <v>-1777.7777777777778</v>
      </c>
      <c r="M485" s="99">
        <f t="shared" si="33"/>
        <v>-158222.22222222222</v>
      </c>
    </row>
    <row r="486" spans="1:13" x14ac:dyDescent="0.2">
      <c r="A486" s="35">
        <v>43.1</v>
      </c>
      <c r="B486" s="1473">
        <v>2440</v>
      </c>
      <c r="C486" s="1474" t="s">
        <v>1426</v>
      </c>
      <c r="D486" s="95">
        <v>0</v>
      </c>
      <c r="E486" s="95">
        <v>0</v>
      </c>
      <c r="F486" s="95">
        <v>0</v>
      </c>
      <c r="G486" s="96">
        <f t="shared" si="31"/>
        <v>0</v>
      </c>
      <c r="H486" s="97"/>
      <c r="I486" s="98">
        <v>0</v>
      </c>
      <c r="J486" s="98">
        <v>0</v>
      </c>
      <c r="K486" s="98">
        <v>0</v>
      </c>
      <c r="L486" s="96">
        <f t="shared" si="32"/>
        <v>0</v>
      </c>
      <c r="M486" s="99">
        <f t="shared" si="33"/>
        <v>0</v>
      </c>
    </row>
    <row r="487" spans="1:13" x14ac:dyDescent="0.2">
      <c r="A487" s="106"/>
      <c r="B487" s="106"/>
      <c r="C487" s="107"/>
      <c r="D487" s="95">
        <v>0</v>
      </c>
      <c r="E487" s="95">
        <v>0</v>
      </c>
      <c r="F487" s="95">
        <v>0</v>
      </c>
      <c r="G487" s="96">
        <f t="shared" si="31"/>
        <v>0</v>
      </c>
      <c r="I487" s="98">
        <v>0</v>
      </c>
      <c r="J487" s="98">
        <v>0</v>
      </c>
      <c r="K487" s="98">
        <v>0</v>
      </c>
      <c r="L487" s="96">
        <f t="shared" si="32"/>
        <v>0</v>
      </c>
      <c r="M487" s="99">
        <f t="shared" si="33"/>
        <v>0</v>
      </c>
    </row>
    <row r="488" spans="1:13" x14ac:dyDescent="0.2">
      <c r="A488" s="106"/>
      <c r="B488" s="106"/>
      <c r="C488" s="109" t="s">
        <v>180</v>
      </c>
      <c r="D488" s="110">
        <f>SUM(D415:D487)</f>
        <v>51052304.469999999</v>
      </c>
      <c r="E488" s="110">
        <f>SUM(E415:E487)</f>
        <v>2696547.1500000004</v>
      </c>
      <c r="F488" s="110">
        <f>SUM(F415:F487)</f>
        <v>-1128891.835</v>
      </c>
      <c r="G488" s="110">
        <f>SUM(G415:G487)</f>
        <v>52619959.785000004</v>
      </c>
      <c r="H488" s="110"/>
      <c r="I488" s="110">
        <f>SUM(I415:I487)</f>
        <v>26019280.139999997</v>
      </c>
      <c r="J488" s="110">
        <f>SUM(J415:J487)</f>
        <v>1064398.9169584792</v>
      </c>
      <c r="K488" s="110">
        <f>SUM(K415:K487)</f>
        <v>-869855.25</v>
      </c>
      <c r="L488" s="110">
        <f>SUM(L415:L487)</f>
        <v>26213823.806958478</v>
      </c>
      <c r="M488" s="110">
        <f>SUM(M415:M487)</f>
        <v>26406135.978041515</v>
      </c>
    </row>
    <row r="489" spans="1:13" ht="37.5" x14ac:dyDescent="0.2">
      <c r="A489" s="106"/>
      <c r="B489" s="106"/>
      <c r="C489" s="111" t="s">
        <v>541</v>
      </c>
      <c r="D489" s="108"/>
      <c r="E489" s="108"/>
      <c r="F489" s="108"/>
      <c r="G489" s="96">
        <f>D489+E489+F489</f>
        <v>0</v>
      </c>
      <c r="I489" s="108"/>
      <c r="J489" s="108"/>
      <c r="K489" s="108"/>
      <c r="L489" s="96">
        <f>I489+J489+K489</f>
        <v>0</v>
      </c>
      <c r="M489" s="99">
        <f>G489+L489</f>
        <v>0</v>
      </c>
    </row>
    <row r="490" spans="1:13" ht="25.5" x14ac:dyDescent="0.2">
      <c r="A490" s="106"/>
      <c r="B490" s="106"/>
      <c r="C490" s="112" t="s">
        <v>540</v>
      </c>
      <c r="D490" s="108"/>
      <c r="E490" s="108"/>
      <c r="F490" s="108"/>
      <c r="G490" s="96">
        <f>D490+E490+F490</f>
        <v>0</v>
      </c>
      <c r="I490" s="108"/>
      <c r="J490" s="108"/>
      <c r="K490" s="108"/>
      <c r="L490" s="96">
        <f>I490+J490+K490</f>
        <v>0</v>
      </c>
      <c r="M490" s="99">
        <f>G490+L490</f>
        <v>0</v>
      </c>
    </row>
    <row r="491" spans="1:13" x14ac:dyDescent="0.2">
      <c r="A491" s="106"/>
      <c r="B491" s="106"/>
      <c r="C491" s="109" t="s">
        <v>450</v>
      </c>
      <c r="D491" s="110">
        <f>SUM(D488:D490)</f>
        <v>51052304.469999999</v>
      </c>
      <c r="E491" s="110">
        <f>SUM(E488:E490)</f>
        <v>2696547.1500000004</v>
      </c>
      <c r="F491" s="110">
        <f>SUM(F488:F490)</f>
        <v>-1128891.835</v>
      </c>
      <c r="G491" s="110">
        <f>SUM(G488:G490)</f>
        <v>52619959.785000004</v>
      </c>
      <c r="H491" s="110"/>
      <c r="I491" s="110">
        <f>SUM(I488:I490)</f>
        <v>26019280.139999997</v>
      </c>
      <c r="J491" s="110">
        <f>SUM(J488:J490)</f>
        <v>1064398.9169584792</v>
      </c>
      <c r="K491" s="110">
        <f>SUM(K488:K490)</f>
        <v>-869855.25</v>
      </c>
      <c r="L491" s="110">
        <f>SUM(L488:L490)</f>
        <v>26213823.806958478</v>
      </c>
      <c r="M491" s="110">
        <f>SUM(M488:M490)</f>
        <v>26406135.978041515</v>
      </c>
    </row>
    <row r="492" spans="1:13" ht="14.25" x14ac:dyDescent="0.2">
      <c r="A492" s="106"/>
      <c r="B492" s="106"/>
      <c r="C492" s="1674" t="s">
        <v>848</v>
      </c>
      <c r="D492" s="1675"/>
      <c r="E492" s="1675"/>
      <c r="F492" s="1675"/>
      <c r="G492" s="1675"/>
      <c r="H492" s="1675"/>
      <c r="I492" s="1676"/>
      <c r="J492" s="108"/>
      <c r="K492" s="113"/>
      <c r="L492" s="114"/>
      <c r="M492" s="115"/>
    </row>
    <row r="493" spans="1:13" x14ac:dyDescent="0.2">
      <c r="A493" s="106"/>
      <c r="B493" s="106"/>
      <c r="C493" s="1674" t="s">
        <v>272</v>
      </c>
      <c r="D493" s="1675"/>
      <c r="E493" s="1675"/>
      <c r="F493" s="1675"/>
      <c r="G493" s="1675"/>
      <c r="H493" s="1675"/>
      <c r="I493" s="1676"/>
      <c r="J493" s="110">
        <f>J491+J492</f>
        <v>1064398.9169584792</v>
      </c>
      <c r="K493" s="113"/>
      <c r="L493" s="114"/>
      <c r="M493" s="115"/>
    </row>
    <row r="494" spans="1:13" x14ac:dyDescent="0.2">
      <c r="A494" s="1498"/>
      <c r="B494" s="1498"/>
    </row>
    <row r="495" spans="1:13" x14ac:dyDescent="0.2">
      <c r="A495" s="1498"/>
      <c r="B495" s="1498"/>
      <c r="I495" s="116" t="s">
        <v>379</v>
      </c>
      <c r="J495" s="1499"/>
    </row>
    <row r="496" spans="1:13" x14ac:dyDescent="0.2">
      <c r="A496" s="106">
        <v>10</v>
      </c>
      <c r="B496" s="106"/>
      <c r="C496" s="107" t="s">
        <v>273</v>
      </c>
      <c r="I496" s="1499" t="s">
        <v>273</v>
      </c>
      <c r="J496" s="1499"/>
      <c r="K496" s="117">
        <v>-97512.174499999994</v>
      </c>
    </row>
    <row r="497" spans="1:16" x14ac:dyDescent="0.2">
      <c r="A497" s="106">
        <v>8</v>
      </c>
      <c r="B497" s="106"/>
      <c r="C497" s="107" t="s">
        <v>264</v>
      </c>
      <c r="I497" s="1499" t="s">
        <v>264</v>
      </c>
      <c r="J497" s="1499"/>
      <c r="K497" s="117">
        <v>-798.02</v>
      </c>
    </row>
    <row r="498" spans="1:16" x14ac:dyDescent="0.2">
      <c r="A498" s="106">
        <v>8</v>
      </c>
      <c r="B498" s="106"/>
      <c r="C498" s="1480" t="s">
        <v>1433</v>
      </c>
      <c r="I498" s="1477" t="s">
        <v>1433</v>
      </c>
      <c r="J498" s="1499"/>
      <c r="K498" s="117">
        <v>0</v>
      </c>
    </row>
    <row r="499" spans="1:16" x14ac:dyDescent="0.2">
      <c r="A499" s="106">
        <v>8</v>
      </c>
      <c r="B499" s="106"/>
      <c r="C499" s="1480" t="s">
        <v>1434</v>
      </c>
      <c r="I499" s="1477" t="s">
        <v>1434</v>
      </c>
      <c r="J499" s="1499"/>
      <c r="K499" s="117">
        <v>0</v>
      </c>
    </row>
    <row r="500" spans="1:16" x14ac:dyDescent="0.2">
      <c r="A500" s="106">
        <v>8</v>
      </c>
      <c r="B500" s="106"/>
      <c r="C500" s="1480" t="s">
        <v>791</v>
      </c>
      <c r="I500" s="1478">
        <v>1576</v>
      </c>
      <c r="J500" s="1499"/>
      <c r="K500" s="117">
        <v>-277227.01688587503</v>
      </c>
    </row>
    <row r="501" spans="1:16" x14ac:dyDescent="0.2">
      <c r="A501" s="1498"/>
      <c r="B501" s="1498"/>
      <c r="I501" s="1479" t="s">
        <v>1435</v>
      </c>
      <c r="J501" s="1499"/>
      <c r="K501" s="117">
        <v>85316.003879230775</v>
      </c>
    </row>
    <row r="502" spans="1:16" x14ac:dyDescent="0.2">
      <c r="A502" s="1498"/>
      <c r="B502" s="1498"/>
      <c r="I502" s="118" t="s">
        <v>274</v>
      </c>
      <c r="K502" s="1481">
        <f>J493+K498+K496+K497+K499+K500+K501</f>
        <v>774177.70945183502</v>
      </c>
    </row>
    <row r="503" spans="1:16" x14ac:dyDescent="0.2">
      <c r="A503" s="1498"/>
      <c r="B503" s="1498"/>
    </row>
    <row r="504" spans="1:16" x14ac:dyDescent="0.2">
      <c r="A504" s="1498"/>
      <c r="B504" s="1498"/>
    </row>
    <row r="505" spans="1:16" x14ac:dyDescent="0.2">
      <c r="A505" s="1498"/>
      <c r="B505" s="1498"/>
    </row>
    <row r="506" spans="1:16" x14ac:dyDescent="0.2">
      <c r="A506" s="1498"/>
      <c r="B506" s="1498"/>
      <c r="E506" s="68" t="s">
        <v>822</v>
      </c>
      <c r="F506" s="30" t="s">
        <v>95</v>
      </c>
      <c r="H506" s="34"/>
    </row>
    <row r="507" spans="1:16" ht="15" x14ac:dyDescent="0.25">
      <c r="A507" s="1498"/>
      <c r="B507" s="1498"/>
      <c r="C507" s="38"/>
      <c r="E507" s="68" t="s">
        <v>92</v>
      </c>
      <c r="F507" s="82">
        <v>2019</v>
      </c>
      <c r="G507" s="83"/>
    </row>
    <row r="508" spans="1:16" x14ac:dyDescent="0.2">
      <c r="A508" s="1498"/>
      <c r="B508" s="1498"/>
    </row>
    <row r="509" spans="1:16" x14ac:dyDescent="0.2">
      <c r="A509" s="1498"/>
      <c r="B509" s="1498"/>
      <c r="D509" s="1677" t="s">
        <v>242</v>
      </c>
      <c r="E509" s="1678"/>
      <c r="F509" s="1678"/>
      <c r="G509" s="1679"/>
      <c r="I509" s="84"/>
      <c r="J509" s="85" t="s">
        <v>243</v>
      </c>
      <c r="K509" s="85"/>
      <c r="L509" s="86"/>
      <c r="M509" s="81"/>
    </row>
    <row r="510" spans="1:16" ht="25.5" customHeight="1" x14ac:dyDescent="0.2">
      <c r="A510" s="87" t="s">
        <v>917</v>
      </c>
      <c r="B510" s="87" t="s">
        <v>919</v>
      </c>
      <c r="C510" s="88" t="s">
        <v>920</v>
      </c>
      <c r="D510" s="87" t="s">
        <v>213</v>
      </c>
      <c r="E510" s="89" t="s">
        <v>918</v>
      </c>
      <c r="F510" s="89" t="s">
        <v>995</v>
      </c>
      <c r="G510" s="87" t="s">
        <v>241</v>
      </c>
      <c r="H510" s="90"/>
      <c r="I510" s="91" t="s">
        <v>213</v>
      </c>
      <c r="J510" s="92" t="s">
        <v>214</v>
      </c>
      <c r="K510" s="92" t="s">
        <v>995</v>
      </c>
      <c r="L510" s="93" t="s">
        <v>241</v>
      </c>
      <c r="M510" s="87" t="s">
        <v>276</v>
      </c>
    </row>
    <row r="511" spans="1:16" s="1467" customFormat="1" ht="25.5" x14ac:dyDescent="0.2">
      <c r="A511" s="35">
        <v>47</v>
      </c>
      <c r="B511" s="1530">
        <v>1508</v>
      </c>
      <c r="C511" s="94" t="s">
        <v>1390</v>
      </c>
      <c r="D511" s="95">
        <v>2565527.6999999997</v>
      </c>
      <c r="E511" s="95">
        <v>0</v>
      </c>
      <c r="F511" s="95">
        <v>0</v>
      </c>
      <c r="G511" s="96">
        <f t="shared" ref="G511:G573" si="34">D511+E511+F511</f>
        <v>2565527.6999999997</v>
      </c>
      <c r="H511" s="97"/>
      <c r="I511" s="98">
        <v>186416.22</v>
      </c>
      <c r="J511" s="98">
        <v>53432.88</v>
      </c>
      <c r="K511" s="98">
        <v>0</v>
      </c>
      <c r="L511" s="96">
        <f t="shared" ref="L511:L573" si="35">I511+J511+K511</f>
        <v>239849.1</v>
      </c>
      <c r="M511" s="99">
        <f>G511-L511</f>
        <v>2325678.5999999996</v>
      </c>
      <c r="N511" s="1465"/>
      <c r="O511" s="1466">
        <f>AVERAGE(G511,D511)</f>
        <v>2565527.6999999997</v>
      </c>
      <c r="P511" s="1466">
        <f>AVERAGE(L511,I511)</f>
        <v>213132.66</v>
      </c>
    </row>
    <row r="512" spans="1:16" s="1467" customFormat="1" x14ac:dyDescent="0.2">
      <c r="A512" s="35" t="s">
        <v>244</v>
      </c>
      <c r="B512" s="1468">
        <v>1606</v>
      </c>
      <c r="C512" s="1469" t="s">
        <v>1391</v>
      </c>
      <c r="D512" s="1470">
        <v>0</v>
      </c>
      <c r="E512" s="1470">
        <v>0</v>
      </c>
      <c r="F512" s="1470">
        <v>0</v>
      </c>
      <c r="G512" s="96">
        <f t="shared" si="34"/>
        <v>0</v>
      </c>
      <c r="H512" s="1471"/>
      <c r="I512" s="1470">
        <v>0</v>
      </c>
      <c r="J512" s="1470">
        <v>0</v>
      </c>
      <c r="K512" s="1470">
        <v>0</v>
      </c>
      <c r="L512" s="96">
        <f t="shared" si="35"/>
        <v>0</v>
      </c>
      <c r="M512" s="99">
        <f t="shared" ref="M512:M574" si="36">G512-L512</f>
        <v>0</v>
      </c>
      <c r="O512" s="1472">
        <f>AVERAGE(G512,D512)</f>
        <v>0</v>
      </c>
      <c r="P512" s="1472">
        <f>AVERAGE(L512,I512)</f>
        <v>0</v>
      </c>
    </row>
    <row r="513" spans="1:13" ht="25.5" x14ac:dyDescent="0.2">
      <c r="A513" s="35">
        <v>12</v>
      </c>
      <c r="B513" s="1530">
        <v>1611</v>
      </c>
      <c r="C513" s="94" t="s">
        <v>352</v>
      </c>
      <c r="D513" s="95">
        <v>2480789.9299999997</v>
      </c>
      <c r="E513" s="95">
        <v>5150</v>
      </c>
      <c r="F513" s="95">
        <v>0</v>
      </c>
      <c r="G513" s="96">
        <f t="shared" si="34"/>
        <v>2485939.9299999997</v>
      </c>
      <c r="H513" s="97"/>
      <c r="I513" s="98">
        <v>2383840.6366666667</v>
      </c>
      <c r="J513" s="98">
        <v>67877.096666666665</v>
      </c>
      <c r="K513" s="98">
        <v>0</v>
      </c>
      <c r="L513" s="96">
        <f t="shared" si="35"/>
        <v>2451717.7333333334</v>
      </c>
      <c r="M513" s="99">
        <f t="shared" si="36"/>
        <v>34222.196666666307</v>
      </c>
    </row>
    <row r="514" spans="1:13" ht="25.5" x14ac:dyDescent="0.2">
      <c r="A514" s="35" t="s">
        <v>1621</v>
      </c>
      <c r="B514" s="1530">
        <v>1612</v>
      </c>
      <c r="C514" s="94" t="s">
        <v>397</v>
      </c>
      <c r="D514" s="95">
        <v>0</v>
      </c>
      <c r="E514" s="95">
        <v>0</v>
      </c>
      <c r="F514" s="95">
        <v>0</v>
      </c>
      <c r="G514" s="96">
        <f t="shared" si="34"/>
        <v>0</v>
      </c>
      <c r="H514" s="97"/>
      <c r="I514" s="98">
        <v>0</v>
      </c>
      <c r="J514" s="98">
        <v>0</v>
      </c>
      <c r="K514" s="98">
        <v>0</v>
      </c>
      <c r="L514" s="96">
        <f t="shared" si="35"/>
        <v>0</v>
      </c>
      <c r="M514" s="99">
        <f t="shared" si="36"/>
        <v>0</v>
      </c>
    </row>
    <row r="515" spans="1:13" x14ac:dyDescent="0.2">
      <c r="A515" s="35" t="s">
        <v>244</v>
      </c>
      <c r="B515" s="100">
        <v>1805</v>
      </c>
      <c r="C515" s="101" t="s">
        <v>245</v>
      </c>
      <c r="D515" s="95">
        <v>258134.21000000002</v>
      </c>
      <c r="E515" s="95">
        <v>0</v>
      </c>
      <c r="F515" s="95">
        <v>0</v>
      </c>
      <c r="G515" s="96">
        <f t="shared" si="34"/>
        <v>258134.21000000002</v>
      </c>
      <c r="H515" s="97"/>
      <c r="I515" s="98">
        <v>0</v>
      </c>
      <c r="J515" s="98">
        <v>0</v>
      </c>
      <c r="K515" s="98">
        <v>0</v>
      </c>
      <c r="L515" s="96">
        <f t="shared" si="35"/>
        <v>0</v>
      </c>
      <c r="M515" s="99">
        <f t="shared" si="36"/>
        <v>258134.21000000002</v>
      </c>
    </row>
    <row r="516" spans="1:13" x14ac:dyDescent="0.2">
      <c r="A516" s="35">
        <v>47</v>
      </c>
      <c r="B516" s="100">
        <v>1808</v>
      </c>
      <c r="C516" s="102" t="s">
        <v>246</v>
      </c>
      <c r="D516" s="95">
        <v>0</v>
      </c>
      <c r="E516" s="95">
        <v>0</v>
      </c>
      <c r="F516" s="95">
        <v>0</v>
      </c>
      <c r="G516" s="96">
        <f t="shared" si="34"/>
        <v>0</v>
      </c>
      <c r="H516" s="97"/>
      <c r="I516" s="98">
        <v>0</v>
      </c>
      <c r="J516" s="98">
        <v>0</v>
      </c>
      <c r="K516" s="98">
        <v>0</v>
      </c>
      <c r="L516" s="96">
        <f t="shared" si="35"/>
        <v>0</v>
      </c>
      <c r="M516" s="99">
        <f t="shared" si="36"/>
        <v>0</v>
      </c>
    </row>
    <row r="517" spans="1:13" x14ac:dyDescent="0.2">
      <c r="A517" s="35">
        <v>13</v>
      </c>
      <c r="B517" s="100">
        <v>1810</v>
      </c>
      <c r="C517" s="102" t="s">
        <v>275</v>
      </c>
      <c r="D517" s="95">
        <v>0</v>
      </c>
      <c r="E517" s="95">
        <v>0</v>
      </c>
      <c r="F517" s="95">
        <v>0</v>
      </c>
      <c r="G517" s="96">
        <f t="shared" si="34"/>
        <v>0</v>
      </c>
      <c r="H517" s="97"/>
      <c r="I517" s="98">
        <v>0</v>
      </c>
      <c r="J517" s="98">
        <v>0</v>
      </c>
      <c r="K517" s="98">
        <v>0</v>
      </c>
      <c r="L517" s="96">
        <f t="shared" si="35"/>
        <v>0</v>
      </c>
      <c r="M517" s="99">
        <f t="shared" si="36"/>
        <v>0</v>
      </c>
    </row>
    <row r="518" spans="1:13" ht="25.5" x14ac:dyDescent="0.2">
      <c r="A518" s="35">
        <v>47</v>
      </c>
      <c r="B518" s="1473">
        <v>1815</v>
      </c>
      <c r="C518" s="1474" t="s">
        <v>1392</v>
      </c>
      <c r="D518" s="95">
        <v>2782447.48</v>
      </c>
      <c r="E518" s="95">
        <v>3310000</v>
      </c>
      <c r="F518" s="95">
        <v>0</v>
      </c>
      <c r="G518" s="96">
        <f t="shared" si="34"/>
        <v>6092447.4800000004</v>
      </c>
      <c r="H518" s="97"/>
      <c r="I518" s="98">
        <v>947040.19</v>
      </c>
      <c r="J518" s="98">
        <v>84028.683434343431</v>
      </c>
      <c r="K518" s="98">
        <v>0</v>
      </c>
      <c r="L518" s="96">
        <f t="shared" si="35"/>
        <v>1031068.8734343434</v>
      </c>
      <c r="M518" s="99">
        <f t="shared" si="36"/>
        <v>5061378.6065656571</v>
      </c>
    </row>
    <row r="519" spans="1:13" ht="25.5" x14ac:dyDescent="0.2">
      <c r="A519" s="35">
        <v>47</v>
      </c>
      <c r="B519" s="1468">
        <v>1815</v>
      </c>
      <c r="C519" s="1474" t="s">
        <v>1393</v>
      </c>
      <c r="D519" s="95">
        <v>2697700.5449999999</v>
      </c>
      <c r="E519" s="95">
        <v>0</v>
      </c>
      <c r="F519" s="95">
        <v>0</v>
      </c>
      <c r="G519" s="96">
        <f t="shared" si="34"/>
        <v>2697700.5449999999</v>
      </c>
      <c r="H519" s="97"/>
      <c r="I519" s="98">
        <v>660730.13272727281</v>
      </c>
      <c r="J519" s="98">
        <v>48220.525454545459</v>
      </c>
      <c r="K519" s="98">
        <v>0</v>
      </c>
      <c r="L519" s="96">
        <f t="shared" si="35"/>
        <v>708950.65818181832</v>
      </c>
      <c r="M519" s="99">
        <f t="shared" si="36"/>
        <v>1988749.8868181817</v>
      </c>
    </row>
    <row r="520" spans="1:13" x14ac:dyDescent="0.2">
      <c r="A520" s="35">
        <v>47</v>
      </c>
      <c r="B520" s="100">
        <v>1820</v>
      </c>
      <c r="C520" s="94" t="s">
        <v>184</v>
      </c>
      <c r="D520" s="95">
        <v>0</v>
      </c>
      <c r="E520" s="95">
        <v>0</v>
      </c>
      <c r="F520" s="95">
        <v>0</v>
      </c>
      <c r="G520" s="96">
        <f t="shared" si="34"/>
        <v>0</v>
      </c>
      <c r="H520" s="97"/>
      <c r="I520" s="98">
        <v>0</v>
      </c>
      <c r="J520" s="98">
        <v>0</v>
      </c>
      <c r="K520" s="98">
        <v>0</v>
      </c>
      <c r="L520" s="96">
        <f t="shared" si="35"/>
        <v>0</v>
      </c>
      <c r="M520" s="99">
        <f t="shared" si="36"/>
        <v>0</v>
      </c>
    </row>
    <row r="521" spans="1:13" x14ac:dyDescent="0.2">
      <c r="A521" s="35">
        <v>43.1</v>
      </c>
      <c r="B521" s="100">
        <v>1825</v>
      </c>
      <c r="C521" s="102" t="s">
        <v>248</v>
      </c>
      <c r="D521" s="95">
        <v>0</v>
      </c>
      <c r="E521" s="95">
        <v>442340</v>
      </c>
      <c r="F521" s="95">
        <v>0</v>
      </c>
      <c r="G521" s="96">
        <f t="shared" si="34"/>
        <v>442340</v>
      </c>
      <c r="H521" s="97"/>
      <c r="I521" s="98">
        <v>0</v>
      </c>
      <c r="J521" s="98">
        <v>22117</v>
      </c>
      <c r="K521" s="98">
        <v>0</v>
      </c>
      <c r="L521" s="96">
        <f t="shared" si="35"/>
        <v>22117</v>
      </c>
      <c r="M521" s="99">
        <f t="shared" si="36"/>
        <v>420223</v>
      </c>
    </row>
    <row r="522" spans="1:13" x14ac:dyDescent="0.2">
      <c r="A522" s="35">
        <v>47</v>
      </c>
      <c r="B522" s="100">
        <v>1830</v>
      </c>
      <c r="C522" s="102" t="s">
        <v>249</v>
      </c>
      <c r="D522" s="95">
        <v>6692184.6400000006</v>
      </c>
      <c r="E522" s="95">
        <v>344250</v>
      </c>
      <c r="F522" s="95">
        <v>0</v>
      </c>
      <c r="G522" s="96">
        <f t="shared" si="34"/>
        <v>7036434.6400000006</v>
      </c>
      <c r="H522" s="97"/>
      <c r="I522" s="98">
        <v>2918441.9821111108</v>
      </c>
      <c r="J522" s="98">
        <v>119607.69422222223</v>
      </c>
      <c r="K522" s="98">
        <v>0</v>
      </c>
      <c r="L522" s="96">
        <f t="shared" si="35"/>
        <v>3038049.6763333329</v>
      </c>
      <c r="M522" s="99">
        <f t="shared" si="36"/>
        <v>3998384.9636666677</v>
      </c>
    </row>
    <row r="523" spans="1:13" x14ac:dyDescent="0.2">
      <c r="A523" s="35">
        <v>47</v>
      </c>
      <c r="B523" s="100">
        <v>1835</v>
      </c>
      <c r="C523" s="102" t="s">
        <v>185</v>
      </c>
      <c r="D523" s="95">
        <v>7818254.2770000007</v>
      </c>
      <c r="E523" s="95">
        <v>280550</v>
      </c>
      <c r="F523" s="95">
        <v>0</v>
      </c>
      <c r="G523" s="96">
        <f t="shared" si="34"/>
        <v>8098804.2770000007</v>
      </c>
      <c r="H523" s="97"/>
      <c r="I523" s="98">
        <v>3734188.1665583337</v>
      </c>
      <c r="J523" s="98">
        <v>93041.269783333337</v>
      </c>
      <c r="K523" s="98">
        <v>0</v>
      </c>
      <c r="L523" s="96">
        <f t="shared" si="35"/>
        <v>3827229.4363416671</v>
      </c>
      <c r="M523" s="99">
        <f t="shared" si="36"/>
        <v>4271574.8406583332</v>
      </c>
    </row>
    <row r="524" spans="1:13" x14ac:dyDescent="0.2">
      <c r="A524" s="35">
        <v>47</v>
      </c>
      <c r="B524" s="100">
        <v>1840</v>
      </c>
      <c r="C524" s="102" t="s">
        <v>186</v>
      </c>
      <c r="D524" s="95">
        <v>6486978.3494999986</v>
      </c>
      <c r="E524" s="95">
        <v>176800</v>
      </c>
      <c r="F524" s="95">
        <v>0</v>
      </c>
      <c r="G524" s="96">
        <f t="shared" si="34"/>
        <v>6663778.3494999986</v>
      </c>
      <c r="H524" s="97"/>
      <c r="I524" s="98">
        <v>2658624.6976115382</v>
      </c>
      <c r="J524" s="98">
        <v>75209.575223076929</v>
      </c>
      <c r="K524" s="98">
        <v>0</v>
      </c>
      <c r="L524" s="96">
        <f t="shared" si="35"/>
        <v>2733834.2728346153</v>
      </c>
      <c r="M524" s="99">
        <f t="shared" si="36"/>
        <v>3929944.0766653833</v>
      </c>
    </row>
    <row r="525" spans="1:13" x14ac:dyDescent="0.2">
      <c r="A525" s="35">
        <v>47</v>
      </c>
      <c r="B525" s="100">
        <v>1845</v>
      </c>
      <c r="C525" s="102" t="s">
        <v>187</v>
      </c>
      <c r="D525" s="95">
        <v>11099470.820500001</v>
      </c>
      <c r="E525" s="95">
        <v>181950</v>
      </c>
      <c r="F525" s="95">
        <v>0</v>
      </c>
      <c r="G525" s="96">
        <f t="shared" si="34"/>
        <v>11281420.820500001</v>
      </c>
      <c r="H525" s="97"/>
      <c r="I525" s="98">
        <v>5650156.6751166657</v>
      </c>
      <c r="J525" s="98">
        <v>192323.85689999998</v>
      </c>
      <c r="K525" s="98">
        <v>0</v>
      </c>
      <c r="L525" s="96">
        <f t="shared" si="35"/>
        <v>5842480.5320166657</v>
      </c>
      <c r="M525" s="99">
        <f t="shared" si="36"/>
        <v>5438940.2884833356</v>
      </c>
    </row>
    <row r="526" spans="1:13" x14ac:dyDescent="0.2">
      <c r="A526" s="35">
        <v>47</v>
      </c>
      <c r="B526" s="100">
        <v>1850</v>
      </c>
      <c r="C526" s="102" t="s">
        <v>250</v>
      </c>
      <c r="D526" s="95">
        <v>9070103.382000003</v>
      </c>
      <c r="E526" s="95">
        <v>365800</v>
      </c>
      <c r="F526" s="95">
        <v>0</v>
      </c>
      <c r="G526" s="96">
        <f t="shared" si="34"/>
        <v>9435903.382000003</v>
      </c>
      <c r="H526" s="97"/>
      <c r="I526" s="98">
        <v>4247982.6033555567</v>
      </c>
      <c r="J526" s="98">
        <v>156047.86115555558</v>
      </c>
      <c r="K526" s="98">
        <v>0</v>
      </c>
      <c r="L526" s="96">
        <f t="shared" si="35"/>
        <v>4404030.4645111123</v>
      </c>
      <c r="M526" s="99">
        <f t="shared" si="36"/>
        <v>5031872.9174888907</v>
      </c>
    </row>
    <row r="527" spans="1:13" x14ac:dyDescent="0.2">
      <c r="A527" s="35">
        <v>47</v>
      </c>
      <c r="B527" s="1468">
        <v>1850</v>
      </c>
      <c r="C527" s="1475" t="s">
        <v>1394</v>
      </c>
      <c r="D527" s="95">
        <v>168592.32</v>
      </c>
      <c r="E527" s="95">
        <v>0</v>
      </c>
      <c r="F527" s="95">
        <v>0</v>
      </c>
      <c r="G527" s="96">
        <f t="shared" si="34"/>
        <v>168592.32</v>
      </c>
      <c r="H527" s="97"/>
      <c r="I527" s="98">
        <v>98264.93117798421</v>
      </c>
      <c r="J527" s="98">
        <v>2612.921177984213</v>
      </c>
      <c r="K527" s="98">
        <v>0</v>
      </c>
      <c r="L527" s="96">
        <f t="shared" si="35"/>
        <v>100877.85235596843</v>
      </c>
      <c r="M527" s="99">
        <f t="shared" si="36"/>
        <v>67714.467644031582</v>
      </c>
    </row>
    <row r="528" spans="1:13" x14ac:dyDescent="0.2">
      <c r="A528" s="35">
        <v>47</v>
      </c>
      <c r="B528" s="1468">
        <v>1850</v>
      </c>
      <c r="C528" s="1475" t="s">
        <v>1395</v>
      </c>
      <c r="D528" s="95">
        <v>0</v>
      </c>
      <c r="E528" s="95">
        <v>0</v>
      </c>
      <c r="F528" s="95">
        <v>0</v>
      </c>
      <c r="G528" s="96">
        <f t="shared" si="34"/>
        <v>0</v>
      </c>
      <c r="H528" s="97"/>
      <c r="I528" s="98">
        <v>0</v>
      </c>
      <c r="J528" s="98">
        <v>0</v>
      </c>
      <c r="K528" s="98">
        <v>0</v>
      </c>
      <c r="L528" s="96">
        <f t="shared" si="35"/>
        <v>0</v>
      </c>
      <c r="M528" s="99">
        <f t="shared" si="36"/>
        <v>0</v>
      </c>
    </row>
    <row r="529" spans="1:13" x14ac:dyDescent="0.2">
      <c r="A529" s="35">
        <v>47</v>
      </c>
      <c r="B529" s="1468">
        <v>1850</v>
      </c>
      <c r="C529" s="1475" t="s">
        <v>1396</v>
      </c>
      <c r="D529" s="95">
        <v>157941.74</v>
      </c>
      <c r="E529" s="95">
        <v>0</v>
      </c>
      <c r="F529" s="95">
        <v>0</v>
      </c>
      <c r="G529" s="96">
        <f t="shared" si="34"/>
        <v>157941.74</v>
      </c>
      <c r="H529" s="97"/>
      <c r="I529" s="98">
        <v>30431.492715523967</v>
      </c>
      <c r="J529" s="98">
        <v>3360.2827155239647</v>
      </c>
      <c r="K529" s="98">
        <v>0</v>
      </c>
      <c r="L529" s="96">
        <f t="shared" si="35"/>
        <v>33791.775431047936</v>
      </c>
      <c r="M529" s="99">
        <f t="shared" si="36"/>
        <v>124149.96456895205</v>
      </c>
    </row>
    <row r="530" spans="1:13" x14ac:dyDescent="0.2">
      <c r="A530" s="35">
        <v>47</v>
      </c>
      <c r="B530" s="100">
        <v>1855</v>
      </c>
      <c r="C530" s="1474" t="s">
        <v>1397</v>
      </c>
      <c r="D530" s="95">
        <v>735014.32500000007</v>
      </c>
      <c r="E530" s="95">
        <v>40750</v>
      </c>
      <c r="F530" s="95">
        <v>0</v>
      </c>
      <c r="G530" s="96">
        <f t="shared" si="34"/>
        <v>775764.32500000007</v>
      </c>
      <c r="H530" s="97"/>
      <c r="I530" s="98">
        <v>186512.18337499996</v>
      </c>
      <c r="J530" s="98">
        <v>11044.020083333335</v>
      </c>
      <c r="K530" s="98">
        <v>0</v>
      </c>
      <c r="L530" s="96">
        <f t="shared" si="35"/>
        <v>197556.2034583333</v>
      </c>
      <c r="M530" s="99">
        <f t="shared" si="36"/>
        <v>578208.1215416668</v>
      </c>
    </row>
    <row r="531" spans="1:13" x14ac:dyDescent="0.2">
      <c r="A531" s="35">
        <v>47</v>
      </c>
      <c r="B531" s="100">
        <v>1855</v>
      </c>
      <c r="C531" s="1474" t="s">
        <v>1398</v>
      </c>
      <c r="D531" s="95">
        <v>4181531.9030000004</v>
      </c>
      <c r="E531" s="95">
        <v>466950</v>
      </c>
      <c r="F531" s="95">
        <v>0</v>
      </c>
      <c r="G531" s="96">
        <f t="shared" si="34"/>
        <v>4648481.9030000009</v>
      </c>
      <c r="H531" s="97"/>
      <c r="I531" s="98">
        <v>1000545.2803666666</v>
      </c>
      <c r="J531" s="98">
        <v>90288.734066666671</v>
      </c>
      <c r="K531" s="98">
        <v>0</v>
      </c>
      <c r="L531" s="96">
        <f t="shared" si="35"/>
        <v>1090834.0144333332</v>
      </c>
      <c r="M531" s="99">
        <f t="shared" si="36"/>
        <v>3557647.8885666677</v>
      </c>
    </row>
    <row r="532" spans="1:13" x14ac:dyDescent="0.2">
      <c r="A532" s="35">
        <v>47</v>
      </c>
      <c r="B532" s="100">
        <v>1860</v>
      </c>
      <c r="C532" s="102" t="s">
        <v>251</v>
      </c>
      <c r="D532" s="95">
        <v>807738.79199999978</v>
      </c>
      <c r="E532" s="95">
        <v>50300</v>
      </c>
      <c r="F532" s="95">
        <v>0</v>
      </c>
      <c r="G532" s="96">
        <f t="shared" si="34"/>
        <v>858038.79199999978</v>
      </c>
      <c r="H532" s="97"/>
      <c r="I532" s="98">
        <v>544570.28003250004</v>
      </c>
      <c r="J532" s="98">
        <v>13075.165064999999</v>
      </c>
      <c r="K532" s="98">
        <v>0</v>
      </c>
      <c r="L532" s="96">
        <f t="shared" si="35"/>
        <v>557645.44509749999</v>
      </c>
      <c r="M532" s="99">
        <f t="shared" si="36"/>
        <v>300393.34690249979</v>
      </c>
    </row>
    <row r="533" spans="1:13" x14ac:dyDescent="0.2">
      <c r="A533" s="35">
        <v>47</v>
      </c>
      <c r="B533" s="100">
        <v>1860</v>
      </c>
      <c r="C533" s="101" t="s">
        <v>189</v>
      </c>
      <c r="D533" s="95">
        <v>1948711.2009999997</v>
      </c>
      <c r="E533" s="95">
        <v>25150</v>
      </c>
      <c r="F533" s="95">
        <v>0</v>
      </c>
      <c r="G533" s="96">
        <f t="shared" si="34"/>
        <v>1973861.2009999997</v>
      </c>
      <c r="H533" s="97"/>
      <c r="I533" s="98">
        <v>990758.91003333335</v>
      </c>
      <c r="J533" s="98">
        <v>131309.82339999999</v>
      </c>
      <c r="K533" s="98">
        <v>0</v>
      </c>
      <c r="L533" s="96">
        <f t="shared" si="35"/>
        <v>1122068.7334333332</v>
      </c>
      <c r="M533" s="99">
        <f t="shared" si="36"/>
        <v>851792.46756666643</v>
      </c>
    </row>
    <row r="534" spans="1:13" x14ac:dyDescent="0.2">
      <c r="A534" s="35">
        <v>47</v>
      </c>
      <c r="B534" s="100">
        <v>1860</v>
      </c>
      <c r="C534" s="1476" t="s">
        <v>1399</v>
      </c>
      <c r="D534" s="95">
        <v>44799.45</v>
      </c>
      <c r="E534" s="95">
        <v>0</v>
      </c>
      <c r="F534" s="95">
        <v>0</v>
      </c>
      <c r="G534" s="96">
        <f t="shared" si="34"/>
        <v>44799.45</v>
      </c>
      <c r="H534" s="97"/>
      <c r="I534" s="98">
        <v>30190.967569230768</v>
      </c>
      <c r="J534" s="98">
        <v>1780.5975692307688</v>
      </c>
      <c r="K534" s="98">
        <v>0</v>
      </c>
      <c r="L534" s="96">
        <f t="shared" si="35"/>
        <v>31971.565138461538</v>
      </c>
      <c r="M534" s="99">
        <f t="shared" si="36"/>
        <v>12827.88486153846</v>
      </c>
    </row>
    <row r="535" spans="1:13" x14ac:dyDescent="0.2">
      <c r="A535" s="35">
        <v>47</v>
      </c>
      <c r="B535" s="100">
        <v>1860</v>
      </c>
      <c r="C535" s="1476" t="s">
        <v>1400</v>
      </c>
      <c r="D535" s="95">
        <v>32045.280000000002</v>
      </c>
      <c r="E535" s="95">
        <v>0</v>
      </c>
      <c r="F535" s="95">
        <v>0</v>
      </c>
      <c r="G535" s="96">
        <f t="shared" si="34"/>
        <v>32045.280000000002</v>
      </c>
      <c r="H535" s="97"/>
      <c r="I535" s="98">
        <v>17455.162</v>
      </c>
      <c r="J535" s="98">
        <v>2136.3519999999999</v>
      </c>
      <c r="K535" s="98">
        <v>0</v>
      </c>
      <c r="L535" s="96">
        <f t="shared" si="35"/>
        <v>19591.513999999999</v>
      </c>
      <c r="M535" s="99">
        <f t="shared" si="36"/>
        <v>12453.766000000003</v>
      </c>
    </row>
    <row r="536" spans="1:13" x14ac:dyDescent="0.2">
      <c r="A536" s="35">
        <v>47</v>
      </c>
      <c r="B536" s="100">
        <v>1860</v>
      </c>
      <c r="C536" s="1476" t="s">
        <v>1401</v>
      </c>
      <c r="D536" s="95">
        <v>6307.93</v>
      </c>
      <c r="E536" s="95">
        <v>0</v>
      </c>
      <c r="F536" s="95">
        <v>0</v>
      </c>
      <c r="G536" s="96">
        <f t="shared" si="34"/>
        <v>6307.93</v>
      </c>
      <c r="H536" s="97"/>
      <c r="I536" s="98">
        <v>232.21825000000001</v>
      </c>
      <c r="J536" s="98">
        <v>157.69825000000003</v>
      </c>
      <c r="K536" s="98">
        <v>0</v>
      </c>
      <c r="L536" s="96">
        <f t="shared" si="35"/>
        <v>389.91650000000004</v>
      </c>
      <c r="M536" s="99">
        <f t="shared" si="36"/>
        <v>5918.0135</v>
      </c>
    </row>
    <row r="537" spans="1:13" x14ac:dyDescent="0.2">
      <c r="A537" s="35" t="s">
        <v>244</v>
      </c>
      <c r="B537" s="100">
        <v>1905</v>
      </c>
      <c r="C537" s="101" t="s">
        <v>245</v>
      </c>
      <c r="D537" s="95">
        <v>49000</v>
      </c>
      <c r="E537" s="95">
        <v>0</v>
      </c>
      <c r="F537" s="95">
        <v>0</v>
      </c>
      <c r="G537" s="96">
        <f t="shared" si="34"/>
        <v>49000</v>
      </c>
      <c r="H537" s="97"/>
      <c r="I537" s="98">
        <v>0</v>
      </c>
      <c r="J537" s="98">
        <v>0</v>
      </c>
      <c r="K537" s="98">
        <v>0</v>
      </c>
      <c r="L537" s="96">
        <f t="shared" si="35"/>
        <v>0</v>
      </c>
      <c r="M537" s="99">
        <f t="shared" si="36"/>
        <v>49000</v>
      </c>
    </row>
    <row r="538" spans="1:13" x14ac:dyDescent="0.2">
      <c r="A538" s="35" t="s">
        <v>1622</v>
      </c>
      <c r="B538" s="100">
        <v>1908</v>
      </c>
      <c r="C538" s="102" t="s">
        <v>252</v>
      </c>
      <c r="D538" s="95">
        <v>1241085.22</v>
      </c>
      <c r="E538" s="95">
        <v>23150</v>
      </c>
      <c r="F538" s="95">
        <v>0</v>
      </c>
      <c r="G538" s="96">
        <f t="shared" si="34"/>
        <v>1264235.22</v>
      </c>
      <c r="H538" s="97"/>
      <c r="I538" s="98">
        <v>476114.39083333337</v>
      </c>
      <c r="J538" s="98">
        <v>20710.378333333334</v>
      </c>
      <c r="K538" s="98">
        <v>0</v>
      </c>
      <c r="L538" s="96">
        <f t="shared" si="35"/>
        <v>496824.76916666672</v>
      </c>
      <c r="M538" s="99">
        <f t="shared" si="36"/>
        <v>767410.45083333319</v>
      </c>
    </row>
    <row r="539" spans="1:13" x14ac:dyDescent="0.2">
      <c r="A539" s="35" t="s">
        <v>1622</v>
      </c>
      <c r="B539" s="1473">
        <v>1908</v>
      </c>
      <c r="C539" s="1474" t="s">
        <v>1402</v>
      </c>
      <c r="D539" s="95">
        <v>8690.41</v>
      </c>
      <c r="E539" s="95">
        <v>0</v>
      </c>
      <c r="F539" s="95">
        <v>0</v>
      </c>
      <c r="G539" s="96">
        <f t="shared" si="34"/>
        <v>8690.41</v>
      </c>
      <c r="H539" s="97"/>
      <c r="I539" s="98">
        <v>8690.41</v>
      </c>
      <c r="J539" s="98">
        <v>0</v>
      </c>
      <c r="K539" s="98">
        <v>0</v>
      </c>
      <c r="L539" s="96">
        <f t="shared" si="35"/>
        <v>8690.41</v>
      </c>
      <c r="M539" s="99">
        <f t="shared" si="36"/>
        <v>0</v>
      </c>
    </row>
    <row r="540" spans="1:13" x14ac:dyDescent="0.2">
      <c r="A540" s="35">
        <v>13</v>
      </c>
      <c r="B540" s="100">
        <v>1910</v>
      </c>
      <c r="C540" s="102" t="s">
        <v>275</v>
      </c>
      <c r="D540" s="95">
        <v>0</v>
      </c>
      <c r="E540" s="95">
        <v>0</v>
      </c>
      <c r="F540" s="95">
        <v>0</v>
      </c>
      <c r="G540" s="96">
        <f t="shared" si="34"/>
        <v>0</v>
      </c>
      <c r="H540" s="97"/>
      <c r="I540" s="98">
        <v>0</v>
      </c>
      <c r="J540" s="98">
        <v>0</v>
      </c>
      <c r="K540" s="98">
        <v>0</v>
      </c>
      <c r="L540" s="96">
        <f t="shared" si="35"/>
        <v>0</v>
      </c>
      <c r="M540" s="99">
        <f t="shared" si="36"/>
        <v>0</v>
      </c>
    </row>
    <row r="541" spans="1:13" x14ac:dyDescent="0.2">
      <c r="A541" s="35">
        <v>8</v>
      </c>
      <c r="B541" s="100">
        <v>1915</v>
      </c>
      <c r="C541" s="102" t="s">
        <v>190</v>
      </c>
      <c r="D541" s="95">
        <v>233409.44000000003</v>
      </c>
      <c r="E541" s="95">
        <v>5000</v>
      </c>
      <c r="F541" s="95">
        <v>0</v>
      </c>
      <c r="G541" s="96">
        <f t="shared" si="34"/>
        <v>238409.44000000003</v>
      </c>
      <c r="H541" s="97"/>
      <c r="I541" s="98">
        <v>210950.63750000001</v>
      </c>
      <c r="J541" s="98">
        <v>6185.6949999999997</v>
      </c>
      <c r="K541" s="98">
        <v>0</v>
      </c>
      <c r="L541" s="96">
        <f t="shared" si="35"/>
        <v>217136.33250000002</v>
      </c>
      <c r="M541" s="99">
        <f t="shared" si="36"/>
        <v>21273.107500000013</v>
      </c>
    </row>
    <row r="542" spans="1:13" x14ac:dyDescent="0.2">
      <c r="A542" s="35">
        <v>8</v>
      </c>
      <c r="B542" s="100">
        <v>1915</v>
      </c>
      <c r="C542" s="102" t="s">
        <v>191</v>
      </c>
      <c r="D542" s="95">
        <v>0</v>
      </c>
      <c r="E542" s="95">
        <v>0</v>
      </c>
      <c r="F542" s="95">
        <v>0</v>
      </c>
      <c r="G542" s="96">
        <f t="shared" si="34"/>
        <v>0</v>
      </c>
      <c r="H542" s="97"/>
      <c r="I542" s="98">
        <v>0</v>
      </c>
      <c r="J542" s="98">
        <v>0</v>
      </c>
      <c r="K542" s="98">
        <v>0</v>
      </c>
      <c r="L542" s="96">
        <f t="shared" si="35"/>
        <v>0</v>
      </c>
      <c r="M542" s="99">
        <f t="shared" si="36"/>
        <v>0</v>
      </c>
    </row>
    <row r="543" spans="1:13" x14ac:dyDescent="0.2">
      <c r="A543" s="35">
        <v>50</v>
      </c>
      <c r="B543" s="100">
        <v>1920</v>
      </c>
      <c r="C543" s="102" t="s">
        <v>192</v>
      </c>
      <c r="D543" s="95">
        <v>477098.32999999996</v>
      </c>
      <c r="E543" s="95">
        <v>15450</v>
      </c>
      <c r="F543" s="95">
        <v>0</v>
      </c>
      <c r="G543" s="96">
        <f t="shared" si="34"/>
        <v>492548.32999999996</v>
      </c>
      <c r="H543" s="97"/>
      <c r="I543" s="98">
        <v>458335.65666666668</v>
      </c>
      <c r="J543" s="98">
        <v>13407.073333333332</v>
      </c>
      <c r="K543" s="98">
        <v>0</v>
      </c>
      <c r="L543" s="96">
        <f t="shared" si="35"/>
        <v>471742.73</v>
      </c>
      <c r="M543" s="99">
        <f t="shared" si="36"/>
        <v>20805.599999999977</v>
      </c>
    </row>
    <row r="544" spans="1:13" ht="25.5" x14ac:dyDescent="0.2">
      <c r="A544" s="35">
        <v>45</v>
      </c>
      <c r="B544" s="103">
        <v>1920</v>
      </c>
      <c r="C544" s="94" t="s">
        <v>194</v>
      </c>
      <c r="D544" s="95">
        <v>0</v>
      </c>
      <c r="E544" s="95">
        <v>0</v>
      </c>
      <c r="F544" s="95">
        <v>0</v>
      </c>
      <c r="G544" s="96">
        <f t="shared" si="34"/>
        <v>0</v>
      </c>
      <c r="H544" s="97"/>
      <c r="I544" s="98">
        <v>0</v>
      </c>
      <c r="J544" s="98">
        <v>0</v>
      </c>
      <c r="K544" s="98">
        <v>0</v>
      </c>
      <c r="L544" s="96">
        <f t="shared" si="35"/>
        <v>0</v>
      </c>
      <c r="M544" s="99">
        <f t="shared" si="36"/>
        <v>0</v>
      </c>
    </row>
    <row r="545" spans="1:13" ht="25.5" x14ac:dyDescent="0.2">
      <c r="A545" s="35">
        <v>45</v>
      </c>
      <c r="B545" s="103">
        <v>1920</v>
      </c>
      <c r="C545" s="94" t="s">
        <v>193</v>
      </c>
      <c r="D545" s="95">
        <v>0</v>
      </c>
      <c r="E545" s="95">
        <v>0</v>
      </c>
      <c r="F545" s="95">
        <v>0</v>
      </c>
      <c r="G545" s="96">
        <f t="shared" si="34"/>
        <v>0</v>
      </c>
      <c r="H545" s="97"/>
      <c r="I545" s="98">
        <v>0</v>
      </c>
      <c r="J545" s="98">
        <v>0</v>
      </c>
      <c r="K545" s="98">
        <v>0</v>
      </c>
      <c r="L545" s="96">
        <f t="shared" si="35"/>
        <v>0</v>
      </c>
      <c r="M545" s="99">
        <f t="shared" si="36"/>
        <v>0</v>
      </c>
    </row>
    <row r="546" spans="1:13" x14ac:dyDescent="0.2">
      <c r="A546" s="35">
        <v>10</v>
      </c>
      <c r="B546" s="1530">
        <v>1930</v>
      </c>
      <c r="C546" s="102" t="s">
        <v>263</v>
      </c>
      <c r="D546" s="95">
        <v>169768.87</v>
      </c>
      <c r="E546" s="95">
        <v>30000</v>
      </c>
      <c r="F546" s="95">
        <v>0</v>
      </c>
      <c r="G546" s="96">
        <f t="shared" si="34"/>
        <v>199768.87</v>
      </c>
      <c r="H546" s="97"/>
      <c r="I546" s="98">
        <v>156280.03999999998</v>
      </c>
      <c r="J546" s="98">
        <v>11992.54</v>
      </c>
      <c r="K546" s="98">
        <v>0</v>
      </c>
      <c r="L546" s="96">
        <f t="shared" si="35"/>
        <v>168272.58</v>
      </c>
      <c r="M546" s="99">
        <f t="shared" si="36"/>
        <v>31496.290000000008</v>
      </c>
    </row>
    <row r="547" spans="1:13" x14ac:dyDescent="0.2">
      <c r="A547" s="35">
        <v>10</v>
      </c>
      <c r="B547" s="1473">
        <v>1930</v>
      </c>
      <c r="C547" s="1474" t="s">
        <v>1403</v>
      </c>
      <c r="D547" s="95">
        <v>1054475.5999999999</v>
      </c>
      <c r="E547" s="95">
        <v>0</v>
      </c>
      <c r="F547" s="95">
        <v>0</v>
      </c>
      <c r="G547" s="96">
        <f t="shared" si="34"/>
        <v>1054475.5999999999</v>
      </c>
      <c r="H547" s="97"/>
      <c r="I547" s="98">
        <v>534929.90450000006</v>
      </c>
      <c r="J547" s="98">
        <v>97847.78899999999</v>
      </c>
      <c r="K547" s="98">
        <v>0</v>
      </c>
      <c r="L547" s="96">
        <f t="shared" si="35"/>
        <v>632777.69350000005</v>
      </c>
      <c r="M547" s="99">
        <f t="shared" si="36"/>
        <v>421697.90649999981</v>
      </c>
    </row>
    <row r="548" spans="1:13" x14ac:dyDescent="0.2">
      <c r="A548" s="35">
        <v>10</v>
      </c>
      <c r="B548" s="1473">
        <v>1930</v>
      </c>
      <c r="C548" s="1474" t="s">
        <v>1404</v>
      </c>
      <c r="D548" s="95">
        <v>84108.05</v>
      </c>
      <c r="E548" s="95">
        <v>0</v>
      </c>
      <c r="F548" s="95">
        <v>0</v>
      </c>
      <c r="G548" s="96">
        <f t="shared" si="34"/>
        <v>84108.05</v>
      </c>
      <c r="H548" s="97"/>
      <c r="I548" s="98">
        <v>43023.05</v>
      </c>
      <c r="J548" s="98">
        <v>3043.33</v>
      </c>
      <c r="K548" s="98">
        <v>0</v>
      </c>
      <c r="L548" s="96">
        <f t="shared" si="35"/>
        <v>46066.380000000005</v>
      </c>
      <c r="M548" s="99">
        <f t="shared" si="36"/>
        <v>38041.67</v>
      </c>
    </row>
    <row r="549" spans="1:13" x14ac:dyDescent="0.2">
      <c r="A549" s="35">
        <v>8</v>
      </c>
      <c r="B549" s="1530">
        <v>1935</v>
      </c>
      <c r="C549" s="102" t="s">
        <v>264</v>
      </c>
      <c r="D549" s="95">
        <v>24683.61</v>
      </c>
      <c r="E549" s="95">
        <v>0</v>
      </c>
      <c r="F549" s="95">
        <v>0</v>
      </c>
      <c r="G549" s="96">
        <f t="shared" si="34"/>
        <v>24683.61</v>
      </c>
      <c r="H549" s="97"/>
      <c r="I549" s="98">
        <v>24307.030000000002</v>
      </c>
      <c r="J549" s="98">
        <v>365.67</v>
      </c>
      <c r="K549" s="98">
        <v>0</v>
      </c>
      <c r="L549" s="96">
        <f t="shared" si="35"/>
        <v>24672.7</v>
      </c>
      <c r="M549" s="99">
        <f t="shared" si="36"/>
        <v>10.909999999999854</v>
      </c>
    </row>
    <row r="550" spans="1:13" x14ac:dyDescent="0.2">
      <c r="A550" s="35">
        <v>8</v>
      </c>
      <c r="B550" s="1530">
        <v>1940</v>
      </c>
      <c r="C550" s="102" t="s">
        <v>265</v>
      </c>
      <c r="D550" s="95">
        <v>549270.88</v>
      </c>
      <c r="E550" s="95">
        <v>5000</v>
      </c>
      <c r="F550" s="95">
        <v>0</v>
      </c>
      <c r="G550" s="96">
        <f t="shared" si="34"/>
        <v>554270.88</v>
      </c>
      <c r="H550" s="97"/>
      <c r="I550" s="98">
        <v>478478.73875000002</v>
      </c>
      <c r="J550" s="98">
        <v>12121.1675</v>
      </c>
      <c r="K550" s="98">
        <v>0</v>
      </c>
      <c r="L550" s="96">
        <f t="shared" si="35"/>
        <v>490599.90625</v>
      </c>
      <c r="M550" s="99">
        <f t="shared" si="36"/>
        <v>63670.973750000005</v>
      </c>
    </row>
    <row r="551" spans="1:13" x14ac:dyDescent="0.2">
      <c r="A551" s="35">
        <v>8</v>
      </c>
      <c r="B551" s="1530">
        <v>1945</v>
      </c>
      <c r="C551" s="102" t="s">
        <v>266</v>
      </c>
      <c r="D551" s="95">
        <v>0</v>
      </c>
      <c r="E551" s="95">
        <v>0</v>
      </c>
      <c r="F551" s="95">
        <v>0</v>
      </c>
      <c r="G551" s="96">
        <f t="shared" si="34"/>
        <v>0</v>
      </c>
      <c r="H551" s="97"/>
      <c r="I551" s="98">
        <v>0</v>
      </c>
      <c r="J551" s="98">
        <v>0</v>
      </c>
      <c r="K551" s="98">
        <v>0</v>
      </c>
      <c r="L551" s="96">
        <f t="shared" si="35"/>
        <v>0</v>
      </c>
      <c r="M551" s="99">
        <f t="shared" si="36"/>
        <v>0</v>
      </c>
    </row>
    <row r="552" spans="1:13" x14ac:dyDescent="0.2">
      <c r="A552" s="35">
        <v>8</v>
      </c>
      <c r="B552" s="1530">
        <v>1950</v>
      </c>
      <c r="C552" s="102" t="s">
        <v>195</v>
      </c>
      <c r="D552" s="95">
        <v>0</v>
      </c>
      <c r="E552" s="95">
        <v>0</v>
      </c>
      <c r="F552" s="95">
        <v>0</v>
      </c>
      <c r="G552" s="96">
        <f t="shared" si="34"/>
        <v>0</v>
      </c>
      <c r="H552" s="97"/>
      <c r="I552" s="98">
        <v>0</v>
      </c>
      <c r="J552" s="98">
        <v>0</v>
      </c>
      <c r="K552" s="98">
        <v>0</v>
      </c>
      <c r="L552" s="96">
        <f t="shared" si="35"/>
        <v>0</v>
      </c>
      <c r="M552" s="99">
        <f t="shared" si="36"/>
        <v>0</v>
      </c>
    </row>
    <row r="553" spans="1:13" x14ac:dyDescent="0.2">
      <c r="A553" s="35">
        <v>8</v>
      </c>
      <c r="B553" s="1530">
        <v>1955</v>
      </c>
      <c r="C553" s="102" t="s">
        <v>267</v>
      </c>
      <c r="D553" s="95">
        <v>54383.11</v>
      </c>
      <c r="E553" s="95">
        <v>0</v>
      </c>
      <c r="F553" s="95">
        <v>0</v>
      </c>
      <c r="G553" s="96">
        <f t="shared" si="34"/>
        <v>54383.11</v>
      </c>
      <c r="H553" s="97"/>
      <c r="I553" s="98">
        <v>53995.900000000009</v>
      </c>
      <c r="J553" s="98">
        <v>336.23</v>
      </c>
      <c r="K553" s="98">
        <v>0</v>
      </c>
      <c r="L553" s="96">
        <f t="shared" si="35"/>
        <v>54332.130000000012</v>
      </c>
      <c r="M553" s="99">
        <f t="shared" si="36"/>
        <v>50.97999999998865</v>
      </c>
    </row>
    <row r="554" spans="1:13" x14ac:dyDescent="0.2">
      <c r="A554" s="35">
        <v>8</v>
      </c>
      <c r="B554" s="103">
        <v>1955</v>
      </c>
      <c r="C554" s="104" t="s">
        <v>196</v>
      </c>
      <c r="D554" s="95">
        <v>0</v>
      </c>
      <c r="E554" s="95">
        <v>0</v>
      </c>
      <c r="F554" s="95">
        <v>0</v>
      </c>
      <c r="G554" s="96">
        <f t="shared" si="34"/>
        <v>0</v>
      </c>
      <c r="H554" s="97"/>
      <c r="I554" s="98">
        <v>0</v>
      </c>
      <c r="J554" s="98">
        <v>0</v>
      </c>
      <c r="K554" s="98">
        <v>0</v>
      </c>
      <c r="L554" s="96">
        <f t="shared" si="35"/>
        <v>0</v>
      </c>
      <c r="M554" s="99">
        <f t="shared" si="36"/>
        <v>0</v>
      </c>
    </row>
    <row r="555" spans="1:13" x14ac:dyDescent="0.2">
      <c r="A555" s="35">
        <v>8</v>
      </c>
      <c r="B555" s="105">
        <v>1960</v>
      </c>
      <c r="C555" s="94" t="s">
        <v>197</v>
      </c>
      <c r="D555" s="95">
        <v>0</v>
      </c>
      <c r="E555" s="95">
        <v>0</v>
      </c>
      <c r="F555" s="95">
        <v>0</v>
      </c>
      <c r="G555" s="96">
        <f t="shared" si="34"/>
        <v>0</v>
      </c>
      <c r="H555" s="97"/>
      <c r="I555" s="98">
        <v>0</v>
      </c>
      <c r="J555" s="98">
        <v>0</v>
      </c>
      <c r="K555" s="98">
        <v>0</v>
      </c>
      <c r="L555" s="96">
        <f t="shared" si="35"/>
        <v>0</v>
      </c>
      <c r="M555" s="99">
        <f t="shared" si="36"/>
        <v>0</v>
      </c>
    </row>
    <row r="556" spans="1:13" ht="25.5" x14ac:dyDescent="0.2">
      <c r="A556" s="35">
        <v>47</v>
      </c>
      <c r="B556" s="105">
        <v>1970</v>
      </c>
      <c r="C556" s="102" t="s">
        <v>448</v>
      </c>
      <c r="D556" s="95">
        <v>0</v>
      </c>
      <c r="E556" s="95">
        <v>0</v>
      </c>
      <c r="F556" s="95">
        <v>0</v>
      </c>
      <c r="G556" s="96">
        <f t="shared" si="34"/>
        <v>0</v>
      </c>
      <c r="H556" s="97"/>
      <c r="I556" s="98">
        <v>0</v>
      </c>
      <c r="J556" s="98">
        <v>0</v>
      </c>
      <c r="K556" s="98">
        <v>0</v>
      </c>
      <c r="L556" s="96">
        <f t="shared" si="35"/>
        <v>0</v>
      </c>
      <c r="M556" s="99">
        <f t="shared" si="36"/>
        <v>0</v>
      </c>
    </row>
    <row r="557" spans="1:13" ht="25.5" x14ac:dyDescent="0.2">
      <c r="A557" s="35">
        <v>47</v>
      </c>
      <c r="B557" s="1530">
        <v>1975</v>
      </c>
      <c r="C557" s="102" t="s">
        <v>268</v>
      </c>
      <c r="D557" s="95">
        <v>0</v>
      </c>
      <c r="E557" s="95">
        <v>0</v>
      </c>
      <c r="F557" s="95">
        <v>0</v>
      </c>
      <c r="G557" s="96">
        <f t="shared" si="34"/>
        <v>0</v>
      </c>
      <c r="H557" s="97"/>
      <c r="I557" s="98">
        <v>0</v>
      </c>
      <c r="J557" s="98">
        <v>0</v>
      </c>
      <c r="K557" s="98">
        <v>0</v>
      </c>
      <c r="L557" s="96">
        <f t="shared" si="35"/>
        <v>0</v>
      </c>
      <c r="M557" s="99">
        <f t="shared" si="36"/>
        <v>0</v>
      </c>
    </row>
    <row r="558" spans="1:13" x14ac:dyDescent="0.2">
      <c r="A558" s="35">
        <v>47</v>
      </c>
      <c r="B558" s="1530">
        <v>1980</v>
      </c>
      <c r="C558" s="102" t="s">
        <v>269</v>
      </c>
      <c r="D558" s="95">
        <v>688237.53</v>
      </c>
      <c r="E558" s="95">
        <v>80000</v>
      </c>
      <c r="F558" s="95">
        <v>0</v>
      </c>
      <c r="G558" s="96">
        <f t="shared" si="34"/>
        <v>768237.53</v>
      </c>
      <c r="H558" s="97"/>
      <c r="I558" s="98">
        <v>454074.1115</v>
      </c>
      <c r="J558" s="98">
        <v>35808.542999999998</v>
      </c>
      <c r="K558" s="98">
        <v>0</v>
      </c>
      <c r="L558" s="96">
        <f t="shared" si="35"/>
        <v>489882.6545</v>
      </c>
      <c r="M558" s="99">
        <f t="shared" si="36"/>
        <v>278354.87550000002</v>
      </c>
    </row>
    <row r="559" spans="1:13" x14ac:dyDescent="0.2">
      <c r="A559" s="35">
        <v>47</v>
      </c>
      <c r="B559" s="1530">
        <v>1985</v>
      </c>
      <c r="C559" s="102" t="s">
        <v>270</v>
      </c>
      <c r="D559" s="95">
        <v>0</v>
      </c>
      <c r="E559" s="95">
        <v>0</v>
      </c>
      <c r="F559" s="95">
        <v>0</v>
      </c>
      <c r="G559" s="96">
        <f t="shared" si="34"/>
        <v>0</v>
      </c>
      <c r="H559" s="97"/>
      <c r="I559" s="98">
        <v>0</v>
      </c>
      <c r="J559" s="98">
        <v>0</v>
      </c>
      <c r="K559" s="98">
        <v>0</v>
      </c>
      <c r="L559" s="96">
        <f t="shared" si="35"/>
        <v>0</v>
      </c>
      <c r="M559" s="99">
        <f t="shared" si="36"/>
        <v>0</v>
      </c>
    </row>
    <row r="560" spans="1:13" x14ac:dyDescent="0.2">
      <c r="A560" s="35">
        <v>47</v>
      </c>
      <c r="B560" s="1530">
        <v>1990</v>
      </c>
      <c r="C560" s="1491" t="s">
        <v>449</v>
      </c>
      <c r="D560" s="95">
        <v>0</v>
      </c>
      <c r="E560" s="95">
        <v>0</v>
      </c>
      <c r="F560" s="95">
        <v>0</v>
      </c>
      <c r="G560" s="96">
        <f t="shared" si="34"/>
        <v>0</v>
      </c>
      <c r="H560" s="97"/>
      <c r="I560" s="98">
        <v>0</v>
      </c>
      <c r="J560" s="98">
        <v>0</v>
      </c>
      <c r="K560" s="98">
        <v>0</v>
      </c>
      <c r="L560" s="96">
        <f t="shared" si="35"/>
        <v>0</v>
      </c>
      <c r="M560" s="99">
        <f t="shared" si="36"/>
        <v>0</v>
      </c>
    </row>
    <row r="561" spans="1:13" x14ac:dyDescent="0.2">
      <c r="A561" s="35">
        <v>47</v>
      </c>
      <c r="B561" s="1473">
        <v>1995</v>
      </c>
      <c r="C561" s="1474" t="s">
        <v>1405</v>
      </c>
      <c r="D561" s="95">
        <v>-238366.01</v>
      </c>
      <c r="E561" s="95">
        <v>0</v>
      </c>
      <c r="F561" s="95">
        <v>0</v>
      </c>
      <c r="G561" s="96">
        <f t="shared" si="34"/>
        <v>-238366.01</v>
      </c>
      <c r="H561" s="97"/>
      <c r="I561" s="98">
        <v>-89329.104378309188</v>
      </c>
      <c r="J561" s="98">
        <v>-4547.6443783091472</v>
      </c>
      <c r="K561" s="98">
        <v>0</v>
      </c>
      <c r="L561" s="96">
        <f t="shared" si="35"/>
        <v>-93876.748756618341</v>
      </c>
      <c r="M561" s="99">
        <f t="shared" si="36"/>
        <v>-144489.26124338165</v>
      </c>
    </row>
    <row r="562" spans="1:13" x14ac:dyDescent="0.2">
      <c r="A562" s="35">
        <v>47</v>
      </c>
      <c r="B562" s="1473">
        <v>1995</v>
      </c>
      <c r="C562" s="1474" t="s">
        <v>1406</v>
      </c>
      <c r="D562" s="95">
        <v>-235221.35</v>
      </c>
      <c r="E562" s="95">
        <v>0</v>
      </c>
      <c r="F562" s="95">
        <v>0</v>
      </c>
      <c r="G562" s="96">
        <f t="shared" si="34"/>
        <v>-235221.35</v>
      </c>
      <c r="H562" s="97"/>
      <c r="I562" s="98">
        <v>-89748.762445397049</v>
      </c>
      <c r="J562" s="98">
        <v>-3107.2524453970591</v>
      </c>
      <c r="K562" s="98">
        <v>0</v>
      </c>
      <c r="L562" s="96">
        <f t="shared" si="35"/>
        <v>-92856.014890794104</v>
      </c>
      <c r="M562" s="99">
        <f t="shared" si="36"/>
        <v>-142365.33510920592</v>
      </c>
    </row>
    <row r="563" spans="1:13" x14ac:dyDescent="0.2">
      <c r="A563" s="35">
        <v>47</v>
      </c>
      <c r="B563" s="1473">
        <v>1995</v>
      </c>
      <c r="C563" s="1474" t="s">
        <v>1407</v>
      </c>
      <c r="D563" s="95">
        <v>-146562.29999999999</v>
      </c>
      <c r="E563" s="95">
        <v>0</v>
      </c>
      <c r="F563" s="95">
        <v>0</v>
      </c>
      <c r="G563" s="96">
        <f t="shared" si="34"/>
        <v>-146562.29999999999</v>
      </c>
      <c r="H563" s="97"/>
      <c r="I563" s="98">
        <v>-60220.892843579924</v>
      </c>
      <c r="J563" s="98">
        <v>-1877.9328435799157</v>
      </c>
      <c r="K563" s="98">
        <v>0</v>
      </c>
      <c r="L563" s="96">
        <f t="shared" si="35"/>
        <v>-62098.825687159842</v>
      </c>
      <c r="M563" s="99">
        <f t="shared" si="36"/>
        <v>-84463.474312840146</v>
      </c>
    </row>
    <row r="564" spans="1:13" x14ac:dyDescent="0.2">
      <c r="A564" s="35">
        <v>47</v>
      </c>
      <c r="B564" s="1473">
        <v>1995</v>
      </c>
      <c r="C564" s="1474" t="s">
        <v>1408</v>
      </c>
      <c r="D564" s="95">
        <v>-879221.65999999968</v>
      </c>
      <c r="E564" s="95">
        <v>0</v>
      </c>
      <c r="F564" s="95">
        <v>0</v>
      </c>
      <c r="G564" s="96">
        <f t="shared" si="34"/>
        <v>-879221.65999999968</v>
      </c>
      <c r="H564" s="97"/>
      <c r="I564" s="98">
        <v>-270355.68145045149</v>
      </c>
      <c r="J564" s="98">
        <v>-11279.98145045148</v>
      </c>
      <c r="K564" s="98">
        <v>0</v>
      </c>
      <c r="L564" s="96">
        <f t="shared" si="35"/>
        <v>-281635.66290090297</v>
      </c>
      <c r="M564" s="99">
        <f t="shared" si="36"/>
        <v>-597585.99709909665</v>
      </c>
    </row>
    <row r="565" spans="1:13" x14ac:dyDescent="0.2">
      <c r="A565" s="35">
        <v>47</v>
      </c>
      <c r="B565" s="1473">
        <v>1995</v>
      </c>
      <c r="C565" s="1474" t="s">
        <v>1409</v>
      </c>
      <c r="D565" s="95">
        <v>-1788777.8800000001</v>
      </c>
      <c r="E565" s="95">
        <v>0</v>
      </c>
      <c r="F565" s="95">
        <v>0</v>
      </c>
      <c r="G565" s="96">
        <f t="shared" si="34"/>
        <v>-1788777.8800000001</v>
      </c>
      <c r="H565" s="97"/>
      <c r="I565" s="98">
        <v>-748398.67303743202</v>
      </c>
      <c r="J565" s="98">
        <v>-32680.693037432298</v>
      </c>
      <c r="K565" s="98">
        <v>0</v>
      </c>
      <c r="L565" s="96">
        <f t="shared" si="35"/>
        <v>-781079.36607486429</v>
      </c>
      <c r="M565" s="99">
        <f t="shared" si="36"/>
        <v>-1007698.5139251358</v>
      </c>
    </row>
    <row r="566" spans="1:13" x14ac:dyDescent="0.2">
      <c r="A566" s="35">
        <v>47</v>
      </c>
      <c r="B566" s="1473">
        <v>1995</v>
      </c>
      <c r="C566" s="1474" t="s">
        <v>1410</v>
      </c>
      <c r="D566" s="95">
        <v>-1606652.53</v>
      </c>
      <c r="E566" s="95">
        <v>0</v>
      </c>
      <c r="F566" s="95">
        <v>0</v>
      </c>
      <c r="G566" s="96">
        <f t="shared" si="34"/>
        <v>-1606652.53</v>
      </c>
      <c r="H566" s="97"/>
      <c r="I566" s="98">
        <v>-585401.1199454692</v>
      </c>
      <c r="J566" s="98">
        <v>-30624.599945469214</v>
      </c>
      <c r="K566" s="98">
        <v>0</v>
      </c>
      <c r="L566" s="96">
        <f t="shared" si="35"/>
        <v>-616025.71989093837</v>
      </c>
      <c r="M566" s="99">
        <f t="shared" si="36"/>
        <v>-990626.81010906165</v>
      </c>
    </row>
    <row r="567" spans="1:13" x14ac:dyDescent="0.2">
      <c r="A567" s="35">
        <v>47</v>
      </c>
      <c r="B567" s="1473">
        <v>1995</v>
      </c>
      <c r="C567" s="1474" t="s">
        <v>1411</v>
      </c>
      <c r="D567" s="95">
        <v>-2283741.11</v>
      </c>
      <c r="E567" s="95">
        <v>0</v>
      </c>
      <c r="F567" s="95">
        <v>0</v>
      </c>
      <c r="G567" s="96">
        <f t="shared" si="34"/>
        <v>-2283741.11</v>
      </c>
      <c r="H567" s="97"/>
      <c r="I567" s="98">
        <v>-886087.92442797043</v>
      </c>
      <c r="J567" s="98">
        <v>-42859.014427970411</v>
      </c>
      <c r="K567" s="98">
        <v>0</v>
      </c>
      <c r="L567" s="96">
        <f t="shared" si="35"/>
        <v>-928946.93885594083</v>
      </c>
      <c r="M567" s="99">
        <f t="shared" si="36"/>
        <v>-1354794.1711440589</v>
      </c>
    </row>
    <row r="568" spans="1:13" x14ac:dyDescent="0.2">
      <c r="A568" s="35">
        <v>47</v>
      </c>
      <c r="B568" s="1473">
        <v>1995</v>
      </c>
      <c r="C568" s="1474" t="s">
        <v>1412</v>
      </c>
      <c r="D568" s="95">
        <v>-7343.73</v>
      </c>
      <c r="E568" s="95">
        <v>0</v>
      </c>
      <c r="F568" s="95">
        <v>0</v>
      </c>
      <c r="G568" s="96">
        <f t="shared" si="34"/>
        <v>-7343.73</v>
      </c>
      <c r="H568" s="97"/>
      <c r="I568" s="98">
        <v>-4786.8691999999992</v>
      </c>
      <c r="J568" s="98">
        <v>-293.74919999999929</v>
      </c>
      <c r="K568" s="98">
        <v>0</v>
      </c>
      <c r="L568" s="96">
        <f t="shared" si="35"/>
        <v>-5080.6183999999985</v>
      </c>
      <c r="M568" s="99">
        <f t="shared" si="36"/>
        <v>-2263.1116000000011</v>
      </c>
    </row>
    <row r="569" spans="1:13" x14ac:dyDescent="0.2">
      <c r="A569" s="35">
        <v>47</v>
      </c>
      <c r="B569" s="1473">
        <v>1995</v>
      </c>
      <c r="C569" s="1474" t="s">
        <v>1413</v>
      </c>
      <c r="D569" s="95">
        <v>-13000</v>
      </c>
      <c r="E569" s="95">
        <v>0</v>
      </c>
      <c r="F569" s="95">
        <v>0</v>
      </c>
      <c r="G569" s="96">
        <f t="shared" si="34"/>
        <v>-13000</v>
      </c>
      <c r="H569" s="97"/>
      <c r="I569" s="98">
        <v>-4608.3708510638298</v>
      </c>
      <c r="J569" s="98">
        <v>-204.68085106382978</v>
      </c>
      <c r="K569" s="98">
        <v>0</v>
      </c>
      <c r="L569" s="96">
        <f t="shared" si="35"/>
        <v>-4813.0517021276592</v>
      </c>
      <c r="M569" s="99">
        <f t="shared" si="36"/>
        <v>-8186.9482978723408</v>
      </c>
    </row>
    <row r="570" spans="1:13" x14ac:dyDescent="0.2">
      <c r="A570" s="35">
        <v>47</v>
      </c>
      <c r="B570" s="1473">
        <v>1995</v>
      </c>
      <c r="C570" s="1474" t="s">
        <v>1414</v>
      </c>
      <c r="D570" s="95">
        <v>-9721.93</v>
      </c>
      <c r="E570" s="95">
        <v>0</v>
      </c>
      <c r="F570" s="95">
        <v>0</v>
      </c>
      <c r="G570" s="96">
        <f t="shared" si="34"/>
        <v>-9721.93</v>
      </c>
      <c r="H570" s="97"/>
      <c r="I570" s="98">
        <v>-9721.93</v>
      </c>
      <c r="J570" s="98">
        <v>0</v>
      </c>
      <c r="K570" s="98">
        <v>0</v>
      </c>
      <c r="L570" s="96">
        <f t="shared" si="35"/>
        <v>-9721.93</v>
      </c>
      <c r="M570" s="99">
        <f t="shared" si="36"/>
        <v>0</v>
      </c>
    </row>
    <row r="571" spans="1:13" x14ac:dyDescent="0.2">
      <c r="A571" s="35">
        <v>47</v>
      </c>
      <c r="B571" s="1473">
        <v>2440</v>
      </c>
      <c r="C571" s="1474" t="s">
        <v>1415</v>
      </c>
      <c r="D571" s="95">
        <v>-528454.86499999999</v>
      </c>
      <c r="E571" s="95">
        <v>-25750</v>
      </c>
      <c r="F571" s="95">
        <v>0</v>
      </c>
      <c r="G571" s="96">
        <f t="shared" si="34"/>
        <v>-554204.86499999999</v>
      </c>
      <c r="I571" s="98">
        <v>-14375.112499999999</v>
      </c>
      <c r="J571" s="98">
        <v>-12029.552555555556</v>
      </c>
      <c r="K571" s="98">
        <v>0</v>
      </c>
      <c r="L571" s="96">
        <f t="shared" si="35"/>
        <v>-26404.665055555553</v>
      </c>
      <c r="M571" s="99">
        <f t="shared" si="36"/>
        <v>-527800.19994444447</v>
      </c>
    </row>
    <row r="572" spans="1:13" ht="25.5" x14ac:dyDescent="0.2">
      <c r="A572" s="35">
        <v>47</v>
      </c>
      <c r="B572" s="1473">
        <v>2440</v>
      </c>
      <c r="C572" s="1474" t="s">
        <v>1416</v>
      </c>
      <c r="D572" s="95">
        <v>-360495.83500000002</v>
      </c>
      <c r="E572" s="95">
        <v>-25750</v>
      </c>
      <c r="F572" s="95">
        <v>0</v>
      </c>
      <c r="G572" s="96">
        <f t="shared" si="34"/>
        <v>-386245.83500000002</v>
      </c>
      <c r="H572" s="97"/>
      <c r="I572" s="98">
        <v>-6095.113875</v>
      </c>
      <c r="J572" s="98">
        <v>-6222.8472499999998</v>
      </c>
      <c r="K572" s="98">
        <v>0</v>
      </c>
      <c r="L572" s="96">
        <f t="shared" si="35"/>
        <v>-12317.961125</v>
      </c>
      <c r="M572" s="99">
        <f t="shared" si="36"/>
        <v>-373927.87387500005</v>
      </c>
    </row>
    <row r="573" spans="1:13" ht="25.5" x14ac:dyDescent="0.2">
      <c r="A573" s="35">
        <v>47</v>
      </c>
      <c r="B573" s="1473">
        <v>2440</v>
      </c>
      <c r="C573" s="1474" t="s">
        <v>1417</v>
      </c>
      <c r="D573" s="95">
        <v>-98978.075000000012</v>
      </c>
      <c r="E573" s="95">
        <v>-30750</v>
      </c>
      <c r="F573" s="95">
        <v>0</v>
      </c>
      <c r="G573" s="96">
        <f t="shared" si="34"/>
        <v>-129728.07500000001</v>
      </c>
      <c r="H573" s="97"/>
      <c r="I573" s="98">
        <v>-2511.7078749999996</v>
      </c>
      <c r="J573" s="98">
        <v>-1905.8845833333335</v>
      </c>
      <c r="K573" s="98">
        <v>0</v>
      </c>
      <c r="L573" s="96">
        <f t="shared" si="35"/>
        <v>-4417.5924583333326</v>
      </c>
      <c r="M573" s="99">
        <f t="shared" si="36"/>
        <v>-125310.48254166669</v>
      </c>
    </row>
    <row r="574" spans="1:13" ht="25.5" x14ac:dyDescent="0.2">
      <c r="A574" s="35">
        <v>47</v>
      </c>
      <c r="B574" s="1473">
        <v>2440</v>
      </c>
      <c r="C574" s="1474" t="s">
        <v>1418</v>
      </c>
      <c r="D574" s="95">
        <v>-747639.902</v>
      </c>
      <c r="E574" s="95">
        <v>-61800</v>
      </c>
      <c r="F574" s="95">
        <v>0</v>
      </c>
      <c r="G574" s="96">
        <f t="shared" ref="G574:G583" si="37">D574+E574+F574</f>
        <v>-809439.902</v>
      </c>
      <c r="H574" s="97"/>
      <c r="I574" s="98">
        <v>-27832.009169230769</v>
      </c>
      <c r="J574" s="98">
        <v>-11977.536953846153</v>
      </c>
      <c r="K574" s="98">
        <v>0</v>
      </c>
      <c r="L574" s="96">
        <f t="shared" ref="L574:L583" si="38">I574+J574+K574</f>
        <v>-39809.546123076922</v>
      </c>
      <c r="M574" s="99">
        <f t="shared" si="36"/>
        <v>-769630.35587692307</v>
      </c>
    </row>
    <row r="575" spans="1:13" ht="25.5" x14ac:dyDescent="0.2">
      <c r="A575" s="35">
        <v>47</v>
      </c>
      <c r="B575" s="1473">
        <v>2440</v>
      </c>
      <c r="C575" s="1474" t="s">
        <v>1419</v>
      </c>
      <c r="D575" s="95">
        <v>-862910.45299999998</v>
      </c>
      <c r="E575" s="95">
        <v>-66950</v>
      </c>
      <c r="F575" s="95">
        <v>0</v>
      </c>
      <c r="G575" s="96">
        <f t="shared" si="37"/>
        <v>-929860.45299999998</v>
      </c>
      <c r="H575" s="97"/>
      <c r="I575" s="98">
        <v>-49523.776588888883</v>
      </c>
      <c r="J575" s="98">
        <v>-19919.676733333334</v>
      </c>
      <c r="K575" s="98">
        <v>0</v>
      </c>
      <c r="L575" s="96">
        <f t="shared" si="38"/>
        <v>-69443.453322222224</v>
      </c>
      <c r="M575" s="99">
        <f t="shared" ref="M575:M583" si="39">G575-L575</f>
        <v>-860416.99967777776</v>
      </c>
    </row>
    <row r="576" spans="1:13" ht="25.5" x14ac:dyDescent="0.2">
      <c r="A576" s="35">
        <v>47</v>
      </c>
      <c r="B576" s="1473">
        <v>2440</v>
      </c>
      <c r="C576" s="1474" t="s">
        <v>1420</v>
      </c>
      <c r="D576" s="95">
        <v>-845079.75300000003</v>
      </c>
      <c r="E576" s="95">
        <v>-344450</v>
      </c>
      <c r="F576" s="95">
        <v>0</v>
      </c>
      <c r="G576" s="96">
        <f t="shared" si="37"/>
        <v>-1189529.753</v>
      </c>
      <c r="H576" s="97"/>
      <c r="I576" s="98">
        <v>-56546.157700000003</v>
      </c>
      <c r="J576" s="98">
        <v>-22606.772288888889</v>
      </c>
      <c r="K576" s="98">
        <v>0</v>
      </c>
      <c r="L576" s="96">
        <f t="shared" si="38"/>
        <v>-79152.929988888893</v>
      </c>
      <c r="M576" s="99">
        <f t="shared" si="39"/>
        <v>-1110376.8230111112</v>
      </c>
    </row>
    <row r="577" spans="1:13" ht="25.5" x14ac:dyDescent="0.2">
      <c r="A577" s="35">
        <v>47</v>
      </c>
      <c r="B577" s="1473">
        <v>2440</v>
      </c>
      <c r="C577" s="1474" t="s">
        <v>1421</v>
      </c>
      <c r="D577" s="95">
        <v>-1151762.6439999999</v>
      </c>
      <c r="E577" s="95">
        <v>-72100</v>
      </c>
      <c r="F577" s="95">
        <v>0</v>
      </c>
      <c r="G577" s="96">
        <f t="shared" si="37"/>
        <v>-1223862.6439999999</v>
      </c>
      <c r="H577" s="97"/>
      <c r="I577" s="98">
        <v>-57326.261933333342</v>
      </c>
      <c r="J577" s="98">
        <v>-26395.836533333335</v>
      </c>
      <c r="K577" s="98">
        <v>0</v>
      </c>
      <c r="L577" s="96">
        <f t="shared" si="38"/>
        <v>-83722.098466666677</v>
      </c>
      <c r="M577" s="99">
        <f t="shared" si="39"/>
        <v>-1140140.5455333332</v>
      </c>
    </row>
    <row r="578" spans="1:13" x14ac:dyDescent="0.2">
      <c r="A578" s="35">
        <v>47</v>
      </c>
      <c r="B578" s="1473">
        <v>2440</v>
      </c>
      <c r="C578" s="1474" t="s">
        <v>1422</v>
      </c>
      <c r="D578" s="95">
        <v>-84595.513000000006</v>
      </c>
      <c r="E578" s="95">
        <v>-15450</v>
      </c>
      <c r="F578" s="95">
        <v>0</v>
      </c>
      <c r="G578" s="96">
        <f t="shared" si="37"/>
        <v>-100045.51300000001</v>
      </c>
      <c r="H578" s="97"/>
      <c r="I578" s="98">
        <v>-7091.5464599999996</v>
      </c>
      <c r="J578" s="98">
        <v>-3692.8165200000003</v>
      </c>
      <c r="K578" s="98">
        <v>0</v>
      </c>
      <c r="L578" s="96">
        <f t="shared" si="38"/>
        <v>-10784.36298</v>
      </c>
      <c r="M578" s="99">
        <f t="shared" si="39"/>
        <v>-89261.150020000001</v>
      </c>
    </row>
    <row r="579" spans="1:13" x14ac:dyDescent="0.2">
      <c r="A579" s="35">
        <v>47</v>
      </c>
      <c r="B579" s="1473">
        <v>2440</v>
      </c>
      <c r="C579" s="1474" t="s">
        <v>1423</v>
      </c>
      <c r="D579" s="95">
        <v>0</v>
      </c>
      <c r="E579" s="95">
        <v>0</v>
      </c>
      <c r="F579" s="95">
        <v>0</v>
      </c>
      <c r="G579" s="96">
        <f t="shared" si="37"/>
        <v>0</v>
      </c>
      <c r="H579" s="97"/>
      <c r="I579" s="98">
        <v>0</v>
      </c>
      <c r="J579" s="98">
        <v>0</v>
      </c>
      <c r="K579" s="98">
        <v>0</v>
      </c>
      <c r="L579" s="96">
        <f t="shared" si="38"/>
        <v>0</v>
      </c>
      <c r="M579" s="99">
        <f t="shared" si="39"/>
        <v>0</v>
      </c>
    </row>
    <row r="580" spans="1:13" ht="25.5" x14ac:dyDescent="0.2">
      <c r="A580" s="35">
        <v>47</v>
      </c>
      <c r="B580" s="1473">
        <v>2440</v>
      </c>
      <c r="C580" s="1474" t="s">
        <v>1424</v>
      </c>
      <c r="D580" s="95">
        <v>0</v>
      </c>
      <c r="E580" s="95">
        <v>0</v>
      </c>
      <c r="F580" s="95">
        <v>0</v>
      </c>
      <c r="G580" s="96">
        <f t="shared" si="37"/>
        <v>0</v>
      </c>
      <c r="H580" s="97"/>
      <c r="I580" s="98">
        <v>0</v>
      </c>
      <c r="J580" s="98">
        <v>0</v>
      </c>
      <c r="K580" s="98">
        <v>0</v>
      </c>
      <c r="L580" s="96">
        <f t="shared" si="38"/>
        <v>0</v>
      </c>
      <c r="M580" s="99">
        <f t="shared" si="39"/>
        <v>0</v>
      </c>
    </row>
    <row r="581" spans="1:13" x14ac:dyDescent="0.2">
      <c r="A581" s="35">
        <v>47</v>
      </c>
      <c r="B581" s="1473">
        <v>2440</v>
      </c>
      <c r="C581" s="1474" t="s">
        <v>1425</v>
      </c>
      <c r="D581" s="95">
        <v>-160000</v>
      </c>
      <c r="E581" s="95">
        <v>0</v>
      </c>
      <c r="F581" s="95">
        <v>0</v>
      </c>
      <c r="G581" s="96">
        <f t="shared" si="37"/>
        <v>-160000</v>
      </c>
      <c r="H581" s="97"/>
      <c r="I581" s="98">
        <v>-1777.7777777777778</v>
      </c>
      <c r="J581" s="98">
        <v>-3555.5555555555557</v>
      </c>
      <c r="K581" s="98">
        <v>0</v>
      </c>
      <c r="L581" s="96">
        <f t="shared" si="38"/>
        <v>-5333.3333333333339</v>
      </c>
      <c r="M581" s="99">
        <f t="shared" si="39"/>
        <v>-154666.66666666666</v>
      </c>
    </row>
    <row r="582" spans="1:13" x14ac:dyDescent="0.2">
      <c r="A582" s="35">
        <v>43.1</v>
      </c>
      <c r="B582" s="1473">
        <v>2440</v>
      </c>
      <c r="C582" s="1474" t="s">
        <v>1426</v>
      </c>
      <c r="D582" s="95">
        <v>0</v>
      </c>
      <c r="E582" s="95">
        <v>-144136</v>
      </c>
      <c r="F582" s="95">
        <v>0</v>
      </c>
      <c r="G582" s="96">
        <f t="shared" si="37"/>
        <v>-144136</v>
      </c>
      <c r="H582" s="97"/>
      <c r="I582" s="98">
        <v>0</v>
      </c>
      <c r="J582" s="98">
        <v>-7206.8</v>
      </c>
      <c r="K582" s="98">
        <v>0</v>
      </c>
      <c r="L582" s="96">
        <f t="shared" si="38"/>
        <v>-7206.8</v>
      </c>
      <c r="M582" s="99">
        <f t="shared" si="39"/>
        <v>-136929.20000000001</v>
      </c>
    </row>
    <row r="583" spans="1:13" x14ac:dyDescent="0.2">
      <c r="A583" s="106"/>
      <c r="B583" s="106"/>
      <c r="C583" s="107"/>
      <c r="D583" s="95">
        <v>0</v>
      </c>
      <c r="E583" s="95">
        <v>0</v>
      </c>
      <c r="F583" s="95">
        <v>0</v>
      </c>
      <c r="G583" s="96">
        <f t="shared" si="37"/>
        <v>0</v>
      </c>
      <c r="I583" s="98">
        <v>0</v>
      </c>
      <c r="J583" s="98">
        <v>0</v>
      </c>
      <c r="K583" s="98">
        <v>0</v>
      </c>
      <c r="L583" s="96">
        <f t="shared" si="38"/>
        <v>0</v>
      </c>
      <c r="M583" s="99">
        <f t="shared" si="39"/>
        <v>0</v>
      </c>
    </row>
    <row r="584" spans="1:13" x14ac:dyDescent="0.2">
      <c r="A584" s="106"/>
      <c r="B584" s="106"/>
      <c r="C584" s="109" t="s">
        <v>180</v>
      </c>
      <c r="D584" s="110">
        <f>SUM(D511:D583)</f>
        <v>52619959.785000004</v>
      </c>
      <c r="E584" s="110">
        <f>SUM(E511:E583)</f>
        <v>5061454</v>
      </c>
      <c r="F584" s="110">
        <f>SUM(F511:F583)</f>
        <v>0</v>
      </c>
      <c r="G584" s="110">
        <f>SUM(G511:G583)</f>
        <v>57681413.785000011</v>
      </c>
      <c r="H584" s="110"/>
      <c r="I584" s="110">
        <f>SUM(I511:I583)</f>
        <v>26213823.806958478</v>
      </c>
      <c r="J584" s="110">
        <f>SUM(J511:J583)</f>
        <v>1126501.625780629</v>
      </c>
      <c r="K584" s="110">
        <f>SUM(K511:K583)</f>
        <v>0</v>
      </c>
      <c r="L584" s="110">
        <f>SUM(L511:L583)</f>
        <v>27340325.432739105</v>
      </c>
      <c r="M584" s="110">
        <f>SUM(M511:M583)</f>
        <v>30341088.352260899</v>
      </c>
    </row>
    <row r="585" spans="1:13" ht="37.5" x14ac:dyDescent="0.2">
      <c r="A585" s="106"/>
      <c r="B585" s="106"/>
      <c r="C585" s="111" t="s">
        <v>541</v>
      </c>
      <c r="D585" s="108"/>
      <c r="E585" s="108"/>
      <c r="F585" s="108"/>
      <c r="G585" s="96">
        <f>D585+E585+F585</f>
        <v>0</v>
      </c>
      <c r="I585" s="108"/>
      <c r="J585" s="108"/>
      <c r="K585" s="108"/>
      <c r="L585" s="96">
        <f>I585+J585+K585</f>
        <v>0</v>
      </c>
      <c r="M585" s="99">
        <f>G585+L585</f>
        <v>0</v>
      </c>
    </row>
    <row r="586" spans="1:13" ht="25.5" x14ac:dyDescent="0.2">
      <c r="A586" s="106"/>
      <c r="B586" s="106"/>
      <c r="C586" s="112" t="s">
        <v>540</v>
      </c>
      <c r="D586" s="108"/>
      <c r="E586" s="108"/>
      <c r="F586" s="108"/>
      <c r="G586" s="96">
        <f>D586+E586+F586</f>
        <v>0</v>
      </c>
      <c r="I586" s="108"/>
      <c r="J586" s="108"/>
      <c r="K586" s="108"/>
      <c r="L586" s="96">
        <f>I586+J586+K586</f>
        <v>0</v>
      </c>
      <c r="M586" s="99">
        <f>G586+L586</f>
        <v>0</v>
      </c>
    </row>
    <row r="587" spans="1:13" x14ac:dyDescent="0.2">
      <c r="A587" s="106"/>
      <c r="B587" s="106"/>
      <c r="C587" s="109" t="s">
        <v>450</v>
      </c>
      <c r="D587" s="110">
        <f>SUM(D584:D586)</f>
        <v>52619959.785000004</v>
      </c>
      <c r="E587" s="110">
        <f>SUM(E584:E586)</f>
        <v>5061454</v>
      </c>
      <c r="F587" s="110">
        <f>SUM(F584:F586)</f>
        <v>0</v>
      </c>
      <c r="G587" s="110">
        <f>SUM(G584:G586)</f>
        <v>57681413.785000011</v>
      </c>
      <c r="H587" s="110"/>
      <c r="I587" s="110">
        <f>SUM(I584:I586)</f>
        <v>26213823.806958478</v>
      </c>
      <c r="J587" s="110">
        <f>SUM(J584:J586)</f>
        <v>1126501.625780629</v>
      </c>
      <c r="K587" s="110">
        <f>SUM(K584:K586)</f>
        <v>0</v>
      </c>
      <c r="L587" s="110">
        <f>SUM(L584:L586)</f>
        <v>27340325.432739105</v>
      </c>
      <c r="M587" s="110">
        <f>SUM(M584:M586)</f>
        <v>30341088.352260899</v>
      </c>
    </row>
    <row r="588" spans="1:13" ht="14.25" x14ac:dyDescent="0.2">
      <c r="A588" s="106"/>
      <c r="B588" s="106"/>
      <c r="C588" s="1674" t="s">
        <v>848</v>
      </c>
      <c r="D588" s="1675"/>
      <c r="E588" s="1675"/>
      <c r="F588" s="1675"/>
      <c r="G588" s="1675"/>
      <c r="H588" s="1675"/>
      <c r="I588" s="1676"/>
      <c r="J588" s="108"/>
      <c r="K588" s="113"/>
      <c r="L588" s="114"/>
      <c r="M588" s="115"/>
    </row>
    <row r="589" spans="1:13" x14ac:dyDescent="0.2">
      <c r="A589" s="106"/>
      <c r="B589" s="106"/>
      <c r="C589" s="1674" t="s">
        <v>272</v>
      </c>
      <c r="D589" s="1675"/>
      <c r="E589" s="1675"/>
      <c r="F589" s="1675"/>
      <c r="G589" s="1675"/>
      <c r="H589" s="1675"/>
      <c r="I589" s="1676"/>
      <c r="J589" s="110">
        <f>J587+J588</f>
        <v>1126501.625780629</v>
      </c>
      <c r="K589" s="113"/>
      <c r="L589" s="114"/>
      <c r="M589" s="115"/>
    </row>
    <row r="590" spans="1:13" x14ac:dyDescent="0.2">
      <c r="A590" s="1498"/>
      <c r="B590" s="1498"/>
    </row>
    <row r="591" spans="1:13" x14ac:dyDescent="0.2">
      <c r="A591" s="1498"/>
      <c r="B591" s="1498"/>
      <c r="I591" s="116" t="s">
        <v>379</v>
      </c>
      <c r="J591" s="1499"/>
    </row>
    <row r="592" spans="1:13" x14ac:dyDescent="0.2">
      <c r="A592" s="106">
        <v>10</v>
      </c>
      <c r="B592" s="106"/>
      <c r="C592" s="107" t="s">
        <v>273</v>
      </c>
      <c r="I592" s="1499" t="s">
        <v>273</v>
      </c>
      <c r="J592" s="1499"/>
      <c r="K592" s="117">
        <v>-112883.659</v>
      </c>
    </row>
    <row r="593" spans="1:11" x14ac:dyDescent="0.2">
      <c r="A593" s="106">
        <v>8</v>
      </c>
      <c r="B593" s="106"/>
      <c r="C593" s="107" t="s">
        <v>264</v>
      </c>
      <c r="I593" s="1499" t="s">
        <v>264</v>
      </c>
      <c r="J593" s="1499"/>
      <c r="K593" s="117">
        <v>-365.67</v>
      </c>
    </row>
    <row r="594" spans="1:11" x14ac:dyDescent="0.2">
      <c r="A594" s="106">
        <v>8</v>
      </c>
      <c r="B594" s="106"/>
      <c r="C594" s="1480" t="s">
        <v>1433</v>
      </c>
      <c r="I594" s="1477" t="s">
        <v>1433</v>
      </c>
      <c r="J594" s="1499"/>
      <c r="K594" s="117">
        <v>0</v>
      </c>
    </row>
    <row r="595" spans="1:11" x14ac:dyDescent="0.2">
      <c r="A595" s="106">
        <v>8</v>
      </c>
      <c r="B595" s="106"/>
      <c r="C595" s="1480" t="s">
        <v>1434</v>
      </c>
      <c r="I595" s="1477" t="s">
        <v>1434</v>
      </c>
      <c r="J595" s="1499"/>
      <c r="K595" s="117">
        <v>0</v>
      </c>
    </row>
    <row r="596" spans="1:11" x14ac:dyDescent="0.2">
      <c r="A596" s="106">
        <v>8</v>
      </c>
      <c r="B596" s="106"/>
      <c r="C596" s="1480" t="s">
        <v>791</v>
      </c>
      <c r="I596" s="1478">
        <v>1576</v>
      </c>
      <c r="J596" s="1499"/>
      <c r="K596" s="117">
        <v>0</v>
      </c>
    </row>
    <row r="597" spans="1:11" x14ac:dyDescent="0.2">
      <c r="A597" s="1498"/>
      <c r="B597" s="1498"/>
      <c r="I597" s="1479" t="s">
        <v>1435</v>
      </c>
      <c r="J597" s="1499"/>
      <c r="K597" s="117">
        <v>115513.27897384616</v>
      </c>
    </row>
    <row r="598" spans="1:11" x14ac:dyDescent="0.2">
      <c r="A598" s="1498"/>
      <c r="B598" s="1498"/>
      <c r="I598" s="118" t="s">
        <v>274</v>
      </c>
      <c r="K598" s="1481">
        <f>J589+K594+K592+K593+K595+K596+K597</f>
        <v>1128765.5757544751</v>
      </c>
    </row>
    <row r="599" spans="1:11" x14ac:dyDescent="0.2">
      <c r="A599" s="1498"/>
      <c r="B599" s="1498"/>
    </row>
  </sheetData>
  <mergeCells count="24">
    <mergeCell ref="B120:M122"/>
    <mergeCell ref="B111:M112"/>
    <mergeCell ref="B114:M114"/>
    <mergeCell ref="A9:M9"/>
    <mergeCell ref="A10:M10"/>
    <mergeCell ref="D15:G15"/>
    <mergeCell ref="C94:I94"/>
    <mergeCell ref="C95:I95"/>
    <mergeCell ref="B108:M109"/>
    <mergeCell ref="D127:G127"/>
    <mergeCell ref="C206:I206"/>
    <mergeCell ref="C207:I207"/>
    <mergeCell ref="D223:G223"/>
    <mergeCell ref="C302:I302"/>
    <mergeCell ref="C303:I303"/>
    <mergeCell ref="D318:G318"/>
    <mergeCell ref="C397:I397"/>
    <mergeCell ref="C398:I398"/>
    <mergeCell ref="D413:G413"/>
    <mergeCell ref="C492:I492"/>
    <mergeCell ref="C493:I493"/>
    <mergeCell ref="D509:G509"/>
    <mergeCell ref="C588:I588"/>
    <mergeCell ref="C589:I589"/>
  </mergeCells>
  <dataValidations disablePrompts="1" count="1">
    <dataValidation type="list" allowBlank="1" showErrorMessage="1" error="Use the following date format when inserting a date:_x000a__x000a_Eg:  &quot;January 1, 2013&quot;" prompt="Use the following format eg: January 1, 2013" sqref="F12 F124 F220 F315 F410 F506" xr:uid="{00000000-0002-0000-0A00-000000000000}">
      <formula1>"CGAAP, MIFRS,USGAAP, ASPE"</formula1>
    </dataValidation>
  </dataValidations>
  <printOptions horizontalCentered="1"/>
  <pageMargins left="0.74803149606299213" right="0.74803149606299213" top="0.74803149606299213" bottom="0.70866141732283472" header="0.51181102362204722" footer="0.51181102362204722"/>
  <pageSetup scale="50" fitToHeight="0" orientation="portrait"/>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rgb="FF00B0F0"/>
  </sheetPr>
  <dimension ref="A1:R113"/>
  <sheetViews>
    <sheetView showGridLines="0" zoomScale="90" zoomScaleNormal="90" workbookViewId="0"/>
  </sheetViews>
  <sheetFormatPr defaultColWidth="9.28515625" defaultRowHeight="12.75" x14ac:dyDescent="0.2"/>
  <cols>
    <col min="1" max="1" width="9.28515625" style="34"/>
    <col min="2" max="2" width="6.7109375" style="34" customWidth="1"/>
    <col min="3" max="3" width="27.28515625" style="34" customWidth="1"/>
    <col min="4" max="4" width="19.7109375" style="34" customWidth="1"/>
    <col min="5" max="5" width="10.7109375" style="34" customWidth="1"/>
    <col min="6" max="6" width="7.7109375" style="34" customWidth="1"/>
    <col min="7" max="7" width="7.42578125" style="34" customWidth="1"/>
    <col min="8" max="8" width="8.28515625" style="34" customWidth="1"/>
    <col min="9" max="9" width="1" style="34" customWidth="1"/>
    <col min="10" max="10" width="10.5703125" style="34" customWidth="1"/>
    <col min="11" max="11" width="34" style="34" customWidth="1"/>
    <col min="12" max="12" width="8" style="34" customWidth="1"/>
    <col min="13" max="13" width="8.5703125" style="34" customWidth="1"/>
    <col min="14" max="14" width="8.42578125" style="34" customWidth="1"/>
    <col min="15" max="15" width="7.5703125" style="34" customWidth="1"/>
    <col min="16" max="16" width="11" style="1498" customWidth="1"/>
    <col min="17" max="17" width="11.5703125" style="1498" customWidth="1"/>
    <col min="18" max="16384" width="9.28515625" style="34"/>
  </cols>
  <sheetData>
    <row r="1" spans="1:18" x14ac:dyDescent="0.2">
      <c r="A1" s="1498"/>
      <c r="B1" s="1498"/>
      <c r="C1" s="1498"/>
      <c r="N1" s="77" t="s">
        <v>277</v>
      </c>
      <c r="P1" s="1749" t="s">
        <v>1427</v>
      </c>
      <c r="Q1" s="1749"/>
      <c r="R1" s="1498"/>
    </row>
    <row r="2" spans="1:18" x14ac:dyDescent="0.2">
      <c r="A2" s="1498"/>
      <c r="B2" s="1498"/>
      <c r="C2" s="1498"/>
      <c r="N2" s="77" t="s">
        <v>278</v>
      </c>
      <c r="P2" s="1750"/>
      <c r="Q2" s="1750"/>
      <c r="R2" s="1498"/>
    </row>
    <row r="3" spans="1:18" x14ac:dyDescent="0.2">
      <c r="A3" s="1498"/>
      <c r="B3" s="1498"/>
      <c r="C3" s="1498"/>
      <c r="N3" s="77" t="s">
        <v>279</v>
      </c>
      <c r="P3" s="1750"/>
      <c r="Q3" s="1750"/>
      <c r="R3" s="1498"/>
    </row>
    <row r="4" spans="1:18" x14ac:dyDescent="0.2">
      <c r="A4" s="1498"/>
      <c r="B4" s="1498"/>
      <c r="C4" s="1498"/>
      <c r="N4" s="77" t="s">
        <v>280</v>
      </c>
      <c r="P4" s="1750"/>
      <c r="Q4" s="1750"/>
      <c r="R4" s="1498"/>
    </row>
    <row r="5" spans="1:18" x14ac:dyDescent="0.2">
      <c r="A5" s="1498"/>
      <c r="B5" s="1498"/>
      <c r="C5" s="1498"/>
      <c r="N5" s="77" t="s">
        <v>281</v>
      </c>
      <c r="P5" s="1751"/>
      <c r="Q5" s="1751"/>
      <c r="R5" s="1498"/>
    </row>
    <row r="6" spans="1:18" ht="9" customHeight="1" x14ac:dyDescent="0.2">
      <c r="A6" s="1498"/>
      <c r="B6" s="1498"/>
      <c r="C6" s="1498"/>
      <c r="N6" s="77"/>
      <c r="P6" s="1494"/>
      <c r="R6" s="1498"/>
    </row>
    <row r="7" spans="1:18" x14ac:dyDescent="0.2">
      <c r="A7" s="1498"/>
      <c r="B7" s="1498"/>
      <c r="C7" s="1498"/>
      <c r="N7" s="77" t="s">
        <v>282</v>
      </c>
      <c r="P7" s="1751"/>
      <c r="Q7" s="1751"/>
      <c r="R7" s="1498"/>
    </row>
    <row r="8" spans="1:18" ht="9" customHeight="1" x14ac:dyDescent="0.2">
      <c r="A8" s="1498"/>
      <c r="B8" s="1498"/>
      <c r="C8" s="1498"/>
      <c r="I8" s="81"/>
    </row>
    <row r="9" spans="1:18" ht="20.25" customHeight="1" x14ac:dyDescent="0.2">
      <c r="A9" s="1753" t="s">
        <v>451</v>
      </c>
      <c r="B9" s="1753"/>
      <c r="C9" s="1753"/>
      <c r="D9" s="1753"/>
      <c r="E9" s="1753"/>
      <c r="F9" s="1753"/>
      <c r="G9" s="1753"/>
      <c r="H9" s="1753"/>
      <c r="I9" s="1753"/>
      <c r="J9" s="1753"/>
      <c r="K9" s="1753"/>
      <c r="L9" s="1753"/>
      <c r="M9" s="1753"/>
      <c r="N9" s="1753"/>
      <c r="O9" s="1753"/>
      <c r="P9" s="1753"/>
      <c r="Q9" s="1753"/>
    </row>
    <row r="10" spans="1:18" ht="18" customHeight="1" x14ac:dyDescent="0.2">
      <c r="A10" s="1754" t="s">
        <v>452</v>
      </c>
      <c r="B10" s="1754"/>
      <c r="C10" s="1754"/>
      <c r="D10" s="1754"/>
      <c r="E10" s="1754"/>
      <c r="F10" s="1754"/>
      <c r="G10" s="1754"/>
      <c r="H10" s="1754"/>
      <c r="I10" s="1754"/>
      <c r="J10" s="1754"/>
      <c r="K10" s="1754"/>
      <c r="L10" s="1754"/>
      <c r="M10" s="1754"/>
      <c r="N10" s="1754"/>
      <c r="O10" s="1754"/>
      <c r="P10" s="1754"/>
      <c r="Q10" s="1754"/>
    </row>
    <row r="11" spans="1:18" ht="18" customHeight="1" x14ac:dyDescent="0.2">
      <c r="A11" s="1703" t="s">
        <v>801</v>
      </c>
      <c r="B11" s="1703"/>
      <c r="C11" s="1703"/>
      <c r="D11" s="1703"/>
      <c r="E11" s="1703"/>
      <c r="F11" s="1703"/>
      <c r="G11" s="1703"/>
      <c r="H11" s="1703"/>
      <c r="I11" s="1703"/>
      <c r="J11" s="1703"/>
      <c r="K11" s="1703"/>
      <c r="L11" s="1703"/>
      <c r="M11" s="1703"/>
      <c r="N11" s="1703"/>
      <c r="O11" s="1703"/>
      <c r="P11" s="1703"/>
      <c r="Q11" s="1703"/>
    </row>
    <row r="12" spans="1:18" ht="9" customHeight="1" x14ac:dyDescent="0.2">
      <c r="A12" s="1489"/>
      <c r="B12" s="1489"/>
      <c r="C12" s="1489"/>
      <c r="D12" s="1489"/>
      <c r="E12" s="1489"/>
      <c r="F12" s="1489"/>
      <c r="G12" s="1489"/>
      <c r="H12" s="1489"/>
      <c r="I12" s="1484"/>
      <c r="J12" s="842"/>
      <c r="K12" s="843"/>
      <c r="L12" s="843"/>
      <c r="M12" s="843"/>
      <c r="N12" s="843"/>
    </row>
    <row r="13" spans="1:18" ht="8.25" customHeight="1" x14ac:dyDescent="0.2">
      <c r="A13" s="1489"/>
      <c r="B13" s="1489"/>
      <c r="C13" s="1489"/>
      <c r="D13" s="1489"/>
      <c r="E13" s="1489"/>
      <c r="F13" s="1489"/>
      <c r="G13" s="1489"/>
      <c r="H13" s="1489"/>
      <c r="I13" s="1484"/>
      <c r="J13" s="842"/>
      <c r="K13" s="843"/>
      <c r="L13" s="843"/>
      <c r="M13" s="843"/>
      <c r="N13" s="843"/>
    </row>
    <row r="14" spans="1:18" ht="7.5" customHeight="1" x14ac:dyDescent="0.2"/>
    <row r="15" spans="1:18" ht="33.75" customHeight="1" x14ac:dyDescent="0.2">
      <c r="A15" s="844"/>
      <c r="B15" s="844"/>
      <c r="C15" s="1700" t="s">
        <v>739</v>
      </c>
      <c r="D15" s="1700"/>
      <c r="E15" s="1700"/>
      <c r="F15" s="1700" t="s">
        <v>740</v>
      </c>
      <c r="G15" s="1700"/>
      <c r="H15" s="1752"/>
      <c r="I15" s="845"/>
      <c r="J15" s="1701" t="s">
        <v>741</v>
      </c>
      <c r="K15" s="1701" t="s">
        <v>742</v>
      </c>
      <c r="L15" s="1699" t="s">
        <v>438</v>
      </c>
      <c r="M15" s="1699"/>
      <c r="N15" s="1697" t="s">
        <v>7</v>
      </c>
      <c r="O15" s="1697"/>
      <c r="P15" s="1699" t="s">
        <v>823</v>
      </c>
      <c r="Q15" s="1699"/>
    </row>
    <row r="16" spans="1:18" ht="30.75" thickBot="1" x14ac:dyDescent="0.25">
      <c r="A16" s="1495" t="s">
        <v>744</v>
      </c>
      <c r="B16" s="1495" t="s">
        <v>717</v>
      </c>
      <c r="C16" s="1755" t="s">
        <v>718</v>
      </c>
      <c r="D16" s="1755"/>
      <c r="E16" s="1755"/>
      <c r="F16" s="1495" t="s">
        <v>720</v>
      </c>
      <c r="G16" s="1495" t="s">
        <v>437</v>
      </c>
      <c r="H16" s="1490" t="s">
        <v>721</v>
      </c>
      <c r="I16" s="846"/>
      <c r="J16" s="1702"/>
      <c r="K16" s="1702"/>
      <c r="L16" s="847" t="s">
        <v>4</v>
      </c>
      <c r="M16" s="847" t="s">
        <v>8</v>
      </c>
      <c r="N16" s="848" t="s">
        <v>4</v>
      </c>
      <c r="O16" s="849" t="s">
        <v>8</v>
      </c>
      <c r="P16" s="1487" t="s">
        <v>824</v>
      </c>
      <c r="Q16" s="1487" t="s">
        <v>825</v>
      </c>
    </row>
    <row r="17" spans="1:17" x14ac:dyDescent="0.2">
      <c r="A17" s="1746" t="s">
        <v>706</v>
      </c>
      <c r="B17" s="1748">
        <v>1</v>
      </c>
      <c r="C17" s="1756" t="s">
        <v>716</v>
      </c>
      <c r="D17" s="1757" t="s">
        <v>710</v>
      </c>
      <c r="E17" s="1757"/>
      <c r="F17" s="1496">
        <v>35</v>
      </c>
      <c r="G17" s="1496">
        <v>45</v>
      </c>
      <c r="H17" s="850">
        <v>75</v>
      </c>
      <c r="I17" s="851"/>
      <c r="J17" s="122">
        <v>1830</v>
      </c>
      <c r="K17" s="122" t="s">
        <v>1623</v>
      </c>
      <c r="L17" s="122">
        <v>45</v>
      </c>
      <c r="M17" s="852">
        <f>IF(ISERROR(1/L17), "", 1/L17)</f>
        <v>2.2222222222222223E-2</v>
      </c>
      <c r="N17" s="35">
        <v>45</v>
      </c>
      <c r="O17" s="853">
        <f>IF(ISERROR(1/N17), "", 1/N17)</f>
        <v>2.2222222222222223E-2</v>
      </c>
      <c r="P17" s="106" t="str">
        <f>IF(ISBLANK(N17),"",IF(N17&lt;F17,"Yes","No"))</f>
        <v>No</v>
      </c>
      <c r="Q17" s="106" t="str">
        <f>IF(ISBLANK(N17),"",IF(N17&gt;H17,"Yes","No"))</f>
        <v>No</v>
      </c>
    </row>
    <row r="18" spans="1:17" x14ac:dyDescent="0.2">
      <c r="A18" s="1747"/>
      <c r="B18" s="1744"/>
      <c r="C18" s="1728"/>
      <c r="D18" s="1728" t="s">
        <v>707</v>
      </c>
      <c r="E18" s="1493" t="s">
        <v>711</v>
      </c>
      <c r="F18" s="1492">
        <v>20</v>
      </c>
      <c r="G18" s="1492">
        <v>40</v>
      </c>
      <c r="H18" s="854">
        <v>55</v>
      </c>
      <c r="I18" s="851"/>
      <c r="J18" s="122" t="s">
        <v>244</v>
      </c>
      <c r="K18" s="122"/>
      <c r="L18" s="122">
        <v>0</v>
      </c>
      <c r="M18" s="852" t="str">
        <f t="shared" ref="M18:M72" si="0">IF(ISERROR(1/L18), "", 1/L18)</f>
        <v/>
      </c>
      <c r="N18" s="35">
        <v>0</v>
      </c>
      <c r="O18" s="853" t="str">
        <f t="shared" ref="O18:O72" si="1">IF(ISERROR(1/N18), "", 1/N18)</f>
        <v/>
      </c>
      <c r="P18" s="106" t="str">
        <f t="shared" ref="P18:P72" si="2">IF(ISBLANK(N18),"",IF(N18&lt;F18,"Yes","No"))</f>
        <v>Yes</v>
      </c>
      <c r="Q18" s="106" t="str">
        <f t="shared" ref="Q18:Q72" si="3">IF(ISBLANK(N18),"",IF(N18&gt;H18,"Yes","No"))</f>
        <v>No</v>
      </c>
    </row>
    <row r="19" spans="1:17" x14ac:dyDescent="0.2">
      <c r="A19" s="1747"/>
      <c r="B19" s="1744"/>
      <c r="C19" s="1728"/>
      <c r="D19" s="1728"/>
      <c r="E19" s="1493" t="s">
        <v>712</v>
      </c>
      <c r="F19" s="1492">
        <v>30</v>
      </c>
      <c r="G19" s="1492">
        <v>70</v>
      </c>
      <c r="H19" s="854">
        <v>95</v>
      </c>
      <c r="I19" s="851"/>
      <c r="J19" s="122" t="s">
        <v>244</v>
      </c>
      <c r="K19" s="122"/>
      <c r="L19" s="122">
        <v>0</v>
      </c>
      <c r="M19" s="852" t="str">
        <f t="shared" si="0"/>
        <v/>
      </c>
      <c r="N19" s="35">
        <v>0</v>
      </c>
      <c r="O19" s="853" t="str">
        <f t="shared" si="1"/>
        <v/>
      </c>
      <c r="P19" s="106" t="str">
        <f t="shared" si="2"/>
        <v>Yes</v>
      </c>
      <c r="Q19" s="106" t="str">
        <f t="shared" si="3"/>
        <v>No</v>
      </c>
    </row>
    <row r="20" spans="1:17" x14ac:dyDescent="0.2">
      <c r="A20" s="1747"/>
      <c r="B20" s="1744">
        <v>2</v>
      </c>
      <c r="C20" s="1728" t="s">
        <v>719</v>
      </c>
      <c r="D20" s="1745" t="s">
        <v>710</v>
      </c>
      <c r="E20" s="1745"/>
      <c r="F20" s="1492">
        <v>50</v>
      </c>
      <c r="G20" s="1492">
        <v>60</v>
      </c>
      <c r="H20" s="854">
        <v>80</v>
      </c>
      <c r="I20" s="851"/>
      <c r="J20" s="122" t="s">
        <v>244</v>
      </c>
      <c r="K20" s="122"/>
      <c r="L20" s="122">
        <v>0</v>
      </c>
      <c r="M20" s="852" t="str">
        <f t="shared" si="0"/>
        <v/>
      </c>
      <c r="N20" s="35">
        <v>0</v>
      </c>
      <c r="O20" s="853" t="str">
        <f t="shared" si="1"/>
        <v/>
      </c>
      <c r="P20" s="106" t="str">
        <f t="shared" si="2"/>
        <v>Yes</v>
      </c>
      <c r="Q20" s="106" t="str">
        <f t="shared" si="3"/>
        <v>No</v>
      </c>
    </row>
    <row r="21" spans="1:17" x14ac:dyDescent="0.2">
      <c r="A21" s="1747"/>
      <c r="B21" s="1744"/>
      <c r="C21" s="1728"/>
      <c r="D21" s="1728" t="s">
        <v>707</v>
      </c>
      <c r="E21" s="1493" t="s">
        <v>711</v>
      </c>
      <c r="F21" s="1492">
        <v>20</v>
      </c>
      <c r="G21" s="1492">
        <v>40</v>
      </c>
      <c r="H21" s="854">
        <v>55</v>
      </c>
      <c r="I21" s="851"/>
      <c r="J21" s="122" t="s">
        <v>244</v>
      </c>
      <c r="K21" s="122"/>
      <c r="L21" s="122">
        <v>0</v>
      </c>
      <c r="M21" s="852" t="str">
        <f t="shared" si="0"/>
        <v/>
      </c>
      <c r="N21" s="35">
        <v>0</v>
      </c>
      <c r="O21" s="853" t="str">
        <f t="shared" si="1"/>
        <v/>
      </c>
      <c r="P21" s="106" t="str">
        <f t="shared" si="2"/>
        <v>Yes</v>
      </c>
      <c r="Q21" s="106" t="str">
        <f t="shared" si="3"/>
        <v>No</v>
      </c>
    </row>
    <row r="22" spans="1:17" x14ac:dyDescent="0.2">
      <c r="A22" s="1747"/>
      <c r="B22" s="1744"/>
      <c r="C22" s="1728"/>
      <c r="D22" s="1728"/>
      <c r="E22" s="1493" t="s">
        <v>712</v>
      </c>
      <c r="F22" s="1492">
        <v>30</v>
      </c>
      <c r="G22" s="1492">
        <v>70</v>
      </c>
      <c r="H22" s="854">
        <v>95</v>
      </c>
      <c r="I22" s="851"/>
      <c r="J22" s="122" t="s">
        <v>244</v>
      </c>
      <c r="K22" s="122"/>
      <c r="L22" s="122">
        <v>0</v>
      </c>
      <c r="M22" s="852" t="str">
        <f t="shared" si="0"/>
        <v/>
      </c>
      <c r="N22" s="35">
        <v>0</v>
      </c>
      <c r="O22" s="853" t="str">
        <f t="shared" si="1"/>
        <v/>
      </c>
      <c r="P22" s="106" t="str">
        <f t="shared" si="2"/>
        <v>Yes</v>
      </c>
      <c r="Q22" s="106" t="str">
        <f t="shared" si="3"/>
        <v>No</v>
      </c>
    </row>
    <row r="23" spans="1:17" x14ac:dyDescent="0.2">
      <c r="A23" s="1747"/>
      <c r="B23" s="1744">
        <v>3</v>
      </c>
      <c r="C23" s="1728" t="s">
        <v>709</v>
      </c>
      <c r="D23" s="1745" t="s">
        <v>710</v>
      </c>
      <c r="E23" s="1745"/>
      <c r="F23" s="1492">
        <v>60</v>
      </c>
      <c r="G23" s="1492">
        <v>60</v>
      </c>
      <c r="H23" s="854">
        <v>80</v>
      </c>
      <c r="I23" s="851"/>
      <c r="J23" s="122" t="s">
        <v>244</v>
      </c>
      <c r="K23" s="122"/>
      <c r="L23" s="122">
        <v>0</v>
      </c>
      <c r="M23" s="852" t="str">
        <f t="shared" si="0"/>
        <v/>
      </c>
      <c r="N23" s="35">
        <v>0</v>
      </c>
      <c r="O23" s="853" t="str">
        <f t="shared" si="1"/>
        <v/>
      </c>
      <c r="P23" s="106" t="str">
        <f t="shared" si="2"/>
        <v>Yes</v>
      </c>
      <c r="Q23" s="106" t="str">
        <f t="shared" si="3"/>
        <v>No</v>
      </c>
    </row>
    <row r="24" spans="1:17" x14ac:dyDescent="0.2">
      <c r="A24" s="1747"/>
      <c r="B24" s="1744"/>
      <c r="C24" s="1728"/>
      <c r="D24" s="1728" t="s">
        <v>707</v>
      </c>
      <c r="E24" s="1493" t="s">
        <v>711</v>
      </c>
      <c r="F24" s="1492">
        <v>20</v>
      </c>
      <c r="G24" s="1492">
        <v>40</v>
      </c>
      <c r="H24" s="854">
        <v>55</v>
      </c>
      <c r="I24" s="851"/>
      <c r="J24" s="122" t="s">
        <v>244</v>
      </c>
      <c r="K24" s="122"/>
      <c r="L24" s="122">
        <v>0</v>
      </c>
      <c r="M24" s="852" t="str">
        <f t="shared" si="0"/>
        <v/>
      </c>
      <c r="N24" s="35">
        <v>0</v>
      </c>
      <c r="O24" s="853" t="str">
        <f t="shared" si="1"/>
        <v/>
      </c>
      <c r="P24" s="106" t="str">
        <f t="shared" si="2"/>
        <v>Yes</v>
      </c>
      <c r="Q24" s="106" t="str">
        <f t="shared" si="3"/>
        <v>No</v>
      </c>
    </row>
    <row r="25" spans="1:17" x14ac:dyDescent="0.2">
      <c r="A25" s="1747"/>
      <c r="B25" s="1744"/>
      <c r="C25" s="1728"/>
      <c r="D25" s="1728"/>
      <c r="E25" s="1493" t="s">
        <v>712</v>
      </c>
      <c r="F25" s="1492">
        <v>30</v>
      </c>
      <c r="G25" s="1492">
        <v>70</v>
      </c>
      <c r="H25" s="854">
        <v>95</v>
      </c>
      <c r="I25" s="851"/>
      <c r="J25" s="122" t="s">
        <v>244</v>
      </c>
      <c r="K25" s="122"/>
      <c r="L25" s="122">
        <v>0</v>
      </c>
      <c r="M25" s="852" t="str">
        <f t="shared" si="0"/>
        <v/>
      </c>
      <c r="N25" s="35">
        <v>0</v>
      </c>
      <c r="O25" s="853" t="str">
        <f t="shared" si="1"/>
        <v/>
      </c>
      <c r="P25" s="106" t="str">
        <f t="shared" si="2"/>
        <v>Yes</v>
      </c>
      <c r="Q25" s="106" t="str">
        <f t="shared" si="3"/>
        <v>No</v>
      </c>
    </row>
    <row r="26" spans="1:17" x14ac:dyDescent="0.2">
      <c r="A26" s="1747"/>
      <c r="B26" s="1492">
        <v>4</v>
      </c>
      <c r="C26" s="1712" t="s">
        <v>722</v>
      </c>
      <c r="D26" s="1743"/>
      <c r="E26" s="1713"/>
      <c r="F26" s="1492">
        <v>30</v>
      </c>
      <c r="G26" s="1492">
        <v>45</v>
      </c>
      <c r="H26" s="854">
        <v>55</v>
      </c>
      <c r="I26" s="851"/>
      <c r="J26" s="122" t="s">
        <v>244</v>
      </c>
      <c r="K26" s="122"/>
      <c r="L26" s="122">
        <v>0</v>
      </c>
      <c r="M26" s="852" t="str">
        <f t="shared" si="0"/>
        <v/>
      </c>
      <c r="N26" s="35">
        <v>0</v>
      </c>
      <c r="O26" s="853" t="str">
        <f t="shared" si="1"/>
        <v/>
      </c>
      <c r="P26" s="106" t="str">
        <f t="shared" si="2"/>
        <v>Yes</v>
      </c>
      <c r="Q26" s="106" t="str">
        <f t="shared" si="3"/>
        <v>No</v>
      </c>
    </row>
    <row r="27" spans="1:17" x14ac:dyDescent="0.2">
      <c r="A27" s="1747"/>
      <c r="B27" s="1492">
        <v>5</v>
      </c>
      <c r="C27" s="1712" t="s">
        <v>723</v>
      </c>
      <c r="D27" s="1743"/>
      <c r="E27" s="1713"/>
      <c r="F27" s="1492">
        <v>15</v>
      </c>
      <c r="G27" s="1492">
        <v>25</v>
      </c>
      <c r="H27" s="854">
        <v>25</v>
      </c>
      <c r="I27" s="851"/>
      <c r="J27" s="122" t="s">
        <v>244</v>
      </c>
      <c r="K27" s="122"/>
      <c r="L27" s="122">
        <v>0</v>
      </c>
      <c r="M27" s="852" t="str">
        <f t="shared" si="0"/>
        <v/>
      </c>
      <c r="N27" s="35">
        <v>0</v>
      </c>
      <c r="O27" s="853" t="str">
        <f t="shared" si="1"/>
        <v/>
      </c>
      <c r="P27" s="106" t="str">
        <f t="shared" si="2"/>
        <v>Yes</v>
      </c>
      <c r="Q27" s="106" t="str">
        <f t="shared" si="3"/>
        <v>No</v>
      </c>
    </row>
    <row r="28" spans="1:17" x14ac:dyDescent="0.2">
      <c r="A28" s="1747"/>
      <c r="B28" s="1492">
        <v>6</v>
      </c>
      <c r="C28" s="1712" t="s">
        <v>724</v>
      </c>
      <c r="D28" s="1743"/>
      <c r="E28" s="1713"/>
      <c r="F28" s="1492">
        <v>15</v>
      </c>
      <c r="G28" s="1492">
        <v>20</v>
      </c>
      <c r="H28" s="854">
        <v>20</v>
      </c>
      <c r="I28" s="851"/>
      <c r="J28" s="122" t="s">
        <v>244</v>
      </c>
      <c r="K28" s="122"/>
      <c r="L28" s="122">
        <v>0</v>
      </c>
      <c r="M28" s="852" t="str">
        <f t="shared" si="0"/>
        <v/>
      </c>
      <c r="N28" s="35">
        <v>0</v>
      </c>
      <c r="O28" s="853" t="str">
        <f t="shared" si="1"/>
        <v/>
      </c>
      <c r="P28" s="106" t="str">
        <f t="shared" si="2"/>
        <v>Yes</v>
      </c>
      <c r="Q28" s="106" t="str">
        <f t="shared" si="3"/>
        <v>No</v>
      </c>
    </row>
    <row r="29" spans="1:17" x14ac:dyDescent="0.2">
      <c r="A29" s="1747"/>
      <c r="B29" s="1492">
        <v>7</v>
      </c>
      <c r="C29" s="1712" t="s">
        <v>725</v>
      </c>
      <c r="D29" s="1743"/>
      <c r="E29" s="1713"/>
      <c r="F29" s="1492">
        <v>35</v>
      </c>
      <c r="G29" s="1492">
        <v>45</v>
      </c>
      <c r="H29" s="854">
        <v>60</v>
      </c>
      <c r="I29" s="851"/>
      <c r="J29" s="122" t="s">
        <v>244</v>
      </c>
      <c r="K29" s="122"/>
      <c r="L29" s="122">
        <v>0</v>
      </c>
      <c r="M29" s="852" t="str">
        <f t="shared" si="0"/>
        <v/>
      </c>
      <c r="N29" s="35">
        <v>0</v>
      </c>
      <c r="O29" s="853" t="str">
        <f t="shared" si="1"/>
        <v/>
      </c>
      <c r="P29" s="106" t="str">
        <f t="shared" si="2"/>
        <v>Yes</v>
      </c>
      <c r="Q29" s="106" t="str">
        <f t="shared" si="3"/>
        <v>No</v>
      </c>
    </row>
    <row r="30" spans="1:17" x14ac:dyDescent="0.2">
      <c r="A30" s="1747"/>
      <c r="B30" s="1492">
        <v>8</v>
      </c>
      <c r="C30" s="1712" t="s">
        <v>726</v>
      </c>
      <c r="D30" s="1743"/>
      <c r="E30" s="1713"/>
      <c r="F30" s="1492">
        <v>50</v>
      </c>
      <c r="G30" s="1492">
        <v>60</v>
      </c>
      <c r="H30" s="854">
        <v>75</v>
      </c>
      <c r="I30" s="851"/>
      <c r="J30" s="122">
        <v>1835</v>
      </c>
      <c r="K30" s="122" t="s">
        <v>185</v>
      </c>
      <c r="L30" s="122">
        <v>60</v>
      </c>
      <c r="M30" s="852">
        <f t="shared" si="0"/>
        <v>1.6666666666666666E-2</v>
      </c>
      <c r="N30" s="35">
        <v>60</v>
      </c>
      <c r="O30" s="853">
        <f t="shared" si="1"/>
        <v>1.6666666666666666E-2</v>
      </c>
      <c r="P30" s="106" t="str">
        <f t="shared" si="2"/>
        <v>No</v>
      </c>
      <c r="Q30" s="106" t="str">
        <f t="shared" si="3"/>
        <v>No</v>
      </c>
    </row>
    <row r="31" spans="1:17" x14ac:dyDescent="0.2">
      <c r="A31" s="1747"/>
      <c r="B31" s="1576">
        <v>8</v>
      </c>
      <c r="C31" s="1712" t="s">
        <v>726</v>
      </c>
      <c r="D31" s="1743"/>
      <c r="E31" s="1713"/>
      <c r="F31" s="1576">
        <v>50</v>
      </c>
      <c r="G31" s="1576">
        <v>60</v>
      </c>
      <c r="H31" s="854">
        <v>75</v>
      </c>
      <c r="I31" s="851"/>
      <c r="J31" s="122">
        <v>1855</v>
      </c>
      <c r="K31" s="122" t="s">
        <v>1624</v>
      </c>
      <c r="L31" s="122">
        <v>60</v>
      </c>
      <c r="M31" s="852">
        <f t="shared" ref="M31:M32" si="4">IF(ISERROR(1/L31), "", 1/L31)</f>
        <v>1.6666666666666666E-2</v>
      </c>
      <c r="N31" s="35">
        <v>60</v>
      </c>
      <c r="O31" s="853">
        <f t="shared" ref="O31:O32" si="5">IF(ISERROR(1/N31), "", 1/N31)</f>
        <v>1.6666666666666666E-2</v>
      </c>
      <c r="P31" s="106" t="str">
        <f t="shared" ref="P31:P32" si="6">IF(ISBLANK(N31),"",IF(N31&lt;F31,"Yes","No"))</f>
        <v>No</v>
      </c>
      <c r="Q31" s="106" t="str">
        <f t="shared" ref="Q31:Q32" si="7">IF(ISBLANK(N31),"",IF(N31&gt;H31,"Yes","No"))</f>
        <v>No</v>
      </c>
    </row>
    <row r="32" spans="1:17" x14ac:dyDescent="0.2">
      <c r="A32" s="1747"/>
      <c r="B32" s="1492">
        <v>9</v>
      </c>
      <c r="C32" s="1712" t="s">
        <v>727</v>
      </c>
      <c r="D32" s="1743"/>
      <c r="E32" s="1713"/>
      <c r="F32" s="1492">
        <v>30</v>
      </c>
      <c r="G32" s="1492">
        <v>40</v>
      </c>
      <c r="H32" s="854">
        <v>60</v>
      </c>
      <c r="I32" s="851"/>
      <c r="J32" s="122">
        <v>1850</v>
      </c>
      <c r="K32" s="122" t="s">
        <v>250</v>
      </c>
      <c r="L32" s="122">
        <v>45</v>
      </c>
      <c r="M32" s="852">
        <f t="shared" si="4"/>
        <v>2.2222222222222223E-2</v>
      </c>
      <c r="N32" s="35">
        <v>45</v>
      </c>
      <c r="O32" s="853">
        <f t="shared" si="5"/>
        <v>2.2222222222222223E-2</v>
      </c>
      <c r="P32" s="106" t="str">
        <f t="shared" si="6"/>
        <v>No</v>
      </c>
      <c r="Q32" s="106" t="str">
        <f t="shared" si="7"/>
        <v>No</v>
      </c>
    </row>
    <row r="33" spans="1:17" x14ac:dyDescent="0.2">
      <c r="A33" s="1747"/>
      <c r="B33" s="1492">
        <v>10</v>
      </c>
      <c r="C33" s="1712" t="s">
        <v>728</v>
      </c>
      <c r="D33" s="1743"/>
      <c r="E33" s="1713"/>
      <c r="F33" s="1492">
        <v>25</v>
      </c>
      <c r="G33" s="1492">
        <v>30</v>
      </c>
      <c r="H33" s="854">
        <v>40</v>
      </c>
      <c r="I33" s="851"/>
      <c r="J33" s="122" t="s">
        <v>244</v>
      </c>
      <c r="K33" s="122"/>
      <c r="L33" s="122">
        <v>0</v>
      </c>
      <c r="M33" s="852" t="str">
        <f t="shared" si="0"/>
        <v/>
      </c>
      <c r="N33" s="35">
        <v>0</v>
      </c>
      <c r="O33" s="853" t="str">
        <f t="shared" si="1"/>
        <v/>
      </c>
      <c r="P33" s="106" t="str">
        <f t="shared" si="2"/>
        <v>Yes</v>
      </c>
      <c r="Q33" s="106" t="str">
        <f t="shared" si="3"/>
        <v>No</v>
      </c>
    </row>
    <row r="34" spans="1:17" ht="13.5" thickBot="1" x14ac:dyDescent="0.25">
      <c r="A34" s="1747"/>
      <c r="B34" s="1486">
        <v>11</v>
      </c>
      <c r="C34" s="1738" t="s">
        <v>729</v>
      </c>
      <c r="D34" s="1739"/>
      <c r="E34" s="1740"/>
      <c r="F34" s="1486">
        <v>25</v>
      </c>
      <c r="G34" s="1486">
        <v>40</v>
      </c>
      <c r="H34" s="855">
        <v>55</v>
      </c>
      <c r="I34" s="851"/>
      <c r="J34" s="122" t="s">
        <v>244</v>
      </c>
      <c r="K34" s="122"/>
      <c r="L34" s="122">
        <v>0</v>
      </c>
      <c r="M34" s="852" t="str">
        <f t="shared" si="0"/>
        <v/>
      </c>
      <c r="N34" s="35">
        <v>0</v>
      </c>
      <c r="O34" s="853" t="str">
        <f t="shared" si="1"/>
        <v/>
      </c>
      <c r="P34" s="106" t="str">
        <f t="shared" si="2"/>
        <v>Yes</v>
      </c>
      <c r="Q34" s="106" t="str">
        <f t="shared" si="3"/>
        <v>No</v>
      </c>
    </row>
    <row r="35" spans="1:17" x14ac:dyDescent="0.2">
      <c r="A35" s="1717" t="s">
        <v>708</v>
      </c>
      <c r="B35" s="1734">
        <v>12</v>
      </c>
      <c r="C35" s="1735" t="s">
        <v>730</v>
      </c>
      <c r="D35" s="1720" t="s">
        <v>710</v>
      </c>
      <c r="E35" s="1736"/>
      <c r="F35" s="1496">
        <v>30</v>
      </c>
      <c r="G35" s="1496">
        <v>45</v>
      </c>
      <c r="H35" s="850">
        <v>60</v>
      </c>
      <c r="I35" s="851"/>
      <c r="J35" s="122">
        <v>1815</v>
      </c>
      <c r="K35" s="122" t="s">
        <v>1625</v>
      </c>
      <c r="L35" s="122">
        <v>45</v>
      </c>
      <c r="M35" s="852">
        <f t="shared" si="0"/>
        <v>2.2222222222222223E-2</v>
      </c>
      <c r="N35" s="35">
        <v>45</v>
      </c>
      <c r="O35" s="853">
        <f t="shared" si="1"/>
        <v>2.2222222222222223E-2</v>
      </c>
      <c r="P35" s="106" t="str">
        <f t="shared" si="2"/>
        <v>No</v>
      </c>
      <c r="Q35" s="106" t="str">
        <f t="shared" si="3"/>
        <v>No</v>
      </c>
    </row>
    <row r="36" spans="1:17" x14ac:dyDescent="0.2">
      <c r="A36" s="1732"/>
      <c r="B36" s="1694"/>
      <c r="C36" s="1729"/>
      <c r="D36" s="1689" t="s">
        <v>731</v>
      </c>
      <c r="E36" s="1690"/>
      <c r="F36" s="1492">
        <v>10</v>
      </c>
      <c r="G36" s="1492">
        <v>20</v>
      </c>
      <c r="H36" s="854">
        <v>30</v>
      </c>
      <c r="I36" s="851"/>
      <c r="J36" s="122" t="s">
        <v>244</v>
      </c>
      <c r="K36" s="122"/>
      <c r="L36" s="122">
        <v>0</v>
      </c>
      <c r="M36" s="852" t="str">
        <f t="shared" si="0"/>
        <v/>
      </c>
      <c r="N36" s="35">
        <v>0</v>
      </c>
      <c r="O36" s="853" t="str">
        <f t="shared" si="1"/>
        <v/>
      </c>
      <c r="P36" s="106" t="str">
        <f t="shared" si="2"/>
        <v>Yes</v>
      </c>
      <c r="Q36" s="106" t="str">
        <f t="shared" si="3"/>
        <v>No</v>
      </c>
    </row>
    <row r="37" spans="1:17" x14ac:dyDescent="0.2">
      <c r="A37" s="1732"/>
      <c r="B37" s="1686"/>
      <c r="C37" s="1729"/>
      <c r="D37" s="1689" t="s">
        <v>732</v>
      </c>
      <c r="E37" s="1690"/>
      <c r="F37" s="1492">
        <v>20</v>
      </c>
      <c r="G37" s="1492">
        <v>30</v>
      </c>
      <c r="H37" s="854">
        <v>60</v>
      </c>
      <c r="I37" s="851"/>
      <c r="J37" s="122" t="s">
        <v>244</v>
      </c>
      <c r="K37" s="122"/>
      <c r="L37" s="122">
        <v>0</v>
      </c>
      <c r="M37" s="852" t="str">
        <f t="shared" si="0"/>
        <v/>
      </c>
      <c r="N37" s="35">
        <v>0</v>
      </c>
      <c r="O37" s="853" t="str">
        <f t="shared" si="1"/>
        <v/>
      </c>
      <c r="P37" s="106" t="str">
        <f t="shared" si="2"/>
        <v>Yes</v>
      </c>
      <c r="Q37" s="106" t="str">
        <f t="shared" si="3"/>
        <v>No</v>
      </c>
    </row>
    <row r="38" spans="1:17" x14ac:dyDescent="0.2">
      <c r="A38" s="1732"/>
      <c r="B38" s="106">
        <v>13</v>
      </c>
      <c r="C38" s="1737" t="s">
        <v>713</v>
      </c>
      <c r="D38" s="1723"/>
      <c r="E38" s="1724"/>
      <c r="F38" s="1492">
        <v>30</v>
      </c>
      <c r="G38" s="1492">
        <v>45</v>
      </c>
      <c r="H38" s="854">
        <v>55</v>
      </c>
      <c r="I38" s="851"/>
      <c r="J38" s="122" t="s">
        <v>244</v>
      </c>
      <c r="K38" s="122"/>
      <c r="L38" s="122">
        <v>0</v>
      </c>
      <c r="M38" s="852" t="str">
        <f t="shared" si="0"/>
        <v/>
      </c>
      <c r="N38" s="35">
        <v>0</v>
      </c>
      <c r="O38" s="853" t="str">
        <f t="shared" si="1"/>
        <v/>
      </c>
      <c r="P38" s="106" t="str">
        <f t="shared" si="2"/>
        <v>Yes</v>
      </c>
      <c r="Q38" s="106" t="str">
        <f t="shared" si="3"/>
        <v>No</v>
      </c>
    </row>
    <row r="39" spans="1:17" x14ac:dyDescent="0.2">
      <c r="A39" s="1732"/>
      <c r="B39" s="106">
        <v>14</v>
      </c>
      <c r="C39" s="1737" t="s">
        <v>733</v>
      </c>
      <c r="D39" s="1723"/>
      <c r="E39" s="1724"/>
      <c r="F39" s="1492">
        <v>30</v>
      </c>
      <c r="G39" s="1492">
        <v>40</v>
      </c>
      <c r="H39" s="854">
        <v>40</v>
      </c>
      <c r="I39" s="851"/>
      <c r="J39" s="122" t="s">
        <v>244</v>
      </c>
      <c r="K39" s="122"/>
      <c r="L39" s="122">
        <v>0</v>
      </c>
      <c r="M39" s="852" t="str">
        <f t="shared" si="0"/>
        <v/>
      </c>
      <c r="N39" s="35">
        <v>0</v>
      </c>
      <c r="O39" s="853" t="str">
        <f t="shared" si="1"/>
        <v/>
      </c>
      <c r="P39" s="106" t="str">
        <f t="shared" si="2"/>
        <v>Yes</v>
      </c>
      <c r="Q39" s="106" t="str">
        <f t="shared" si="3"/>
        <v>No</v>
      </c>
    </row>
    <row r="40" spans="1:17" x14ac:dyDescent="0.2">
      <c r="A40" s="1732"/>
      <c r="B40" s="1685">
        <v>15</v>
      </c>
      <c r="C40" s="1729" t="s">
        <v>714</v>
      </c>
      <c r="D40" s="1689" t="s">
        <v>710</v>
      </c>
      <c r="E40" s="1690"/>
      <c r="F40" s="1492">
        <v>10</v>
      </c>
      <c r="G40" s="1492">
        <v>20</v>
      </c>
      <c r="H40" s="854">
        <v>30</v>
      </c>
      <c r="I40" s="851"/>
      <c r="J40" s="122" t="s">
        <v>244</v>
      </c>
      <c r="K40" s="122"/>
      <c r="L40" s="122">
        <v>0</v>
      </c>
      <c r="M40" s="852" t="str">
        <f t="shared" si="0"/>
        <v/>
      </c>
      <c r="N40" s="35">
        <v>0</v>
      </c>
      <c r="O40" s="853" t="str">
        <f t="shared" si="1"/>
        <v/>
      </c>
      <c r="P40" s="106" t="str">
        <f t="shared" si="2"/>
        <v>Yes</v>
      </c>
      <c r="Q40" s="106" t="str">
        <f t="shared" si="3"/>
        <v>No</v>
      </c>
    </row>
    <row r="41" spans="1:17" x14ac:dyDescent="0.2">
      <c r="A41" s="1732"/>
      <c r="B41" s="1694"/>
      <c r="C41" s="1729"/>
      <c r="D41" s="1689" t="s">
        <v>734</v>
      </c>
      <c r="E41" s="1690"/>
      <c r="F41" s="1492">
        <v>10</v>
      </c>
      <c r="G41" s="1492">
        <v>15</v>
      </c>
      <c r="H41" s="854">
        <v>15</v>
      </c>
      <c r="I41" s="851"/>
      <c r="J41" s="122" t="s">
        <v>244</v>
      </c>
      <c r="K41" s="122"/>
      <c r="L41" s="122">
        <v>0</v>
      </c>
      <c r="M41" s="852" t="str">
        <f t="shared" si="0"/>
        <v/>
      </c>
      <c r="N41" s="35">
        <v>0</v>
      </c>
      <c r="O41" s="853" t="str">
        <f t="shared" si="1"/>
        <v/>
      </c>
      <c r="P41" s="106" t="str">
        <f t="shared" si="2"/>
        <v>Yes</v>
      </c>
      <c r="Q41" s="106" t="str">
        <f t="shared" si="3"/>
        <v>No</v>
      </c>
    </row>
    <row r="42" spans="1:17" x14ac:dyDescent="0.2">
      <c r="A42" s="1732"/>
      <c r="B42" s="1686"/>
      <c r="C42" s="1729"/>
      <c r="D42" s="1689" t="s">
        <v>715</v>
      </c>
      <c r="E42" s="1690"/>
      <c r="F42" s="1492">
        <v>20</v>
      </c>
      <c r="G42" s="1492">
        <v>20</v>
      </c>
      <c r="H42" s="854">
        <v>30</v>
      </c>
      <c r="I42" s="851"/>
      <c r="J42" s="122" t="s">
        <v>244</v>
      </c>
      <c r="K42" s="122"/>
      <c r="L42" s="122">
        <v>0</v>
      </c>
      <c r="M42" s="852" t="str">
        <f t="shared" si="0"/>
        <v/>
      </c>
      <c r="N42" s="35">
        <v>0</v>
      </c>
      <c r="O42" s="853" t="str">
        <f t="shared" si="1"/>
        <v/>
      </c>
      <c r="P42" s="106" t="str">
        <f t="shared" si="2"/>
        <v>Yes</v>
      </c>
      <c r="Q42" s="106" t="str">
        <f t="shared" si="3"/>
        <v>No</v>
      </c>
    </row>
    <row r="43" spans="1:17" x14ac:dyDescent="0.2">
      <c r="A43" s="1732"/>
      <c r="B43" s="1685">
        <v>16</v>
      </c>
      <c r="C43" s="107" t="s">
        <v>735</v>
      </c>
      <c r="D43" s="1689" t="s">
        <v>710</v>
      </c>
      <c r="E43" s="1690"/>
      <c r="F43" s="1492">
        <v>30</v>
      </c>
      <c r="G43" s="1492">
        <v>40</v>
      </c>
      <c r="H43" s="854">
        <v>60</v>
      </c>
      <c r="I43" s="851"/>
      <c r="J43" s="122" t="s">
        <v>244</v>
      </c>
      <c r="K43" s="122"/>
      <c r="L43" s="122">
        <v>0</v>
      </c>
      <c r="M43" s="852" t="str">
        <f t="shared" si="0"/>
        <v/>
      </c>
      <c r="N43" s="35">
        <v>0</v>
      </c>
      <c r="O43" s="853" t="str">
        <f t="shared" si="1"/>
        <v/>
      </c>
      <c r="P43" s="106" t="str">
        <f t="shared" si="2"/>
        <v>Yes</v>
      </c>
      <c r="Q43" s="106" t="str">
        <f t="shared" si="3"/>
        <v>No</v>
      </c>
    </row>
    <row r="44" spans="1:17" x14ac:dyDescent="0.2">
      <c r="A44" s="1732"/>
      <c r="B44" s="1686"/>
      <c r="C44" s="107"/>
      <c r="D44" s="1689" t="s">
        <v>736</v>
      </c>
      <c r="E44" s="1690"/>
      <c r="F44" s="1492">
        <v>25</v>
      </c>
      <c r="G44" s="1492">
        <v>40</v>
      </c>
      <c r="H44" s="854">
        <v>60</v>
      </c>
      <c r="I44" s="851"/>
      <c r="J44" s="122" t="s">
        <v>244</v>
      </c>
      <c r="K44" s="122"/>
      <c r="L44" s="122">
        <v>0</v>
      </c>
      <c r="M44" s="852" t="str">
        <f t="shared" si="0"/>
        <v/>
      </c>
      <c r="N44" s="35">
        <v>0</v>
      </c>
      <c r="O44" s="853" t="str">
        <f t="shared" si="1"/>
        <v/>
      </c>
      <c r="P44" s="106" t="str">
        <f t="shared" si="2"/>
        <v>Yes</v>
      </c>
      <c r="Q44" s="106" t="str">
        <f t="shared" si="3"/>
        <v>No</v>
      </c>
    </row>
    <row r="45" spans="1:17" x14ac:dyDescent="0.2">
      <c r="A45" s="1732"/>
      <c r="B45" s="1492">
        <v>17</v>
      </c>
      <c r="C45" s="1689" t="s">
        <v>737</v>
      </c>
      <c r="D45" s="1693"/>
      <c r="E45" s="1690"/>
      <c r="F45" s="1492">
        <v>35</v>
      </c>
      <c r="G45" s="1492">
        <v>45</v>
      </c>
      <c r="H45" s="854">
        <v>65</v>
      </c>
      <c r="I45" s="851"/>
      <c r="J45" s="122" t="s">
        <v>244</v>
      </c>
      <c r="K45" s="122"/>
      <c r="L45" s="122">
        <v>0</v>
      </c>
      <c r="M45" s="852" t="str">
        <f t="shared" si="0"/>
        <v/>
      </c>
      <c r="N45" s="35">
        <v>0</v>
      </c>
      <c r="O45" s="853" t="str">
        <f t="shared" si="1"/>
        <v/>
      </c>
      <c r="P45" s="106" t="str">
        <f t="shared" si="2"/>
        <v>Yes</v>
      </c>
      <c r="Q45" s="106" t="str">
        <f t="shared" si="3"/>
        <v>No</v>
      </c>
    </row>
    <row r="46" spans="1:17" ht="20.25" customHeight="1" x14ac:dyDescent="0.2">
      <c r="A46" s="1732"/>
      <c r="B46" s="1492">
        <v>18</v>
      </c>
      <c r="C46" s="1737" t="s">
        <v>738</v>
      </c>
      <c r="D46" s="1723"/>
      <c r="E46" s="1724"/>
      <c r="F46" s="1492">
        <v>30</v>
      </c>
      <c r="G46" s="1492">
        <v>50</v>
      </c>
      <c r="H46" s="854">
        <v>60</v>
      </c>
      <c r="I46" s="856"/>
      <c r="J46" s="122">
        <v>1815</v>
      </c>
      <c r="K46" s="122" t="s">
        <v>1625</v>
      </c>
      <c r="L46" s="122">
        <v>55</v>
      </c>
      <c r="M46" s="852">
        <f t="shared" si="0"/>
        <v>1.8181818181818181E-2</v>
      </c>
      <c r="N46" s="35">
        <v>55</v>
      </c>
      <c r="O46" s="853">
        <f t="shared" si="1"/>
        <v>1.8181818181818181E-2</v>
      </c>
      <c r="P46" s="106" t="str">
        <f t="shared" si="2"/>
        <v>No</v>
      </c>
      <c r="Q46" s="106" t="str">
        <f t="shared" si="3"/>
        <v>No</v>
      </c>
    </row>
    <row r="47" spans="1:17" x14ac:dyDescent="0.2">
      <c r="A47" s="1732"/>
      <c r="B47" s="1492">
        <v>19</v>
      </c>
      <c r="C47" s="1689" t="s">
        <v>745</v>
      </c>
      <c r="D47" s="1723"/>
      <c r="E47" s="1724"/>
      <c r="F47" s="1492">
        <v>25</v>
      </c>
      <c r="G47" s="1492">
        <v>35</v>
      </c>
      <c r="H47" s="854">
        <v>50</v>
      </c>
      <c r="I47" s="857"/>
      <c r="J47" s="122" t="s">
        <v>244</v>
      </c>
      <c r="K47" s="122"/>
      <c r="L47" s="122">
        <v>0</v>
      </c>
      <c r="M47" s="852" t="str">
        <f t="shared" si="0"/>
        <v/>
      </c>
      <c r="N47" s="35">
        <v>0</v>
      </c>
      <c r="O47" s="853" t="str">
        <f t="shared" si="1"/>
        <v/>
      </c>
      <c r="P47" s="106" t="str">
        <f t="shared" si="2"/>
        <v>Yes</v>
      </c>
      <c r="Q47" s="106" t="str">
        <f t="shared" si="3"/>
        <v>No</v>
      </c>
    </row>
    <row r="48" spans="1:17" x14ac:dyDescent="0.2">
      <c r="A48" s="1732"/>
      <c r="B48" s="1492">
        <v>20</v>
      </c>
      <c r="C48" s="1689" t="s">
        <v>746</v>
      </c>
      <c r="D48" s="1723"/>
      <c r="E48" s="1724"/>
      <c r="F48" s="1492">
        <v>10</v>
      </c>
      <c r="G48" s="1492">
        <v>30</v>
      </c>
      <c r="H48" s="854">
        <v>45</v>
      </c>
      <c r="I48" s="857"/>
      <c r="J48" s="122" t="s">
        <v>244</v>
      </c>
      <c r="K48" s="122"/>
      <c r="L48" s="122">
        <v>0</v>
      </c>
      <c r="M48" s="852" t="str">
        <f t="shared" si="0"/>
        <v/>
      </c>
      <c r="N48" s="35">
        <v>0</v>
      </c>
      <c r="O48" s="853" t="str">
        <f t="shared" si="1"/>
        <v/>
      </c>
      <c r="P48" s="106" t="str">
        <f t="shared" si="2"/>
        <v>Yes</v>
      </c>
      <c r="Q48" s="106" t="str">
        <f t="shared" si="3"/>
        <v>No</v>
      </c>
    </row>
    <row r="49" spans="1:17" x14ac:dyDescent="0.2">
      <c r="A49" s="1732"/>
      <c r="B49" s="1492">
        <v>21</v>
      </c>
      <c r="C49" s="1689" t="s">
        <v>747</v>
      </c>
      <c r="D49" s="1723"/>
      <c r="E49" s="1724"/>
      <c r="F49" s="1492">
        <v>15</v>
      </c>
      <c r="G49" s="1492">
        <v>20</v>
      </c>
      <c r="H49" s="854">
        <v>20</v>
      </c>
      <c r="I49" s="857"/>
      <c r="J49" s="122" t="s">
        <v>244</v>
      </c>
      <c r="K49" s="122"/>
      <c r="L49" s="122">
        <v>0</v>
      </c>
      <c r="M49" s="852" t="str">
        <f t="shared" si="0"/>
        <v/>
      </c>
      <c r="N49" s="35">
        <v>0</v>
      </c>
      <c r="O49" s="853" t="str">
        <f t="shared" si="1"/>
        <v/>
      </c>
      <c r="P49" s="106" t="str">
        <f t="shared" si="2"/>
        <v>Yes</v>
      </c>
      <c r="Q49" s="106" t="str">
        <f t="shared" si="3"/>
        <v>No</v>
      </c>
    </row>
    <row r="50" spans="1:17" x14ac:dyDescent="0.2">
      <c r="A50" s="1732"/>
      <c r="B50" s="1492">
        <v>22</v>
      </c>
      <c r="C50" s="1689" t="s">
        <v>748</v>
      </c>
      <c r="D50" s="1723"/>
      <c r="E50" s="1724"/>
      <c r="F50" s="1492">
        <v>30</v>
      </c>
      <c r="G50" s="1492">
        <v>55</v>
      </c>
      <c r="H50" s="854">
        <v>60</v>
      </c>
      <c r="I50" s="857"/>
      <c r="J50" s="122" t="s">
        <v>244</v>
      </c>
      <c r="K50" s="122"/>
      <c r="L50" s="122">
        <v>0</v>
      </c>
      <c r="M50" s="852" t="str">
        <f t="shared" si="0"/>
        <v/>
      </c>
      <c r="N50" s="35">
        <v>0</v>
      </c>
      <c r="O50" s="853" t="str">
        <f t="shared" si="1"/>
        <v/>
      </c>
      <c r="P50" s="106" t="str">
        <f t="shared" si="2"/>
        <v>Yes</v>
      </c>
      <c r="Q50" s="106" t="str">
        <f t="shared" si="3"/>
        <v>No</v>
      </c>
    </row>
    <row r="51" spans="1:17" ht="13.5" thickBot="1" x14ac:dyDescent="0.25">
      <c r="A51" s="1733"/>
      <c r="B51" s="858">
        <v>23</v>
      </c>
      <c r="C51" s="1714" t="s">
        <v>749</v>
      </c>
      <c r="D51" s="1715"/>
      <c r="E51" s="1716"/>
      <c r="F51" s="858">
        <v>35</v>
      </c>
      <c r="G51" s="858">
        <v>50</v>
      </c>
      <c r="H51" s="859">
        <v>90</v>
      </c>
      <c r="I51" s="857"/>
      <c r="J51" s="122" t="s">
        <v>244</v>
      </c>
      <c r="K51" s="122"/>
      <c r="L51" s="122">
        <v>0</v>
      </c>
      <c r="M51" s="852" t="str">
        <f t="shared" si="0"/>
        <v/>
      </c>
      <c r="N51" s="35">
        <v>0</v>
      </c>
      <c r="O51" s="853" t="str">
        <f t="shared" si="1"/>
        <v/>
      </c>
      <c r="P51" s="106" t="str">
        <f t="shared" si="2"/>
        <v>Yes</v>
      </c>
      <c r="Q51" s="106" t="str">
        <f t="shared" si="3"/>
        <v>No</v>
      </c>
    </row>
    <row r="52" spans="1:17" x14ac:dyDescent="0.2">
      <c r="A52" s="1717" t="s">
        <v>770</v>
      </c>
      <c r="B52" s="1496">
        <v>24</v>
      </c>
      <c r="C52" s="1720" t="s">
        <v>750</v>
      </c>
      <c r="D52" s="1721"/>
      <c r="E52" s="1722"/>
      <c r="F52" s="1496">
        <v>60</v>
      </c>
      <c r="G52" s="1496">
        <v>65</v>
      </c>
      <c r="H52" s="850">
        <v>75</v>
      </c>
      <c r="I52" s="857"/>
      <c r="J52" s="122" t="s">
        <v>244</v>
      </c>
      <c r="K52" s="122"/>
      <c r="L52" s="122">
        <v>0</v>
      </c>
      <c r="M52" s="852" t="str">
        <f t="shared" si="0"/>
        <v/>
      </c>
      <c r="N52" s="35">
        <v>0</v>
      </c>
      <c r="O52" s="853" t="str">
        <f t="shared" si="1"/>
        <v/>
      </c>
      <c r="P52" s="106" t="str">
        <f t="shared" si="2"/>
        <v>Yes</v>
      </c>
      <c r="Q52" s="106" t="str">
        <f t="shared" si="3"/>
        <v>No</v>
      </c>
    </row>
    <row r="53" spans="1:17" x14ac:dyDescent="0.2">
      <c r="A53" s="1718"/>
      <c r="B53" s="1492">
        <v>25</v>
      </c>
      <c r="C53" s="1689" t="s">
        <v>751</v>
      </c>
      <c r="D53" s="1723"/>
      <c r="E53" s="1724"/>
      <c r="F53" s="1492">
        <v>20</v>
      </c>
      <c r="G53" s="1492">
        <v>25</v>
      </c>
      <c r="H53" s="854">
        <v>25</v>
      </c>
      <c r="I53" s="857"/>
      <c r="J53" s="122" t="s">
        <v>244</v>
      </c>
      <c r="K53" s="122"/>
      <c r="L53" s="122">
        <v>0</v>
      </c>
      <c r="M53" s="852" t="str">
        <f t="shared" si="0"/>
        <v/>
      </c>
      <c r="N53" s="35">
        <v>0</v>
      </c>
      <c r="O53" s="853" t="str">
        <f t="shared" si="1"/>
        <v/>
      </c>
      <c r="P53" s="106" t="str">
        <f t="shared" si="2"/>
        <v>Yes</v>
      </c>
      <c r="Q53" s="106" t="str">
        <f t="shared" si="3"/>
        <v>No</v>
      </c>
    </row>
    <row r="54" spans="1:17" ht="27" customHeight="1" x14ac:dyDescent="0.2">
      <c r="A54" s="1718"/>
      <c r="B54" s="1492">
        <v>26</v>
      </c>
      <c r="C54" s="1725" t="s">
        <v>769</v>
      </c>
      <c r="D54" s="1726"/>
      <c r="E54" s="1727"/>
      <c r="F54" s="1492">
        <v>20</v>
      </c>
      <c r="G54" s="1492">
        <v>25</v>
      </c>
      <c r="H54" s="854">
        <v>30</v>
      </c>
      <c r="I54" s="857"/>
      <c r="J54" s="122" t="s">
        <v>244</v>
      </c>
      <c r="K54" s="122"/>
      <c r="L54" s="122">
        <v>0</v>
      </c>
      <c r="M54" s="852" t="str">
        <f t="shared" si="0"/>
        <v/>
      </c>
      <c r="N54" s="35">
        <v>0</v>
      </c>
      <c r="O54" s="853" t="str">
        <f t="shared" si="1"/>
        <v/>
      </c>
      <c r="P54" s="106" t="str">
        <f t="shared" si="2"/>
        <v>Yes</v>
      </c>
      <c r="Q54" s="106" t="str">
        <f t="shared" si="3"/>
        <v>No</v>
      </c>
    </row>
    <row r="55" spans="1:17" x14ac:dyDescent="0.2">
      <c r="A55" s="1718"/>
      <c r="B55" s="1492">
        <v>27</v>
      </c>
      <c r="C55" s="1689" t="s">
        <v>752</v>
      </c>
      <c r="D55" s="1723"/>
      <c r="E55" s="1724"/>
      <c r="F55" s="1492">
        <v>20</v>
      </c>
      <c r="G55" s="1492">
        <v>25</v>
      </c>
      <c r="H55" s="854">
        <v>30</v>
      </c>
      <c r="I55" s="857"/>
      <c r="J55" s="122" t="s">
        <v>244</v>
      </c>
      <c r="K55" s="122"/>
      <c r="L55" s="122">
        <v>0</v>
      </c>
      <c r="M55" s="852" t="str">
        <f t="shared" si="0"/>
        <v/>
      </c>
      <c r="N55" s="35">
        <v>0</v>
      </c>
      <c r="O55" s="853" t="str">
        <f t="shared" si="1"/>
        <v/>
      </c>
      <c r="P55" s="106" t="str">
        <f t="shared" si="2"/>
        <v>Yes</v>
      </c>
      <c r="Q55" s="106" t="str">
        <f t="shared" si="3"/>
        <v>No</v>
      </c>
    </row>
    <row r="56" spans="1:17" x14ac:dyDescent="0.2">
      <c r="A56" s="1718"/>
      <c r="B56" s="1576">
        <v>29</v>
      </c>
      <c r="C56" s="1741" t="s">
        <v>1604</v>
      </c>
      <c r="D56" s="1742"/>
      <c r="E56" s="1742"/>
      <c r="F56" s="1576">
        <v>35</v>
      </c>
      <c r="G56" s="1576">
        <v>40</v>
      </c>
      <c r="H56" s="854">
        <v>55</v>
      </c>
      <c r="I56" s="857"/>
      <c r="J56" s="122">
        <v>1845</v>
      </c>
      <c r="K56" s="122" t="s">
        <v>187</v>
      </c>
      <c r="L56" s="122">
        <v>45</v>
      </c>
      <c r="M56" s="852"/>
      <c r="N56" s="35">
        <v>45</v>
      </c>
      <c r="O56" s="853"/>
      <c r="P56" s="106" t="str">
        <f t="shared" ref="P56" si="8">IF(ISBLANK(N56),"",IF(N56&lt;F56,"Yes","No"))</f>
        <v>No</v>
      </c>
      <c r="Q56" s="106" t="str">
        <f t="shared" ref="Q56" si="9">IF(ISBLANK(N56),"",IF(N56&gt;H56,"Yes","No"))</f>
        <v>No</v>
      </c>
    </row>
    <row r="57" spans="1:17" x14ac:dyDescent="0.2">
      <c r="A57" s="1718"/>
      <c r="B57" s="1492">
        <v>30</v>
      </c>
      <c r="C57" s="1728" t="s">
        <v>753</v>
      </c>
      <c r="D57" s="1729"/>
      <c r="E57" s="1729"/>
      <c r="F57" s="100">
        <v>70</v>
      </c>
      <c r="G57" s="1492">
        <v>75</v>
      </c>
      <c r="H57" s="854">
        <v>80</v>
      </c>
      <c r="I57" s="857"/>
      <c r="J57" s="122" t="s">
        <v>244</v>
      </c>
      <c r="K57" s="122"/>
      <c r="L57" s="122">
        <v>0</v>
      </c>
      <c r="M57" s="852" t="str">
        <f t="shared" si="0"/>
        <v/>
      </c>
      <c r="N57" s="35">
        <v>0</v>
      </c>
      <c r="O57" s="853" t="str">
        <f t="shared" si="1"/>
        <v/>
      </c>
      <c r="P57" s="106" t="str">
        <f t="shared" si="2"/>
        <v>Yes</v>
      </c>
      <c r="Q57" s="106" t="str">
        <f t="shared" si="3"/>
        <v>No</v>
      </c>
    </row>
    <row r="58" spans="1:17" x14ac:dyDescent="0.2">
      <c r="A58" s="1718"/>
      <c r="B58" s="1492">
        <v>31</v>
      </c>
      <c r="C58" s="1728" t="s">
        <v>754</v>
      </c>
      <c r="D58" s="1729"/>
      <c r="E58" s="1729"/>
      <c r="F58" s="100">
        <v>25</v>
      </c>
      <c r="G58" s="1492">
        <v>35</v>
      </c>
      <c r="H58" s="854">
        <v>40</v>
      </c>
      <c r="I58" s="857"/>
      <c r="J58" s="122" t="s">
        <v>244</v>
      </c>
      <c r="K58" s="122"/>
      <c r="L58" s="122">
        <v>0</v>
      </c>
      <c r="M58" s="852" t="str">
        <f t="shared" si="0"/>
        <v/>
      </c>
      <c r="N58" s="35">
        <v>0</v>
      </c>
      <c r="O58" s="853" t="str">
        <f t="shared" si="1"/>
        <v/>
      </c>
      <c r="P58" s="106" t="str">
        <f t="shared" si="2"/>
        <v>Yes</v>
      </c>
      <c r="Q58" s="106" t="str">
        <f t="shared" si="3"/>
        <v>No</v>
      </c>
    </row>
    <row r="59" spans="1:17" x14ac:dyDescent="0.2">
      <c r="A59" s="1718"/>
      <c r="B59" s="1492">
        <v>32</v>
      </c>
      <c r="C59" s="1728" t="s">
        <v>755</v>
      </c>
      <c r="D59" s="1729"/>
      <c r="E59" s="1729"/>
      <c r="F59" s="100">
        <v>35</v>
      </c>
      <c r="G59" s="1492">
        <v>40</v>
      </c>
      <c r="H59" s="854">
        <v>60</v>
      </c>
      <c r="I59" s="857"/>
      <c r="J59" s="122">
        <v>1855</v>
      </c>
      <c r="K59" s="122" t="s">
        <v>1626</v>
      </c>
      <c r="L59" s="122">
        <v>45</v>
      </c>
      <c r="M59" s="852">
        <f t="shared" si="0"/>
        <v>2.2222222222222223E-2</v>
      </c>
      <c r="N59" s="35">
        <v>45</v>
      </c>
      <c r="O59" s="853">
        <f t="shared" si="1"/>
        <v>2.2222222222222223E-2</v>
      </c>
      <c r="P59" s="106" t="str">
        <f t="shared" si="2"/>
        <v>No</v>
      </c>
      <c r="Q59" s="106" t="str">
        <f t="shared" si="3"/>
        <v>No</v>
      </c>
    </row>
    <row r="60" spans="1:17" x14ac:dyDescent="0.2">
      <c r="A60" s="1718"/>
      <c r="B60" s="1685">
        <v>33</v>
      </c>
      <c r="C60" s="1728" t="s">
        <v>756</v>
      </c>
      <c r="D60" s="1712" t="s">
        <v>710</v>
      </c>
      <c r="E60" s="1713"/>
      <c r="F60" s="100">
        <v>20</v>
      </c>
      <c r="G60" s="1492">
        <v>35</v>
      </c>
      <c r="H60" s="854">
        <v>50</v>
      </c>
      <c r="I60" s="857"/>
      <c r="J60" s="122" t="s">
        <v>244</v>
      </c>
      <c r="K60" s="122"/>
      <c r="L60" s="122">
        <v>0</v>
      </c>
      <c r="M60" s="852" t="str">
        <f t="shared" si="0"/>
        <v/>
      </c>
      <c r="N60" s="35">
        <v>0</v>
      </c>
      <c r="O60" s="853" t="str">
        <f t="shared" si="1"/>
        <v/>
      </c>
      <c r="P60" s="106" t="str">
        <f t="shared" si="2"/>
        <v>Yes</v>
      </c>
      <c r="Q60" s="106" t="str">
        <f t="shared" si="3"/>
        <v>No</v>
      </c>
    </row>
    <row r="61" spans="1:17" x14ac:dyDescent="0.2">
      <c r="A61" s="1718"/>
      <c r="B61" s="1686"/>
      <c r="C61" s="1728"/>
      <c r="D61" s="1712" t="s">
        <v>757</v>
      </c>
      <c r="E61" s="1713"/>
      <c r="F61" s="100">
        <v>20</v>
      </c>
      <c r="G61" s="1492">
        <v>35</v>
      </c>
      <c r="H61" s="854">
        <v>40</v>
      </c>
      <c r="I61" s="857"/>
      <c r="J61" s="122" t="s">
        <v>244</v>
      </c>
      <c r="K61" s="122"/>
      <c r="L61" s="122">
        <v>0</v>
      </c>
      <c r="M61" s="852" t="str">
        <f t="shared" si="0"/>
        <v/>
      </c>
      <c r="N61" s="35">
        <v>0</v>
      </c>
      <c r="O61" s="853" t="str">
        <f t="shared" si="1"/>
        <v/>
      </c>
      <c r="P61" s="106" t="str">
        <f t="shared" si="2"/>
        <v>Yes</v>
      </c>
      <c r="Q61" s="106" t="str">
        <f t="shared" si="3"/>
        <v>No</v>
      </c>
    </row>
    <row r="62" spans="1:17" x14ac:dyDescent="0.2">
      <c r="A62" s="1718"/>
      <c r="B62" s="1492">
        <v>34</v>
      </c>
      <c r="C62" s="1689" t="s">
        <v>758</v>
      </c>
      <c r="D62" s="1693"/>
      <c r="E62" s="1690"/>
      <c r="F62" s="100">
        <v>25</v>
      </c>
      <c r="G62" s="1492">
        <v>40</v>
      </c>
      <c r="H62" s="854">
        <v>45</v>
      </c>
      <c r="I62" s="857"/>
      <c r="J62" s="122">
        <v>1850</v>
      </c>
      <c r="K62" s="122" t="s">
        <v>250</v>
      </c>
      <c r="L62" s="122">
        <v>45</v>
      </c>
      <c r="M62" s="852">
        <f t="shared" si="0"/>
        <v>2.2222222222222223E-2</v>
      </c>
      <c r="N62" s="35">
        <v>45</v>
      </c>
      <c r="O62" s="853">
        <f t="shared" si="1"/>
        <v>2.2222222222222223E-2</v>
      </c>
      <c r="P62" s="106" t="str">
        <f t="shared" si="2"/>
        <v>No</v>
      </c>
      <c r="Q62" s="106" t="str">
        <f t="shared" si="3"/>
        <v>No</v>
      </c>
    </row>
    <row r="63" spans="1:17" x14ac:dyDescent="0.2">
      <c r="A63" s="1718"/>
      <c r="B63" s="1492">
        <v>35</v>
      </c>
      <c r="C63" s="1689" t="s">
        <v>759</v>
      </c>
      <c r="D63" s="1693"/>
      <c r="E63" s="1690"/>
      <c r="F63" s="100">
        <v>25</v>
      </c>
      <c r="G63" s="1492">
        <v>35</v>
      </c>
      <c r="H63" s="854">
        <v>45</v>
      </c>
      <c r="I63" s="857"/>
      <c r="J63" s="122" t="s">
        <v>244</v>
      </c>
      <c r="K63" s="122"/>
      <c r="L63" s="122">
        <v>0</v>
      </c>
      <c r="M63" s="852" t="str">
        <f t="shared" si="0"/>
        <v/>
      </c>
      <c r="N63" s="35">
        <v>0</v>
      </c>
      <c r="O63" s="853" t="str">
        <f t="shared" si="1"/>
        <v/>
      </c>
      <c r="P63" s="106" t="str">
        <f t="shared" si="2"/>
        <v>Yes</v>
      </c>
      <c r="Q63" s="106" t="str">
        <f t="shared" si="3"/>
        <v>No</v>
      </c>
    </row>
    <row r="64" spans="1:17" x14ac:dyDescent="0.2">
      <c r="A64" s="1718"/>
      <c r="B64" s="1492">
        <v>36</v>
      </c>
      <c r="C64" s="1689" t="s">
        <v>760</v>
      </c>
      <c r="D64" s="1693"/>
      <c r="E64" s="1690"/>
      <c r="F64" s="100">
        <v>35</v>
      </c>
      <c r="G64" s="1492">
        <v>55</v>
      </c>
      <c r="H64" s="854">
        <v>70</v>
      </c>
      <c r="I64" s="857"/>
      <c r="J64" s="122" t="s">
        <v>244</v>
      </c>
      <c r="K64" s="122"/>
      <c r="L64" s="122">
        <v>0</v>
      </c>
      <c r="M64" s="852" t="str">
        <f t="shared" si="0"/>
        <v/>
      </c>
      <c r="N64" s="35">
        <v>0</v>
      </c>
      <c r="O64" s="853" t="str">
        <f t="shared" si="1"/>
        <v/>
      </c>
      <c r="P64" s="106" t="str">
        <f t="shared" si="2"/>
        <v>Yes</v>
      </c>
      <c r="Q64" s="106" t="str">
        <f t="shared" si="3"/>
        <v>No</v>
      </c>
    </row>
    <row r="65" spans="1:17" x14ac:dyDescent="0.2">
      <c r="A65" s="1718"/>
      <c r="B65" s="1685">
        <v>37</v>
      </c>
      <c r="C65" s="1687" t="s">
        <v>761</v>
      </c>
      <c r="D65" s="1712" t="s">
        <v>710</v>
      </c>
      <c r="E65" s="1713"/>
      <c r="F65" s="100">
        <v>40</v>
      </c>
      <c r="G65" s="1492">
        <v>60</v>
      </c>
      <c r="H65" s="854">
        <v>80</v>
      </c>
      <c r="I65" s="857"/>
      <c r="J65" s="122" t="s">
        <v>244</v>
      </c>
      <c r="K65" s="122"/>
      <c r="L65" s="122">
        <v>0</v>
      </c>
      <c r="M65" s="852" t="str">
        <f t="shared" si="0"/>
        <v/>
      </c>
      <c r="N65" s="35">
        <v>0</v>
      </c>
      <c r="O65" s="853" t="str">
        <f t="shared" si="1"/>
        <v/>
      </c>
      <c r="P65" s="106" t="str">
        <f t="shared" si="2"/>
        <v>Yes</v>
      </c>
      <c r="Q65" s="106" t="str">
        <f t="shared" si="3"/>
        <v>No</v>
      </c>
    </row>
    <row r="66" spans="1:17" x14ac:dyDescent="0.2">
      <c r="A66" s="1718"/>
      <c r="B66" s="1686"/>
      <c r="C66" s="1688"/>
      <c r="D66" s="1712" t="s">
        <v>762</v>
      </c>
      <c r="E66" s="1713"/>
      <c r="F66" s="100">
        <v>20</v>
      </c>
      <c r="G66" s="1492">
        <v>30</v>
      </c>
      <c r="H66" s="854">
        <v>45</v>
      </c>
      <c r="I66" s="857"/>
      <c r="J66" s="122" t="s">
        <v>244</v>
      </c>
      <c r="K66" s="122"/>
      <c r="L66" s="122">
        <v>0</v>
      </c>
      <c r="M66" s="852" t="str">
        <f t="shared" si="0"/>
        <v/>
      </c>
      <c r="N66" s="35">
        <v>0</v>
      </c>
      <c r="O66" s="853" t="str">
        <f t="shared" si="1"/>
        <v/>
      </c>
      <c r="P66" s="106" t="str">
        <f t="shared" si="2"/>
        <v>Yes</v>
      </c>
      <c r="Q66" s="106" t="str">
        <f t="shared" si="3"/>
        <v>No</v>
      </c>
    </row>
    <row r="67" spans="1:17" x14ac:dyDescent="0.2">
      <c r="A67" s="1718"/>
      <c r="B67" s="1492">
        <v>38</v>
      </c>
      <c r="C67" s="1728" t="s">
        <v>768</v>
      </c>
      <c r="D67" s="1729"/>
      <c r="E67" s="1729"/>
      <c r="F67" s="100">
        <v>20</v>
      </c>
      <c r="G67" s="1492">
        <v>35</v>
      </c>
      <c r="H67" s="854">
        <v>50</v>
      </c>
      <c r="I67" s="857"/>
      <c r="J67" s="122" t="s">
        <v>244</v>
      </c>
      <c r="K67" s="122"/>
      <c r="L67" s="122">
        <v>0</v>
      </c>
      <c r="M67" s="852" t="str">
        <f t="shared" si="0"/>
        <v/>
      </c>
      <c r="N67" s="35">
        <v>0</v>
      </c>
      <c r="O67" s="853" t="str">
        <f t="shared" si="1"/>
        <v/>
      </c>
      <c r="P67" s="106" t="str">
        <f t="shared" si="2"/>
        <v>Yes</v>
      </c>
      <c r="Q67" s="106" t="str">
        <f t="shared" si="3"/>
        <v>No</v>
      </c>
    </row>
    <row r="68" spans="1:17" x14ac:dyDescent="0.2">
      <c r="A68" s="1718"/>
      <c r="B68" s="1492">
        <v>39</v>
      </c>
      <c r="C68" s="1728" t="s">
        <v>763</v>
      </c>
      <c r="D68" s="1729"/>
      <c r="E68" s="1729"/>
      <c r="F68" s="100">
        <v>20</v>
      </c>
      <c r="G68" s="1492">
        <v>30</v>
      </c>
      <c r="H68" s="854">
        <v>45</v>
      </c>
      <c r="I68" s="857"/>
      <c r="J68" s="122">
        <v>1845</v>
      </c>
      <c r="K68" s="122" t="s">
        <v>187</v>
      </c>
      <c r="L68" s="122">
        <v>45</v>
      </c>
      <c r="M68" s="852">
        <f t="shared" si="0"/>
        <v>2.2222222222222223E-2</v>
      </c>
      <c r="N68" s="122">
        <v>45</v>
      </c>
      <c r="O68" s="853">
        <f t="shared" si="1"/>
        <v>2.2222222222222223E-2</v>
      </c>
      <c r="P68" s="106" t="str">
        <f t="shared" si="2"/>
        <v>No</v>
      </c>
      <c r="Q68" s="106" t="str">
        <f t="shared" si="3"/>
        <v>No</v>
      </c>
    </row>
    <row r="69" spans="1:17" x14ac:dyDescent="0.2">
      <c r="A69" s="1718"/>
      <c r="B69" s="1492">
        <v>40</v>
      </c>
      <c r="C69" s="1728" t="s">
        <v>764</v>
      </c>
      <c r="D69" s="1729"/>
      <c r="E69" s="1729"/>
      <c r="F69" s="100">
        <v>30</v>
      </c>
      <c r="G69" s="1492">
        <v>50</v>
      </c>
      <c r="H69" s="854">
        <v>85</v>
      </c>
      <c r="I69" s="857"/>
      <c r="J69" s="122">
        <v>1840</v>
      </c>
      <c r="K69" s="122" t="s">
        <v>186</v>
      </c>
      <c r="L69" s="122">
        <v>65</v>
      </c>
      <c r="M69" s="852">
        <f t="shared" si="0"/>
        <v>1.5384615384615385E-2</v>
      </c>
      <c r="N69" s="122">
        <v>65</v>
      </c>
      <c r="O69" s="853">
        <f t="shared" si="1"/>
        <v>1.5384615384615385E-2</v>
      </c>
      <c r="P69" s="106" t="str">
        <f t="shared" si="2"/>
        <v>No</v>
      </c>
      <c r="Q69" s="106" t="str">
        <f t="shared" si="3"/>
        <v>No</v>
      </c>
    </row>
    <row r="70" spans="1:17" x14ac:dyDescent="0.2">
      <c r="A70" s="1718"/>
      <c r="B70" s="1492">
        <v>41</v>
      </c>
      <c r="C70" s="1728" t="s">
        <v>765</v>
      </c>
      <c r="D70" s="1729"/>
      <c r="E70" s="1729"/>
      <c r="F70" s="100">
        <v>35</v>
      </c>
      <c r="G70" s="1492">
        <v>55</v>
      </c>
      <c r="H70" s="854">
        <v>80</v>
      </c>
      <c r="I70" s="857"/>
      <c r="J70" s="122">
        <v>1840</v>
      </c>
      <c r="K70" s="122" t="s">
        <v>186</v>
      </c>
      <c r="L70" s="122">
        <v>65</v>
      </c>
      <c r="M70" s="852">
        <f t="shared" si="0"/>
        <v>1.5384615384615385E-2</v>
      </c>
      <c r="N70" s="122">
        <v>65</v>
      </c>
      <c r="O70" s="853">
        <f t="shared" si="1"/>
        <v>1.5384615384615385E-2</v>
      </c>
      <c r="P70" s="106" t="str">
        <f t="shared" si="2"/>
        <v>No</v>
      </c>
      <c r="Q70" s="106" t="str">
        <f t="shared" si="3"/>
        <v>No</v>
      </c>
    </row>
    <row r="71" spans="1:17" ht="13.5" thickBot="1" x14ac:dyDescent="0.25">
      <c r="A71" s="1719"/>
      <c r="B71" s="858">
        <v>42</v>
      </c>
      <c r="C71" s="1730" t="s">
        <v>766</v>
      </c>
      <c r="D71" s="1731"/>
      <c r="E71" s="1731"/>
      <c r="F71" s="860">
        <v>50</v>
      </c>
      <c r="G71" s="858">
        <v>60</v>
      </c>
      <c r="H71" s="859">
        <v>80</v>
      </c>
      <c r="I71" s="857"/>
      <c r="J71" s="122">
        <v>0</v>
      </c>
      <c r="K71" s="122"/>
      <c r="L71" s="122">
        <v>0</v>
      </c>
      <c r="M71" s="852" t="str">
        <f t="shared" si="0"/>
        <v/>
      </c>
      <c r="N71" s="122">
        <v>0</v>
      </c>
      <c r="O71" s="853" t="str">
        <f t="shared" si="1"/>
        <v/>
      </c>
      <c r="P71" s="106" t="str">
        <f t="shared" si="2"/>
        <v>Yes</v>
      </c>
      <c r="Q71" s="106" t="str">
        <f t="shared" si="3"/>
        <v>No</v>
      </c>
    </row>
    <row r="72" spans="1:17" ht="13.5" thickBot="1" x14ac:dyDescent="0.25">
      <c r="A72" s="861" t="s">
        <v>771</v>
      </c>
      <c r="B72" s="862">
        <v>43</v>
      </c>
      <c r="C72" s="1710" t="s">
        <v>767</v>
      </c>
      <c r="D72" s="1711"/>
      <c r="E72" s="1711"/>
      <c r="F72" s="863">
        <v>15</v>
      </c>
      <c r="G72" s="862">
        <v>20</v>
      </c>
      <c r="H72" s="864">
        <v>30</v>
      </c>
      <c r="I72" s="857"/>
      <c r="J72" s="122">
        <v>1980</v>
      </c>
      <c r="K72" s="122" t="s">
        <v>1627</v>
      </c>
      <c r="L72" s="122">
        <v>10</v>
      </c>
      <c r="M72" s="852">
        <f t="shared" si="0"/>
        <v>0.1</v>
      </c>
      <c r="N72" s="122">
        <v>10</v>
      </c>
      <c r="O72" s="853">
        <f t="shared" si="1"/>
        <v>0.1</v>
      </c>
      <c r="P72" s="106" t="str">
        <f t="shared" si="2"/>
        <v>Yes</v>
      </c>
      <c r="Q72" s="106" t="str">
        <f t="shared" si="3"/>
        <v>No</v>
      </c>
    </row>
    <row r="73" spans="1:17" x14ac:dyDescent="0.2">
      <c r="I73" s="857"/>
    </row>
    <row r="74" spans="1:17" x14ac:dyDescent="0.2">
      <c r="I74" s="857"/>
    </row>
    <row r="75" spans="1:17" ht="18" customHeight="1" x14ac:dyDescent="0.2">
      <c r="A75" s="1703" t="s">
        <v>802</v>
      </c>
      <c r="B75" s="1703"/>
      <c r="C75" s="1703"/>
      <c r="D75" s="1703"/>
      <c r="E75" s="1703"/>
      <c r="F75" s="1703"/>
      <c r="G75" s="1703"/>
      <c r="H75" s="1703"/>
      <c r="I75" s="857"/>
    </row>
    <row r="76" spans="1:17" x14ac:dyDescent="0.2">
      <c r="I76" s="857"/>
    </row>
    <row r="77" spans="1:17" ht="30.75" customHeight="1" x14ac:dyDescent="0.2">
      <c r="B77" s="844"/>
      <c r="C77" s="1700" t="s">
        <v>739</v>
      </c>
      <c r="D77" s="1700"/>
      <c r="E77" s="1700"/>
      <c r="F77" s="1704" t="s">
        <v>774</v>
      </c>
      <c r="G77" s="1705"/>
      <c r="H77" s="1706"/>
      <c r="I77" s="857"/>
      <c r="J77" s="1701" t="s">
        <v>741</v>
      </c>
      <c r="K77" s="1701" t="s">
        <v>742</v>
      </c>
      <c r="L77" s="1699" t="s">
        <v>438</v>
      </c>
      <c r="M77" s="1699"/>
      <c r="N77" s="1697" t="s">
        <v>7</v>
      </c>
      <c r="O77" s="1698"/>
      <c r="P77" s="1699" t="s">
        <v>823</v>
      </c>
      <c r="Q77" s="1699"/>
    </row>
    <row r="78" spans="1:17" ht="30" x14ac:dyDescent="0.2">
      <c r="B78" s="1488" t="s">
        <v>717</v>
      </c>
      <c r="C78" s="1700" t="s">
        <v>718</v>
      </c>
      <c r="D78" s="1700"/>
      <c r="E78" s="1700"/>
      <c r="F78" s="1707"/>
      <c r="G78" s="1708"/>
      <c r="H78" s="1709"/>
      <c r="I78" s="857"/>
      <c r="J78" s="1702"/>
      <c r="K78" s="1702"/>
      <c r="L78" s="847" t="s">
        <v>4</v>
      </c>
      <c r="M78" s="847" t="s">
        <v>8</v>
      </c>
      <c r="N78" s="848" t="s">
        <v>4</v>
      </c>
      <c r="O78" s="865" t="s">
        <v>8</v>
      </c>
      <c r="P78" s="1487" t="s">
        <v>826</v>
      </c>
      <c r="Q78" s="1487" t="s">
        <v>827</v>
      </c>
    </row>
    <row r="79" spans="1:17" x14ac:dyDescent="0.2">
      <c r="B79" s="1492">
        <v>1</v>
      </c>
      <c r="C79" s="1689" t="s">
        <v>773</v>
      </c>
      <c r="D79" s="1693"/>
      <c r="E79" s="1690"/>
      <c r="F79" s="866">
        <v>5</v>
      </c>
      <c r="G79" s="1691">
        <v>15</v>
      </c>
      <c r="H79" s="1691"/>
      <c r="I79" s="857"/>
      <c r="J79" s="122">
        <v>1915</v>
      </c>
      <c r="K79" s="122" t="s">
        <v>1628</v>
      </c>
      <c r="L79" s="122">
        <v>10</v>
      </c>
      <c r="M79" s="852">
        <f>IF(ISERROR(1/L79), "", 1/L79)</f>
        <v>0.1</v>
      </c>
      <c r="N79" s="35">
        <v>10</v>
      </c>
      <c r="O79" s="852">
        <f>IF(ISERROR(1/N79), "", 1/N79)</f>
        <v>0.1</v>
      </c>
      <c r="P79" s="106" t="str">
        <f>IF(ISBLANK(N79),"",IF(N79&lt;F79,"Yes","No"))</f>
        <v>No</v>
      </c>
      <c r="Q79" s="106" t="str">
        <f>IF(ISBLANK(N79),"",IF(N79&gt;G79,"Yes","No"))</f>
        <v>No</v>
      </c>
    </row>
    <row r="80" spans="1:17" x14ac:dyDescent="0.2">
      <c r="B80" s="1685">
        <v>2</v>
      </c>
      <c r="C80" s="1687" t="s">
        <v>775</v>
      </c>
      <c r="D80" s="1689" t="s">
        <v>776</v>
      </c>
      <c r="E80" s="1690"/>
      <c r="F80" s="866">
        <v>5</v>
      </c>
      <c r="G80" s="1691">
        <v>15</v>
      </c>
      <c r="H80" s="1691"/>
      <c r="I80" s="857"/>
      <c r="J80" s="122">
        <v>1930</v>
      </c>
      <c r="K80" s="122" t="s">
        <v>1629</v>
      </c>
      <c r="L80" s="122">
        <v>10</v>
      </c>
      <c r="M80" s="852">
        <f t="shared" ref="M80:M104" si="10">IF(ISERROR(1/L80), "", 1/L80)</f>
        <v>0.1</v>
      </c>
      <c r="N80" s="35">
        <v>10</v>
      </c>
      <c r="O80" s="852">
        <f t="shared" ref="O80:O104" si="11">IF(ISERROR(1/N80), "", 1/N80)</f>
        <v>0.1</v>
      </c>
      <c r="P80" s="106" t="str">
        <f t="shared" ref="P80:P104" si="12">IF(ISBLANK(N80),"",IF(N80&lt;F80,"Yes","No"))</f>
        <v>No</v>
      </c>
      <c r="Q80" s="106" t="str">
        <f t="shared" ref="Q80:Q104" si="13">IF(ISBLANK(N80),"",IF(N80&gt;G80,"Yes","No"))</f>
        <v>No</v>
      </c>
    </row>
    <row r="81" spans="2:17" x14ac:dyDescent="0.2">
      <c r="B81" s="1694"/>
      <c r="C81" s="1695"/>
      <c r="D81" s="1689" t="s">
        <v>777</v>
      </c>
      <c r="E81" s="1690"/>
      <c r="F81" s="866">
        <v>5</v>
      </c>
      <c r="G81" s="1691">
        <v>20</v>
      </c>
      <c r="H81" s="1691"/>
      <c r="I81" s="857"/>
      <c r="J81" s="122">
        <v>1930</v>
      </c>
      <c r="K81" s="122" t="s">
        <v>1630</v>
      </c>
      <c r="L81" s="122">
        <v>15</v>
      </c>
      <c r="M81" s="852">
        <f>IF(ISERROR(1/L81), "", 1/L81)</f>
        <v>6.6666666666666666E-2</v>
      </c>
      <c r="N81" s="35">
        <v>15</v>
      </c>
      <c r="O81" s="852">
        <f t="shared" si="11"/>
        <v>6.6666666666666666E-2</v>
      </c>
      <c r="P81" s="106" t="str">
        <f t="shared" si="12"/>
        <v>No</v>
      </c>
      <c r="Q81" s="106" t="str">
        <f t="shared" si="13"/>
        <v>No</v>
      </c>
    </row>
    <row r="82" spans="2:17" x14ac:dyDescent="0.2">
      <c r="B82" s="1686"/>
      <c r="C82" s="1688"/>
      <c r="D82" s="1689" t="s">
        <v>778</v>
      </c>
      <c r="E82" s="1690"/>
      <c r="F82" s="866">
        <v>5</v>
      </c>
      <c r="G82" s="1691">
        <v>10</v>
      </c>
      <c r="H82" s="1691"/>
      <c r="I82" s="857"/>
      <c r="J82" s="122">
        <v>1930</v>
      </c>
      <c r="K82" s="122" t="s">
        <v>1631</v>
      </c>
      <c r="L82" s="122">
        <v>5</v>
      </c>
      <c r="M82" s="852">
        <f>IF(ISERROR(1/L82), "", 1/L82)</f>
        <v>0.2</v>
      </c>
      <c r="N82" s="35">
        <v>5</v>
      </c>
      <c r="O82" s="852">
        <f t="shared" si="11"/>
        <v>0.2</v>
      </c>
      <c r="P82" s="106" t="str">
        <f t="shared" si="12"/>
        <v>No</v>
      </c>
      <c r="Q82" s="106" t="str">
        <f t="shared" si="13"/>
        <v>No</v>
      </c>
    </row>
    <row r="83" spans="2:17" x14ac:dyDescent="0.2">
      <c r="B83" s="1492">
        <v>3</v>
      </c>
      <c r="C83" s="1689" t="s">
        <v>779</v>
      </c>
      <c r="D83" s="1693"/>
      <c r="E83" s="1690"/>
      <c r="F83" s="866">
        <v>50</v>
      </c>
      <c r="G83" s="1691">
        <v>75</v>
      </c>
      <c r="H83" s="1691"/>
      <c r="I83" s="857"/>
      <c r="J83" s="122">
        <v>1908</v>
      </c>
      <c r="K83" s="122" t="s">
        <v>1632</v>
      </c>
      <c r="L83" s="122">
        <v>60</v>
      </c>
      <c r="M83" s="852">
        <f t="shared" si="10"/>
        <v>1.6666666666666666E-2</v>
      </c>
      <c r="N83" s="35">
        <v>60</v>
      </c>
      <c r="O83" s="852">
        <f t="shared" si="11"/>
        <v>1.6666666666666666E-2</v>
      </c>
      <c r="P83" s="106" t="str">
        <f t="shared" si="12"/>
        <v>No</v>
      </c>
      <c r="Q83" s="106" t="str">
        <f t="shared" si="13"/>
        <v>No</v>
      </c>
    </row>
    <row r="84" spans="2:17" x14ac:dyDescent="0.2">
      <c r="B84" s="1492"/>
      <c r="C84" s="1689"/>
      <c r="D84" s="1693"/>
      <c r="E84" s="1690"/>
      <c r="F84" s="866"/>
      <c r="G84" s="1691"/>
      <c r="H84" s="1691"/>
      <c r="I84" s="857"/>
      <c r="J84" s="122">
        <v>1908</v>
      </c>
      <c r="K84" s="122" t="s">
        <v>1633</v>
      </c>
      <c r="L84" s="122">
        <v>30</v>
      </c>
      <c r="M84" s="852">
        <f t="shared" si="10"/>
        <v>3.3333333333333333E-2</v>
      </c>
      <c r="N84" s="35">
        <v>30</v>
      </c>
      <c r="O84" s="852">
        <f t="shared" si="11"/>
        <v>3.3333333333333333E-2</v>
      </c>
      <c r="P84" s="106" t="str">
        <f t="shared" ref="P84" si="14">IF(ISBLANK(N84),"",IF(N84&lt;F84,"Yes","No"))</f>
        <v>No</v>
      </c>
      <c r="Q84" s="106" t="str">
        <f t="shared" ref="Q84" si="15">IF(ISBLANK(N84),"",IF(N84&gt;G84,"Yes","No"))</f>
        <v>Yes</v>
      </c>
    </row>
    <row r="85" spans="2:17" x14ac:dyDescent="0.2">
      <c r="B85" s="106">
        <v>4</v>
      </c>
      <c r="C85" s="1689" t="s">
        <v>275</v>
      </c>
      <c r="D85" s="1693"/>
      <c r="E85" s="1690"/>
      <c r="F85" s="1696" t="s">
        <v>800</v>
      </c>
      <c r="G85" s="1696"/>
      <c r="H85" s="1696"/>
      <c r="I85" s="857"/>
      <c r="J85" s="122" t="s">
        <v>244</v>
      </c>
      <c r="K85" s="122"/>
      <c r="L85" s="122">
        <v>0</v>
      </c>
      <c r="M85" s="852" t="str">
        <f t="shared" si="10"/>
        <v/>
      </c>
      <c r="N85" s="35">
        <v>0</v>
      </c>
      <c r="O85" s="852" t="str">
        <f t="shared" si="11"/>
        <v/>
      </c>
      <c r="P85" s="35"/>
      <c r="Q85" s="35"/>
    </row>
    <row r="86" spans="2:17" x14ac:dyDescent="0.2">
      <c r="B86" s="1685">
        <v>5</v>
      </c>
      <c r="C86" s="1687" t="s">
        <v>780</v>
      </c>
      <c r="D86" s="1689" t="s">
        <v>780</v>
      </c>
      <c r="E86" s="1690"/>
      <c r="F86" s="866">
        <v>50</v>
      </c>
      <c r="G86" s="1691">
        <v>75</v>
      </c>
      <c r="H86" s="1691"/>
      <c r="I86" s="857"/>
      <c r="J86" s="122" t="s">
        <v>244</v>
      </c>
      <c r="K86" s="122"/>
      <c r="L86" s="122">
        <v>0</v>
      </c>
      <c r="M86" s="852" t="str">
        <f t="shared" si="10"/>
        <v/>
      </c>
      <c r="N86" s="35">
        <v>0</v>
      </c>
      <c r="O86" s="852" t="str">
        <f t="shared" si="11"/>
        <v/>
      </c>
      <c r="P86" s="106" t="str">
        <f t="shared" si="12"/>
        <v>Yes</v>
      </c>
      <c r="Q86" s="106" t="str">
        <f t="shared" si="13"/>
        <v>No</v>
      </c>
    </row>
    <row r="87" spans="2:17" x14ac:dyDescent="0.2">
      <c r="B87" s="1694"/>
      <c r="C87" s="1695"/>
      <c r="D87" s="1689" t="s">
        <v>781</v>
      </c>
      <c r="E87" s="1690"/>
      <c r="F87" s="866">
        <v>25</v>
      </c>
      <c r="G87" s="1691">
        <v>30</v>
      </c>
      <c r="H87" s="1691"/>
      <c r="I87" s="857"/>
      <c r="J87" s="122" t="s">
        <v>244</v>
      </c>
      <c r="K87" s="122"/>
      <c r="L87" s="122">
        <v>0</v>
      </c>
      <c r="M87" s="852" t="str">
        <f t="shared" si="10"/>
        <v/>
      </c>
      <c r="N87" s="35">
        <v>0</v>
      </c>
      <c r="O87" s="852" t="str">
        <f t="shared" si="11"/>
        <v/>
      </c>
      <c r="P87" s="106" t="str">
        <f t="shared" si="12"/>
        <v>Yes</v>
      </c>
      <c r="Q87" s="106" t="str">
        <f t="shared" si="13"/>
        <v>No</v>
      </c>
    </row>
    <row r="88" spans="2:17" x14ac:dyDescent="0.2">
      <c r="B88" s="1694"/>
      <c r="C88" s="1695"/>
      <c r="D88" s="1689" t="s">
        <v>782</v>
      </c>
      <c r="E88" s="1690"/>
      <c r="F88" s="866">
        <v>25</v>
      </c>
      <c r="G88" s="1691">
        <v>60</v>
      </c>
      <c r="H88" s="1691"/>
      <c r="I88" s="857"/>
      <c r="J88" s="122" t="s">
        <v>244</v>
      </c>
      <c r="K88" s="122"/>
      <c r="L88" s="122">
        <v>0</v>
      </c>
      <c r="M88" s="852" t="str">
        <f t="shared" si="10"/>
        <v/>
      </c>
      <c r="N88" s="35">
        <v>0</v>
      </c>
      <c r="O88" s="852" t="str">
        <f t="shared" si="11"/>
        <v/>
      </c>
      <c r="P88" s="106" t="str">
        <f t="shared" si="12"/>
        <v>Yes</v>
      </c>
      <c r="Q88" s="106" t="str">
        <f t="shared" si="13"/>
        <v>No</v>
      </c>
    </row>
    <row r="89" spans="2:17" x14ac:dyDescent="0.2">
      <c r="B89" s="1686"/>
      <c r="C89" s="1688"/>
      <c r="D89" s="1689" t="s">
        <v>762</v>
      </c>
      <c r="E89" s="1690"/>
      <c r="F89" s="866">
        <v>20</v>
      </c>
      <c r="G89" s="1691">
        <v>30</v>
      </c>
      <c r="H89" s="1691"/>
      <c r="I89" s="857"/>
      <c r="J89" s="122" t="s">
        <v>244</v>
      </c>
      <c r="K89" s="122"/>
      <c r="L89" s="122">
        <v>0</v>
      </c>
      <c r="M89" s="852" t="str">
        <f t="shared" si="10"/>
        <v/>
      </c>
      <c r="N89" s="35">
        <v>0</v>
      </c>
      <c r="O89" s="852" t="str">
        <f t="shared" si="11"/>
        <v/>
      </c>
      <c r="P89" s="106" t="str">
        <f t="shared" si="12"/>
        <v>Yes</v>
      </c>
      <c r="Q89" s="106" t="str">
        <f t="shared" si="13"/>
        <v>No</v>
      </c>
    </row>
    <row r="90" spans="2:17" x14ac:dyDescent="0.2">
      <c r="B90" s="1685">
        <v>6</v>
      </c>
      <c r="C90" s="1687" t="s">
        <v>785</v>
      </c>
      <c r="D90" s="1689" t="s">
        <v>783</v>
      </c>
      <c r="E90" s="1690"/>
      <c r="F90" s="866">
        <v>3</v>
      </c>
      <c r="G90" s="1691">
        <v>5</v>
      </c>
      <c r="H90" s="1691"/>
      <c r="I90" s="857"/>
      <c r="J90" s="122">
        <v>1920</v>
      </c>
      <c r="K90" s="122" t="s">
        <v>192</v>
      </c>
      <c r="L90" s="122">
        <v>3</v>
      </c>
      <c r="M90" s="852">
        <f t="shared" si="10"/>
        <v>0.33333333333333331</v>
      </c>
      <c r="N90" s="35">
        <v>3</v>
      </c>
      <c r="O90" s="852">
        <f t="shared" si="11"/>
        <v>0.33333333333333331</v>
      </c>
      <c r="P90" s="106" t="str">
        <f t="shared" si="12"/>
        <v>No</v>
      </c>
      <c r="Q90" s="106" t="str">
        <f t="shared" si="13"/>
        <v>No</v>
      </c>
    </row>
    <row r="91" spans="2:17" x14ac:dyDescent="0.2">
      <c r="B91" s="1686"/>
      <c r="C91" s="1688"/>
      <c r="D91" s="1689" t="s">
        <v>784</v>
      </c>
      <c r="E91" s="1690"/>
      <c r="F91" s="866">
        <v>2</v>
      </c>
      <c r="G91" s="1691">
        <v>5</v>
      </c>
      <c r="H91" s="1691"/>
      <c r="I91" s="857"/>
      <c r="J91" s="122">
        <v>1925</v>
      </c>
      <c r="K91" s="122" t="s">
        <v>1634</v>
      </c>
      <c r="L91" s="122">
        <v>3</v>
      </c>
      <c r="M91" s="852">
        <f t="shared" si="10"/>
        <v>0.33333333333333331</v>
      </c>
      <c r="N91" s="35">
        <v>3</v>
      </c>
      <c r="O91" s="852">
        <f t="shared" si="11"/>
        <v>0.33333333333333331</v>
      </c>
      <c r="P91" s="106" t="str">
        <f t="shared" si="12"/>
        <v>No</v>
      </c>
      <c r="Q91" s="106" t="str">
        <f t="shared" si="13"/>
        <v>No</v>
      </c>
    </row>
    <row r="92" spans="2:17" x14ac:dyDescent="0.2">
      <c r="B92" s="1685">
        <v>7</v>
      </c>
      <c r="C92" s="1687" t="s">
        <v>792</v>
      </c>
      <c r="D92" s="1689" t="s">
        <v>786</v>
      </c>
      <c r="E92" s="1690"/>
      <c r="F92" s="866">
        <v>5</v>
      </c>
      <c r="G92" s="1691">
        <v>10</v>
      </c>
      <c r="H92" s="1691"/>
      <c r="I92" s="857"/>
      <c r="J92" s="122" t="s">
        <v>244</v>
      </c>
      <c r="K92" s="122"/>
      <c r="L92" s="122">
        <v>0</v>
      </c>
      <c r="M92" s="852" t="str">
        <f t="shared" si="10"/>
        <v/>
      </c>
      <c r="N92" s="35">
        <v>0</v>
      </c>
      <c r="O92" s="852" t="str">
        <f t="shared" si="11"/>
        <v/>
      </c>
      <c r="P92" s="106" t="str">
        <f t="shared" si="12"/>
        <v>Yes</v>
      </c>
      <c r="Q92" s="106" t="str">
        <f t="shared" si="13"/>
        <v>No</v>
      </c>
    </row>
    <row r="93" spans="2:17" x14ac:dyDescent="0.2">
      <c r="B93" s="1694"/>
      <c r="C93" s="1695"/>
      <c r="D93" s="1689" t="s">
        <v>787</v>
      </c>
      <c r="E93" s="1690"/>
      <c r="F93" s="866">
        <v>5</v>
      </c>
      <c r="G93" s="1691">
        <v>10</v>
      </c>
      <c r="H93" s="1691"/>
      <c r="I93" s="857"/>
      <c r="J93" s="122">
        <v>1935</v>
      </c>
      <c r="K93" s="122" t="s">
        <v>1635</v>
      </c>
      <c r="L93" s="122">
        <v>10</v>
      </c>
      <c r="M93" s="852">
        <f t="shared" si="10"/>
        <v>0.1</v>
      </c>
      <c r="N93" s="35">
        <v>10</v>
      </c>
      <c r="O93" s="852">
        <f t="shared" si="11"/>
        <v>0.1</v>
      </c>
      <c r="P93" s="106" t="str">
        <f t="shared" si="12"/>
        <v>No</v>
      </c>
      <c r="Q93" s="106" t="str">
        <f t="shared" si="13"/>
        <v>No</v>
      </c>
    </row>
    <row r="94" spans="2:17" x14ac:dyDescent="0.2">
      <c r="B94" s="1694"/>
      <c r="C94" s="1695"/>
      <c r="D94" s="1689" t="s">
        <v>788</v>
      </c>
      <c r="E94" s="1690"/>
      <c r="F94" s="866">
        <v>5</v>
      </c>
      <c r="G94" s="1691">
        <v>10</v>
      </c>
      <c r="H94" s="1691"/>
      <c r="I94" s="857"/>
      <c r="J94" s="122">
        <v>1940</v>
      </c>
      <c r="K94" s="122" t="s">
        <v>1636</v>
      </c>
      <c r="L94" s="122">
        <v>8</v>
      </c>
      <c r="M94" s="852">
        <f t="shared" si="10"/>
        <v>0.125</v>
      </c>
      <c r="N94" s="35">
        <v>8</v>
      </c>
      <c r="O94" s="852">
        <f t="shared" si="11"/>
        <v>0.125</v>
      </c>
      <c r="P94" s="106" t="str">
        <f t="shared" si="12"/>
        <v>No</v>
      </c>
      <c r="Q94" s="106" t="str">
        <f t="shared" si="13"/>
        <v>No</v>
      </c>
    </row>
    <row r="95" spans="2:17" x14ac:dyDescent="0.2">
      <c r="B95" s="1686"/>
      <c r="C95" s="1688"/>
      <c r="D95" s="1689" t="s">
        <v>266</v>
      </c>
      <c r="E95" s="1690"/>
      <c r="F95" s="866">
        <v>5</v>
      </c>
      <c r="G95" s="1691">
        <v>10</v>
      </c>
      <c r="H95" s="1691"/>
      <c r="I95" s="857"/>
      <c r="J95" s="122" t="s">
        <v>244</v>
      </c>
      <c r="K95" s="122"/>
      <c r="L95" s="122">
        <v>0</v>
      </c>
      <c r="M95" s="852" t="str">
        <f t="shared" si="10"/>
        <v/>
      </c>
      <c r="N95" s="35">
        <v>0</v>
      </c>
      <c r="O95" s="852" t="str">
        <f t="shared" si="11"/>
        <v/>
      </c>
      <c r="P95" s="106" t="str">
        <f t="shared" si="12"/>
        <v>Yes</v>
      </c>
      <c r="Q95" s="106" t="str">
        <f t="shared" si="13"/>
        <v>No</v>
      </c>
    </row>
    <row r="96" spans="2:17" x14ac:dyDescent="0.2">
      <c r="B96" s="1685">
        <v>8</v>
      </c>
      <c r="C96" s="1687" t="s">
        <v>791</v>
      </c>
      <c r="D96" s="1689" t="s">
        <v>789</v>
      </c>
      <c r="E96" s="1690"/>
      <c r="F96" s="866">
        <v>60</v>
      </c>
      <c r="G96" s="1691">
        <v>70</v>
      </c>
      <c r="H96" s="1691"/>
      <c r="I96" s="857"/>
      <c r="J96" s="122" t="s">
        <v>244</v>
      </c>
      <c r="K96" s="122"/>
      <c r="L96" s="122">
        <v>0</v>
      </c>
      <c r="M96" s="852" t="str">
        <f t="shared" si="10"/>
        <v/>
      </c>
      <c r="N96" s="35">
        <v>0</v>
      </c>
      <c r="O96" s="852" t="str">
        <f t="shared" si="11"/>
        <v/>
      </c>
      <c r="P96" s="106" t="str">
        <f t="shared" si="12"/>
        <v>Yes</v>
      </c>
      <c r="Q96" s="106" t="str">
        <f t="shared" si="13"/>
        <v>No</v>
      </c>
    </row>
    <row r="97" spans="1:17" x14ac:dyDescent="0.2">
      <c r="B97" s="1686"/>
      <c r="C97" s="1688"/>
      <c r="D97" s="1689" t="s">
        <v>790</v>
      </c>
      <c r="E97" s="1690"/>
      <c r="F97" s="866">
        <v>2</v>
      </c>
      <c r="G97" s="1691">
        <v>10</v>
      </c>
      <c r="H97" s="1691"/>
      <c r="I97" s="857"/>
      <c r="J97" s="122">
        <v>1955</v>
      </c>
      <c r="K97" s="122" t="s">
        <v>1637</v>
      </c>
      <c r="L97" s="122">
        <v>10</v>
      </c>
      <c r="M97" s="852">
        <f t="shared" si="10"/>
        <v>0.1</v>
      </c>
      <c r="N97" s="35">
        <v>10</v>
      </c>
      <c r="O97" s="852">
        <f t="shared" si="11"/>
        <v>0.1</v>
      </c>
      <c r="P97" s="106" t="str">
        <f t="shared" si="12"/>
        <v>No</v>
      </c>
      <c r="Q97" s="106" t="str">
        <f t="shared" si="13"/>
        <v>No</v>
      </c>
    </row>
    <row r="98" spans="1:17" x14ac:dyDescent="0.2">
      <c r="B98" s="106">
        <v>9</v>
      </c>
      <c r="C98" s="1689" t="s">
        <v>793</v>
      </c>
      <c r="D98" s="1693"/>
      <c r="E98" s="1690"/>
      <c r="F98" s="866">
        <v>25</v>
      </c>
      <c r="G98" s="1691">
        <v>35</v>
      </c>
      <c r="H98" s="1691"/>
      <c r="I98" s="857"/>
      <c r="J98" s="122">
        <v>0</v>
      </c>
      <c r="K98" s="122"/>
      <c r="L98" s="122">
        <v>0</v>
      </c>
      <c r="M98" s="852" t="str">
        <f t="shared" si="10"/>
        <v/>
      </c>
      <c r="N98" s="35">
        <v>0</v>
      </c>
      <c r="O98" s="852" t="str">
        <f t="shared" si="11"/>
        <v/>
      </c>
      <c r="P98" s="106" t="str">
        <f t="shared" si="12"/>
        <v>Yes</v>
      </c>
      <c r="Q98" s="106" t="str">
        <f t="shared" si="13"/>
        <v>No</v>
      </c>
    </row>
    <row r="99" spans="1:17" x14ac:dyDescent="0.2">
      <c r="B99" s="106">
        <v>10</v>
      </c>
      <c r="C99" s="1689" t="s">
        <v>794</v>
      </c>
      <c r="D99" s="1693"/>
      <c r="E99" s="1690"/>
      <c r="F99" s="866">
        <v>25</v>
      </c>
      <c r="G99" s="1691">
        <v>35</v>
      </c>
      <c r="H99" s="1691"/>
      <c r="I99" s="857"/>
      <c r="J99" s="122">
        <v>1860</v>
      </c>
      <c r="K99" s="122" t="s">
        <v>1638</v>
      </c>
      <c r="L99" s="122">
        <v>25</v>
      </c>
      <c r="M99" s="852">
        <f t="shared" si="10"/>
        <v>0.04</v>
      </c>
      <c r="N99" s="35">
        <v>25</v>
      </c>
      <c r="O99" s="852">
        <f t="shared" si="11"/>
        <v>0.04</v>
      </c>
      <c r="P99" s="106" t="str">
        <f t="shared" si="12"/>
        <v>No</v>
      </c>
      <c r="Q99" s="106" t="str">
        <f t="shared" si="13"/>
        <v>No</v>
      </c>
    </row>
    <row r="100" spans="1:17" x14ac:dyDescent="0.2">
      <c r="B100" s="106">
        <v>11</v>
      </c>
      <c r="C100" s="1689" t="s">
        <v>795</v>
      </c>
      <c r="D100" s="1693"/>
      <c r="E100" s="1690"/>
      <c r="F100" s="866">
        <v>15</v>
      </c>
      <c r="G100" s="1691">
        <v>30</v>
      </c>
      <c r="H100" s="1691"/>
      <c r="I100" s="857"/>
      <c r="J100" s="122" t="s">
        <v>244</v>
      </c>
      <c r="K100" s="122"/>
      <c r="L100" s="122">
        <v>0</v>
      </c>
      <c r="M100" s="852" t="str">
        <f t="shared" si="10"/>
        <v/>
      </c>
      <c r="N100" s="35">
        <v>0</v>
      </c>
      <c r="O100" s="852" t="str">
        <f t="shared" si="11"/>
        <v/>
      </c>
      <c r="P100" s="106" t="str">
        <f t="shared" si="12"/>
        <v>Yes</v>
      </c>
      <c r="Q100" s="106" t="str">
        <f t="shared" si="13"/>
        <v>No</v>
      </c>
    </row>
    <row r="101" spans="1:17" x14ac:dyDescent="0.2">
      <c r="B101" s="106">
        <v>12</v>
      </c>
      <c r="C101" s="1689" t="s">
        <v>796</v>
      </c>
      <c r="D101" s="1693"/>
      <c r="E101" s="1690"/>
      <c r="F101" s="866">
        <v>35</v>
      </c>
      <c r="G101" s="1691">
        <v>50</v>
      </c>
      <c r="H101" s="1691"/>
      <c r="I101" s="857"/>
      <c r="J101" s="122">
        <v>1860</v>
      </c>
      <c r="K101" s="122" t="s">
        <v>1639</v>
      </c>
      <c r="L101" s="122">
        <v>40</v>
      </c>
      <c r="M101" s="852">
        <f t="shared" si="10"/>
        <v>2.5000000000000001E-2</v>
      </c>
      <c r="N101" s="35">
        <v>40</v>
      </c>
      <c r="O101" s="852">
        <f t="shared" si="11"/>
        <v>2.5000000000000001E-2</v>
      </c>
      <c r="P101" s="106" t="str">
        <f t="shared" si="12"/>
        <v>No</v>
      </c>
      <c r="Q101" s="106" t="str">
        <f t="shared" si="13"/>
        <v>No</v>
      </c>
    </row>
    <row r="102" spans="1:17" x14ac:dyDescent="0.2">
      <c r="B102" s="106">
        <v>13</v>
      </c>
      <c r="C102" s="1689" t="s">
        <v>797</v>
      </c>
      <c r="D102" s="1693"/>
      <c r="E102" s="1690"/>
      <c r="F102" s="866">
        <v>5</v>
      </c>
      <c r="G102" s="1691">
        <v>15</v>
      </c>
      <c r="H102" s="1691"/>
      <c r="I102" s="857"/>
      <c r="J102" s="122">
        <v>1860</v>
      </c>
      <c r="K102" s="122" t="s">
        <v>251</v>
      </c>
      <c r="L102" s="122">
        <v>15</v>
      </c>
      <c r="M102" s="852">
        <f t="shared" si="10"/>
        <v>6.6666666666666666E-2</v>
      </c>
      <c r="N102" s="35">
        <v>15</v>
      </c>
      <c r="O102" s="852">
        <f t="shared" si="11"/>
        <v>6.6666666666666666E-2</v>
      </c>
      <c r="P102" s="106" t="str">
        <f t="shared" si="12"/>
        <v>No</v>
      </c>
      <c r="Q102" s="106" t="str">
        <f t="shared" si="13"/>
        <v>No</v>
      </c>
    </row>
    <row r="103" spans="1:17" x14ac:dyDescent="0.2">
      <c r="B103" s="106">
        <v>14</v>
      </c>
      <c r="C103" s="1689" t="s">
        <v>798</v>
      </c>
      <c r="D103" s="1693"/>
      <c r="E103" s="1690"/>
      <c r="F103" s="866">
        <v>10</v>
      </c>
      <c r="G103" s="1691">
        <v>15</v>
      </c>
      <c r="H103" s="1691"/>
      <c r="I103" s="857"/>
      <c r="J103" s="122" t="s">
        <v>244</v>
      </c>
      <c r="K103" s="122"/>
      <c r="L103" s="122">
        <v>0</v>
      </c>
      <c r="M103" s="852" t="str">
        <f t="shared" si="10"/>
        <v/>
      </c>
      <c r="N103" s="35">
        <v>0</v>
      </c>
      <c r="O103" s="852" t="str">
        <f t="shared" si="11"/>
        <v/>
      </c>
      <c r="P103" s="106" t="str">
        <f t="shared" si="12"/>
        <v>Yes</v>
      </c>
      <c r="Q103" s="106" t="str">
        <f t="shared" si="13"/>
        <v>No</v>
      </c>
    </row>
    <row r="104" spans="1:17" x14ac:dyDescent="0.2">
      <c r="B104" s="106">
        <v>15</v>
      </c>
      <c r="C104" s="1689" t="s">
        <v>799</v>
      </c>
      <c r="D104" s="1693"/>
      <c r="E104" s="1690"/>
      <c r="F104" s="866">
        <v>15</v>
      </c>
      <c r="G104" s="1691">
        <v>20</v>
      </c>
      <c r="H104" s="1691"/>
      <c r="I104" s="857"/>
      <c r="J104" s="122">
        <v>1860</v>
      </c>
      <c r="K104" s="122" t="s">
        <v>251</v>
      </c>
      <c r="L104" s="122">
        <v>15</v>
      </c>
      <c r="M104" s="852">
        <f t="shared" si="10"/>
        <v>6.6666666666666666E-2</v>
      </c>
      <c r="N104" s="35">
        <v>15</v>
      </c>
      <c r="O104" s="852">
        <f t="shared" si="11"/>
        <v>6.6666666666666666E-2</v>
      </c>
      <c r="P104" s="106" t="str">
        <f t="shared" si="12"/>
        <v>No</v>
      </c>
      <c r="Q104" s="106" t="str">
        <f t="shared" si="13"/>
        <v>No</v>
      </c>
    </row>
    <row r="105" spans="1:17" ht="9" customHeight="1" x14ac:dyDescent="0.2"/>
    <row r="106" spans="1:17" ht="9" customHeight="1" x14ac:dyDescent="0.2"/>
    <row r="107" spans="1:17" x14ac:dyDescent="0.2">
      <c r="A107" s="1684" t="s">
        <v>772</v>
      </c>
      <c r="B107" s="1684"/>
      <c r="C107" s="1684"/>
      <c r="D107" s="1684"/>
      <c r="E107" s="1684"/>
      <c r="F107" s="1684"/>
      <c r="G107" s="1684"/>
      <c r="H107" s="1684"/>
    </row>
    <row r="108" spans="1:17" ht="9" customHeight="1" x14ac:dyDescent="0.2">
      <c r="A108" s="1485"/>
      <c r="B108" s="1485"/>
      <c r="C108" s="1485"/>
      <c r="D108" s="1485"/>
      <c r="E108" s="1485"/>
      <c r="F108" s="1485"/>
      <c r="G108" s="1485"/>
      <c r="H108" s="1485"/>
    </row>
    <row r="109" spans="1:17" x14ac:dyDescent="0.2">
      <c r="A109" s="77" t="s">
        <v>743</v>
      </c>
      <c r="B109" s="38" t="s">
        <v>804</v>
      </c>
    </row>
    <row r="110" spans="1:17" x14ac:dyDescent="0.2">
      <c r="B110" s="1692" t="s">
        <v>803</v>
      </c>
      <c r="C110" s="1692"/>
    </row>
    <row r="113" spans="1:1" x14ac:dyDescent="0.2">
      <c r="A113" s="867"/>
    </row>
  </sheetData>
  <mergeCells count="161">
    <mergeCell ref="A17:A34"/>
    <mergeCell ref="B17:B19"/>
    <mergeCell ref="P1:Q1"/>
    <mergeCell ref="P2:Q2"/>
    <mergeCell ref="P3:Q3"/>
    <mergeCell ref="P4:Q4"/>
    <mergeCell ref="P5:Q5"/>
    <mergeCell ref="P7:Q7"/>
    <mergeCell ref="L15:M15"/>
    <mergeCell ref="N15:O15"/>
    <mergeCell ref="C33:E33"/>
    <mergeCell ref="C15:E15"/>
    <mergeCell ref="F15:H15"/>
    <mergeCell ref="J15:J16"/>
    <mergeCell ref="K15:K16"/>
    <mergeCell ref="A9:Q9"/>
    <mergeCell ref="A10:Q10"/>
    <mergeCell ref="A11:Q11"/>
    <mergeCell ref="P15:Q15"/>
    <mergeCell ref="C16:E16"/>
    <mergeCell ref="C17:C19"/>
    <mergeCell ref="D17:E17"/>
    <mergeCell ref="D18:D19"/>
    <mergeCell ref="C26:E26"/>
    <mergeCell ref="C27:E27"/>
    <mergeCell ref="C28:E28"/>
    <mergeCell ref="C29:E29"/>
    <mergeCell ref="C30:E30"/>
    <mergeCell ref="C32:E32"/>
    <mergeCell ref="B20:B22"/>
    <mergeCell ref="C20:C22"/>
    <mergeCell ref="D20:E20"/>
    <mergeCell ref="D21:D22"/>
    <mergeCell ref="B23:B25"/>
    <mergeCell ref="C23:C25"/>
    <mergeCell ref="D23:E23"/>
    <mergeCell ref="D24:D25"/>
    <mergeCell ref="C31:E31"/>
    <mergeCell ref="C34:E34"/>
    <mergeCell ref="C50:E50"/>
    <mergeCell ref="C59:E59"/>
    <mergeCell ref="B60:B61"/>
    <mergeCell ref="C60:C61"/>
    <mergeCell ref="D60:E60"/>
    <mergeCell ref="D61:E61"/>
    <mergeCell ref="B40:B42"/>
    <mergeCell ref="C40:C42"/>
    <mergeCell ref="D40:E40"/>
    <mergeCell ref="D41:E41"/>
    <mergeCell ref="D42:E42"/>
    <mergeCell ref="B43:B44"/>
    <mergeCell ref="D43:E43"/>
    <mergeCell ref="D44:E44"/>
    <mergeCell ref="D37:E37"/>
    <mergeCell ref="C38:E38"/>
    <mergeCell ref="C39:E39"/>
    <mergeCell ref="C56:E56"/>
    <mergeCell ref="C62:E62"/>
    <mergeCell ref="C51:E51"/>
    <mergeCell ref="A52:A71"/>
    <mergeCell ref="C52:E52"/>
    <mergeCell ref="C53:E53"/>
    <mergeCell ref="C54:E54"/>
    <mergeCell ref="C55:E55"/>
    <mergeCell ref="C57:E57"/>
    <mergeCell ref="C58:E58"/>
    <mergeCell ref="C67:E67"/>
    <mergeCell ref="C68:E68"/>
    <mergeCell ref="C69:E69"/>
    <mergeCell ref="C70:E70"/>
    <mergeCell ref="C71:E71"/>
    <mergeCell ref="A35:A51"/>
    <mergeCell ref="B35:B37"/>
    <mergeCell ref="C35:C37"/>
    <mergeCell ref="D35:E35"/>
    <mergeCell ref="D36:E36"/>
    <mergeCell ref="C45:E45"/>
    <mergeCell ref="C46:E46"/>
    <mergeCell ref="C47:E47"/>
    <mergeCell ref="C48:E48"/>
    <mergeCell ref="C49:E49"/>
    <mergeCell ref="A75:H75"/>
    <mergeCell ref="C77:E77"/>
    <mergeCell ref="F77:H78"/>
    <mergeCell ref="J77:J78"/>
    <mergeCell ref="G81:H81"/>
    <mergeCell ref="D82:E82"/>
    <mergeCell ref="G82:H82"/>
    <mergeCell ref="C72:E72"/>
    <mergeCell ref="C63:E63"/>
    <mergeCell ref="C64:E64"/>
    <mergeCell ref="B65:B66"/>
    <mergeCell ref="C65:C66"/>
    <mergeCell ref="D65:E65"/>
    <mergeCell ref="D66:E66"/>
    <mergeCell ref="B80:B82"/>
    <mergeCell ref="C80:C82"/>
    <mergeCell ref="D80:E80"/>
    <mergeCell ref="C83:E83"/>
    <mergeCell ref="G83:H83"/>
    <mergeCell ref="N77:O77"/>
    <mergeCell ref="P77:Q77"/>
    <mergeCell ref="C78:E78"/>
    <mergeCell ref="C79:E79"/>
    <mergeCell ref="G79:H79"/>
    <mergeCell ref="K77:K78"/>
    <mergeCell ref="L77:M77"/>
    <mergeCell ref="G80:H80"/>
    <mergeCell ref="D81:E81"/>
    <mergeCell ref="C84:E84"/>
    <mergeCell ref="G84:H84"/>
    <mergeCell ref="D86:E86"/>
    <mergeCell ref="G86:H86"/>
    <mergeCell ref="D87:E87"/>
    <mergeCell ref="G87:H87"/>
    <mergeCell ref="D88:E88"/>
    <mergeCell ref="G88:H88"/>
    <mergeCell ref="B92:B95"/>
    <mergeCell ref="C92:C95"/>
    <mergeCell ref="C85:E85"/>
    <mergeCell ref="F85:H85"/>
    <mergeCell ref="B86:B89"/>
    <mergeCell ref="C86:C89"/>
    <mergeCell ref="D89:E89"/>
    <mergeCell ref="G89:H89"/>
    <mergeCell ref="D91:E91"/>
    <mergeCell ref="G91:H91"/>
    <mergeCell ref="D92:E92"/>
    <mergeCell ref="G92:H92"/>
    <mergeCell ref="D93:E93"/>
    <mergeCell ref="G93:H93"/>
    <mergeCell ref="D94:E94"/>
    <mergeCell ref="G94:H94"/>
    <mergeCell ref="B90:B91"/>
    <mergeCell ref="C90:C91"/>
    <mergeCell ref="D90:E90"/>
    <mergeCell ref="G90:H90"/>
    <mergeCell ref="C98:E98"/>
    <mergeCell ref="G98:H98"/>
    <mergeCell ref="C99:E99"/>
    <mergeCell ref="G99:H99"/>
    <mergeCell ref="D95:E95"/>
    <mergeCell ref="G95:H95"/>
    <mergeCell ref="D96:E96"/>
    <mergeCell ref="G96:H96"/>
    <mergeCell ref="A107:H107"/>
    <mergeCell ref="B96:B97"/>
    <mergeCell ref="C96:C97"/>
    <mergeCell ref="D97:E97"/>
    <mergeCell ref="G97:H97"/>
    <mergeCell ref="B110:C110"/>
    <mergeCell ref="C103:E103"/>
    <mergeCell ref="G103:H103"/>
    <mergeCell ref="C100:E100"/>
    <mergeCell ref="G100:H100"/>
    <mergeCell ref="C101:E101"/>
    <mergeCell ref="G101:H101"/>
    <mergeCell ref="C102:E102"/>
    <mergeCell ref="G102:H102"/>
    <mergeCell ref="C104:E104"/>
    <mergeCell ref="G104:H104"/>
  </mergeCells>
  <conditionalFormatting sqref="P17:Q30 P79:Q104 P33:Q72">
    <cfRule type="cellIs" dxfId="121" priority="3" operator="equal">
      <formula>"Yes"</formula>
    </cfRule>
  </conditionalFormatting>
  <conditionalFormatting sqref="P31:Q31">
    <cfRule type="cellIs" dxfId="120" priority="2" operator="equal">
      <formula>"Yes"</formula>
    </cfRule>
  </conditionalFormatting>
  <conditionalFormatting sqref="P32:Q32">
    <cfRule type="cellIs" dxfId="119" priority="1" operator="equal">
      <formula>"Yes"</formula>
    </cfRule>
  </conditionalFormatting>
  <hyperlinks>
    <hyperlink ref="B110" display="See pages 17-19 of Kinetrics Report" xr:uid="{00000000-0004-0000-0B00-000000000000}"/>
  </hyperlinks>
  <pageMargins left="0.7" right="0.7" top="0.75" bottom="0.75" header="0.3" footer="0.3"/>
  <pageSetup scale="41" orientation="portrai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9">
    <tabColor rgb="FF00B0F0"/>
    <pageSetUpPr fitToPage="1"/>
  </sheetPr>
  <dimension ref="A1:Y78"/>
  <sheetViews>
    <sheetView showGridLines="0" topLeftCell="A43" zoomScale="85" zoomScaleNormal="85" workbookViewId="0"/>
  </sheetViews>
  <sheetFormatPr defaultRowHeight="12.75" x14ac:dyDescent="0.2"/>
  <cols>
    <col min="1" max="1" width="9.28515625" style="38"/>
    <col min="2" max="2" width="40.28515625" style="38" bestFit="1" customWidth="1"/>
    <col min="3" max="3" width="16.7109375" style="38" customWidth="1"/>
    <col min="4" max="5" width="15" style="38" customWidth="1"/>
    <col min="6" max="6" width="19.5703125" style="38" customWidth="1"/>
    <col min="7" max="7" width="13.42578125" style="38" customWidth="1"/>
    <col min="8" max="8" width="17.5703125" style="38" customWidth="1"/>
    <col min="9" max="9" width="10" style="38" customWidth="1"/>
    <col min="10" max="10" width="16.5703125" style="38" customWidth="1"/>
    <col min="11" max="11" width="14.7109375" style="38" customWidth="1"/>
    <col min="12" max="12" width="14.5703125" style="38" customWidth="1"/>
    <col min="13" max="13" width="13" style="38" customWidth="1"/>
    <col min="14" max="14" width="18.5703125" style="38" customWidth="1"/>
    <col min="15" max="16" width="13" style="38" customWidth="1"/>
    <col min="17" max="17" width="12.42578125" style="38" customWidth="1"/>
    <col min="18" max="18" width="15.5703125" style="38" customWidth="1"/>
    <col min="19" max="19" width="11.7109375" style="38" customWidth="1"/>
    <col min="20" max="24" width="9.28515625" style="38"/>
    <col min="25" max="25" width="0" style="38" hidden="1" customWidth="1"/>
    <col min="26" max="260" width="9.28515625" style="38"/>
    <col min="261" max="261" width="2.7109375" style="38" customWidth="1"/>
    <col min="262" max="262" width="9.28515625" style="38"/>
    <col min="263" max="263" width="40.28515625" style="38" bestFit="1" customWidth="1"/>
    <col min="264" max="264" width="12" style="38" customWidth="1"/>
    <col min="265" max="265" width="10" style="38" customWidth="1"/>
    <col min="266" max="266" width="14.7109375" style="38" customWidth="1"/>
    <col min="267" max="267" width="9.5703125" style="38" customWidth="1"/>
    <col min="268" max="269" width="12.28515625" style="38" customWidth="1"/>
    <col min="270" max="273" width="12.7109375" style="38" customWidth="1"/>
    <col min="274" max="274" width="12.28515625" style="38" bestFit="1" customWidth="1"/>
    <col min="275" max="275" width="13.28515625" style="38" customWidth="1"/>
    <col min="276" max="516" width="9.28515625" style="38"/>
    <col min="517" max="517" width="2.7109375" style="38" customWidth="1"/>
    <col min="518" max="518" width="9.28515625" style="38"/>
    <col min="519" max="519" width="40.28515625" style="38" bestFit="1" customWidth="1"/>
    <col min="520" max="520" width="12" style="38" customWidth="1"/>
    <col min="521" max="521" width="10" style="38" customWidth="1"/>
    <col min="522" max="522" width="14.7109375" style="38" customWidth="1"/>
    <col min="523" max="523" width="9.5703125" style="38" customWidth="1"/>
    <col min="524" max="525" width="12.28515625" style="38" customWidth="1"/>
    <col min="526" max="529" width="12.7109375" style="38" customWidth="1"/>
    <col min="530" max="530" width="12.28515625" style="38" bestFit="1" customWidth="1"/>
    <col min="531" max="531" width="13.28515625" style="38" customWidth="1"/>
    <col min="532" max="772" width="9.28515625" style="38"/>
    <col min="773" max="773" width="2.7109375" style="38" customWidth="1"/>
    <col min="774" max="774" width="9.28515625" style="38"/>
    <col min="775" max="775" width="40.28515625" style="38" bestFit="1" customWidth="1"/>
    <col min="776" max="776" width="12" style="38" customWidth="1"/>
    <col min="777" max="777" width="10" style="38" customWidth="1"/>
    <col min="778" max="778" width="14.7109375" style="38" customWidth="1"/>
    <col min="779" max="779" width="9.5703125" style="38" customWidth="1"/>
    <col min="780" max="781" width="12.28515625" style="38" customWidth="1"/>
    <col min="782" max="785" width="12.7109375" style="38" customWidth="1"/>
    <col min="786" max="786" width="12.28515625" style="38" bestFit="1" customWidth="1"/>
    <col min="787" max="787" width="13.28515625" style="38" customWidth="1"/>
    <col min="788" max="1028" width="9.28515625" style="38"/>
    <col min="1029" max="1029" width="2.7109375" style="38" customWidth="1"/>
    <col min="1030" max="1030" width="9.28515625" style="38"/>
    <col min="1031" max="1031" width="40.28515625" style="38" bestFit="1" customWidth="1"/>
    <col min="1032" max="1032" width="12" style="38" customWidth="1"/>
    <col min="1033" max="1033" width="10" style="38" customWidth="1"/>
    <col min="1034" max="1034" width="14.7109375" style="38" customWidth="1"/>
    <col min="1035" max="1035" width="9.5703125" style="38" customWidth="1"/>
    <col min="1036" max="1037" width="12.28515625" style="38" customWidth="1"/>
    <col min="1038" max="1041" width="12.7109375" style="38" customWidth="1"/>
    <col min="1042" max="1042" width="12.28515625" style="38" bestFit="1" customWidth="1"/>
    <col min="1043" max="1043" width="13.28515625" style="38" customWidth="1"/>
    <col min="1044" max="1284" width="9.28515625" style="38"/>
    <col min="1285" max="1285" width="2.7109375" style="38" customWidth="1"/>
    <col min="1286" max="1286" width="9.28515625" style="38"/>
    <col min="1287" max="1287" width="40.28515625" style="38" bestFit="1" customWidth="1"/>
    <col min="1288" max="1288" width="12" style="38" customWidth="1"/>
    <col min="1289" max="1289" width="10" style="38" customWidth="1"/>
    <col min="1290" max="1290" width="14.7109375" style="38" customWidth="1"/>
    <col min="1291" max="1291" width="9.5703125" style="38" customWidth="1"/>
    <col min="1292" max="1293" width="12.28515625" style="38" customWidth="1"/>
    <col min="1294" max="1297" width="12.7109375" style="38" customWidth="1"/>
    <col min="1298" max="1298" width="12.28515625" style="38" bestFit="1" customWidth="1"/>
    <col min="1299" max="1299" width="13.28515625" style="38" customWidth="1"/>
    <col min="1300" max="1540" width="9.28515625" style="38"/>
    <col min="1541" max="1541" width="2.7109375" style="38" customWidth="1"/>
    <col min="1542" max="1542" width="9.28515625" style="38"/>
    <col min="1543" max="1543" width="40.28515625" style="38" bestFit="1" customWidth="1"/>
    <col min="1544" max="1544" width="12" style="38" customWidth="1"/>
    <col min="1545" max="1545" width="10" style="38" customWidth="1"/>
    <col min="1546" max="1546" width="14.7109375" style="38" customWidth="1"/>
    <col min="1547" max="1547" width="9.5703125" style="38" customWidth="1"/>
    <col min="1548" max="1549" width="12.28515625" style="38" customWidth="1"/>
    <col min="1550" max="1553" width="12.7109375" style="38" customWidth="1"/>
    <col min="1554" max="1554" width="12.28515625" style="38" bestFit="1" customWidth="1"/>
    <col min="1555" max="1555" width="13.28515625" style="38" customWidth="1"/>
    <col min="1556" max="1796" width="9.28515625" style="38"/>
    <col min="1797" max="1797" width="2.7109375" style="38" customWidth="1"/>
    <col min="1798" max="1798" width="9.28515625" style="38"/>
    <col min="1799" max="1799" width="40.28515625" style="38" bestFit="1" customWidth="1"/>
    <col min="1800" max="1800" width="12" style="38" customWidth="1"/>
    <col min="1801" max="1801" width="10" style="38" customWidth="1"/>
    <col min="1802" max="1802" width="14.7109375" style="38" customWidth="1"/>
    <col min="1803" max="1803" width="9.5703125" style="38" customWidth="1"/>
    <col min="1804" max="1805" width="12.28515625" style="38" customWidth="1"/>
    <col min="1806" max="1809" width="12.7109375" style="38" customWidth="1"/>
    <col min="1810" max="1810" width="12.28515625" style="38" bestFit="1" customWidth="1"/>
    <col min="1811" max="1811" width="13.28515625" style="38" customWidth="1"/>
    <col min="1812" max="2052" width="9.28515625" style="38"/>
    <col min="2053" max="2053" width="2.7109375" style="38" customWidth="1"/>
    <col min="2054" max="2054" width="9.28515625" style="38"/>
    <col min="2055" max="2055" width="40.28515625" style="38" bestFit="1" customWidth="1"/>
    <col min="2056" max="2056" width="12" style="38" customWidth="1"/>
    <col min="2057" max="2057" width="10" style="38" customWidth="1"/>
    <col min="2058" max="2058" width="14.7109375" style="38" customWidth="1"/>
    <col min="2059" max="2059" width="9.5703125" style="38" customWidth="1"/>
    <col min="2060" max="2061" width="12.28515625" style="38" customWidth="1"/>
    <col min="2062" max="2065" width="12.7109375" style="38" customWidth="1"/>
    <col min="2066" max="2066" width="12.28515625" style="38" bestFit="1" customWidth="1"/>
    <col min="2067" max="2067" width="13.28515625" style="38" customWidth="1"/>
    <col min="2068" max="2308" width="9.28515625" style="38"/>
    <col min="2309" max="2309" width="2.7109375" style="38" customWidth="1"/>
    <col min="2310" max="2310" width="9.28515625" style="38"/>
    <col min="2311" max="2311" width="40.28515625" style="38" bestFit="1" customWidth="1"/>
    <col min="2312" max="2312" width="12" style="38" customWidth="1"/>
    <col min="2313" max="2313" width="10" style="38" customWidth="1"/>
    <col min="2314" max="2314" width="14.7109375" style="38" customWidth="1"/>
    <col min="2315" max="2315" width="9.5703125" style="38" customWidth="1"/>
    <col min="2316" max="2317" width="12.28515625" style="38" customWidth="1"/>
    <col min="2318" max="2321" width="12.7109375" style="38" customWidth="1"/>
    <col min="2322" max="2322" width="12.28515625" style="38" bestFit="1" customWidth="1"/>
    <col min="2323" max="2323" width="13.28515625" style="38" customWidth="1"/>
    <col min="2324" max="2564" width="9.28515625" style="38"/>
    <col min="2565" max="2565" width="2.7109375" style="38" customWidth="1"/>
    <col min="2566" max="2566" width="9.28515625" style="38"/>
    <col min="2567" max="2567" width="40.28515625" style="38" bestFit="1" customWidth="1"/>
    <col min="2568" max="2568" width="12" style="38" customWidth="1"/>
    <col min="2569" max="2569" width="10" style="38" customWidth="1"/>
    <col min="2570" max="2570" width="14.7109375" style="38" customWidth="1"/>
    <col min="2571" max="2571" width="9.5703125" style="38" customWidth="1"/>
    <col min="2572" max="2573" width="12.28515625" style="38" customWidth="1"/>
    <col min="2574" max="2577" width="12.7109375" style="38" customWidth="1"/>
    <col min="2578" max="2578" width="12.28515625" style="38" bestFit="1" customWidth="1"/>
    <col min="2579" max="2579" width="13.28515625" style="38" customWidth="1"/>
    <col min="2580" max="2820" width="9.28515625" style="38"/>
    <col min="2821" max="2821" width="2.7109375" style="38" customWidth="1"/>
    <col min="2822" max="2822" width="9.28515625" style="38"/>
    <col min="2823" max="2823" width="40.28515625" style="38" bestFit="1" customWidth="1"/>
    <col min="2824" max="2824" width="12" style="38" customWidth="1"/>
    <col min="2825" max="2825" width="10" style="38" customWidth="1"/>
    <col min="2826" max="2826" width="14.7109375" style="38" customWidth="1"/>
    <col min="2827" max="2827" width="9.5703125" style="38" customWidth="1"/>
    <col min="2828" max="2829" width="12.28515625" style="38" customWidth="1"/>
    <col min="2830" max="2833" width="12.7109375" style="38" customWidth="1"/>
    <col min="2834" max="2834" width="12.28515625" style="38" bestFit="1" customWidth="1"/>
    <col min="2835" max="2835" width="13.28515625" style="38" customWidth="1"/>
    <col min="2836" max="3076" width="9.28515625" style="38"/>
    <col min="3077" max="3077" width="2.7109375" style="38" customWidth="1"/>
    <col min="3078" max="3078" width="9.28515625" style="38"/>
    <col min="3079" max="3079" width="40.28515625" style="38" bestFit="1" customWidth="1"/>
    <col min="3080" max="3080" width="12" style="38" customWidth="1"/>
    <col min="3081" max="3081" width="10" style="38" customWidth="1"/>
    <col min="3082" max="3082" width="14.7109375" style="38" customWidth="1"/>
    <col min="3083" max="3083" width="9.5703125" style="38" customWidth="1"/>
    <col min="3084" max="3085" width="12.28515625" style="38" customWidth="1"/>
    <col min="3086" max="3089" width="12.7109375" style="38" customWidth="1"/>
    <col min="3090" max="3090" width="12.28515625" style="38" bestFit="1" customWidth="1"/>
    <col min="3091" max="3091" width="13.28515625" style="38" customWidth="1"/>
    <col min="3092" max="3332" width="9.28515625" style="38"/>
    <col min="3333" max="3333" width="2.7109375" style="38" customWidth="1"/>
    <col min="3334" max="3334" width="9.28515625" style="38"/>
    <col min="3335" max="3335" width="40.28515625" style="38" bestFit="1" customWidth="1"/>
    <col min="3336" max="3336" width="12" style="38" customWidth="1"/>
    <col min="3337" max="3337" width="10" style="38" customWidth="1"/>
    <col min="3338" max="3338" width="14.7109375" style="38" customWidth="1"/>
    <col min="3339" max="3339" width="9.5703125" style="38" customWidth="1"/>
    <col min="3340" max="3341" width="12.28515625" style="38" customWidth="1"/>
    <col min="3342" max="3345" width="12.7109375" style="38" customWidth="1"/>
    <col min="3346" max="3346" width="12.28515625" style="38" bestFit="1" customWidth="1"/>
    <col min="3347" max="3347" width="13.28515625" style="38" customWidth="1"/>
    <col min="3348" max="3588" width="9.28515625" style="38"/>
    <col min="3589" max="3589" width="2.7109375" style="38" customWidth="1"/>
    <col min="3590" max="3590" width="9.28515625" style="38"/>
    <col min="3591" max="3591" width="40.28515625" style="38" bestFit="1" customWidth="1"/>
    <col min="3592" max="3592" width="12" style="38" customWidth="1"/>
    <col min="3593" max="3593" width="10" style="38" customWidth="1"/>
    <col min="3594" max="3594" width="14.7109375" style="38" customWidth="1"/>
    <col min="3595" max="3595" width="9.5703125" style="38" customWidth="1"/>
    <col min="3596" max="3597" width="12.28515625" style="38" customWidth="1"/>
    <col min="3598" max="3601" width="12.7109375" style="38" customWidth="1"/>
    <col min="3602" max="3602" width="12.28515625" style="38" bestFit="1" customWidth="1"/>
    <col min="3603" max="3603" width="13.28515625" style="38" customWidth="1"/>
    <col min="3604" max="3844" width="9.28515625" style="38"/>
    <col min="3845" max="3845" width="2.7109375" style="38" customWidth="1"/>
    <col min="3846" max="3846" width="9.28515625" style="38"/>
    <col min="3847" max="3847" width="40.28515625" style="38" bestFit="1" customWidth="1"/>
    <col min="3848" max="3848" width="12" style="38" customWidth="1"/>
    <col min="3849" max="3849" width="10" style="38" customWidth="1"/>
    <col min="3850" max="3850" width="14.7109375" style="38" customWidth="1"/>
    <col min="3851" max="3851" width="9.5703125" style="38" customWidth="1"/>
    <col min="3852" max="3853" width="12.28515625" style="38" customWidth="1"/>
    <col min="3854" max="3857" width="12.7109375" style="38" customWidth="1"/>
    <col min="3858" max="3858" width="12.28515625" style="38" bestFit="1" customWidth="1"/>
    <col min="3859" max="3859" width="13.28515625" style="38" customWidth="1"/>
    <col min="3860" max="4100" width="9.28515625" style="38"/>
    <col min="4101" max="4101" width="2.7109375" style="38" customWidth="1"/>
    <col min="4102" max="4102" width="9.28515625" style="38"/>
    <col min="4103" max="4103" width="40.28515625" style="38" bestFit="1" customWidth="1"/>
    <col min="4104" max="4104" width="12" style="38" customWidth="1"/>
    <col min="4105" max="4105" width="10" style="38" customWidth="1"/>
    <col min="4106" max="4106" width="14.7109375" style="38" customWidth="1"/>
    <col min="4107" max="4107" width="9.5703125" style="38" customWidth="1"/>
    <col min="4108" max="4109" width="12.28515625" style="38" customWidth="1"/>
    <col min="4110" max="4113" width="12.7109375" style="38" customWidth="1"/>
    <col min="4114" max="4114" width="12.28515625" style="38" bestFit="1" customWidth="1"/>
    <col min="4115" max="4115" width="13.28515625" style="38" customWidth="1"/>
    <col min="4116" max="4356" width="9.28515625" style="38"/>
    <col min="4357" max="4357" width="2.7109375" style="38" customWidth="1"/>
    <col min="4358" max="4358" width="9.28515625" style="38"/>
    <col min="4359" max="4359" width="40.28515625" style="38" bestFit="1" customWidth="1"/>
    <col min="4360" max="4360" width="12" style="38" customWidth="1"/>
    <col min="4361" max="4361" width="10" style="38" customWidth="1"/>
    <col min="4362" max="4362" width="14.7109375" style="38" customWidth="1"/>
    <col min="4363" max="4363" width="9.5703125" style="38" customWidth="1"/>
    <col min="4364" max="4365" width="12.28515625" style="38" customWidth="1"/>
    <col min="4366" max="4369" width="12.7109375" style="38" customWidth="1"/>
    <col min="4370" max="4370" width="12.28515625" style="38" bestFit="1" customWidth="1"/>
    <col min="4371" max="4371" width="13.28515625" style="38" customWidth="1"/>
    <col min="4372" max="4612" width="9.28515625" style="38"/>
    <col min="4613" max="4613" width="2.7109375" style="38" customWidth="1"/>
    <col min="4614" max="4614" width="9.28515625" style="38"/>
    <col min="4615" max="4615" width="40.28515625" style="38" bestFit="1" customWidth="1"/>
    <col min="4616" max="4616" width="12" style="38" customWidth="1"/>
    <col min="4617" max="4617" width="10" style="38" customWidth="1"/>
    <col min="4618" max="4618" width="14.7109375" style="38" customWidth="1"/>
    <col min="4619" max="4619" width="9.5703125" style="38" customWidth="1"/>
    <col min="4620" max="4621" width="12.28515625" style="38" customWidth="1"/>
    <col min="4622" max="4625" width="12.7109375" style="38" customWidth="1"/>
    <col min="4626" max="4626" width="12.28515625" style="38" bestFit="1" customWidth="1"/>
    <col min="4627" max="4627" width="13.28515625" style="38" customWidth="1"/>
    <col min="4628" max="4868" width="9.28515625" style="38"/>
    <col min="4869" max="4869" width="2.7109375" style="38" customWidth="1"/>
    <col min="4870" max="4870" width="9.28515625" style="38"/>
    <col min="4871" max="4871" width="40.28515625" style="38" bestFit="1" customWidth="1"/>
    <col min="4872" max="4872" width="12" style="38" customWidth="1"/>
    <col min="4873" max="4873" width="10" style="38" customWidth="1"/>
    <col min="4874" max="4874" width="14.7109375" style="38" customWidth="1"/>
    <col min="4875" max="4875" width="9.5703125" style="38" customWidth="1"/>
    <col min="4876" max="4877" width="12.28515625" style="38" customWidth="1"/>
    <col min="4878" max="4881" width="12.7109375" style="38" customWidth="1"/>
    <col min="4882" max="4882" width="12.28515625" style="38" bestFit="1" customWidth="1"/>
    <col min="4883" max="4883" width="13.28515625" style="38" customWidth="1"/>
    <col min="4884" max="5124" width="9.28515625" style="38"/>
    <col min="5125" max="5125" width="2.7109375" style="38" customWidth="1"/>
    <col min="5126" max="5126" width="9.28515625" style="38"/>
    <col min="5127" max="5127" width="40.28515625" style="38" bestFit="1" customWidth="1"/>
    <col min="5128" max="5128" width="12" style="38" customWidth="1"/>
    <col min="5129" max="5129" width="10" style="38" customWidth="1"/>
    <col min="5130" max="5130" width="14.7109375" style="38" customWidth="1"/>
    <col min="5131" max="5131" width="9.5703125" style="38" customWidth="1"/>
    <col min="5132" max="5133" width="12.28515625" style="38" customWidth="1"/>
    <col min="5134" max="5137" width="12.7109375" style="38" customWidth="1"/>
    <col min="5138" max="5138" width="12.28515625" style="38" bestFit="1" customWidth="1"/>
    <col min="5139" max="5139" width="13.28515625" style="38" customWidth="1"/>
    <col min="5140" max="5380" width="9.28515625" style="38"/>
    <col min="5381" max="5381" width="2.7109375" style="38" customWidth="1"/>
    <col min="5382" max="5382" width="9.28515625" style="38"/>
    <col min="5383" max="5383" width="40.28515625" style="38" bestFit="1" customWidth="1"/>
    <col min="5384" max="5384" width="12" style="38" customWidth="1"/>
    <col min="5385" max="5385" width="10" style="38" customWidth="1"/>
    <col min="5386" max="5386" width="14.7109375" style="38" customWidth="1"/>
    <col min="5387" max="5387" width="9.5703125" style="38" customWidth="1"/>
    <col min="5388" max="5389" width="12.28515625" style="38" customWidth="1"/>
    <col min="5390" max="5393" width="12.7109375" style="38" customWidth="1"/>
    <col min="5394" max="5394" width="12.28515625" style="38" bestFit="1" customWidth="1"/>
    <col min="5395" max="5395" width="13.28515625" style="38" customWidth="1"/>
    <col min="5396" max="5636" width="9.28515625" style="38"/>
    <col min="5637" max="5637" width="2.7109375" style="38" customWidth="1"/>
    <col min="5638" max="5638" width="9.28515625" style="38"/>
    <col min="5639" max="5639" width="40.28515625" style="38" bestFit="1" customWidth="1"/>
    <col min="5640" max="5640" width="12" style="38" customWidth="1"/>
    <col min="5641" max="5641" width="10" style="38" customWidth="1"/>
    <col min="5642" max="5642" width="14.7109375" style="38" customWidth="1"/>
    <col min="5643" max="5643" width="9.5703125" style="38" customWidth="1"/>
    <col min="5644" max="5645" width="12.28515625" style="38" customWidth="1"/>
    <col min="5646" max="5649" width="12.7109375" style="38" customWidth="1"/>
    <col min="5650" max="5650" width="12.28515625" style="38" bestFit="1" customWidth="1"/>
    <col min="5651" max="5651" width="13.28515625" style="38" customWidth="1"/>
    <col min="5652" max="5892" width="9.28515625" style="38"/>
    <col min="5893" max="5893" width="2.7109375" style="38" customWidth="1"/>
    <col min="5894" max="5894" width="9.28515625" style="38"/>
    <col min="5895" max="5895" width="40.28515625" style="38" bestFit="1" customWidth="1"/>
    <col min="5896" max="5896" width="12" style="38" customWidth="1"/>
    <col min="5897" max="5897" width="10" style="38" customWidth="1"/>
    <col min="5898" max="5898" width="14.7109375" style="38" customWidth="1"/>
    <col min="5899" max="5899" width="9.5703125" style="38" customWidth="1"/>
    <col min="5900" max="5901" width="12.28515625" style="38" customWidth="1"/>
    <col min="5902" max="5905" width="12.7109375" style="38" customWidth="1"/>
    <col min="5906" max="5906" width="12.28515625" style="38" bestFit="1" customWidth="1"/>
    <col min="5907" max="5907" width="13.28515625" style="38" customWidth="1"/>
    <col min="5908" max="6148" width="9.28515625" style="38"/>
    <col min="6149" max="6149" width="2.7109375" style="38" customWidth="1"/>
    <col min="6150" max="6150" width="9.28515625" style="38"/>
    <col min="6151" max="6151" width="40.28515625" style="38" bestFit="1" customWidth="1"/>
    <col min="6152" max="6152" width="12" style="38" customWidth="1"/>
    <col min="6153" max="6153" width="10" style="38" customWidth="1"/>
    <col min="6154" max="6154" width="14.7109375" style="38" customWidth="1"/>
    <col min="6155" max="6155" width="9.5703125" style="38" customWidth="1"/>
    <col min="6156" max="6157" width="12.28515625" style="38" customWidth="1"/>
    <col min="6158" max="6161" width="12.7109375" style="38" customWidth="1"/>
    <col min="6162" max="6162" width="12.28515625" style="38" bestFit="1" customWidth="1"/>
    <col min="6163" max="6163" width="13.28515625" style="38" customWidth="1"/>
    <col min="6164" max="6404" width="9.28515625" style="38"/>
    <col min="6405" max="6405" width="2.7109375" style="38" customWidth="1"/>
    <col min="6406" max="6406" width="9.28515625" style="38"/>
    <col min="6407" max="6407" width="40.28515625" style="38" bestFit="1" customWidth="1"/>
    <col min="6408" max="6408" width="12" style="38" customWidth="1"/>
    <col min="6409" max="6409" width="10" style="38" customWidth="1"/>
    <col min="6410" max="6410" width="14.7109375" style="38" customWidth="1"/>
    <col min="6411" max="6411" width="9.5703125" style="38" customWidth="1"/>
    <col min="6412" max="6413" width="12.28515625" style="38" customWidth="1"/>
    <col min="6414" max="6417" width="12.7109375" style="38" customWidth="1"/>
    <col min="6418" max="6418" width="12.28515625" style="38" bestFit="1" customWidth="1"/>
    <col min="6419" max="6419" width="13.28515625" style="38" customWidth="1"/>
    <col min="6420" max="6660" width="9.28515625" style="38"/>
    <col min="6661" max="6661" width="2.7109375" style="38" customWidth="1"/>
    <col min="6662" max="6662" width="9.28515625" style="38"/>
    <col min="6663" max="6663" width="40.28515625" style="38" bestFit="1" customWidth="1"/>
    <col min="6664" max="6664" width="12" style="38" customWidth="1"/>
    <col min="6665" max="6665" width="10" style="38" customWidth="1"/>
    <col min="6666" max="6666" width="14.7109375" style="38" customWidth="1"/>
    <col min="6667" max="6667" width="9.5703125" style="38" customWidth="1"/>
    <col min="6668" max="6669" width="12.28515625" style="38" customWidth="1"/>
    <col min="6670" max="6673" width="12.7109375" style="38" customWidth="1"/>
    <col min="6674" max="6674" width="12.28515625" style="38" bestFit="1" customWidth="1"/>
    <col min="6675" max="6675" width="13.28515625" style="38" customWidth="1"/>
    <col min="6676" max="6916" width="9.28515625" style="38"/>
    <col min="6917" max="6917" width="2.7109375" style="38" customWidth="1"/>
    <col min="6918" max="6918" width="9.28515625" style="38"/>
    <col min="6919" max="6919" width="40.28515625" style="38" bestFit="1" customWidth="1"/>
    <col min="6920" max="6920" width="12" style="38" customWidth="1"/>
    <col min="6921" max="6921" width="10" style="38" customWidth="1"/>
    <col min="6922" max="6922" width="14.7109375" style="38" customWidth="1"/>
    <col min="6923" max="6923" width="9.5703125" style="38" customWidth="1"/>
    <col min="6924" max="6925" width="12.28515625" style="38" customWidth="1"/>
    <col min="6926" max="6929" width="12.7109375" style="38" customWidth="1"/>
    <col min="6930" max="6930" width="12.28515625" style="38" bestFit="1" customWidth="1"/>
    <col min="6931" max="6931" width="13.28515625" style="38" customWidth="1"/>
    <col min="6932" max="7172" width="9.28515625" style="38"/>
    <col min="7173" max="7173" width="2.7109375" style="38" customWidth="1"/>
    <col min="7174" max="7174" width="9.28515625" style="38"/>
    <col min="7175" max="7175" width="40.28515625" style="38" bestFit="1" customWidth="1"/>
    <col min="7176" max="7176" width="12" style="38" customWidth="1"/>
    <col min="7177" max="7177" width="10" style="38" customWidth="1"/>
    <col min="7178" max="7178" width="14.7109375" style="38" customWidth="1"/>
    <col min="7179" max="7179" width="9.5703125" style="38" customWidth="1"/>
    <col min="7180" max="7181" width="12.28515625" style="38" customWidth="1"/>
    <col min="7182" max="7185" width="12.7109375" style="38" customWidth="1"/>
    <col min="7186" max="7186" width="12.28515625" style="38" bestFit="1" customWidth="1"/>
    <col min="7187" max="7187" width="13.28515625" style="38" customWidth="1"/>
    <col min="7188" max="7428" width="9.28515625" style="38"/>
    <col min="7429" max="7429" width="2.7109375" style="38" customWidth="1"/>
    <col min="7430" max="7430" width="9.28515625" style="38"/>
    <col min="7431" max="7431" width="40.28515625" style="38" bestFit="1" customWidth="1"/>
    <col min="7432" max="7432" width="12" style="38" customWidth="1"/>
    <col min="7433" max="7433" width="10" style="38" customWidth="1"/>
    <col min="7434" max="7434" width="14.7109375" style="38" customWidth="1"/>
    <col min="7435" max="7435" width="9.5703125" style="38" customWidth="1"/>
    <col min="7436" max="7437" width="12.28515625" style="38" customWidth="1"/>
    <col min="7438" max="7441" width="12.7109375" style="38" customWidth="1"/>
    <col min="7442" max="7442" width="12.28515625" style="38" bestFit="1" customWidth="1"/>
    <col min="7443" max="7443" width="13.28515625" style="38" customWidth="1"/>
    <col min="7444" max="7684" width="9.28515625" style="38"/>
    <col min="7685" max="7685" width="2.7109375" style="38" customWidth="1"/>
    <col min="7686" max="7686" width="9.28515625" style="38"/>
    <col min="7687" max="7687" width="40.28515625" style="38" bestFit="1" customWidth="1"/>
    <col min="7688" max="7688" width="12" style="38" customWidth="1"/>
    <col min="7689" max="7689" width="10" style="38" customWidth="1"/>
    <col min="7690" max="7690" width="14.7109375" style="38" customWidth="1"/>
    <col min="7691" max="7691" width="9.5703125" style="38" customWidth="1"/>
    <col min="7692" max="7693" width="12.28515625" style="38" customWidth="1"/>
    <col min="7694" max="7697" width="12.7109375" style="38" customWidth="1"/>
    <col min="7698" max="7698" width="12.28515625" style="38" bestFit="1" customWidth="1"/>
    <col min="7699" max="7699" width="13.28515625" style="38" customWidth="1"/>
    <col min="7700" max="7940" width="9.28515625" style="38"/>
    <col min="7941" max="7941" width="2.7109375" style="38" customWidth="1"/>
    <col min="7942" max="7942" width="9.28515625" style="38"/>
    <col min="7943" max="7943" width="40.28515625" style="38" bestFit="1" customWidth="1"/>
    <col min="7944" max="7944" width="12" style="38" customWidth="1"/>
    <col min="7945" max="7945" width="10" style="38" customWidth="1"/>
    <col min="7946" max="7946" width="14.7109375" style="38" customWidth="1"/>
    <col min="7947" max="7947" width="9.5703125" style="38" customWidth="1"/>
    <col min="7948" max="7949" width="12.28515625" style="38" customWidth="1"/>
    <col min="7950" max="7953" width="12.7109375" style="38" customWidth="1"/>
    <col min="7954" max="7954" width="12.28515625" style="38" bestFit="1" customWidth="1"/>
    <col min="7955" max="7955" width="13.28515625" style="38" customWidth="1"/>
    <col min="7956" max="8196" width="9.28515625" style="38"/>
    <col min="8197" max="8197" width="2.7109375" style="38" customWidth="1"/>
    <col min="8198" max="8198" width="9.28515625" style="38"/>
    <col min="8199" max="8199" width="40.28515625" style="38" bestFit="1" customWidth="1"/>
    <col min="8200" max="8200" width="12" style="38" customWidth="1"/>
    <col min="8201" max="8201" width="10" style="38" customWidth="1"/>
    <col min="8202" max="8202" width="14.7109375" style="38" customWidth="1"/>
    <col min="8203" max="8203" width="9.5703125" style="38" customWidth="1"/>
    <col min="8204" max="8205" width="12.28515625" style="38" customWidth="1"/>
    <col min="8206" max="8209" width="12.7109375" style="38" customWidth="1"/>
    <col min="8210" max="8210" width="12.28515625" style="38" bestFit="1" customWidth="1"/>
    <col min="8211" max="8211" width="13.28515625" style="38" customWidth="1"/>
    <col min="8212" max="8452" width="9.28515625" style="38"/>
    <col min="8453" max="8453" width="2.7109375" style="38" customWidth="1"/>
    <col min="8454" max="8454" width="9.28515625" style="38"/>
    <col min="8455" max="8455" width="40.28515625" style="38" bestFit="1" customWidth="1"/>
    <col min="8456" max="8456" width="12" style="38" customWidth="1"/>
    <col min="8457" max="8457" width="10" style="38" customWidth="1"/>
    <col min="8458" max="8458" width="14.7109375" style="38" customWidth="1"/>
    <col min="8459" max="8459" width="9.5703125" style="38" customWidth="1"/>
    <col min="8460" max="8461" width="12.28515625" style="38" customWidth="1"/>
    <col min="8462" max="8465" width="12.7109375" style="38" customWidth="1"/>
    <col min="8466" max="8466" width="12.28515625" style="38" bestFit="1" customWidth="1"/>
    <col min="8467" max="8467" width="13.28515625" style="38" customWidth="1"/>
    <col min="8468" max="8708" width="9.28515625" style="38"/>
    <col min="8709" max="8709" width="2.7109375" style="38" customWidth="1"/>
    <col min="8710" max="8710" width="9.28515625" style="38"/>
    <col min="8711" max="8711" width="40.28515625" style="38" bestFit="1" customWidth="1"/>
    <col min="8712" max="8712" width="12" style="38" customWidth="1"/>
    <col min="8713" max="8713" width="10" style="38" customWidth="1"/>
    <col min="8714" max="8714" width="14.7109375" style="38" customWidth="1"/>
    <col min="8715" max="8715" width="9.5703125" style="38" customWidth="1"/>
    <col min="8716" max="8717" width="12.28515625" style="38" customWidth="1"/>
    <col min="8718" max="8721" width="12.7109375" style="38" customWidth="1"/>
    <col min="8722" max="8722" width="12.28515625" style="38" bestFit="1" customWidth="1"/>
    <col min="8723" max="8723" width="13.28515625" style="38" customWidth="1"/>
    <col min="8724" max="8964" width="9.28515625" style="38"/>
    <col min="8965" max="8965" width="2.7109375" style="38" customWidth="1"/>
    <col min="8966" max="8966" width="9.28515625" style="38"/>
    <col min="8967" max="8967" width="40.28515625" style="38" bestFit="1" customWidth="1"/>
    <col min="8968" max="8968" width="12" style="38" customWidth="1"/>
    <col min="8969" max="8969" width="10" style="38" customWidth="1"/>
    <col min="8970" max="8970" width="14.7109375" style="38" customWidth="1"/>
    <col min="8971" max="8971" width="9.5703125" style="38" customWidth="1"/>
    <col min="8972" max="8973" width="12.28515625" style="38" customWidth="1"/>
    <col min="8974" max="8977" width="12.7109375" style="38" customWidth="1"/>
    <col min="8978" max="8978" width="12.28515625" style="38" bestFit="1" customWidth="1"/>
    <col min="8979" max="8979" width="13.28515625" style="38" customWidth="1"/>
    <col min="8980" max="9220" width="9.28515625" style="38"/>
    <col min="9221" max="9221" width="2.7109375" style="38" customWidth="1"/>
    <col min="9222" max="9222" width="9.28515625" style="38"/>
    <col min="9223" max="9223" width="40.28515625" style="38" bestFit="1" customWidth="1"/>
    <col min="9224" max="9224" width="12" style="38" customWidth="1"/>
    <col min="9225" max="9225" width="10" style="38" customWidth="1"/>
    <col min="9226" max="9226" width="14.7109375" style="38" customWidth="1"/>
    <col min="9227" max="9227" width="9.5703125" style="38" customWidth="1"/>
    <col min="9228" max="9229" width="12.28515625" style="38" customWidth="1"/>
    <col min="9230" max="9233" width="12.7109375" style="38" customWidth="1"/>
    <col min="9234" max="9234" width="12.28515625" style="38" bestFit="1" customWidth="1"/>
    <col min="9235" max="9235" width="13.28515625" style="38" customWidth="1"/>
    <col min="9236" max="9476" width="9.28515625" style="38"/>
    <col min="9477" max="9477" width="2.7109375" style="38" customWidth="1"/>
    <col min="9478" max="9478" width="9.28515625" style="38"/>
    <col min="9479" max="9479" width="40.28515625" style="38" bestFit="1" customWidth="1"/>
    <col min="9480" max="9480" width="12" style="38" customWidth="1"/>
    <col min="9481" max="9481" width="10" style="38" customWidth="1"/>
    <col min="9482" max="9482" width="14.7109375" style="38" customWidth="1"/>
    <col min="9483" max="9483" width="9.5703125" style="38" customWidth="1"/>
    <col min="9484" max="9485" width="12.28515625" style="38" customWidth="1"/>
    <col min="9486" max="9489" width="12.7109375" style="38" customWidth="1"/>
    <col min="9490" max="9490" width="12.28515625" style="38" bestFit="1" customWidth="1"/>
    <col min="9491" max="9491" width="13.28515625" style="38" customWidth="1"/>
    <col min="9492" max="9732" width="9.28515625" style="38"/>
    <col min="9733" max="9733" width="2.7109375" style="38" customWidth="1"/>
    <col min="9734" max="9734" width="9.28515625" style="38"/>
    <col min="9735" max="9735" width="40.28515625" style="38" bestFit="1" customWidth="1"/>
    <col min="9736" max="9736" width="12" style="38" customWidth="1"/>
    <col min="9737" max="9737" width="10" style="38" customWidth="1"/>
    <col min="9738" max="9738" width="14.7109375" style="38" customWidth="1"/>
    <col min="9739" max="9739" width="9.5703125" style="38" customWidth="1"/>
    <col min="9740" max="9741" width="12.28515625" style="38" customWidth="1"/>
    <col min="9742" max="9745" width="12.7109375" style="38" customWidth="1"/>
    <col min="9746" max="9746" width="12.28515625" style="38" bestFit="1" customWidth="1"/>
    <col min="9747" max="9747" width="13.28515625" style="38" customWidth="1"/>
    <col min="9748" max="9988" width="9.28515625" style="38"/>
    <col min="9989" max="9989" width="2.7109375" style="38" customWidth="1"/>
    <col min="9990" max="9990" width="9.28515625" style="38"/>
    <col min="9991" max="9991" width="40.28515625" style="38" bestFit="1" customWidth="1"/>
    <col min="9992" max="9992" width="12" style="38" customWidth="1"/>
    <col min="9993" max="9993" width="10" style="38" customWidth="1"/>
    <col min="9994" max="9994" width="14.7109375" style="38" customWidth="1"/>
    <col min="9995" max="9995" width="9.5703125" style="38" customWidth="1"/>
    <col min="9996" max="9997" width="12.28515625" style="38" customWidth="1"/>
    <col min="9998" max="10001" width="12.7109375" style="38" customWidth="1"/>
    <col min="10002" max="10002" width="12.28515625" style="38" bestFit="1" customWidth="1"/>
    <col min="10003" max="10003" width="13.28515625" style="38" customWidth="1"/>
    <col min="10004" max="10244" width="9.28515625" style="38"/>
    <col min="10245" max="10245" width="2.7109375" style="38" customWidth="1"/>
    <col min="10246" max="10246" width="9.28515625" style="38"/>
    <col min="10247" max="10247" width="40.28515625" style="38" bestFit="1" customWidth="1"/>
    <col min="10248" max="10248" width="12" style="38" customWidth="1"/>
    <col min="10249" max="10249" width="10" style="38" customWidth="1"/>
    <col min="10250" max="10250" width="14.7109375" style="38" customWidth="1"/>
    <col min="10251" max="10251" width="9.5703125" style="38" customWidth="1"/>
    <col min="10252" max="10253" width="12.28515625" style="38" customWidth="1"/>
    <col min="10254" max="10257" width="12.7109375" style="38" customWidth="1"/>
    <col min="10258" max="10258" width="12.28515625" style="38" bestFit="1" customWidth="1"/>
    <col min="10259" max="10259" width="13.28515625" style="38" customWidth="1"/>
    <col min="10260" max="10500" width="9.28515625" style="38"/>
    <col min="10501" max="10501" width="2.7109375" style="38" customWidth="1"/>
    <col min="10502" max="10502" width="9.28515625" style="38"/>
    <col min="10503" max="10503" width="40.28515625" style="38" bestFit="1" customWidth="1"/>
    <col min="10504" max="10504" width="12" style="38" customWidth="1"/>
    <col min="10505" max="10505" width="10" style="38" customWidth="1"/>
    <col min="10506" max="10506" width="14.7109375" style="38" customWidth="1"/>
    <col min="10507" max="10507" width="9.5703125" style="38" customWidth="1"/>
    <col min="10508" max="10509" width="12.28515625" style="38" customWidth="1"/>
    <col min="10510" max="10513" width="12.7109375" style="38" customWidth="1"/>
    <col min="10514" max="10514" width="12.28515625" style="38" bestFit="1" customWidth="1"/>
    <col min="10515" max="10515" width="13.28515625" style="38" customWidth="1"/>
    <col min="10516" max="10756" width="9.28515625" style="38"/>
    <col min="10757" max="10757" width="2.7109375" style="38" customWidth="1"/>
    <col min="10758" max="10758" width="9.28515625" style="38"/>
    <col min="10759" max="10759" width="40.28515625" style="38" bestFit="1" customWidth="1"/>
    <col min="10760" max="10760" width="12" style="38" customWidth="1"/>
    <col min="10761" max="10761" width="10" style="38" customWidth="1"/>
    <col min="10762" max="10762" width="14.7109375" style="38" customWidth="1"/>
    <col min="10763" max="10763" width="9.5703125" style="38" customWidth="1"/>
    <col min="10764" max="10765" width="12.28515625" style="38" customWidth="1"/>
    <col min="10766" max="10769" width="12.7109375" style="38" customWidth="1"/>
    <col min="10770" max="10770" width="12.28515625" style="38" bestFit="1" customWidth="1"/>
    <col min="10771" max="10771" width="13.28515625" style="38" customWidth="1"/>
    <col min="10772" max="11012" width="9.28515625" style="38"/>
    <col min="11013" max="11013" width="2.7109375" style="38" customWidth="1"/>
    <col min="11014" max="11014" width="9.28515625" style="38"/>
    <col min="11015" max="11015" width="40.28515625" style="38" bestFit="1" customWidth="1"/>
    <col min="11016" max="11016" width="12" style="38" customWidth="1"/>
    <col min="11017" max="11017" width="10" style="38" customWidth="1"/>
    <col min="11018" max="11018" width="14.7109375" style="38" customWidth="1"/>
    <col min="11019" max="11019" width="9.5703125" style="38" customWidth="1"/>
    <col min="11020" max="11021" width="12.28515625" style="38" customWidth="1"/>
    <col min="11022" max="11025" width="12.7109375" style="38" customWidth="1"/>
    <col min="11026" max="11026" width="12.28515625" style="38" bestFit="1" customWidth="1"/>
    <col min="11027" max="11027" width="13.28515625" style="38" customWidth="1"/>
    <col min="11028" max="11268" width="9.28515625" style="38"/>
    <col min="11269" max="11269" width="2.7109375" style="38" customWidth="1"/>
    <col min="11270" max="11270" width="9.28515625" style="38"/>
    <col min="11271" max="11271" width="40.28515625" style="38" bestFit="1" customWidth="1"/>
    <col min="11272" max="11272" width="12" style="38" customWidth="1"/>
    <col min="11273" max="11273" width="10" style="38" customWidth="1"/>
    <col min="11274" max="11274" width="14.7109375" style="38" customWidth="1"/>
    <col min="11275" max="11275" width="9.5703125" style="38" customWidth="1"/>
    <col min="11276" max="11277" width="12.28515625" style="38" customWidth="1"/>
    <col min="11278" max="11281" width="12.7109375" style="38" customWidth="1"/>
    <col min="11282" max="11282" width="12.28515625" style="38" bestFit="1" customWidth="1"/>
    <col min="11283" max="11283" width="13.28515625" style="38" customWidth="1"/>
    <col min="11284" max="11524" width="9.28515625" style="38"/>
    <col min="11525" max="11525" width="2.7109375" style="38" customWidth="1"/>
    <col min="11526" max="11526" width="9.28515625" style="38"/>
    <col min="11527" max="11527" width="40.28515625" style="38" bestFit="1" customWidth="1"/>
    <col min="11528" max="11528" width="12" style="38" customWidth="1"/>
    <col min="11529" max="11529" width="10" style="38" customWidth="1"/>
    <col min="11530" max="11530" width="14.7109375" style="38" customWidth="1"/>
    <col min="11531" max="11531" width="9.5703125" style="38" customWidth="1"/>
    <col min="11532" max="11533" width="12.28515625" style="38" customWidth="1"/>
    <col min="11534" max="11537" width="12.7109375" style="38" customWidth="1"/>
    <col min="11538" max="11538" width="12.28515625" style="38" bestFit="1" customWidth="1"/>
    <col min="11539" max="11539" width="13.28515625" style="38" customWidth="1"/>
    <col min="11540" max="11780" width="9.28515625" style="38"/>
    <col min="11781" max="11781" width="2.7109375" style="38" customWidth="1"/>
    <col min="11782" max="11782" width="9.28515625" style="38"/>
    <col min="11783" max="11783" width="40.28515625" style="38" bestFit="1" customWidth="1"/>
    <col min="11784" max="11784" width="12" style="38" customWidth="1"/>
    <col min="11785" max="11785" width="10" style="38" customWidth="1"/>
    <col min="11786" max="11786" width="14.7109375" style="38" customWidth="1"/>
    <col min="11787" max="11787" width="9.5703125" style="38" customWidth="1"/>
    <col min="11788" max="11789" width="12.28515625" style="38" customWidth="1"/>
    <col min="11790" max="11793" width="12.7109375" style="38" customWidth="1"/>
    <col min="11794" max="11794" width="12.28515625" style="38" bestFit="1" customWidth="1"/>
    <col min="11795" max="11795" width="13.28515625" style="38" customWidth="1"/>
    <col min="11796" max="12036" width="9.28515625" style="38"/>
    <col min="12037" max="12037" width="2.7109375" style="38" customWidth="1"/>
    <col min="12038" max="12038" width="9.28515625" style="38"/>
    <col min="12039" max="12039" width="40.28515625" style="38" bestFit="1" customWidth="1"/>
    <col min="12040" max="12040" width="12" style="38" customWidth="1"/>
    <col min="12041" max="12041" width="10" style="38" customWidth="1"/>
    <col min="12042" max="12042" width="14.7109375" style="38" customWidth="1"/>
    <col min="12043" max="12043" width="9.5703125" style="38" customWidth="1"/>
    <col min="12044" max="12045" width="12.28515625" style="38" customWidth="1"/>
    <col min="12046" max="12049" width="12.7109375" style="38" customWidth="1"/>
    <col min="12050" max="12050" width="12.28515625" style="38" bestFit="1" customWidth="1"/>
    <col min="12051" max="12051" width="13.28515625" style="38" customWidth="1"/>
    <col min="12052" max="12292" width="9.28515625" style="38"/>
    <col min="12293" max="12293" width="2.7109375" style="38" customWidth="1"/>
    <col min="12294" max="12294" width="9.28515625" style="38"/>
    <col min="12295" max="12295" width="40.28515625" style="38" bestFit="1" customWidth="1"/>
    <col min="12296" max="12296" width="12" style="38" customWidth="1"/>
    <col min="12297" max="12297" width="10" style="38" customWidth="1"/>
    <col min="12298" max="12298" width="14.7109375" style="38" customWidth="1"/>
    <col min="12299" max="12299" width="9.5703125" style="38" customWidth="1"/>
    <col min="12300" max="12301" width="12.28515625" style="38" customWidth="1"/>
    <col min="12302" max="12305" width="12.7109375" style="38" customWidth="1"/>
    <col min="12306" max="12306" width="12.28515625" style="38" bestFit="1" customWidth="1"/>
    <col min="12307" max="12307" width="13.28515625" style="38" customWidth="1"/>
    <col min="12308" max="12548" width="9.28515625" style="38"/>
    <col min="12549" max="12549" width="2.7109375" style="38" customWidth="1"/>
    <col min="12550" max="12550" width="9.28515625" style="38"/>
    <col min="12551" max="12551" width="40.28515625" style="38" bestFit="1" customWidth="1"/>
    <col min="12552" max="12552" width="12" style="38" customWidth="1"/>
    <col min="12553" max="12553" width="10" style="38" customWidth="1"/>
    <col min="12554" max="12554" width="14.7109375" style="38" customWidth="1"/>
    <col min="12555" max="12555" width="9.5703125" style="38" customWidth="1"/>
    <col min="12556" max="12557" width="12.28515625" style="38" customWidth="1"/>
    <col min="12558" max="12561" width="12.7109375" style="38" customWidth="1"/>
    <col min="12562" max="12562" width="12.28515625" style="38" bestFit="1" customWidth="1"/>
    <col min="12563" max="12563" width="13.28515625" style="38" customWidth="1"/>
    <col min="12564" max="12804" width="9.28515625" style="38"/>
    <col min="12805" max="12805" width="2.7109375" style="38" customWidth="1"/>
    <col min="12806" max="12806" width="9.28515625" style="38"/>
    <col min="12807" max="12807" width="40.28515625" style="38" bestFit="1" customWidth="1"/>
    <col min="12808" max="12808" width="12" style="38" customWidth="1"/>
    <col min="12809" max="12809" width="10" style="38" customWidth="1"/>
    <col min="12810" max="12810" width="14.7109375" style="38" customWidth="1"/>
    <col min="12811" max="12811" width="9.5703125" style="38" customWidth="1"/>
    <col min="12812" max="12813" width="12.28515625" style="38" customWidth="1"/>
    <col min="12814" max="12817" width="12.7109375" style="38" customWidth="1"/>
    <col min="12818" max="12818" width="12.28515625" style="38" bestFit="1" customWidth="1"/>
    <col min="12819" max="12819" width="13.28515625" style="38" customWidth="1"/>
    <col min="12820" max="13060" width="9.28515625" style="38"/>
    <col min="13061" max="13061" width="2.7109375" style="38" customWidth="1"/>
    <col min="13062" max="13062" width="9.28515625" style="38"/>
    <col min="13063" max="13063" width="40.28515625" style="38" bestFit="1" customWidth="1"/>
    <col min="13064" max="13064" width="12" style="38" customWidth="1"/>
    <col min="13065" max="13065" width="10" style="38" customWidth="1"/>
    <col min="13066" max="13066" width="14.7109375" style="38" customWidth="1"/>
    <col min="13067" max="13067" width="9.5703125" style="38" customWidth="1"/>
    <col min="13068" max="13069" width="12.28515625" style="38" customWidth="1"/>
    <col min="13070" max="13073" width="12.7109375" style="38" customWidth="1"/>
    <col min="13074" max="13074" width="12.28515625" style="38" bestFit="1" customWidth="1"/>
    <col min="13075" max="13075" width="13.28515625" style="38" customWidth="1"/>
    <col min="13076" max="13316" width="9.28515625" style="38"/>
    <col min="13317" max="13317" width="2.7109375" style="38" customWidth="1"/>
    <col min="13318" max="13318" width="9.28515625" style="38"/>
    <col min="13319" max="13319" width="40.28515625" style="38" bestFit="1" customWidth="1"/>
    <col min="13320" max="13320" width="12" style="38" customWidth="1"/>
    <col min="13321" max="13321" width="10" style="38" customWidth="1"/>
    <col min="13322" max="13322" width="14.7109375" style="38" customWidth="1"/>
    <col min="13323" max="13323" width="9.5703125" style="38" customWidth="1"/>
    <col min="13324" max="13325" width="12.28515625" style="38" customWidth="1"/>
    <col min="13326" max="13329" width="12.7109375" style="38" customWidth="1"/>
    <col min="13330" max="13330" width="12.28515625" style="38" bestFit="1" customWidth="1"/>
    <col min="13331" max="13331" width="13.28515625" style="38" customWidth="1"/>
    <col min="13332" max="13572" width="9.28515625" style="38"/>
    <col min="13573" max="13573" width="2.7109375" style="38" customWidth="1"/>
    <col min="13574" max="13574" width="9.28515625" style="38"/>
    <col min="13575" max="13575" width="40.28515625" style="38" bestFit="1" customWidth="1"/>
    <col min="13576" max="13576" width="12" style="38" customWidth="1"/>
    <col min="13577" max="13577" width="10" style="38" customWidth="1"/>
    <col min="13578" max="13578" width="14.7109375" style="38" customWidth="1"/>
    <col min="13579" max="13579" width="9.5703125" style="38" customWidth="1"/>
    <col min="13580" max="13581" width="12.28515625" style="38" customWidth="1"/>
    <col min="13582" max="13585" width="12.7109375" style="38" customWidth="1"/>
    <col min="13586" max="13586" width="12.28515625" style="38" bestFit="1" customWidth="1"/>
    <col min="13587" max="13587" width="13.28515625" style="38" customWidth="1"/>
    <col min="13588" max="13828" width="9.28515625" style="38"/>
    <col min="13829" max="13829" width="2.7109375" style="38" customWidth="1"/>
    <col min="13830" max="13830" width="9.28515625" style="38"/>
    <col min="13831" max="13831" width="40.28515625" style="38" bestFit="1" customWidth="1"/>
    <col min="13832" max="13832" width="12" style="38" customWidth="1"/>
    <col min="13833" max="13833" width="10" style="38" customWidth="1"/>
    <col min="13834" max="13834" width="14.7109375" style="38" customWidth="1"/>
    <col min="13835" max="13835" width="9.5703125" style="38" customWidth="1"/>
    <col min="13836" max="13837" width="12.28515625" style="38" customWidth="1"/>
    <col min="13838" max="13841" width="12.7109375" style="38" customWidth="1"/>
    <col min="13842" max="13842" width="12.28515625" style="38" bestFit="1" customWidth="1"/>
    <col min="13843" max="13843" width="13.28515625" style="38" customWidth="1"/>
    <col min="13844" max="14084" width="9.28515625" style="38"/>
    <col min="14085" max="14085" width="2.7109375" style="38" customWidth="1"/>
    <col min="14086" max="14086" width="9.28515625" style="38"/>
    <col min="14087" max="14087" width="40.28515625" style="38" bestFit="1" customWidth="1"/>
    <col min="14088" max="14088" width="12" style="38" customWidth="1"/>
    <col min="14089" max="14089" width="10" style="38" customWidth="1"/>
    <col min="14090" max="14090" width="14.7109375" style="38" customWidth="1"/>
    <col min="14091" max="14091" width="9.5703125" style="38" customWidth="1"/>
    <col min="14092" max="14093" width="12.28515625" style="38" customWidth="1"/>
    <col min="14094" max="14097" width="12.7109375" style="38" customWidth="1"/>
    <col min="14098" max="14098" width="12.28515625" style="38" bestFit="1" customWidth="1"/>
    <col min="14099" max="14099" width="13.28515625" style="38" customWidth="1"/>
    <col min="14100" max="14340" width="9.28515625" style="38"/>
    <col min="14341" max="14341" width="2.7109375" style="38" customWidth="1"/>
    <col min="14342" max="14342" width="9.28515625" style="38"/>
    <col min="14343" max="14343" width="40.28515625" style="38" bestFit="1" customWidth="1"/>
    <col min="14344" max="14344" width="12" style="38" customWidth="1"/>
    <col min="14345" max="14345" width="10" style="38" customWidth="1"/>
    <col min="14346" max="14346" width="14.7109375" style="38" customWidth="1"/>
    <col min="14347" max="14347" width="9.5703125" style="38" customWidth="1"/>
    <col min="14348" max="14349" width="12.28515625" style="38" customWidth="1"/>
    <col min="14350" max="14353" width="12.7109375" style="38" customWidth="1"/>
    <col min="14354" max="14354" width="12.28515625" style="38" bestFit="1" customWidth="1"/>
    <col min="14355" max="14355" width="13.28515625" style="38" customWidth="1"/>
    <col min="14356" max="14596" width="9.28515625" style="38"/>
    <col min="14597" max="14597" width="2.7109375" style="38" customWidth="1"/>
    <col min="14598" max="14598" width="9.28515625" style="38"/>
    <col min="14599" max="14599" width="40.28515625" style="38" bestFit="1" customWidth="1"/>
    <col min="14600" max="14600" width="12" style="38" customWidth="1"/>
    <col min="14601" max="14601" width="10" style="38" customWidth="1"/>
    <col min="14602" max="14602" width="14.7109375" style="38" customWidth="1"/>
    <col min="14603" max="14603" width="9.5703125" style="38" customWidth="1"/>
    <col min="14604" max="14605" width="12.28515625" style="38" customWidth="1"/>
    <col min="14606" max="14609" width="12.7109375" style="38" customWidth="1"/>
    <col min="14610" max="14610" width="12.28515625" style="38" bestFit="1" customWidth="1"/>
    <col min="14611" max="14611" width="13.28515625" style="38" customWidth="1"/>
    <col min="14612" max="14852" width="9.28515625" style="38"/>
    <col min="14853" max="14853" width="2.7109375" style="38" customWidth="1"/>
    <col min="14854" max="14854" width="9.28515625" style="38"/>
    <col min="14855" max="14855" width="40.28515625" style="38" bestFit="1" customWidth="1"/>
    <col min="14856" max="14856" width="12" style="38" customWidth="1"/>
    <col min="14857" max="14857" width="10" style="38" customWidth="1"/>
    <col min="14858" max="14858" width="14.7109375" style="38" customWidth="1"/>
    <col min="14859" max="14859" width="9.5703125" style="38" customWidth="1"/>
    <col min="14860" max="14861" width="12.28515625" style="38" customWidth="1"/>
    <col min="14862" max="14865" width="12.7109375" style="38" customWidth="1"/>
    <col min="14866" max="14866" width="12.28515625" style="38" bestFit="1" customWidth="1"/>
    <col min="14867" max="14867" width="13.28515625" style="38" customWidth="1"/>
    <col min="14868" max="15108" width="9.28515625" style="38"/>
    <col min="15109" max="15109" width="2.7109375" style="38" customWidth="1"/>
    <col min="15110" max="15110" width="9.28515625" style="38"/>
    <col min="15111" max="15111" width="40.28515625" style="38" bestFit="1" customWidth="1"/>
    <col min="15112" max="15112" width="12" style="38" customWidth="1"/>
    <col min="15113" max="15113" width="10" style="38" customWidth="1"/>
    <col min="15114" max="15114" width="14.7109375" style="38" customWidth="1"/>
    <col min="15115" max="15115" width="9.5703125" style="38" customWidth="1"/>
    <col min="15116" max="15117" width="12.28515625" style="38" customWidth="1"/>
    <col min="15118" max="15121" width="12.7109375" style="38" customWidth="1"/>
    <col min="15122" max="15122" width="12.28515625" style="38" bestFit="1" customWidth="1"/>
    <col min="15123" max="15123" width="13.28515625" style="38" customWidth="1"/>
    <col min="15124" max="15364" width="9.28515625" style="38"/>
    <col min="15365" max="15365" width="2.7109375" style="38" customWidth="1"/>
    <col min="15366" max="15366" width="9.28515625" style="38"/>
    <col min="15367" max="15367" width="40.28515625" style="38" bestFit="1" customWidth="1"/>
    <col min="15368" max="15368" width="12" style="38" customWidth="1"/>
    <col min="15369" max="15369" width="10" style="38" customWidth="1"/>
    <col min="15370" max="15370" width="14.7109375" style="38" customWidth="1"/>
    <col min="15371" max="15371" width="9.5703125" style="38" customWidth="1"/>
    <col min="15372" max="15373" width="12.28515625" style="38" customWidth="1"/>
    <col min="15374" max="15377" width="12.7109375" style="38" customWidth="1"/>
    <col min="15378" max="15378" width="12.28515625" style="38" bestFit="1" customWidth="1"/>
    <col min="15379" max="15379" width="13.28515625" style="38" customWidth="1"/>
    <col min="15380" max="15620" width="9.28515625" style="38"/>
    <col min="15621" max="15621" width="2.7109375" style="38" customWidth="1"/>
    <col min="15622" max="15622" width="9.28515625" style="38"/>
    <col min="15623" max="15623" width="40.28515625" style="38" bestFit="1" customWidth="1"/>
    <col min="15624" max="15624" width="12" style="38" customWidth="1"/>
    <col min="15625" max="15625" width="10" style="38" customWidth="1"/>
    <col min="15626" max="15626" width="14.7109375" style="38" customWidth="1"/>
    <col min="15627" max="15627" width="9.5703125" style="38" customWidth="1"/>
    <col min="15628" max="15629" width="12.28515625" style="38" customWidth="1"/>
    <col min="15630" max="15633" width="12.7109375" style="38" customWidth="1"/>
    <col min="15634" max="15634" width="12.28515625" style="38" bestFit="1" customWidth="1"/>
    <col min="15635" max="15635" width="13.28515625" style="38" customWidth="1"/>
    <col min="15636" max="15876" width="9.28515625" style="38"/>
    <col min="15877" max="15877" width="2.7109375" style="38" customWidth="1"/>
    <col min="15878" max="15878" width="9.28515625" style="38"/>
    <col min="15879" max="15879" width="40.28515625" style="38" bestFit="1" customWidth="1"/>
    <col min="15880" max="15880" width="12" style="38" customWidth="1"/>
    <col min="15881" max="15881" width="10" style="38" customWidth="1"/>
    <col min="15882" max="15882" width="14.7109375" style="38" customWidth="1"/>
    <col min="15883" max="15883" width="9.5703125" style="38" customWidth="1"/>
    <col min="15884" max="15885" width="12.28515625" style="38" customWidth="1"/>
    <col min="15886" max="15889" width="12.7109375" style="38" customWidth="1"/>
    <col min="15890" max="15890" width="12.28515625" style="38" bestFit="1" customWidth="1"/>
    <col min="15891" max="15891" width="13.28515625" style="38" customWidth="1"/>
    <col min="15892" max="16132" width="9.28515625" style="38"/>
    <col min="16133" max="16133" width="2.7109375" style="38" customWidth="1"/>
    <col min="16134" max="16134" width="9.28515625" style="38"/>
    <col min="16135" max="16135" width="40.28515625" style="38" bestFit="1" customWidth="1"/>
    <col min="16136" max="16136" width="12" style="38" customWidth="1"/>
    <col min="16137" max="16137" width="10" style="38" customWidth="1"/>
    <col min="16138" max="16138" width="14.7109375" style="38" customWidth="1"/>
    <col min="16139" max="16139" width="9.5703125" style="38" customWidth="1"/>
    <col min="16140" max="16141" width="12.28515625" style="38" customWidth="1"/>
    <col min="16142" max="16145" width="12.7109375" style="38" customWidth="1"/>
    <col min="16146" max="16146" width="12.28515625" style="38" bestFit="1" customWidth="1"/>
    <col min="16147" max="16147" width="13.28515625" style="38" customWidth="1"/>
    <col min="16148" max="16384" width="9.28515625" style="38"/>
  </cols>
  <sheetData>
    <row r="1" spans="1:25" ht="20.25" x14ac:dyDescent="0.3">
      <c r="A1" s="1577" t="s">
        <v>1603</v>
      </c>
      <c r="L1" s="78"/>
      <c r="M1" s="80"/>
      <c r="N1" s="80"/>
      <c r="O1" s="80"/>
      <c r="P1" s="80"/>
      <c r="Q1" s="80"/>
      <c r="R1" s="80"/>
      <c r="S1" s="80"/>
      <c r="T1" s="80"/>
    </row>
    <row r="2" spans="1:25" x14ac:dyDescent="0.2">
      <c r="L2" s="78"/>
      <c r="M2" s="80"/>
      <c r="N2" s="80"/>
      <c r="O2" s="80"/>
      <c r="P2" s="80"/>
      <c r="Q2" s="80"/>
      <c r="R2" s="80"/>
      <c r="S2" s="80"/>
      <c r="T2" s="80"/>
    </row>
    <row r="3" spans="1:25" x14ac:dyDescent="0.2">
      <c r="L3" s="78"/>
      <c r="M3" s="80"/>
      <c r="N3" s="80"/>
      <c r="O3" s="80"/>
      <c r="P3" s="80"/>
      <c r="Q3" s="80"/>
      <c r="R3" s="80"/>
      <c r="S3" s="80"/>
      <c r="T3" s="80"/>
    </row>
    <row r="4" spans="1:25" x14ac:dyDescent="0.2">
      <c r="L4" s="78"/>
      <c r="M4" s="80"/>
      <c r="N4" s="80"/>
      <c r="O4" s="80"/>
      <c r="P4" s="80"/>
      <c r="Q4" s="80"/>
      <c r="R4" s="80"/>
      <c r="S4" s="80"/>
      <c r="T4" s="80"/>
    </row>
    <row r="5" spans="1:25" x14ac:dyDescent="0.2">
      <c r="L5" s="78"/>
      <c r="M5" s="80"/>
      <c r="N5" s="80"/>
      <c r="O5" s="80"/>
      <c r="P5" s="80"/>
      <c r="Q5" s="80"/>
      <c r="R5" s="80"/>
      <c r="S5" s="80"/>
      <c r="T5" s="80"/>
    </row>
    <row r="6" spans="1:25" x14ac:dyDescent="0.2">
      <c r="L6" s="78"/>
      <c r="M6" s="80"/>
      <c r="N6" s="80"/>
      <c r="O6" s="80"/>
      <c r="P6" s="80"/>
      <c r="Q6" s="80"/>
      <c r="R6" s="80"/>
      <c r="S6" s="80"/>
      <c r="T6" s="80"/>
    </row>
    <row r="7" spans="1:25" x14ac:dyDescent="0.2">
      <c r="L7" s="78"/>
      <c r="M7" s="80"/>
      <c r="N7" s="80"/>
      <c r="O7" s="80"/>
      <c r="P7" s="80"/>
      <c r="Q7" s="80"/>
      <c r="R7" s="80"/>
      <c r="S7" s="782"/>
      <c r="T7" s="782"/>
    </row>
    <row r="9" spans="1:25" ht="18" x14ac:dyDescent="0.25">
      <c r="A9" s="1760" t="s">
        <v>1135</v>
      </c>
      <c r="B9" s="1760"/>
      <c r="C9" s="1760"/>
      <c r="D9" s="1760"/>
      <c r="E9" s="1760"/>
      <c r="F9" s="1760"/>
      <c r="G9" s="1760"/>
      <c r="H9" s="1760"/>
      <c r="I9" s="1760"/>
      <c r="J9" s="1760"/>
      <c r="K9" s="1760"/>
      <c r="L9" s="1760"/>
      <c r="M9" s="1760"/>
      <c r="N9" s="1760"/>
      <c r="O9" s="1760"/>
      <c r="P9" s="1760"/>
      <c r="Q9" s="1760"/>
      <c r="R9" s="1760"/>
      <c r="S9" s="1760"/>
      <c r="Y9" s="38" t="s">
        <v>94</v>
      </c>
    </row>
    <row r="10" spans="1:25" ht="18" x14ac:dyDescent="0.25">
      <c r="A10" s="1760" t="s">
        <v>2</v>
      </c>
      <c r="B10" s="1760"/>
      <c r="C10" s="1760"/>
      <c r="D10" s="1760"/>
      <c r="E10" s="1760"/>
      <c r="F10" s="1760"/>
      <c r="G10" s="1760"/>
      <c r="H10" s="1760"/>
      <c r="I10" s="1760"/>
      <c r="J10" s="1760"/>
      <c r="K10" s="1760"/>
      <c r="L10" s="1760"/>
      <c r="M10" s="1760"/>
      <c r="N10" s="1760"/>
      <c r="O10" s="1760"/>
      <c r="P10" s="1760"/>
      <c r="Q10" s="1760"/>
      <c r="R10" s="1760"/>
      <c r="S10" s="1760"/>
      <c r="Y10" s="38" t="s">
        <v>831</v>
      </c>
    </row>
    <row r="11" spans="1:25" ht="18" x14ac:dyDescent="0.25">
      <c r="A11" s="1760"/>
      <c r="B11" s="1760"/>
      <c r="C11" s="1760"/>
      <c r="D11" s="1760"/>
      <c r="E11" s="1760"/>
      <c r="F11" s="1760"/>
      <c r="G11" s="1760"/>
      <c r="H11" s="1760"/>
      <c r="I11" s="1760"/>
      <c r="J11" s="1760"/>
      <c r="K11" s="1760"/>
      <c r="L11" s="1760"/>
      <c r="M11" s="1760"/>
      <c r="N11" s="1760"/>
      <c r="O11" s="1760"/>
      <c r="P11" s="1760"/>
      <c r="Q11" s="1760"/>
      <c r="R11" s="1760"/>
      <c r="S11" s="1760"/>
      <c r="Y11" s="38" t="s">
        <v>95</v>
      </c>
    </row>
    <row r="12" spans="1:25" ht="18" x14ac:dyDescent="0.25">
      <c r="A12" s="783" t="s">
        <v>1136</v>
      </c>
      <c r="B12" s="770"/>
      <c r="C12" s="770"/>
      <c r="D12" s="770"/>
      <c r="E12" s="770"/>
      <c r="F12" s="770"/>
      <c r="G12" s="770"/>
      <c r="H12" s="770"/>
      <c r="I12" s="770"/>
      <c r="J12" s="770"/>
      <c r="K12" s="770"/>
      <c r="L12" s="770"/>
      <c r="M12" s="770"/>
      <c r="N12" s="770"/>
      <c r="O12" s="770"/>
      <c r="P12" s="770"/>
      <c r="Q12" s="770"/>
      <c r="R12" s="770"/>
      <c r="S12" s="770"/>
    </row>
    <row r="13" spans="1:25" ht="18" x14ac:dyDescent="0.25">
      <c r="A13" s="770"/>
      <c r="B13" s="770"/>
      <c r="C13" s="770"/>
      <c r="D13" s="770"/>
      <c r="E13" s="770"/>
      <c r="F13" s="770"/>
      <c r="G13" s="770"/>
      <c r="H13" s="770"/>
      <c r="I13" s="770"/>
      <c r="J13" s="770"/>
      <c r="K13" s="770"/>
      <c r="L13" s="770"/>
      <c r="M13" s="770"/>
      <c r="N13" s="770"/>
      <c r="O13" s="770"/>
      <c r="P13" s="770"/>
      <c r="Q13" s="770"/>
      <c r="R13" s="770"/>
      <c r="S13" s="770"/>
    </row>
    <row r="14" spans="1:25" ht="51" customHeight="1" x14ac:dyDescent="0.2">
      <c r="A14" s="1761" t="s">
        <v>1137</v>
      </c>
      <c r="B14" s="1762"/>
      <c r="C14" s="1763" t="s">
        <v>1138</v>
      </c>
      <c r="D14" s="1763"/>
      <c r="E14" s="1763"/>
      <c r="F14" s="1763"/>
      <c r="G14" s="1763"/>
      <c r="H14" s="1763"/>
      <c r="I14" s="1763"/>
      <c r="J14" s="1763"/>
      <c r="K14" s="1763"/>
      <c r="L14" s="1763"/>
      <c r="M14" s="1763"/>
      <c r="N14" s="1763"/>
      <c r="O14" s="1763"/>
      <c r="P14" s="1763"/>
      <c r="Q14" s="1763"/>
      <c r="R14" s="774" t="s">
        <v>952</v>
      </c>
      <c r="S14" s="468" t="s">
        <v>1139</v>
      </c>
      <c r="Y14" s="38">
        <v>2012</v>
      </c>
    </row>
    <row r="15" spans="1:25" ht="35.25" customHeight="1" x14ac:dyDescent="0.2">
      <c r="A15" s="1725" t="s">
        <v>1140</v>
      </c>
      <c r="B15" s="1758"/>
      <c r="C15" s="1759" t="s">
        <v>1141</v>
      </c>
      <c r="D15" s="1759"/>
      <c r="E15" s="1759"/>
      <c r="F15" s="1759"/>
      <c r="G15" s="1759"/>
      <c r="H15" s="1759"/>
      <c r="I15" s="1759"/>
      <c r="J15" s="1759"/>
      <c r="K15" s="1759"/>
      <c r="L15" s="1759"/>
      <c r="M15" s="1759"/>
      <c r="N15" s="1759"/>
      <c r="O15" s="1759"/>
      <c r="P15" s="1759"/>
      <c r="Q15" s="1759"/>
      <c r="R15" s="784"/>
      <c r="S15" s="785"/>
      <c r="Y15" s="38">
        <v>2013</v>
      </c>
    </row>
    <row r="16" spans="1:25" ht="30.75" customHeight="1" x14ac:dyDescent="0.2">
      <c r="A16" s="1725" t="s">
        <v>1142</v>
      </c>
      <c r="B16" s="1758"/>
      <c r="C16" s="1759" t="s">
        <v>1143</v>
      </c>
      <c r="D16" s="1759"/>
      <c r="E16" s="1759"/>
      <c r="F16" s="1759"/>
      <c r="G16" s="1759"/>
      <c r="H16" s="1759"/>
      <c r="I16" s="1759"/>
      <c r="J16" s="1759"/>
      <c r="K16" s="1759"/>
      <c r="L16" s="1759"/>
      <c r="M16" s="1759"/>
      <c r="N16" s="1759"/>
      <c r="O16" s="1759"/>
      <c r="P16" s="1759"/>
      <c r="Q16" s="1759"/>
      <c r="R16" s="784"/>
      <c r="S16" s="784"/>
      <c r="Y16" s="38">
        <v>2014</v>
      </c>
    </row>
    <row r="17" spans="1:25" ht="36.75" customHeight="1" x14ac:dyDescent="0.2">
      <c r="A17" s="1759" t="s">
        <v>1144</v>
      </c>
      <c r="B17" s="1759"/>
      <c r="C17" s="1759" t="s">
        <v>1145</v>
      </c>
      <c r="D17" s="1759"/>
      <c r="E17" s="1759"/>
      <c r="F17" s="1759"/>
      <c r="G17" s="1759"/>
      <c r="H17" s="1759"/>
      <c r="I17" s="1759"/>
      <c r="J17" s="1759"/>
      <c r="K17" s="1759"/>
      <c r="L17" s="1759"/>
      <c r="M17" s="1759"/>
      <c r="N17" s="1759"/>
      <c r="O17" s="1759"/>
      <c r="P17" s="1759"/>
      <c r="Q17" s="1759"/>
      <c r="R17" s="784"/>
      <c r="S17" s="784"/>
      <c r="Y17" s="38">
        <v>2015</v>
      </c>
    </row>
    <row r="18" spans="1:25" ht="36.75" customHeight="1" x14ac:dyDescent="0.2">
      <c r="A18" s="786"/>
      <c r="B18" s="786"/>
      <c r="C18" s="787"/>
      <c r="D18" s="787"/>
      <c r="E18" s="787"/>
      <c r="F18" s="787"/>
      <c r="G18" s="787"/>
      <c r="H18" s="787"/>
      <c r="I18" s="787"/>
      <c r="J18" s="787"/>
      <c r="K18" s="787"/>
      <c r="L18" s="787"/>
      <c r="M18" s="787"/>
      <c r="N18" s="787"/>
      <c r="O18" s="787"/>
      <c r="P18" s="787"/>
      <c r="Q18" s="787"/>
      <c r="R18" s="787"/>
      <c r="S18" s="788"/>
      <c r="Y18" s="38">
        <v>2016</v>
      </c>
    </row>
    <row r="19" spans="1:25" ht="13.5" thickBot="1" x14ac:dyDescent="0.25">
      <c r="A19" s="467"/>
      <c r="B19" s="467"/>
      <c r="C19" s="467"/>
      <c r="D19" s="467"/>
      <c r="E19" s="467"/>
      <c r="F19" s="467"/>
      <c r="G19" s="467"/>
      <c r="H19" s="467"/>
      <c r="I19" s="467"/>
      <c r="J19" s="467"/>
      <c r="K19" s="467"/>
      <c r="L19" s="467"/>
      <c r="M19" s="467"/>
      <c r="N19" s="467"/>
      <c r="O19" s="467"/>
      <c r="P19" s="467"/>
      <c r="Q19" s="467"/>
      <c r="R19" s="467"/>
      <c r="S19" s="467"/>
      <c r="Y19" s="38">
        <v>2017</v>
      </c>
    </row>
    <row r="20" spans="1:25" ht="18.75" customHeight="1" thickBot="1" x14ac:dyDescent="0.3">
      <c r="A20" s="770"/>
      <c r="B20" s="770"/>
      <c r="C20" s="1764" t="s">
        <v>1146</v>
      </c>
      <c r="D20" s="1765"/>
      <c r="E20" s="1765"/>
      <c r="F20" s="1765"/>
      <c r="G20" s="1765"/>
      <c r="H20" s="1765"/>
      <c r="I20" s="1766"/>
      <c r="J20" s="1767" t="s">
        <v>1147</v>
      </c>
      <c r="K20" s="1768"/>
      <c r="L20" s="1768"/>
      <c r="M20" s="1768"/>
      <c r="N20" s="1767" t="s">
        <v>1148</v>
      </c>
      <c r="O20" s="1768"/>
      <c r="P20" s="1768"/>
      <c r="Q20" s="1769"/>
      <c r="R20" s="770"/>
      <c r="S20" s="770"/>
      <c r="Y20" s="38">
        <v>2018</v>
      </c>
    </row>
    <row r="21" spans="1:25" ht="68.25" customHeight="1" x14ac:dyDescent="0.2">
      <c r="A21" s="1770" t="s">
        <v>3</v>
      </c>
      <c r="B21" s="1772" t="s">
        <v>212</v>
      </c>
      <c r="C21" s="789" t="s">
        <v>1149</v>
      </c>
      <c r="D21" s="790" t="s">
        <v>1150</v>
      </c>
      <c r="E21" s="791" t="s">
        <v>1151</v>
      </c>
      <c r="F21" s="789" t="s">
        <v>1152</v>
      </c>
      <c r="G21" s="790" t="s">
        <v>1153</v>
      </c>
      <c r="H21" s="791" t="s">
        <v>1154</v>
      </c>
      <c r="I21" s="792" t="s">
        <v>1155</v>
      </c>
      <c r="J21" s="789" t="s">
        <v>1156</v>
      </c>
      <c r="K21" s="793" t="s">
        <v>1157</v>
      </c>
      <c r="L21" s="793" t="s">
        <v>1158</v>
      </c>
      <c r="M21" s="794" t="s">
        <v>353</v>
      </c>
      <c r="N21" s="789" t="s">
        <v>1159</v>
      </c>
      <c r="O21" s="793" t="s">
        <v>1160</v>
      </c>
      <c r="P21" s="793" t="s">
        <v>1161</v>
      </c>
      <c r="Q21" s="791" t="s">
        <v>1162</v>
      </c>
      <c r="R21" s="795" t="s">
        <v>1163</v>
      </c>
      <c r="S21" s="796" t="s">
        <v>1164</v>
      </c>
    </row>
    <row r="22" spans="1:25" ht="13.5" thickBot="1" x14ac:dyDescent="0.25">
      <c r="A22" s="1771"/>
      <c r="B22" s="1773"/>
      <c r="C22" s="797" t="s">
        <v>1165</v>
      </c>
      <c r="D22" s="127" t="s">
        <v>1166</v>
      </c>
      <c r="E22" s="128" t="s">
        <v>1167</v>
      </c>
      <c r="F22" s="797" t="s">
        <v>1168</v>
      </c>
      <c r="G22" s="127" t="s">
        <v>704</v>
      </c>
      <c r="H22" s="128" t="s">
        <v>1169</v>
      </c>
      <c r="I22" s="798" t="s">
        <v>1170</v>
      </c>
      <c r="J22" s="799" t="s">
        <v>1171</v>
      </c>
      <c r="K22" s="800" t="s">
        <v>1172</v>
      </c>
      <c r="L22" s="127" t="s">
        <v>1173</v>
      </c>
      <c r="M22" s="800" t="s">
        <v>1174</v>
      </c>
      <c r="N22" s="801" t="s">
        <v>1175</v>
      </c>
      <c r="O22" s="802" t="s">
        <v>1176</v>
      </c>
      <c r="P22" s="802" t="s">
        <v>1177</v>
      </c>
      <c r="Q22" s="803" t="s">
        <v>1178</v>
      </c>
      <c r="R22" s="804" t="s">
        <v>1179</v>
      </c>
      <c r="S22" s="128" t="s">
        <v>1180</v>
      </c>
    </row>
    <row r="23" spans="1:25" ht="25.5" x14ac:dyDescent="0.2">
      <c r="A23" s="805">
        <v>1611</v>
      </c>
      <c r="B23" s="806" t="s">
        <v>352</v>
      </c>
      <c r="C23" s="807"/>
      <c r="D23" s="808"/>
      <c r="E23" s="809">
        <f>C23-D23</f>
        <v>0</v>
      </c>
      <c r="F23" s="807"/>
      <c r="G23" s="808"/>
      <c r="H23" s="809">
        <f>F23-G23</f>
        <v>0</v>
      </c>
      <c r="I23" s="810"/>
      <c r="J23" s="811"/>
      <c r="K23" s="812">
        <f>IF(J23=0,0,1/J23)</f>
        <v>0</v>
      </c>
      <c r="L23" s="813"/>
      <c r="M23" s="814">
        <f>IF(L23=0,0,1/L23)</f>
        <v>0</v>
      </c>
      <c r="N23" s="815">
        <f>IF(J23=0,0,+E23/J23)</f>
        <v>0</v>
      </c>
      <c r="O23" s="815">
        <f>IF(L23=0,0,+H23/L23)</f>
        <v>0</v>
      </c>
      <c r="P23" s="134">
        <f>IF(L23=0,0,+(I23*0.5)/L23)</f>
        <v>0</v>
      </c>
      <c r="Q23" s="816">
        <f>IF(ISERROR(+N23+O23+P23), 0, +N23+O23+P23)</f>
        <v>0</v>
      </c>
      <c r="R23" s="817"/>
      <c r="S23" s="110">
        <f>IF(ISERROR(+R23-122), 0, +R23-Q23)</f>
        <v>0</v>
      </c>
    </row>
    <row r="24" spans="1:25" ht="25.5" x14ac:dyDescent="0.2">
      <c r="A24" s="105">
        <v>1612</v>
      </c>
      <c r="B24" s="818" t="s">
        <v>397</v>
      </c>
      <c r="C24" s="807"/>
      <c r="D24" s="808"/>
      <c r="E24" s="809">
        <f t="shared" ref="E24:E60" si="0">C24-D24</f>
        <v>0</v>
      </c>
      <c r="F24" s="807"/>
      <c r="G24" s="808"/>
      <c r="H24" s="809">
        <f t="shared" ref="H24:H60" si="1">F24-G24</f>
        <v>0</v>
      </c>
      <c r="I24" s="810"/>
      <c r="J24" s="811"/>
      <c r="K24" s="812">
        <f t="shared" ref="K24:K60" si="2">IF(J24=0,0,1/J24)</f>
        <v>0</v>
      </c>
      <c r="L24" s="813"/>
      <c r="M24" s="819">
        <f t="shared" ref="M24:M60" si="3">IF(L24=0,0,1/L24)</f>
        <v>0</v>
      </c>
      <c r="N24" s="815">
        <f t="shared" ref="N24:N60" si="4">IF(J24=0,0,+E24/J24)</f>
        <v>0</v>
      </c>
      <c r="O24" s="815">
        <f>IF(L24=0,0,+H24/L24)</f>
        <v>0</v>
      </c>
      <c r="P24" s="134">
        <f t="shared" ref="P24:P60" si="5">IF(L24=0,0,+(I24*0.5)/L24)</f>
        <v>0</v>
      </c>
      <c r="Q24" s="816">
        <f t="shared" ref="Q24:Q60" si="6">IF(ISERROR(+N24+O24+P24), 0, +N24+O24+P24)</f>
        <v>0</v>
      </c>
      <c r="R24" s="817"/>
      <c r="S24" s="110">
        <f t="shared" ref="S24:S60" si="7">IF(ISERROR(+R24-122), 0, +R24-Q24)</f>
        <v>0</v>
      </c>
    </row>
    <row r="25" spans="1:25" ht="14.25" x14ac:dyDescent="0.2">
      <c r="A25" s="103">
        <v>1805</v>
      </c>
      <c r="B25" s="820" t="s">
        <v>245</v>
      </c>
      <c r="C25" s="807"/>
      <c r="D25" s="808"/>
      <c r="E25" s="809">
        <f t="shared" si="0"/>
        <v>0</v>
      </c>
      <c r="F25" s="807"/>
      <c r="G25" s="808"/>
      <c r="H25" s="809">
        <f t="shared" si="1"/>
        <v>0</v>
      </c>
      <c r="I25" s="810"/>
      <c r="J25" s="811"/>
      <c r="K25" s="812">
        <f t="shared" si="2"/>
        <v>0</v>
      </c>
      <c r="L25" s="813"/>
      <c r="M25" s="819">
        <f t="shared" si="3"/>
        <v>0</v>
      </c>
      <c r="N25" s="815">
        <f t="shared" si="4"/>
        <v>0</v>
      </c>
      <c r="O25" s="815">
        <f t="shared" ref="O25:O60" si="8">IF(L25=0,0,+H25/L25)</f>
        <v>0</v>
      </c>
      <c r="P25" s="134">
        <f t="shared" si="5"/>
        <v>0</v>
      </c>
      <c r="Q25" s="816">
        <f t="shared" si="6"/>
        <v>0</v>
      </c>
      <c r="R25" s="817"/>
      <c r="S25" s="110">
        <f t="shared" si="7"/>
        <v>0</v>
      </c>
    </row>
    <row r="26" spans="1:25" ht="14.25" x14ac:dyDescent="0.2">
      <c r="A26" s="105">
        <v>1808</v>
      </c>
      <c r="B26" s="818" t="s">
        <v>246</v>
      </c>
      <c r="C26" s="807"/>
      <c r="D26" s="808"/>
      <c r="E26" s="809">
        <f t="shared" si="0"/>
        <v>0</v>
      </c>
      <c r="F26" s="807"/>
      <c r="G26" s="808"/>
      <c r="H26" s="809">
        <f t="shared" si="1"/>
        <v>0</v>
      </c>
      <c r="I26" s="810"/>
      <c r="J26" s="811"/>
      <c r="K26" s="812">
        <f t="shared" si="2"/>
        <v>0</v>
      </c>
      <c r="L26" s="813"/>
      <c r="M26" s="819">
        <f t="shared" si="3"/>
        <v>0</v>
      </c>
      <c r="N26" s="815">
        <f t="shared" si="4"/>
        <v>0</v>
      </c>
      <c r="O26" s="815">
        <f t="shared" si="8"/>
        <v>0</v>
      </c>
      <c r="P26" s="134">
        <f t="shared" si="5"/>
        <v>0</v>
      </c>
      <c r="Q26" s="816">
        <f t="shared" si="6"/>
        <v>0</v>
      </c>
      <c r="R26" s="817"/>
      <c r="S26" s="110">
        <f t="shared" si="7"/>
        <v>0</v>
      </c>
    </row>
    <row r="27" spans="1:25" ht="14.25" x14ac:dyDescent="0.2">
      <c r="A27" s="105">
        <v>1810</v>
      </c>
      <c r="B27" s="818" t="s">
        <v>275</v>
      </c>
      <c r="C27" s="807"/>
      <c r="D27" s="808"/>
      <c r="E27" s="809">
        <f t="shared" si="0"/>
        <v>0</v>
      </c>
      <c r="F27" s="807"/>
      <c r="G27" s="808"/>
      <c r="H27" s="809">
        <f t="shared" si="1"/>
        <v>0</v>
      </c>
      <c r="I27" s="810"/>
      <c r="J27" s="811"/>
      <c r="K27" s="812">
        <f t="shared" si="2"/>
        <v>0</v>
      </c>
      <c r="L27" s="813"/>
      <c r="M27" s="819">
        <f t="shared" si="3"/>
        <v>0</v>
      </c>
      <c r="N27" s="815">
        <f t="shared" si="4"/>
        <v>0</v>
      </c>
      <c r="O27" s="815">
        <f t="shared" si="8"/>
        <v>0</v>
      </c>
      <c r="P27" s="134">
        <f t="shared" si="5"/>
        <v>0</v>
      </c>
      <c r="Q27" s="816">
        <f t="shared" si="6"/>
        <v>0</v>
      </c>
      <c r="R27" s="817"/>
      <c r="S27" s="110">
        <f t="shared" si="7"/>
        <v>0</v>
      </c>
    </row>
    <row r="28" spans="1:25" ht="14.25" x14ac:dyDescent="0.2">
      <c r="A28" s="105">
        <v>1815</v>
      </c>
      <c r="B28" s="818" t="s">
        <v>247</v>
      </c>
      <c r="C28" s="807"/>
      <c r="D28" s="808"/>
      <c r="E28" s="809">
        <f t="shared" si="0"/>
        <v>0</v>
      </c>
      <c r="F28" s="807"/>
      <c r="G28" s="808"/>
      <c r="H28" s="809">
        <f t="shared" si="1"/>
        <v>0</v>
      </c>
      <c r="I28" s="810"/>
      <c r="J28" s="811"/>
      <c r="K28" s="812">
        <f t="shared" si="2"/>
        <v>0</v>
      </c>
      <c r="L28" s="813"/>
      <c r="M28" s="819">
        <f t="shared" si="3"/>
        <v>0</v>
      </c>
      <c r="N28" s="815">
        <f t="shared" si="4"/>
        <v>0</v>
      </c>
      <c r="O28" s="815">
        <f t="shared" si="8"/>
        <v>0</v>
      </c>
      <c r="P28" s="134">
        <f t="shared" si="5"/>
        <v>0</v>
      </c>
      <c r="Q28" s="816">
        <f t="shared" si="6"/>
        <v>0</v>
      </c>
      <c r="R28" s="817"/>
      <c r="S28" s="110">
        <f t="shared" si="7"/>
        <v>0</v>
      </c>
    </row>
    <row r="29" spans="1:25" ht="14.25" x14ac:dyDescent="0.2">
      <c r="A29" s="105">
        <v>1820</v>
      </c>
      <c r="B29" s="818" t="s">
        <v>184</v>
      </c>
      <c r="C29" s="807"/>
      <c r="D29" s="808"/>
      <c r="E29" s="809">
        <f t="shared" si="0"/>
        <v>0</v>
      </c>
      <c r="F29" s="807"/>
      <c r="G29" s="808"/>
      <c r="H29" s="809">
        <f t="shared" si="1"/>
        <v>0</v>
      </c>
      <c r="I29" s="810"/>
      <c r="J29" s="811"/>
      <c r="K29" s="812">
        <f t="shared" si="2"/>
        <v>0</v>
      </c>
      <c r="L29" s="813"/>
      <c r="M29" s="819">
        <f t="shared" si="3"/>
        <v>0</v>
      </c>
      <c r="N29" s="815">
        <f t="shared" si="4"/>
        <v>0</v>
      </c>
      <c r="O29" s="815">
        <f t="shared" si="8"/>
        <v>0</v>
      </c>
      <c r="P29" s="134">
        <f t="shared" si="5"/>
        <v>0</v>
      </c>
      <c r="Q29" s="816">
        <f t="shared" si="6"/>
        <v>0</v>
      </c>
      <c r="R29" s="817"/>
      <c r="S29" s="110">
        <f t="shared" si="7"/>
        <v>0</v>
      </c>
    </row>
    <row r="30" spans="1:25" ht="14.25" x14ac:dyDescent="0.2">
      <c r="A30" s="105">
        <v>1825</v>
      </c>
      <c r="B30" s="818" t="s">
        <v>248</v>
      </c>
      <c r="C30" s="807"/>
      <c r="D30" s="808"/>
      <c r="E30" s="809">
        <f t="shared" si="0"/>
        <v>0</v>
      </c>
      <c r="F30" s="807"/>
      <c r="G30" s="808"/>
      <c r="H30" s="809">
        <f t="shared" si="1"/>
        <v>0</v>
      </c>
      <c r="I30" s="810"/>
      <c r="J30" s="811"/>
      <c r="K30" s="812">
        <f t="shared" si="2"/>
        <v>0</v>
      </c>
      <c r="L30" s="813"/>
      <c r="M30" s="819">
        <f t="shared" si="3"/>
        <v>0</v>
      </c>
      <c r="N30" s="815">
        <f t="shared" si="4"/>
        <v>0</v>
      </c>
      <c r="O30" s="815">
        <f t="shared" si="8"/>
        <v>0</v>
      </c>
      <c r="P30" s="134">
        <f t="shared" si="5"/>
        <v>0</v>
      </c>
      <c r="Q30" s="816">
        <f t="shared" si="6"/>
        <v>0</v>
      </c>
      <c r="R30" s="817"/>
      <c r="S30" s="110">
        <f t="shared" si="7"/>
        <v>0</v>
      </c>
    </row>
    <row r="31" spans="1:25" ht="14.25" x14ac:dyDescent="0.2">
      <c r="A31" s="105">
        <v>1830</v>
      </c>
      <c r="B31" s="818" t="s">
        <v>249</v>
      </c>
      <c r="C31" s="807"/>
      <c r="D31" s="808"/>
      <c r="E31" s="809">
        <f t="shared" si="0"/>
        <v>0</v>
      </c>
      <c r="F31" s="807"/>
      <c r="G31" s="808"/>
      <c r="H31" s="809">
        <f t="shared" si="1"/>
        <v>0</v>
      </c>
      <c r="I31" s="810"/>
      <c r="J31" s="811"/>
      <c r="K31" s="812">
        <f t="shared" si="2"/>
        <v>0</v>
      </c>
      <c r="L31" s="813"/>
      <c r="M31" s="819">
        <f t="shared" si="3"/>
        <v>0</v>
      </c>
      <c r="N31" s="815">
        <f t="shared" si="4"/>
        <v>0</v>
      </c>
      <c r="O31" s="815">
        <f t="shared" si="8"/>
        <v>0</v>
      </c>
      <c r="P31" s="134">
        <f t="shared" si="5"/>
        <v>0</v>
      </c>
      <c r="Q31" s="816">
        <f t="shared" si="6"/>
        <v>0</v>
      </c>
      <c r="R31" s="817"/>
      <c r="S31" s="110">
        <f t="shared" si="7"/>
        <v>0</v>
      </c>
    </row>
    <row r="32" spans="1:25" ht="14.25" x14ac:dyDescent="0.2">
      <c r="A32" s="105">
        <v>1835</v>
      </c>
      <c r="B32" s="818" t="s">
        <v>185</v>
      </c>
      <c r="C32" s="807"/>
      <c r="D32" s="808"/>
      <c r="E32" s="809">
        <f t="shared" si="0"/>
        <v>0</v>
      </c>
      <c r="F32" s="807"/>
      <c r="G32" s="808"/>
      <c r="H32" s="809">
        <f t="shared" si="1"/>
        <v>0</v>
      </c>
      <c r="I32" s="810"/>
      <c r="J32" s="811"/>
      <c r="K32" s="812">
        <f t="shared" si="2"/>
        <v>0</v>
      </c>
      <c r="L32" s="813"/>
      <c r="M32" s="819">
        <f t="shared" si="3"/>
        <v>0</v>
      </c>
      <c r="N32" s="815">
        <f t="shared" si="4"/>
        <v>0</v>
      </c>
      <c r="O32" s="815">
        <f t="shared" si="8"/>
        <v>0</v>
      </c>
      <c r="P32" s="134">
        <f t="shared" si="5"/>
        <v>0</v>
      </c>
      <c r="Q32" s="816">
        <f t="shared" si="6"/>
        <v>0</v>
      </c>
      <c r="R32" s="817"/>
      <c r="S32" s="110">
        <f t="shared" si="7"/>
        <v>0</v>
      </c>
    </row>
    <row r="33" spans="1:19" ht="14.25" x14ac:dyDescent="0.2">
      <c r="A33" s="105">
        <v>1840</v>
      </c>
      <c r="B33" s="818" t="s">
        <v>186</v>
      </c>
      <c r="C33" s="807"/>
      <c r="D33" s="808"/>
      <c r="E33" s="809">
        <f t="shared" si="0"/>
        <v>0</v>
      </c>
      <c r="F33" s="807"/>
      <c r="G33" s="808"/>
      <c r="H33" s="809">
        <f t="shared" si="1"/>
        <v>0</v>
      </c>
      <c r="I33" s="810"/>
      <c r="J33" s="811"/>
      <c r="K33" s="812">
        <f t="shared" si="2"/>
        <v>0</v>
      </c>
      <c r="L33" s="813"/>
      <c r="M33" s="819">
        <f t="shared" si="3"/>
        <v>0</v>
      </c>
      <c r="N33" s="815">
        <f t="shared" si="4"/>
        <v>0</v>
      </c>
      <c r="O33" s="815">
        <f t="shared" si="8"/>
        <v>0</v>
      </c>
      <c r="P33" s="134">
        <f t="shared" si="5"/>
        <v>0</v>
      </c>
      <c r="Q33" s="816">
        <f t="shared" si="6"/>
        <v>0</v>
      </c>
      <c r="R33" s="817"/>
      <c r="S33" s="110">
        <f t="shared" si="7"/>
        <v>0</v>
      </c>
    </row>
    <row r="34" spans="1:19" ht="14.25" x14ac:dyDescent="0.2">
      <c r="A34" s="105">
        <v>1845</v>
      </c>
      <c r="B34" s="818" t="s">
        <v>187</v>
      </c>
      <c r="C34" s="807"/>
      <c r="D34" s="808"/>
      <c r="E34" s="809">
        <f t="shared" si="0"/>
        <v>0</v>
      </c>
      <c r="F34" s="807"/>
      <c r="G34" s="808"/>
      <c r="H34" s="809">
        <f t="shared" si="1"/>
        <v>0</v>
      </c>
      <c r="I34" s="810"/>
      <c r="J34" s="811"/>
      <c r="K34" s="812">
        <f t="shared" si="2"/>
        <v>0</v>
      </c>
      <c r="L34" s="813"/>
      <c r="M34" s="819">
        <f t="shared" si="3"/>
        <v>0</v>
      </c>
      <c r="N34" s="815">
        <f t="shared" si="4"/>
        <v>0</v>
      </c>
      <c r="O34" s="815">
        <f t="shared" si="8"/>
        <v>0</v>
      </c>
      <c r="P34" s="134">
        <f t="shared" si="5"/>
        <v>0</v>
      </c>
      <c r="Q34" s="816">
        <f t="shared" si="6"/>
        <v>0</v>
      </c>
      <c r="R34" s="817"/>
      <c r="S34" s="110">
        <f t="shared" si="7"/>
        <v>0</v>
      </c>
    </row>
    <row r="35" spans="1:19" ht="14.25" x14ac:dyDescent="0.2">
      <c r="A35" s="105">
        <v>1850</v>
      </c>
      <c r="B35" s="818" t="s">
        <v>250</v>
      </c>
      <c r="C35" s="807"/>
      <c r="D35" s="808"/>
      <c r="E35" s="809">
        <f t="shared" si="0"/>
        <v>0</v>
      </c>
      <c r="F35" s="807"/>
      <c r="G35" s="808"/>
      <c r="H35" s="809">
        <f t="shared" si="1"/>
        <v>0</v>
      </c>
      <c r="I35" s="810"/>
      <c r="J35" s="811"/>
      <c r="K35" s="812">
        <f t="shared" si="2"/>
        <v>0</v>
      </c>
      <c r="L35" s="813"/>
      <c r="M35" s="819">
        <f t="shared" si="3"/>
        <v>0</v>
      </c>
      <c r="N35" s="815">
        <f t="shared" si="4"/>
        <v>0</v>
      </c>
      <c r="O35" s="815">
        <f t="shared" si="8"/>
        <v>0</v>
      </c>
      <c r="P35" s="134">
        <f t="shared" si="5"/>
        <v>0</v>
      </c>
      <c r="Q35" s="816">
        <f t="shared" si="6"/>
        <v>0</v>
      </c>
      <c r="R35" s="817"/>
      <c r="S35" s="110">
        <f t="shared" si="7"/>
        <v>0</v>
      </c>
    </row>
    <row r="36" spans="1:19" ht="14.25" x14ac:dyDescent="0.2">
      <c r="A36" s="105">
        <v>1855</v>
      </c>
      <c r="B36" s="818" t="s">
        <v>188</v>
      </c>
      <c r="C36" s="807"/>
      <c r="D36" s="808"/>
      <c r="E36" s="809">
        <f t="shared" si="0"/>
        <v>0</v>
      </c>
      <c r="F36" s="807"/>
      <c r="G36" s="808"/>
      <c r="H36" s="809">
        <f t="shared" si="1"/>
        <v>0</v>
      </c>
      <c r="I36" s="810"/>
      <c r="J36" s="811"/>
      <c r="K36" s="812">
        <f t="shared" si="2"/>
        <v>0</v>
      </c>
      <c r="L36" s="813"/>
      <c r="M36" s="819">
        <f t="shared" si="3"/>
        <v>0</v>
      </c>
      <c r="N36" s="815">
        <f t="shared" si="4"/>
        <v>0</v>
      </c>
      <c r="O36" s="815">
        <f t="shared" si="8"/>
        <v>0</v>
      </c>
      <c r="P36" s="134">
        <f t="shared" si="5"/>
        <v>0</v>
      </c>
      <c r="Q36" s="816">
        <f t="shared" si="6"/>
        <v>0</v>
      </c>
      <c r="R36" s="817"/>
      <c r="S36" s="110">
        <f t="shared" si="7"/>
        <v>0</v>
      </c>
    </row>
    <row r="37" spans="1:19" ht="14.25" x14ac:dyDescent="0.2">
      <c r="A37" s="105">
        <v>1860</v>
      </c>
      <c r="B37" s="818" t="s">
        <v>251</v>
      </c>
      <c r="C37" s="807"/>
      <c r="D37" s="808"/>
      <c r="E37" s="809">
        <f t="shared" si="0"/>
        <v>0</v>
      </c>
      <c r="F37" s="807"/>
      <c r="G37" s="808"/>
      <c r="H37" s="809">
        <f t="shared" si="1"/>
        <v>0</v>
      </c>
      <c r="I37" s="810"/>
      <c r="J37" s="811"/>
      <c r="K37" s="812">
        <f t="shared" si="2"/>
        <v>0</v>
      </c>
      <c r="L37" s="813"/>
      <c r="M37" s="819">
        <f t="shared" si="3"/>
        <v>0</v>
      </c>
      <c r="N37" s="815">
        <f t="shared" si="4"/>
        <v>0</v>
      </c>
      <c r="O37" s="815">
        <f t="shared" si="8"/>
        <v>0</v>
      </c>
      <c r="P37" s="134">
        <f t="shared" si="5"/>
        <v>0</v>
      </c>
      <c r="Q37" s="816">
        <f t="shared" si="6"/>
        <v>0</v>
      </c>
      <c r="R37" s="817"/>
      <c r="S37" s="110">
        <f t="shared" si="7"/>
        <v>0</v>
      </c>
    </row>
    <row r="38" spans="1:19" ht="14.25" x14ac:dyDescent="0.2">
      <c r="A38" s="103">
        <v>1860</v>
      </c>
      <c r="B38" s="820" t="s">
        <v>189</v>
      </c>
      <c r="C38" s="807"/>
      <c r="D38" s="808"/>
      <c r="E38" s="809">
        <f t="shared" si="0"/>
        <v>0</v>
      </c>
      <c r="F38" s="807"/>
      <c r="G38" s="808"/>
      <c r="H38" s="809">
        <f t="shared" si="1"/>
        <v>0</v>
      </c>
      <c r="I38" s="810"/>
      <c r="J38" s="811"/>
      <c r="K38" s="812">
        <f t="shared" si="2"/>
        <v>0</v>
      </c>
      <c r="L38" s="813"/>
      <c r="M38" s="819">
        <f t="shared" si="3"/>
        <v>0</v>
      </c>
      <c r="N38" s="815">
        <f t="shared" si="4"/>
        <v>0</v>
      </c>
      <c r="O38" s="815">
        <f t="shared" si="8"/>
        <v>0</v>
      </c>
      <c r="P38" s="134">
        <f t="shared" si="5"/>
        <v>0</v>
      </c>
      <c r="Q38" s="816">
        <f t="shared" si="6"/>
        <v>0</v>
      </c>
      <c r="R38" s="817"/>
      <c r="S38" s="110">
        <f t="shared" si="7"/>
        <v>0</v>
      </c>
    </row>
    <row r="39" spans="1:19" ht="14.25" x14ac:dyDescent="0.2">
      <c r="A39" s="103">
        <v>1905</v>
      </c>
      <c r="B39" s="820" t="s">
        <v>245</v>
      </c>
      <c r="C39" s="807"/>
      <c r="D39" s="808"/>
      <c r="E39" s="809">
        <f t="shared" si="0"/>
        <v>0</v>
      </c>
      <c r="F39" s="807"/>
      <c r="G39" s="808"/>
      <c r="H39" s="809">
        <f t="shared" si="1"/>
        <v>0</v>
      </c>
      <c r="I39" s="810"/>
      <c r="J39" s="811"/>
      <c r="K39" s="812">
        <f t="shared" si="2"/>
        <v>0</v>
      </c>
      <c r="L39" s="813"/>
      <c r="M39" s="819">
        <f t="shared" si="3"/>
        <v>0</v>
      </c>
      <c r="N39" s="815">
        <f t="shared" si="4"/>
        <v>0</v>
      </c>
      <c r="O39" s="815">
        <f t="shared" si="8"/>
        <v>0</v>
      </c>
      <c r="P39" s="134">
        <f t="shared" si="5"/>
        <v>0</v>
      </c>
      <c r="Q39" s="816">
        <f t="shared" si="6"/>
        <v>0</v>
      </c>
      <c r="R39" s="817"/>
      <c r="S39" s="110">
        <f t="shared" si="7"/>
        <v>0</v>
      </c>
    </row>
    <row r="40" spans="1:19" ht="14.25" x14ac:dyDescent="0.2">
      <c r="A40" s="105">
        <v>1908</v>
      </c>
      <c r="B40" s="818" t="s">
        <v>252</v>
      </c>
      <c r="C40" s="807"/>
      <c r="D40" s="808"/>
      <c r="E40" s="809">
        <f t="shared" si="0"/>
        <v>0</v>
      </c>
      <c r="F40" s="807"/>
      <c r="G40" s="808"/>
      <c r="H40" s="809">
        <f t="shared" si="1"/>
        <v>0</v>
      </c>
      <c r="I40" s="810"/>
      <c r="J40" s="811"/>
      <c r="K40" s="812">
        <f t="shared" si="2"/>
        <v>0</v>
      </c>
      <c r="L40" s="813"/>
      <c r="M40" s="819">
        <f t="shared" si="3"/>
        <v>0</v>
      </c>
      <c r="N40" s="815">
        <f t="shared" si="4"/>
        <v>0</v>
      </c>
      <c r="O40" s="815">
        <f t="shared" si="8"/>
        <v>0</v>
      </c>
      <c r="P40" s="134">
        <f t="shared" si="5"/>
        <v>0</v>
      </c>
      <c r="Q40" s="816">
        <f t="shared" si="6"/>
        <v>0</v>
      </c>
      <c r="R40" s="817"/>
      <c r="S40" s="110">
        <f t="shared" si="7"/>
        <v>0</v>
      </c>
    </row>
    <row r="41" spans="1:19" ht="14.25" x14ac:dyDescent="0.2">
      <c r="A41" s="105">
        <v>1910</v>
      </c>
      <c r="B41" s="818" t="s">
        <v>275</v>
      </c>
      <c r="C41" s="807"/>
      <c r="D41" s="808"/>
      <c r="E41" s="809">
        <f t="shared" si="0"/>
        <v>0</v>
      </c>
      <c r="F41" s="807"/>
      <c r="G41" s="808"/>
      <c r="H41" s="809">
        <f t="shared" si="1"/>
        <v>0</v>
      </c>
      <c r="I41" s="810"/>
      <c r="J41" s="811"/>
      <c r="K41" s="812">
        <f t="shared" si="2"/>
        <v>0</v>
      </c>
      <c r="L41" s="813"/>
      <c r="M41" s="819">
        <f t="shared" si="3"/>
        <v>0</v>
      </c>
      <c r="N41" s="815">
        <f t="shared" si="4"/>
        <v>0</v>
      </c>
      <c r="O41" s="815">
        <f t="shared" si="8"/>
        <v>0</v>
      </c>
      <c r="P41" s="134">
        <f t="shared" si="5"/>
        <v>0</v>
      </c>
      <c r="Q41" s="816">
        <f t="shared" si="6"/>
        <v>0</v>
      </c>
      <c r="R41" s="817"/>
      <c r="S41" s="110">
        <f t="shared" si="7"/>
        <v>0</v>
      </c>
    </row>
    <row r="42" spans="1:19" ht="14.25" x14ac:dyDescent="0.2">
      <c r="A42" s="105">
        <v>1915</v>
      </c>
      <c r="B42" s="818" t="s">
        <v>190</v>
      </c>
      <c r="C42" s="807"/>
      <c r="D42" s="808"/>
      <c r="E42" s="809">
        <f t="shared" si="0"/>
        <v>0</v>
      </c>
      <c r="F42" s="807"/>
      <c r="G42" s="808"/>
      <c r="H42" s="809">
        <f t="shared" si="1"/>
        <v>0</v>
      </c>
      <c r="I42" s="810"/>
      <c r="J42" s="811"/>
      <c r="K42" s="812">
        <f t="shared" si="2"/>
        <v>0</v>
      </c>
      <c r="L42" s="813"/>
      <c r="M42" s="819">
        <f t="shared" si="3"/>
        <v>0</v>
      </c>
      <c r="N42" s="815">
        <f t="shared" si="4"/>
        <v>0</v>
      </c>
      <c r="O42" s="815">
        <f t="shared" si="8"/>
        <v>0</v>
      </c>
      <c r="P42" s="134">
        <f t="shared" si="5"/>
        <v>0</v>
      </c>
      <c r="Q42" s="816">
        <f t="shared" si="6"/>
        <v>0</v>
      </c>
      <c r="R42" s="817"/>
      <c r="S42" s="110">
        <f t="shared" si="7"/>
        <v>0</v>
      </c>
    </row>
    <row r="43" spans="1:19" ht="14.25" x14ac:dyDescent="0.2">
      <c r="A43" s="105">
        <v>1915</v>
      </c>
      <c r="B43" s="818" t="s">
        <v>191</v>
      </c>
      <c r="C43" s="807"/>
      <c r="D43" s="808"/>
      <c r="E43" s="809">
        <f t="shared" si="0"/>
        <v>0</v>
      </c>
      <c r="F43" s="807"/>
      <c r="G43" s="808"/>
      <c r="H43" s="809">
        <f t="shared" si="1"/>
        <v>0</v>
      </c>
      <c r="I43" s="810"/>
      <c r="J43" s="811"/>
      <c r="K43" s="812">
        <f t="shared" si="2"/>
        <v>0</v>
      </c>
      <c r="L43" s="813"/>
      <c r="M43" s="819">
        <f t="shared" si="3"/>
        <v>0</v>
      </c>
      <c r="N43" s="815">
        <f t="shared" si="4"/>
        <v>0</v>
      </c>
      <c r="O43" s="815">
        <f t="shared" si="8"/>
        <v>0</v>
      </c>
      <c r="P43" s="134">
        <f t="shared" si="5"/>
        <v>0</v>
      </c>
      <c r="Q43" s="816">
        <f t="shared" si="6"/>
        <v>0</v>
      </c>
      <c r="R43" s="817"/>
      <c r="S43" s="110">
        <f t="shared" si="7"/>
        <v>0</v>
      </c>
    </row>
    <row r="44" spans="1:19" ht="14.25" x14ac:dyDescent="0.2">
      <c r="A44" s="105">
        <v>1920</v>
      </c>
      <c r="B44" s="818" t="s">
        <v>192</v>
      </c>
      <c r="C44" s="807"/>
      <c r="D44" s="808"/>
      <c r="E44" s="809">
        <f t="shared" si="0"/>
        <v>0</v>
      </c>
      <c r="F44" s="807"/>
      <c r="G44" s="808"/>
      <c r="H44" s="809">
        <f t="shared" si="1"/>
        <v>0</v>
      </c>
      <c r="I44" s="810"/>
      <c r="J44" s="811"/>
      <c r="K44" s="812">
        <f t="shared" si="2"/>
        <v>0</v>
      </c>
      <c r="L44" s="813"/>
      <c r="M44" s="819">
        <f t="shared" si="3"/>
        <v>0</v>
      </c>
      <c r="N44" s="815">
        <f t="shared" si="4"/>
        <v>0</v>
      </c>
      <c r="O44" s="815">
        <f t="shared" si="8"/>
        <v>0</v>
      </c>
      <c r="P44" s="134">
        <f t="shared" si="5"/>
        <v>0</v>
      </c>
      <c r="Q44" s="816">
        <f t="shared" si="6"/>
        <v>0</v>
      </c>
      <c r="R44" s="817"/>
      <c r="S44" s="110">
        <f t="shared" si="7"/>
        <v>0</v>
      </c>
    </row>
    <row r="45" spans="1:19" ht="14.25" x14ac:dyDescent="0.2">
      <c r="A45" s="105">
        <v>1920</v>
      </c>
      <c r="B45" s="818" t="s">
        <v>194</v>
      </c>
      <c r="C45" s="807"/>
      <c r="D45" s="808"/>
      <c r="E45" s="809">
        <f t="shared" si="0"/>
        <v>0</v>
      </c>
      <c r="F45" s="807"/>
      <c r="G45" s="808"/>
      <c r="H45" s="809">
        <f t="shared" si="1"/>
        <v>0</v>
      </c>
      <c r="I45" s="810"/>
      <c r="J45" s="811"/>
      <c r="K45" s="812">
        <f t="shared" si="2"/>
        <v>0</v>
      </c>
      <c r="L45" s="813"/>
      <c r="M45" s="819">
        <f t="shared" si="3"/>
        <v>0</v>
      </c>
      <c r="N45" s="815">
        <f t="shared" si="4"/>
        <v>0</v>
      </c>
      <c r="O45" s="815">
        <f t="shared" si="8"/>
        <v>0</v>
      </c>
      <c r="P45" s="134">
        <f t="shared" si="5"/>
        <v>0</v>
      </c>
      <c r="Q45" s="816">
        <f t="shared" si="6"/>
        <v>0</v>
      </c>
      <c r="R45" s="817"/>
      <c r="S45" s="110">
        <f t="shared" si="7"/>
        <v>0</v>
      </c>
    </row>
    <row r="46" spans="1:19" ht="14.25" x14ac:dyDescent="0.2">
      <c r="A46" s="105">
        <v>1920</v>
      </c>
      <c r="B46" s="818" t="s">
        <v>193</v>
      </c>
      <c r="C46" s="807"/>
      <c r="D46" s="808"/>
      <c r="E46" s="809">
        <f t="shared" si="0"/>
        <v>0</v>
      </c>
      <c r="F46" s="807"/>
      <c r="G46" s="808"/>
      <c r="H46" s="809">
        <f t="shared" si="1"/>
        <v>0</v>
      </c>
      <c r="I46" s="810"/>
      <c r="J46" s="811"/>
      <c r="K46" s="812">
        <f t="shared" si="2"/>
        <v>0</v>
      </c>
      <c r="L46" s="813"/>
      <c r="M46" s="819">
        <f t="shared" si="3"/>
        <v>0</v>
      </c>
      <c r="N46" s="815">
        <f t="shared" si="4"/>
        <v>0</v>
      </c>
      <c r="O46" s="815">
        <f t="shared" si="8"/>
        <v>0</v>
      </c>
      <c r="P46" s="134">
        <f t="shared" si="5"/>
        <v>0</v>
      </c>
      <c r="Q46" s="816">
        <f t="shared" si="6"/>
        <v>0</v>
      </c>
      <c r="R46" s="817"/>
      <c r="S46" s="110">
        <f t="shared" si="7"/>
        <v>0</v>
      </c>
    </row>
    <row r="47" spans="1:19" ht="14.25" x14ac:dyDescent="0.2">
      <c r="A47" s="105">
        <v>1930</v>
      </c>
      <c r="B47" s="818" t="s">
        <v>263</v>
      </c>
      <c r="C47" s="807"/>
      <c r="D47" s="808"/>
      <c r="E47" s="809">
        <f t="shared" si="0"/>
        <v>0</v>
      </c>
      <c r="F47" s="807"/>
      <c r="G47" s="808"/>
      <c r="H47" s="809">
        <f t="shared" si="1"/>
        <v>0</v>
      </c>
      <c r="I47" s="810"/>
      <c r="J47" s="811"/>
      <c r="K47" s="812">
        <f t="shared" si="2"/>
        <v>0</v>
      </c>
      <c r="L47" s="813"/>
      <c r="M47" s="819">
        <f t="shared" si="3"/>
        <v>0</v>
      </c>
      <c r="N47" s="815">
        <f t="shared" si="4"/>
        <v>0</v>
      </c>
      <c r="O47" s="815">
        <f t="shared" si="8"/>
        <v>0</v>
      </c>
      <c r="P47" s="134">
        <f t="shared" si="5"/>
        <v>0</v>
      </c>
      <c r="Q47" s="816">
        <f t="shared" si="6"/>
        <v>0</v>
      </c>
      <c r="R47" s="817"/>
      <c r="S47" s="110">
        <f t="shared" si="7"/>
        <v>0</v>
      </c>
    </row>
    <row r="48" spans="1:19" ht="14.25" x14ac:dyDescent="0.2">
      <c r="A48" s="105">
        <v>1935</v>
      </c>
      <c r="B48" s="818" t="s">
        <v>264</v>
      </c>
      <c r="C48" s="807"/>
      <c r="D48" s="808"/>
      <c r="E48" s="809">
        <f t="shared" si="0"/>
        <v>0</v>
      </c>
      <c r="F48" s="807"/>
      <c r="G48" s="808"/>
      <c r="H48" s="809">
        <f t="shared" si="1"/>
        <v>0</v>
      </c>
      <c r="I48" s="810"/>
      <c r="J48" s="811"/>
      <c r="K48" s="812">
        <f t="shared" si="2"/>
        <v>0</v>
      </c>
      <c r="L48" s="813"/>
      <c r="M48" s="819">
        <f t="shared" si="3"/>
        <v>0</v>
      </c>
      <c r="N48" s="815">
        <f t="shared" si="4"/>
        <v>0</v>
      </c>
      <c r="O48" s="815">
        <f t="shared" si="8"/>
        <v>0</v>
      </c>
      <c r="P48" s="134">
        <f t="shared" si="5"/>
        <v>0</v>
      </c>
      <c r="Q48" s="816">
        <f t="shared" si="6"/>
        <v>0</v>
      </c>
      <c r="R48" s="817"/>
      <c r="S48" s="110">
        <f t="shared" si="7"/>
        <v>0</v>
      </c>
    </row>
    <row r="49" spans="1:19" ht="14.25" x14ac:dyDescent="0.2">
      <c r="A49" s="105">
        <v>1940</v>
      </c>
      <c r="B49" s="818" t="s">
        <v>265</v>
      </c>
      <c r="C49" s="807"/>
      <c r="D49" s="808"/>
      <c r="E49" s="809">
        <f t="shared" si="0"/>
        <v>0</v>
      </c>
      <c r="F49" s="807"/>
      <c r="G49" s="808"/>
      <c r="H49" s="809">
        <f t="shared" si="1"/>
        <v>0</v>
      </c>
      <c r="I49" s="810"/>
      <c r="J49" s="811"/>
      <c r="K49" s="812">
        <f t="shared" si="2"/>
        <v>0</v>
      </c>
      <c r="L49" s="813"/>
      <c r="M49" s="819">
        <f t="shared" si="3"/>
        <v>0</v>
      </c>
      <c r="N49" s="815">
        <f t="shared" si="4"/>
        <v>0</v>
      </c>
      <c r="O49" s="815">
        <f t="shared" si="8"/>
        <v>0</v>
      </c>
      <c r="P49" s="134">
        <f t="shared" si="5"/>
        <v>0</v>
      </c>
      <c r="Q49" s="816">
        <f t="shared" si="6"/>
        <v>0</v>
      </c>
      <c r="R49" s="817"/>
      <c r="S49" s="110">
        <f t="shared" si="7"/>
        <v>0</v>
      </c>
    </row>
    <row r="50" spans="1:19" ht="14.25" x14ac:dyDescent="0.2">
      <c r="A50" s="105">
        <v>1945</v>
      </c>
      <c r="B50" s="818" t="s">
        <v>266</v>
      </c>
      <c r="C50" s="807"/>
      <c r="D50" s="808"/>
      <c r="E50" s="809">
        <f t="shared" si="0"/>
        <v>0</v>
      </c>
      <c r="F50" s="807"/>
      <c r="G50" s="808"/>
      <c r="H50" s="809">
        <f t="shared" si="1"/>
        <v>0</v>
      </c>
      <c r="I50" s="810"/>
      <c r="J50" s="811"/>
      <c r="K50" s="812">
        <f t="shared" si="2"/>
        <v>0</v>
      </c>
      <c r="L50" s="813"/>
      <c r="M50" s="819">
        <f t="shared" si="3"/>
        <v>0</v>
      </c>
      <c r="N50" s="815">
        <f t="shared" si="4"/>
        <v>0</v>
      </c>
      <c r="O50" s="815">
        <f t="shared" si="8"/>
        <v>0</v>
      </c>
      <c r="P50" s="134">
        <f t="shared" si="5"/>
        <v>0</v>
      </c>
      <c r="Q50" s="816">
        <f t="shared" si="6"/>
        <v>0</v>
      </c>
      <c r="R50" s="817"/>
      <c r="S50" s="110">
        <f t="shared" si="7"/>
        <v>0</v>
      </c>
    </row>
    <row r="51" spans="1:19" ht="14.25" x14ac:dyDescent="0.2">
      <c r="A51" s="105">
        <v>1950</v>
      </c>
      <c r="B51" s="818" t="s">
        <v>195</v>
      </c>
      <c r="C51" s="807"/>
      <c r="D51" s="808"/>
      <c r="E51" s="809">
        <f t="shared" si="0"/>
        <v>0</v>
      </c>
      <c r="F51" s="807"/>
      <c r="G51" s="808"/>
      <c r="H51" s="809">
        <f t="shared" si="1"/>
        <v>0</v>
      </c>
      <c r="I51" s="810"/>
      <c r="J51" s="811"/>
      <c r="K51" s="812">
        <f t="shared" si="2"/>
        <v>0</v>
      </c>
      <c r="L51" s="813"/>
      <c r="M51" s="819">
        <f t="shared" si="3"/>
        <v>0</v>
      </c>
      <c r="N51" s="815">
        <f t="shared" si="4"/>
        <v>0</v>
      </c>
      <c r="O51" s="815">
        <f t="shared" si="8"/>
        <v>0</v>
      </c>
      <c r="P51" s="134">
        <f t="shared" si="5"/>
        <v>0</v>
      </c>
      <c r="Q51" s="816">
        <f t="shared" si="6"/>
        <v>0</v>
      </c>
      <c r="R51" s="817"/>
      <c r="S51" s="110">
        <f t="shared" si="7"/>
        <v>0</v>
      </c>
    </row>
    <row r="52" spans="1:19" ht="14.25" x14ac:dyDescent="0.2">
      <c r="A52" s="105">
        <v>1955</v>
      </c>
      <c r="B52" s="818" t="s">
        <v>267</v>
      </c>
      <c r="C52" s="807"/>
      <c r="D52" s="808"/>
      <c r="E52" s="809">
        <f t="shared" si="0"/>
        <v>0</v>
      </c>
      <c r="F52" s="807"/>
      <c r="G52" s="808"/>
      <c r="H52" s="809">
        <f t="shared" si="1"/>
        <v>0</v>
      </c>
      <c r="I52" s="810"/>
      <c r="J52" s="811"/>
      <c r="K52" s="812">
        <f t="shared" si="2"/>
        <v>0</v>
      </c>
      <c r="L52" s="813"/>
      <c r="M52" s="819">
        <f t="shared" si="3"/>
        <v>0</v>
      </c>
      <c r="N52" s="815">
        <f t="shared" si="4"/>
        <v>0</v>
      </c>
      <c r="O52" s="815">
        <f t="shared" si="8"/>
        <v>0</v>
      </c>
      <c r="P52" s="134">
        <f t="shared" si="5"/>
        <v>0</v>
      </c>
      <c r="Q52" s="816">
        <f t="shared" si="6"/>
        <v>0</v>
      </c>
      <c r="R52" s="817"/>
      <c r="S52" s="110">
        <f t="shared" si="7"/>
        <v>0</v>
      </c>
    </row>
    <row r="53" spans="1:19" ht="14.25" x14ac:dyDescent="0.2">
      <c r="A53" s="103">
        <v>1955</v>
      </c>
      <c r="B53" s="820" t="s">
        <v>196</v>
      </c>
      <c r="C53" s="807"/>
      <c r="D53" s="808"/>
      <c r="E53" s="809">
        <f t="shared" si="0"/>
        <v>0</v>
      </c>
      <c r="F53" s="807"/>
      <c r="G53" s="808"/>
      <c r="H53" s="809">
        <f t="shared" si="1"/>
        <v>0</v>
      </c>
      <c r="I53" s="810"/>
      <c r="J53" s="811"/>
      <c r="K53" s="812">
        <f t="shared" si="2"/>
        <v>0</v>
      </c>
      <c r="L53" s="813"/>
      <c r="M53" s="819">
        <f t="shared" si="3"/>
        <v>0</v>
      </c>
      <c r="N53" s="815">
        <f t="shared" si="4"/>
        <v>0</v>
      </c>
      <c r="O53" s="815">
        <f t="shared" si="8"/>
        <v>0</v>
      </c>
      <c r="P53" s="134">
        <f t="shared" si="5"/>
        <v>0</v>
      </c>
      <c r="Q53" s="816">
        <f t="shared" si="6"/>
        <v>0</v>
      </c>
      <c r="R53" s="817"/>
      <c r="S53" s="110">
        <f t="shared" si="7"/>
        <v>0</v>
      </c>
    </row>
    <row r="54" spans="1:19" ht="14.25" x14ac:dyDescent="0.2">
      <c r="A54" s="105">
        <v>1960</v>
      </c>
      <c r="B54" s="818" t="s">
        <v>197</v>
      </c>
      <c r="C54" s="807"/>
      <c r="D54" s="808"/>
      <c r="E54" s="809">
        <f t="shared" si="0"/>
        <v>0</v>
      </c>
      <c r="F54" s="807"/>
      <c r="G54" s="808"/>
      <c r="H54" s="809">
        <f t="shared" si="1"/>
        <v>0</v>
      </c>
      <c r="I54" s="810"/>
      <c r="J54" s="811"/>
      <c r="K54" s="812">
        <f t="shared" si="2"/>
        <v>0</v>
      </c>
      <c r="L54" s="813"/>
      <c r="M54" s="819">
        <f t="shared" si="3"/>
        <v>0</v>
      </c>
      <c r="N54" s="815">
        <f t="shared" si="4"/>
        <v>0</v>
      </c>
      <c r="O54" s="815">
        <f t="shared" si="8"/>
        <v>0</v>
      </c>
      <c r="P54" s="134">
        <f t="shared" si="5"/>
        <v>0</v>
      </c>
      <c r="Q54" s="816">
        <f t="shared" si="6"/>
        <v>0</v>
      </c>
      <c r="R54" s="817"/>
      <c r="S54" s="110">
        <f t="shared" si="7"/>
        <v>0</v>
      </c>
    </row>
    <row r="55" spans="1:19" ht="14.25" x14ac:dyDescent="0.2">
      <c r="A55" s="103">
        <v>1970</v>
      </c>
      <c r="B55" s="821" t="s">
        <v>448</v>
      </c>
      <c r="C55" s="807"/>
      <c r="D55" s="808"/>
      <c r="E55" s="809">
        <f t="shared" si="0"/>
        <v>0</v>
      </c>
      <c r="F55" s="807"/>
      <c r="G55" s="808"/>
      <c r="H55" s="809">
        <f t="shared" si="1"/>
        <v>0</v>
      </c>
      <c r="I55" s="810"/>
      <c r="J55" s="811"/>
      <c r="K55" s="812">
        <f t="shared" si="2"/>
        <v>0</v>
      </c>
      <c r="L55" s="813"/>
      <c r="M55" s="819">
        <f t="shared" si="3"/>
        <v>0</v>
      </c>
      <c r="N55" s="815">
        <f t="shared" si="4"/>
        <v>0</v>
      </c>
      <c r="O55" s="815">
        <f t="shared" si="8"/>
        <v>0</v>
      </c>
      <c r="P55" s="134">
        <f t="shared" si="5"/>
        <v>0</v>
      </c>
      <c r="Q55" s="816">
        <f t="shared" si="6"/>
        <v>0</v>
      </c>
      <c r="R55" s="817"/>
      <c r="S55" s="110">
        <f t="shared" si="7"/>
        <v>0</v>
      </c>
    </row>
    <row r="56" spans="1:19" ht="14.25" x14ac:dyDescent="0.2">
      <c r="A56" s="105">
        <v>1975</v>
      </c>
      <c r="B56" s="818" t="s">
        <v>268</v>
      </c>
      <c r="C56" s="807"/>
      <c r="D56" s="808"/>
      <c r="E56" s="809">
        <f t="shared" si="0"/>
        <v>0</v>
      </c>
      <c r="F56" s="807"/>
      <c r="G56" s="808"/>
      <c r="H56" s="809">
        <f t="shared" si="1"/>
        <v>0</v>
      </c>
      <c r="I56" s="810"/>
      <c r="J56" s="811"/>
      <c r="K56" s="812">
        <f t="shared" si="2"/>
        <v>0</v>
      </c>
      <c r="L56" s="813"/>
      <c r="M56" s="819">
        <f t="shared" si="3"/>
        <v>0</v>
      </c>
      <c r="N56" s="815">
        <f t="shared" si="4"/>
        <v>0</v>
      </c>
      <c r="O56" s="815">
        <f t="shared" si="8"/>
        <v>0</v>
      </c>
      <c r="P56" s="134">
        <f t="shared" si="5"/>
        <v>0</v>
      </c>
      <c r="Q56" s="816">
        <f t="shared" si="6"/>
        <v>0</v>
      </c>
      <c r="R56" s="817"/>
      <c r="S56" s="110">
        <f t="shared" si="7"/>
        <v>0</v>
      </c>
    </row>
    <row r="57" spans="1:19" ht="14.25" x14ac:dyDescent="0.2">
      <c r="A57" s="105">
        <v>1980</v>
      </c>
      <c r="B57" s="818" t="s">
        <v>269</v>
      </c>
      <c r="C57" s="807"/>
      <c r="D57" s="808"/>
      <c r="E57" s="809">
        <f t="shared" si="0"/>
        <v>0</v>
      </c>
      <c r="F57" s="807"/>
      <c r="G57" s="808"/>
      <c r="H57" s="809">
        <f t="shared" si="1"/>
        <v>0</v>
      </c>
      <c r="I57" s="810"/>
      <c r="J57" s="811"/>
      <c r="K57" s="812">
        <f t="shared" si="2"/>
        <v>0</v>
      </c>
      <c r="L57" s="813"/>
      <c r="M57" s="819">
        <f t="shared" si="3"/>
        <v>0</v>
      </c>
      <c r="N57" s="815">
        <f t="shared" si="4"/>
        <v>0</v>
      </c>
      <c r="O57" s="815">
        <f t="shared" si="8"/>
        <v>0</v>
      </c>
      <c r="P57" s="134">
        <f t="shared" si="5"/>
        <v>0</v>
      </c>
      <c r="Q57" s="816">
        <f t="shared" si="6"/>
        <v>0</v>
      </c>
      <c r="R57" s="817"/>
      <c r="S57" s="110">
        <f t="shared" si="7"/>
        <v>0</v>
      </c>
    </row>
    <row r="58" spans="1:19" ht="14.25" x14ac:dyDescent="0.2">
      <c r="A58" s="105">
        <v>1985</v>
      </c>
      <c r="B58" s="818" t="s">
        <v>270</v>
      </c>
      <c r="C58" s="807"/>
      <c r="D58" s="808"/>
      <c r="E58" s="809">
        <f t="shared" si="0"/>
        <v>0</v>
      </c>
      <c r="F58" s="807"/>
      <c r="G58" s="808"/>
      <c r="H58" s="809">
        <f t="shared" si="1"/>
        <v>0</v>
      </c>
      <c r="I58" s="810"/>
      <c r="J58" s="811"/>
      <c r="K58" s="812">
        <f t="shared" si="2"/>
        <v>0</v>
      </c>
      <c r="L58" s="813"/>
      <c r="M58" s="819">
        <f t="shared" si="3"/>
        <v>0</v>
      </c>
      <c r="N58" s="815">
        <f t="shared" si="4"/>
        <v>0</v>
      </c>
      <c r="O58" s="815">
        <f t="shared" si="8"/>
        <v>0</v>
      </c>
      <c r="P58" s="134">
        <f t="shared" si="5"/>
        <v>0</v>
      </c>
      <c r="Q58" s="816">
        <f t="shared" si="6"/>
        <v>0</v>
      </c>
      <c r="R58" s="817"/>
      <c r="S58" s="110">
        <f t="shared" si="7"/>
        <v>0</v>
      </c>
    </row>
    <row r="59" spans="1:19" ht="14.25" x14ac:dyDescent="0.2">
      <c r="A59" s="105">
        <v>1990</v>
      </c>
      <c r="B59" s="822" t="s">
        <v>449</v>
      </c>
      <c r="C59" s="807"/>
      <c r="D59" s="808"/>
      <c r="E59" s="809">
        <f t="shared" si="0"/>
        <v>0</v>
      </c>
      <c r="F59" s="807"/>
      <c r="G59" s="808"/>
      <c r="H59" s="809">
        <f t="shared" si="1"/>
        <v>0</v>
      </c>
      <c r="I59" s="810"/>
      <c r="J59" s="811"/>
      <c r="K59" s="812">
        <f t="shared" si="2"/>
        <v>0</v>
      </c>
      <c r="L59" s="813"/>
      <c r="M59" s="819">
        <f t="shared" si="3"/>
        <v>0</v>
      </c>
      <c r="N59" s="815">
        <f t="shared" si="4"/>
        <v>0</v>
      </c>
      <c r="O59" s="815">
        <f t="shared" si="8"/>
        <v>0</v>
      </c>
      <c r="P59" s="134">
        <f t="shared" si="5"/>
        <v>0</v>
      </c>
      <c r="Q59" s="816">
        <f t="shared" si="6"/>
        <v>0</v>
      </c>
      <c r="R59" s="817"/>
      <c r="S59" s="110">
        <f t="shared" si="7"/>
        <v>0</v>
      </c>
    </row>
    <row r="60" spans="1:19" ht="15" thickBot="1" x14ac:dyDescent="0.25">
      <c r="A60" s="105">
        <v>1995</v>
      </c>
      <c r="B60" s="818" t="s">
        <v>271</v>
      </c>
      <c r="C60" s="823"/>
      <c r="D60" s="824"/>
      <c r="E60" s="809">
        <f t="shared" si="0"/>
        <v>0</v>
      </c>
      <c r="F60" s="823"/>
      <c r="G60" s="824"/>
      <c r="H60" s="809">
        <f t="shared" si="1"/>
        <v>0</v>
      </c>
      <c r="I60" s="825"/>
      <c r="J60" s="826"/>
      <c r="K60" s="812">
        <f t="shared" si="2"/>
        <v>0</v>
      </c>
      <c r="L60" s="827"/>
      <c r="M60" s="828">
        <f t="shared" si="3"/>
        <v>0</v>
      </c>
      <c r="N60" s="815">
        <f t="shared" si="4"/>
        <v>0</v>
      </c>
      <c r="O60" s="815">
        <f t="shared" si="8"/>
        <v>0</v>
      </c>
      <c r="P60" s="134">
        <f t="shared" si="5"/>
        <v>0</v>
      </c>
      <c r="Q60" s="816">
        <f t="shared" si="6"/>
        <v>0</v>
      </c>
      <c r="R60" s="829"/>
      <c r="S60" s="110">
        <f t="shared" si="7"/>
        <v>0</v>
      </c>
    </row>
    <row r="61" spans="1:19" ht="15.75" thickTop="1" thickBot="1" x14ac:dyDescent="0.25">
      <c r="A61" s="124"/>
      <c r="B61" s="830" t="s">
        <v>272</v>
      </c>
      <c r="C61" s="831">
        <f t="shared" ref="C61:I61" si="9">SUM(C23:C60)</f>
        <v>0</v>
      </c>
      <c r="D61" s="831">
        <f t="shared" si="9"/>
        <v>0</v>
      </c>
      <c r="E61" s="831">
        <f t="shared" si="9"/>
        <v>0</v>
      </c>
      <c r="F61" s="831">
        <f t="shared" si="9"/>
        <v>0</v>
      </c>
      <c r="G61" s="831">
        <f t="shared" si="9"/>
        <v>0</v>
      </c>
      <c r="H61" s="831">
        <f t="shared" si="9"/>
        <v>0</v>
      </c>
      <c r="I61" s="832">
        <f t="shared" si="9"/>
        <v>0</v>
      </c>
      <c r="J61" s="831"/>
      <c r="K61" s="833"/>
      <c r="L61" s="834"/>
      <c r="M61" s="835"/>
      <c r="N61" s="831">
        <f t="shared" ref="N61:S61" si="10">SUM(N23:N60)</f>
        <v>0</v>
      </c>
      <c r="O61" s="129">
        <f t="shared" si="10"/>
        <v>0</v>
      </c>
      <c r="P61" s="129">
        <f t="shared" si="10"/>
        <v>0</v>
      </c>
      <c r="Q61" s="836">
        <f t="shared" si="10"/>
        <v>0</v>
      </c>
      <c r="R61" s="837">
        <f t="shared" si="10"/>
        <v>0</v>
      </c>
      <c r="S61" s="129">
        <f t="shared" si="10"/>
        <v>0</v>
      </c>
    </row>
    <row r="62" spans="1:19" ht="14.25" x14ac:dyDescent="0.2">
      <c r="A62" s="130"/>
      <c r="B62" s="131"/>
      <c r="C62" s="132"/>
      <c r="D62" s="132"/>
      <c r="E62" s="132"/>
      <c r="F62" s="132"/>
      <c r="G62" s="132"/>
      <c r="H62" s="132"/>
      <c r="I62" s="132"/>
      <c r="J62" s="132"/>
      <c r="K62" s="132"/>
      <c r="L62" s="838"/>
      <c r="M62" s="839"/>
      <c r="N62" s="132"/>
      <c r="O62" s="132"/>
      <c r="P62" s="132"/>
      <c r="Q62" s="132"/>
      <c r="R62" s="132"/>
      <c r="S62" s="132"/>
    </row>
    <row r="64" spans="1:19" x14ac:dyDescent="0.2">
      <c r="A64" s="77" t="s">
        <v>203</v>
      </c>
      <c r="B64" s="38" t="s">
        <v>1181</v>
      </c>
    </row>
    <row r="65" spans="1:19" ht="12.75" customHeight="1" x14ac:dyDescent="0.2">
      <c r="B65" s="1681" t="s">
        <v>1182</v>
      </c>
      <c r="C65" s="1681"/>
      <c r="D65" s="1681"/>
      <c r="E65" s="1681"/>
      <c r="F65" s="1681"/>
      <c r="G65" s="1681"/>
      <c r="H65" s="1681"/>
      <c r="I65" s="1681"/>
      <c r="J65" s="1681"/>
      <c r="K65" s="1681"/>
      <c r="L65" s="1681"/>
      <c r="M65" s="1681"/>
      <c r="N65" s="1681"/>
      <c r="O65" s="1681"/>
      <c r="P65" s="1681"/>
      <c r="Q65" s="1681"/>
      <c r="R65" s="1681"/>
      <c r="S65" s="1681"/>
    </row>
    <row r="66" spans="1:19" x14ac:dyDescent="0.2">
      <c r="A66" s="77"/>
      <c r="B66" s="126"/>
      <c r="C66" s="126"/>
      <c r="D66" s="126"/>
      <c r="E66" s="126"/>
      <c r="F66" s="126"/>
      <c r="G66" s="126"/>
      <c r="H66" s="126"/>
      <c r="I66" s="126"/>
      <c r="J66" s="126"/>
      <c r="K66" s="126"/>
      <c r="L66" s="126"/>
      <c r="M66" s="126"/>
      <c r="N66" s="126"/>
      <c r="O66" s="126"/>
      <c r="P66" s="126"/>
      <c r="Q66" s="126"/>
      <c r="R66" s="126"/>
      <c r="S66" s="126"/>
    </row>
    <row r="67" spans="1:19" x14ac:dyDescent="0.2">
      <c r="B67" s="126"/>
      <c r="C67" s="126"/>
      <c r="D67" s="126"/>
      <c r="E67" s="126"/>
      <c r="F67" s="126"/>
      <c r="G67" s="126"/>
      <c r="H67" s="126"/>
      <c r="I67" s="126"/>
      <c r="J67" s="126"/>
      <c r="K67" s="126"/>
      <c r="L67" s="126"/>
      <c r="M67" s="126"/>
      <c r="N67" s="126"/>
      <c r="O67" s="126"/>
      <c r="P67" s="126"/>
      <c r="Q67" s="126"/>
      <c r="R67" s="126"/>
      <c r="S67" s="126"/>
    </row>
    <row r="68" spans="1:19" x14ac:dyDescent="0.2">
      <c r="A68" s="77" t="s">
        <v>6</v>
      </c>
    </row>
    <row r="69" spans="1:19" ht="31.5" customHeight="1" x14ac:dyDescent="0.2">
      <c r="A69" s="840">
        <v>1</v>
      </c>
      <c r="B69" s="1774" t="s">
        <v>1183</v>
      </c>
      <c r="C69" s="1774"/>
      <c r="D69" s="1774"/>
      <c r="E69" s="1774"/>
      <c r="F69" s="1774"/>
      <c r="G69" s="1774"/>
      <c r="H69" s="1774"/>
      <c r="I69" s="1774"/>
      <c r="J69" s="1774"/>
      <c r="K69" s="1774"/>
      <c r="L69" s="1774"/>
      <c r="M69" s="1774"/>
      <c r="N69" s="1774"/>
      <c r="O69" s="1774"/>
      <c r="P69" s="1774"/>
      <c r="Q69" s="1774"/>
      <c r="R69" s="1774"/>
      <c r="S69" s="1774"/>
    </row>
    <row r="70" spans="1:19" ht="29.25" customHeight="1" x14ac:dyDescent="0.2">
      <c r="A70" s="840">
        <v>2</v>
      </c>
      <c r="B70" s="1774" t="s">
        <v>1184</v>
      </c>
      <c r="C70" s="1774"/>
      <c r="D70" s="1774"/>
      <c r="E70" s="1774"/>
      <c r="F70" s="1774"/>
      <c r="G70" s="1774"/>
      <c r="H70" s="1774"/>
      <c r="I70" s="1774"/>
      <c r="J70" s="1774"/>
      <c r="K70" s="1774"/>
      <c r="L70" s="1774"/>
      <c r="M70" s="1774"/>
      <c r="N70" s="1774"/>
      <c r="O70" s="1774"/>
      <c r="P70" s="1774"/>
      <c r="Q70" s="1774"/>
      <c r="R70" s="1774"/>
      <c r="S70" s="1774"/>
    </row>
    <row r="71" spans="1:19" ht="44.25" customHeight="1" x14ac:dyDescent="0.2">
      <c r="A71" s="840">
        <v>3</v>
      </c>
      <c r="B71" s="1681" t="s">
        <v>951</v>
      </c>
      <c r="C71" s="1681"/>
      <c r="D71" s="1681"/>
      <c r="E71" s="1681"/>
      <c r="F71" s="1681"/>
      <c r="G71" s="1681"/>
      <c r="H71" s="1681"/>
      <c r="I71" s="1681"/>
      <c r="J71" s="1681"/>
      <c r="K71" s="1681"/>
      <c r="L71" s="1681"/>
      <c r="M71" s="1681"/>
      <c r="N71" s="1681"/>
      <c r="O71" s="1681"/>
      <c r="P71" s="1681"/>
      <c r="Q71" s="1681"/>
      <c r="R71" s="1681"/>
      <c r="S71" s="1681"/>
    </row>
    <row r="72" spans="1:19" x14ac:dyDescent="0.2">
      <c r="A72" s="840">
        <v>4</v>
      </c>
      <c r="B72" s="1681" t="s">
        <v>1185</v>
      </c>
      <c r="C72" s="1681"/>
      <c r="D72" s="1681"/>
      <c r="E72" s="1681"/>
      <c r="F72" s="1681"/>
      <c r="G72" s="1681"/>
      <c r="H72" s="1681"/>
      <c r="I72" s="1681"/>
      <c r="J72" s="1681"/>
      <c r="K72" s="1681"/>
      <c r="L72" s="1681"/>
      <c r="M72" s="1681"/>
      <c r="N72" s="1681"/>
      <c r="O72" s="1681"/>
      <c r="P72" s="1681"/>
      <c r="Q72" s="1681"/>
      <c r="R72" s="1681"/>
      <c r="S72" s="1681"/>
    </row>
    <row r="73" spans="1:19" ht="12.75" customHeight="1" x14ac:dyDescent="0.2">
      <c r="A73" s="133">
        <v>5</v>
      </c>
      <c r="B73" s="841" t="s">
        <v>380</v>
      </c>
      <c r="C73" s="841"/>
      <c r="D73" s="841"/>
      <c r="E73" s="841"/>
      <c r="F73" s="841"/>
      <c r="G73" s="841"/>
      <c r="H73" s="841"/>
      <c r="I73" s="841"/>
      <c r="J73" s="841"/>
      <c r="K73" s="841"/>
      <c r="L73" s="841"/>
      <c r="M73" s="841"/>
      <c r="N73" s="841"/>
      <c r="O73" s="841"/>
      <c r="P73" s="841"/>
      <c r="Q73" s="841"/>
      <c r="R73" s="841"/>
      <c r="S73" s="841"/>
    </row>
    <row r="74" spans="1:19" x14ac:dyDescent="0.2">
      <c r="A74" s="133">
        <v>6</v>
      </c>
      <c r="B74" s="1681" t="s">
        <v>805</v>
      </c>
      <c r="C74" s="1681"/>
      <c r="D74" s="1681"/>
      <c r="E74" s="1681"/>
      <c r="F74" s="1681"/>
      <c r="G74" s="1681"/>
      <c r="H74" s="1681"/>
      <c r="I74" s="1681"/>
      <c r="J74" s="1681"/>
      <c r="K74" s="1681"/>
      <c r="L74" s="1681"/>
      <c r="M74" s="1681"/>
      <c r="N74" s="1681"/>
      <c r="O74" s="1681"/>
      <c r="P74" s="1681"/>
      <c r="Q74" s="1681"/>
      <c r="R74" s="1681"/>
      <c r="S74" s="1681"/>
    </row>
    <row r="75" spans="1:19" x14ac:dyDescent="0.2">
      <c r="A75" s="463">
        <v>7</v>
      </c>
      <c r="B75" s="841" t="s">
        <v>1186</v>
      </c>
    </row>
    <row r="76" spans="1:19" ht="12.75" customHeight="1" x14ac:dyDescent="0.2">
      <c r="A76" s="463">
        <v>8</v>
      </c>
      <c r="B76" s="841" t="s">
        <v>1187</v>
      </c>
      <c r="C76" s="769"/>
      <c r="D76" s="769"/>
      <c r="E76" s="769"/>
      <c r="F76" s="769"/>
      <c r="G76" s="769"/>
      <c r="H76" s="769"/>
      <c r="I76" s="769"/>
      <c r="J76" s="769"/>
      <c r="K76" s="769"/>
      <c r="L76" s="769"/>
      <c r="M76" s="769"/>
      <c r="N76" s="769"/>
      <c r="O76" s="769"/>
      <c r="P76" s="769"/>
      <c r="Q76" s="769"/>
      <c r="R76" s="769"/>
      <c r="S76" s="769"/>
    </row>
    <row r="77" spans="1:19" x14ac:dyDescent="0.2">
      <c r="A77" s="463"/>
      <c r="B77" s="769"/>
      <c r="C77" s="769"/>
      <c r="D77" s="769"/>
      <c r="E77" s="769"/>
      <c r="F77" s="769"/>
      <c r="G77" s="769"/>
      <c r="H77" s="769"/>
      <c r="I77" s="769"/>
      <c r="J77" s="769"/>
      <c r="K77" s="769"/>
      <c r="L77" s="769"/>
      <c r="M77" s="769"/>
      <c r="N77" s="769"/>
      <c r="O77" s="769"/>
      <c r="P77" s="769"/>
      <c r="Q77" s="769"/>
      <c r="R77" s="769"/>
      <c r="S77" s="769"/>
    </row>
    <row r="78" spans="1:19" x14ac:dyDescent="0.2">
      <c r="C78" s="126"/>
      <c r="D78" s="126"/>
      <c r="E78" s="126"/>
      <c r="F78" s="126"/>
      <c r="G78" s="126"/>
      <c r="H78" s="126"/>
      <c r="I78" s="126"/>
      <c r="J78" s="126"/>
      <c r="K78" s="126"/>
      <c r="L78" s="126"/>
      <c r="M78" s="126"/>
      <c r="N78" s="126"/>
      <c r="O78" s="126"/>
      <c r="P78" s="126"/>
      <c r="Q78" s="126"/>
      <c r="R78" s="126"/>
      <c r="S78" s="126"/>
    </row>
  </sheetData>
  <mergeCells count="22">
    <mergeCell ref="B72:S72"/>
    <mergeCell ref="B74:S74"/>
    <mergeCell ref="A21:A22"/>
    <mergeCell ref="B21:B22"/>
    <mergeCell ref="B65:S65"/>
    <mergeCell ref="B69:S69"/>
    <mergeCell ref="B70:S70"/>
    <mergeCell ref="B71:S71"/>
    <mergeCell ref="A16:B16"/>
    <mergeCell ref="C16:Q16"/>
    <mergeCell ref="A17:B17"/>
    <mergeCell ref="C17:Q17"/>
    <mergeCell ref="C20:I20"/>
    <mergeCell ref="J20:M20"/>
    <mergeCell ref="N20:Q20"/>
    <mergeCell ref="A15:B15"/>
    <mergeCell ref="C15:Q15"/>
    <mergeCell ref="A9:S9"/>
    <mergeCell ref="A10:S10"/>
    <mergeCell ref="A11:S11"/>
    <mergeCell ref="A14:B14"/>
    <mergeCell ref="C14:Q14"/>
  </mergeCells>
  <dataValidations disablePrompts="1" count="6">
    <dataValidation type="list" allowBlank="1" showInputMessage="1" showErrorMessage="1" sqref="S17" xr:uid="{00000000-0002-0000-0C00-000000000000}">
      <formula1>$Y$10:$Y$11</formula1>
    </dataValidation>
    <dataValidation type="list" allowBlank="1" showInputMessage="1" showErrorMessage="1" sqref="S15:S16" xr:uid="{00000000-0002-0000-0C00-000001000000}">
      <formula1>$Y$9:$Y$11</formula1>
    </dataValidation>
    <dataValidation type="list" allowBlank="1" showInputMessage="1" showErrorMessage="1" sqref="R17" xr:uid="{00000000-0002-0000-0C00-000002000000}">
      <formula1>$Y$16:$Y$20</formula1>
    </dataValidation>
    <dataValidation type="list" allowBlank="1" showInputMessage="1" showErrorMessage="1" sqref="R16" xr:uid="{00000000-0002-0000-0C00-000003000000}">
      <formula1>$Y$15:$Y$20</formula1>
    </dataValidation>
    <dataValidation type="list" allowBlank="1" showInputMessage="1" showErrorMessage="1" sqref="R15" xr:uid="{00000000-0002-0000-0C00-000004000000}">
      <formula1>$Y$14:$Y$20</formula1>
    </dataValidation>
    <dataValidation allowBlank="1" showInputMessage="1" showErrorMessage="1" promptTitle="Date Format" prompt="E.g:  &quot;August 1, 2011&quot;" sqref="S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S65555 JM65555 TI65555 ADE65555 ANA65555 AWW65555 BGS65555 BQO65555 CAK65555 CKG65555 CUC65555 DDY65555 DNU65555 DXQ65555 EHM65555 ERI65555 FBE65555 FLA65555 FUW65555 GES65555 GOO65555 GYK65555 HIG65555 HSC65555 IBY65555 ILU65555 IVQ65555 JFM65555 JPI65555 JZE65555 KJA65555 KSW65555 LCS65555 LMO65555 LWK65555 MGG65555 MQC65555 MZY65555 NJU65555 NTQ65555 ODM65555 ONI65555 OXE65555 PHA65555 PQW65555 QAS65555 QKO65555 QUK65555 REG65555 ROC65555 RXY65555 SHU65555 SRQ65555 TBM65555 TLI65555 TVE65555 UFA65555 UOW65555 UYS65555 VIO65555 VSK65555 WCG65555 WMC65555 WVY65555 S131091 JM131091 TI131091 ADE131091 ANA131091 AWW131091 BGS131091 BQO131091 CAK131091 CKG131091 CUC131091 DDY131091 DNU131091 DXQ131091 EHM131091 ERI131091 FBE131091 FLA131091 FUW131091 GES131091 GOO131091 GYK131091 HIG131091 HSC131091 IBY131091 ILU131091 IVQ131091 JFM131091 JPI131091 JZE131091 KJA131091 KSW131091 LCS131091 LMO131091 LWK131091 MGG131091 MQC131091 MZY131091 NJU131091 NTQ131091 ODM131091 ONI131091 OXE131091 PHA131091 PQW131091 QAS131091 QKO131091 QUK131091 REG131091 ROC131091 RXY131091 SHU131091 SRQ131091 TBM131091 TLI131091 TVE131091 UFA131091 UOW131091 UYS131091 VIO131091 VSK131091 WCG131091 WMC131091 WVY131091 S196627 JM196627 TI196627 ADE196627 ANA196627 AWW196627 BGS196627 BQO196627 CAK196627 CKG196627 CUC196627 DDY196627 DNU196627 DXQ196627 EHM196627 ERI196627 FBE196627 FLA196627 FUW196627 GES196627 GOO196627 GYK196627 HIG196627 HSC196627 IBY196627 ILU196627 IVQ196627 JFM196627 JPI196627 JZE196627 KJA196627 KSW196627 LCS196627 LMO196627 LWK196627 MGG196627 MQC196627 MZY196627 NJU196627 NTQ196627 ODM196627 ONI196627 OXE196627 PHA196627 PQW196627 QAS196627 QKO196627 QUK196627 REG196627 ROC196627 RXY196627 SHU196627 SRQ196627 TBM196627 TLI196627 TVE196627 UFA196627 UOW196627 UYS196627 VIO196627 VSK196627 WCG196627 WMC196627 WVY196627 S262163 JM262163 TI262163 ADE262163 ANA262163 AWW262163 BGS262163 BQO262163 CAK262163 CKG262163 CUC262163 DDY262163 DNU262163 DXQ262163 EHM262163 ERI262163 FBE262163 FLA262163 FUW262163 GES262163 GOO262163 GYK262163 HIG262163 HSC262163 IBY262163 ILU262163 IVQ262163 JFM262163 JPI262163 JZE262163 KJA262163 KSW262163 LCS262163 LMO262163 LWK262163 MGG262163 MQC262163 MZY262163 NJU262163 NTQ262163 ODM262163 ONI262163 OXE262163 PHA262163 PQW262163 QAS262163 QKO262163 QUK262163 REG262163 ROC262163 RXY262163 SHU262163 SRQ262163 TBM262163 TLI262163 TVE262163 UFA262163 UOW262163 UYS262163 VIO262163 VSK262163 WCG262163 WMC262163 WVY262163 S327699 JM327699 TI327699 ADE327699 ANA327699 AWW327699 BGS327699 BQO327699 CAK327699 CKG327699 CUC327699 DDY327699 DNU327699 DXQ327699 EHM327699 ERI327699 FBE327699 FLA327699 FUW327699 GES327699 GOO327699 GYK327699 HIG327699 HSC327699 IBY327699 ILU327699 IVQ327699 JFM327699 JPI327699 JZE327699 KJA327699 KSW327699 LCS327699 LMO327699 LWK327699 MGG327699 MQC327699 MZY327699 NJU327699 NTQ327699 ODM327699 ONI327699 OXE327699 PHA327699 PQW327699 QAS327699 QKO327699 QUK327699 REG327699 ROC327699 RXY327699 SHU327699 SRQ327699 TBM327699 TLI327699 TVE327699 UFA327699 UOW327699 UYS327699 VIO327699 VSK327699 WCG327699 WMC327699 WVY327699 S393235 JM393235 TI393235 ADE393235 ANA393235 AWW393235 BGS393235 BQO393235 CAK393235 CKG393235 CUC393235 DDY393235 DNU393235 DXQ393235 EHM393235 ERI393235 FBE393235 FLA393235 FUW393235 GES393235 GOO393235 GYK393235 HIG393235 HSC393235 IBY393235 ILU393235 IVQ393235 JFM393235 JPI393235 JZE393235 KJA393235 KSW393235 LCS393235 LMO393235 LWK393235 MGG393235 MQC393235 MZY393235 NJU393235 NTQ393235 ODM393235 ONI393235 OXE393235 PHA393235 PQW393235 QAS393235 QKO393235 QUK393235 REG393235 ROC393235 RXY393235 SHU393235 SRQ393235 TBM393235 TLI393235 TVE393235 UFA393235 UOW393235 UYS393235 VIO393235 VSK393235 WCG393235 WMC393235 WVY393235 S458771 JM458771 TI458771 ADE458771 ANA458771 AWW458771 BGS458771 BQO458771 CAK458771 CKG458771 CUC458771 DDY458771 DNU458771 DXQ458771 EHM458771 ERI458771 FBE458771 FLA458771 FUW458771 GES458771 GOO458771 GYK458771 HIG458771 HSC458771 IBY458771 ILU458771 IVQ458771 JFM458771 JPI458771 JZE458771 KJA458771 KSW458771 LCS458771 LMO458771 LWK458771 MGG458771 MQC458771 MZY458771 NJU458771 NTQ458771 ODM458771 ONI458771 OXE458771 PHA458771 PQW458771 QAS458771 QKO458771 QUK458771 REG458771 ROC458771 RXY458771 SHU458771 SRQ458771 TBM458771 TLI458771 TVE458771 UFA458771 UOW458771 UYS458771 VIO458771 VSK458771 WCG458771 WMC458771 WVY458771 S524307 JM524307 TI524307 ADE524307 ANA524307 AWW524307 BGS524307 BQO524307 CAK524307 CKG524307 CUC524307 DDY524307 DNU524307 DXQ524307 EHM524307 ERI524307 FBE524307 FLA524307 FUW524307 GES524307 GOO524307 GYK524307 HIG524307 HSC524307 IBY524307 ILU524307 IVQ524307 JFM524307 JPI524307 JZE524307 KJA524307 KSW524307 LCS524307 LMO524307 LWK524307 MGG524307 MQC524307 MZY524307 NJU524307 NTQ524307 ODM524307 ONI524307 OXE524307 PHA524307 PQW524307 QAS524307 QKO524307 QUK524307 REG524307 ROC524307 RXY524307 SHU524307 SRQ524307 TBM524307 TLI524307 TVE524307 UFA524307 UOW524307 UYS524307 VIO524307 VSK524307 WCG524307 WMC524307 WVY524307 S589843 JM589843 TI589843 ADE589843 ANA589843 AWW589843 BGS589843 BQO589843 CAK589843 CKG589843 CUC589843 DDY589843 DNU589843 DXQ589843 EHM589843 ERI589843 FBE589843 FLA589843 FUW589843 GES589843 GOO589843 GYK589843 HIG589843 HSC589843 IBY589843 ILU589843 IVQ589843 JFM589843 JPI589843 JZE589843 KJA589843 KSW589843 LCS589843 LMO589843 LWK589843 MGG589843 MQC589843 MZY589843 NJU589843 NTQ589843 ODM589843 ONI589843 OXE589843 PHA589843 PQW589843 QAS589843 QKO589843 QUK589843 REG589843 ROC589843 RXY589843 SHU589843 SRQ589843 TBM589843 TLI589843 TVE589843 UFA589843 UOW589843 UYS589843 VIO589843 VSK589843 WCG589843 WMC589843 WVY589843 S655379 JM655379 TI655379 ADE655379 ANA655379 AWW655379 BGS655379 BQO655379 CAK655379 CKG655379 CUC655379 DDY655379 DNU655379 DXQ655379 EHM655379 ERI655379 FBE655379 FLA655379 FUW655379 GES655379 GOO655379 GYK655379 HIG655379 HSC655379 IBY655379 ILU655379 IVQ655379 JFM655379 JPI655379 JZE655379 KJA655379 KSW655379 LCS655379 LMO655379 LWK655379 MGG655379 MQC655379 MZY655379 NJU655379 NTQ655379 ODM655379 ONI655379 OXE655379 PHA655379 PQW655379 QAS655379 QKO655379 QUK655379 REG655379 ROC655379 RXY655379 SHU655379 SRQ655379 TBM655379 TLI655379 TVE655379 UFA655379 UOW655379 UYS655379 VIO655379 VSK655379 WCG655379 WMC655379 WVY655379 S720915 JM720915 TI720915 ADE720915 ANA720915 AWW720915 BGS720915 BQO720915 CAK720915 CKG720915 CUC720915 DDY720915 DNU720915 DXQ720915 EHM720915 ERI720915 FBE720915 FLA720915 FUW720915 GES720915 GOO720915 GYK720915 HIG720915 HSC720915 IBY720915 ILU720915 IVQ720915 JFM720915 JPI720915 JZE720915 KJA720915 KSW720915 LCS720915 LMO720915 LWK720915 MGG720915 MQC720915 MZY720915 NJU720915 NTQ720915 ODM720915 ONI720915 OXE720915 PHA720915 PQW720915 QAS720915 QKO720915 QUK720915 REG720915 ROC720915 RXY720915 SHU720915 SRQ720915 TBM720915 TLI720915 TVE720915 UFA720915 UOW720915 UYS720915 VIO720915 VSK720915 WCG720915 WMC720915 WVY720915 S786451 JM786451 TI786451 ADE786451 ANA786451 AWW786451 BGS786451 BQO786451 CAK786451 CKG786451 CUC786451 DDY786451 DNU786451 DXQ786451 EHM786451 ERI786451 FBE786451 FLA786451 FUW786451 GES786451 GOO786451 GYK786451 HIG786451 HSC786451 IBY786451 ILU786451 IVQ786451 JFM786451 JPI786451 JZE786451 KJA786451 KSW786451 LCS786451 LMO786451 LWK786451 MGG786451 MQC786451 MZY786451 NJU786451 NTQ786451 ODM786451 ONI786451 OXE786451 PHA786451 PQW786451 QAS786451 QKO786451 QUK786451 REG786451 ROC786451 RXY786451 SHU786451 SRQ786451 TBM786451 TLI786451 TVE786451 UFA786451 UOW786451 UYS786451 VIO786451 VSK786451 WCG786451 WMC786451 WVY786451 S851987 JM851987 TI851987 ADE851987 ANA851987 AWW851987 BGS851987 BQO851987 CAK851987 CKG851987 CUC851987 DDY851987 DNU851987 DXQ851987 EHM851987 ERI851987 FBE851987 FLA851987 FUW851987 GES851987 GOO851987 GYK851987 HIG851987 HSC851987 IBY851987 ILU851987 IVQ851987 JFM851987 JPI851987 JZE851987 KJA851987 KSW851987 LCS851987 LMO851987 LWK851987 MGG851987 MQC851987 MZY851987 NJU851987 NTQ851987 ODM851987 ONI851987 OXE851987 PHA851987 PQW851987 QAS851987 QKO851987 QUK851987 REG851987 ROC851987 RXY851987 SHU851987 SRQ851987 TBM851987 TLI851987 TVE851987 UFA851987 UOW851987 UYS851987 VIO851987 VSK851987 WCG851987 WMC851987 WVY851987 S917523 JM917523 TI917523 ADE917523 ANA917523 AWW917523 BGS917523 BQO917523 CAK917523 CKG917523 CUC917523 DDY917523 DNU917523 DXQ917523 EHM917523 ERI917523 FBE917523 FLA917523 FUW917523 GES917523 GOO917523 GYK917523 HIG917523 HSC917523 IBY917523 ILU917523 IVQ917523 JFM917523 JPI917523 JZE917523 KJA917523 KSW917523 LCS917523 LMO917523 LWK917523 MGG917523 MQC917523 MZY917523 NJU917523 NTQ917523 ODM917523 ONI917523 OXE917523 PHA917523 PQW917523 QAS917523 QKO917523 QUK917523 REG917523 ROC917523 RXY917523 SHU917523 SRQ917523 TBM917523 TLI917523 TVE917523 UFA917523 UOW917523 UYS917523 VIO917523 VSK917523 WCG917523 WMC917523 WVY917523 S983059 JM983059 TI983059 ADE983059 ANA983059 AWW983059 BGS983059 BQO983059 CAK983059 CKG983059 CUC983059 DDY983059 DNU983059 DXQ983059 EHM983059 ERI983059 FBE983059 FLA983059 FUW983059 GES983059 GOO983059 GYK983059 HIG983059 HSC983059 IBY983059 ILU983059 IVQ983059 JFM983059 JPI983059 JZE983059 KJA983059 KSW983059 LCS983059 LMO983059 LWK983059 MGG983059 MQC983059 MZY983059 NJU983059 NTQ983059 ODM983059 ONI983059 OXE983059 PHA983059 PQW983059 QAS983059 QKO983059 QUK983059 REG983059 ROC983059 RXY983059 SHU983059 SRQ983059 TBM983059 TLI983059 TVE983059 UFA983059 UOW983059 UYS983059 VIO983059 VSK983059 WCG983059 WMC983059 WVY983059" xr:uid="{00000000-0002-0000-0C00-000005000000}"/>
  </dataValidations>
  <pageMargins left="0.7" right="0.7" top="0.75" bottom="0.75" header="0.3" footer="0.3"/>
  <pageSetup scale="30" orientation="portrait" verticalDpi="1200"/>
  <drawing r:id="rId2"/>
  <legacyDrawing r:id="rId3"/>
  <mc:AlternateContent xmlns:mc="http://schemas.openxmlformats.org/markup-compatibility/2006">
    <mc:Choice Requires="x14">
      <controls>
        <mc:AlternateContent xmlns:mc="http://schemas.openxmlformats.org/markup-compatibility/2006">
          <mc:Choice Requires="x14">
            <control shapeId="271361" r:id="rId4" name="Check Box 1">
              <controlPr defaultSize="0" autoFill="0" autoLine="0" autoPict="0">
                <anchor moveWithCells="1">
                  <from>
                    <xdr:col>1</xdr:col>
                    <xdr:colOff>371475</xdr:colOff>
                    <xdr:row>14</xdr:row>
                    <xdr:rowOff>285750</xdr:rowOff>
                  </from>
                  <to>
                    <xdr:col>1</xdr:col>
                    <xdr:colOff>638175</xdr:colOff>
                    <xdr:row>14</xdr:row>
                    <xdr:rowOff>400050</xdr:rowOff>
                  </to>
                </anchor>
              </controlPr>
            </control>
          </mc:Choice>
        </mc:AlternateContent>
        <mc:AlternateContent xmlns:mc="http://schemas.openxmlformats.org/markup-compatibility/2006">
          <mc:Choice Requires="x14">
            <control shapeId="271362" r:id="rId5" name="Check Box 2">
              <controlPr defaultSize="0" autoFill="0" autoLine="0" autoPict="0">
                <anchor moveWithCells="1">
                  <from>
                    <xdr:col>1</xdr:col>
                    <xdr:colOff>323850</xdr:colOff>
                    <xdr:row>16</xdr:row>
                    <xdr:rowOff>257175</xdr:rowOff>
                  </from>
                  <to>
                    <xdr:col>1</xdr:col>
                    <xdr:colOff>590550</xdr:colOff>
                    <xdr:row>16</xdr:row>
                    <xdr:rowOff>400050</xdr:rowOff>
                  </to>
                </anchor>
              </controlPr>
            </control>
          </mc:Choice>
        </mc:AlternateContent>
        <mc:AlternateContent xmlns:mc="http://schemas.openxmlformats.org/markup-compatibility/2006">
          <mc:Choice Requires="x14">
            <control shapeId="271363" r:id="rId6" name="Check Box 3">
              <controlPr defaultSize="0" autoFill="0" autoLine="0" autoPict="0">
                <anchor moveWithCells="1">
                  <from>
                    <xdr:col>1</xdr:col>
                    <xdr:colOff>285750</xdr:colOff>
                    <xdr:row>15</xdr:row>
                    <xdr:rowOff>257175</xdr:rowOff>
                  </from>
                  <to>
                    <xdr:col>1</xdr:col>
                    <xdr:colOff>552450</xdr:colOff>
                    <xdr:row>15</xdr:row>
                    <xdr:rowOff>371475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3">
    <tabColor rgb="FF00B0F0"/>
    <pageSetUpPr fitToPage="1"/>
  </sheetPr>
  <dimension ref="A1:K76"/>
  <sheetViews>
    <sheetView showGridLines="0" zoomScaleNormal="100" workbookViewId="0"/>
  </sheetViews>
  <sheetFormatPr defaultRowHeight="12.75" x14ac:dyDescent="0.2"/>
  <cols>
    <col min="1" max="1" width="55.5703125" style="34" customWidth="1"/>
    <col min="2" max="7" width="15.7109375" style="34" customWidth="1"/>
    <col min="8" max="8" width="48.7109375" style="34" customWidth="1"/>
    <col min="9" max="9" width="18.5703125" style="34" bestFit="1" customWidth="1"/>
    <col min="10" max="10" width="13.7109375" style="34" customWidth="1"/>
    <col min="11" max="11" width="54.5703125" style="34" bestFit="1" customWidth="1"/>
    <col min="12" max="250" width="9.28515625" style="34"/>
    <col min="251" max="251" width="2.7109375" style="34" customWidth="1"/>
    <col min="252" max="252" width="5" style="34" customWidth="1"/>
    <col min="253" max="253" width="62" style="34" customWidth="1"/>
    <col min="254" max="254" width="12.7109375" style="34" bestFit="1" customWidth="1"/>
    <col min="255" max="255" width="1.7109375" style="34" customWidth="1"/>
    <col min="256" max="258" width="15.7109375" style="34" customWidth="1"/>
    <col min="259" max="259" width="17.7109375" style="34" bestFit="1" customWidth="1"/>
    <col min="260" max="260" width="18.5703125" style="34" bestFit="1" customWidth="1"/>
    <col min="261" max="263" width="15.7109375" style="34" customWidth="1"/>
    <col min="264" max="264" width="20" style="34" customWidth="1"/>
    <col min="265" max="265" width="18.5703125" style="34" bestFit="1" customWidth="1"/>
    <col min="266" max="266" width="13.7109375" style="34" customWidth="1"/>
    <col min="267" max="267" width="54.5703125" style="34" bestFit="1" customWidth="1"/>
    <col min="268" max="506" width="9.28515625" style="34"/>
    <col min="507" max="507" width="2.7109375" style="34" customWidth="1"/>
    <col min="508" max="508" width="5" style="34" customWidth="1"/>
    <col min="509" max="509" width="62" style="34" customWidth="1"/>
    <col min="510" max="510" width="12.7109375" style="34" bestFit="1" customWidth="1"/>
    <col min="511" max="511" width="1.7109375" style="34" customWidth="1"/>
    <col min="512" max="514" width="15.7109375" style="34" customWidth="1"/>
    <col min="515" max="515" width="17.7109375" style="34" bestFit="1" customWidth="1"/>
    <col min="516" max="516" width="18.5703125" style="34" bestFit="1" customWidth="1"/>
    <col min="517" max="519" width="15.7109375" style="34" customWidth="1"/>
    <col min="520" max="520" width="20" style="34" customWidth="1"/>
    <col min="521" max="521" width="18.5703125" style="34" bestFit="1" customWidth="1"/>
    <col min="522" max="522" width="13.7109375" style="34" customWidth="1"/>
    <col min="523" max="523" width="54.5703125" style="34" bestFit="1" customWidth="1"/>
    <col min="524" max="762" width="9.28515625" style="34"/>
    <col min="763" max="763" width="2.7109375" style="34" customWidth="1"/>
    <col min="764" max="764" width="5" style="34" customWidth="1"/>
    <col min="765" max="765" width="62" style="34" customWidth="1"/>
    <col min="766" max="766" width="12.7109375" style="34" bestFit="1" customWidth="1"/>
    <col min="767" max="767" width="1.7109375" style="34" customWidth="1"/>
    <col min="768" max="770" width="15.7109375" style="34" customWidth="1"/>
    <col min="771" max="771" width="17.7109375" style="34" bestFit="1" customWidth="1"/>
    <col min="772" max="772" width="18.5703125" style="34" bestFit="1" customWidth="1"/>
    <col min="773" max="775" width="15.7109375" style="34" customWidth="1"/>
    <col min="776" max="776" width="20" style="34" customWidth="1"/>
    <col min="777" max="777" width="18.5703125" style="34" bestFit="1" customWidth="1"/>
    <col min="778" max="778" width="13.7109375" style="34" customWidth="1"/>
    <col min="779" max="779" width="54.5703125" style="34" bestFit="1" customWidth="1"/>
    <col min="780" max="1018" width="9.28515625" style="34"/>
    <col min="1019" max="1019" width="2.7109375" style="34" customWidth="1"/>
    <col min="1020" max="1020" width="5" style="34" customWidth="1"/>
    <col min="1021" max="1021" width="62" style="34" customWidth="1"/>
    <col min="1022" max="1022" width="12.7109375" style="34" bestFit="1" customWidth="1"/>
    <col min="1023" max="1023" width="1.7109375" style="34" customWidth="1"/>
    <col min="1024" max="1026" width="15.7109375" style="34" customWidth="1"/>
    <col min="1027" max="1027" width="17.7109375" style="34" bestFit="1" customWidth="1"/>
    <col min="1028" max="1028" width="18.5703125" style="34" bestFit="1" customWidth="1"/>
    <col min="1029" max="1031" width="15.7109375" style="34" customWidth="1"/>
    <col min="1032" max="1032" width="20" style="34" customWidth="1"/>
    <col min="1033" max="1033" width="18.5703125" style="34" bestFit="1" customWidth="1"/>
    <col min="1034" max="1034" width="13.7109375" style="34" customWidth="1"/>
    <col min="1035" max="1035" width="54.5703125" style="34" bestFit="1" customWidth="1"/>
    <col min="1036" max="1274" width="9.28515625" style="34"/>
    <col min="1275" max="1275" width="2.7109375" style="34" customWidth="1"/>
    <col min="1276" max="1276" width="5" style="34" customWidth="1"/>
    <col min="1277" max="1277" width="62" style="34" customWidth="1"/>
    <col min="1278" max="1278" width="12.7109375" style="34" bestFit="1" customWidth="1"/>
    <col min="1279" max="1279" width="1.7109375" style="34" customWidth="1"/>
    <col min="1280" max="1282" width="15.7109375" style="34" customWidth="1"/>
    <col min="1283" max="1283" width="17.7109375" style="34" bestFit="1" customWidth="1"/>
    <col min="1284" max="1284" width="18.5703125" style="34" bestFit="1" customWidth="1"/>
    <col min="1285" max="1287" width="15.7109375" style="34" customWidth="1"/>
    <col min="1288" max="1288" width="20" style="34" customWidth="1"/>
    <col min="1289" max="1289" width="18.5703125" style="34" bestFit="1" customWidth="1"/>
    <col min="1290" max="1290" width="13.7109375" style="34" customWidth="1"/>
    <col min="1291" max="1291" width="54.5703125" style="34" bestFit="1" customWidth="1"/>
    <col min="1292" max="1530" width="9.28515625" style="34"/>
    <col min="1531" max="1531" width="2.7109375" style="34" customWidth="1"/>
    <col min="1532" max="1532" width="5" style="34" customWidth="1"/>
    <col min="1533" max="1533" width="62" style="34" customWidth="1"/>
    <col min="1534" max="1534" width="12.7109375" style="34" bestFit="1" customWidth="1"/>
    <col min="1535" max="1535" width="1.7109375" style="34" customWidth="1"/>
    <col min="1536" max="1538" width="15.7109375" style="34" customWidth="1"/>
    <col min="1539" max="1539" width="17.7109375" style="34" bestFit="1" customWidth="1"/>
    <col min="1540" max="1540" width="18.5703125" style="34" bestFit="1" customWidth="1"/>
    <col min="1541" max="1543" width="15.7109375" style="34" customWidth="1"/>
    <col min="1544" max="1544" width="20" style="34" customWidth="1"/>
    <col min="1545" max="1545" width="18.5703125" style="34" bestFit="1" customWidth="1"/>
    <col min="1546" max="1546" width="13.7109375" style="34" customWidth="1"/>
    <col min="1547" max="1547" width="54.5703125" style="34" bestFit="1" customWidth="1"/>
    <col min="1548" max="1786" width="9.28515625" style="34"/>
    <col min="1787" max="1787" width="2.7109375" style="34" customWidth="1"/>
    <col min="1788" max="1788" width="5" style="34" customWidth="1"/>
    <col min="1789" max="1789" width="62" style="34" customWidth="1"/>
    <col min="1790" max="1790" width="12.7109375" style="34" bestFit="1" customWidth="1"/>
    <col min="1791" max="1791" width="1.7109375" style="34" customWidth="1"/>
    <col min="1792" max="1794" width="15.7109375" style="34" customWidth="1"/>
    <col min="1795" max="1795" width="17.7109375" style="34" bestFit="1" customWidth="1"/>
    <col min="1796" max="1796" width="18.5703125" style="34" bestFit="1" customWidth="1"/>
    <col min="1797" max="1799" width="15.7109375" style="34" customWidth="1"/>
    <col min="1800" max="1800" width="20" style="34" customWidth="1"/>
    <col min="1801" max="1801" width="18.5703125" style="34" bestFit="1" customWidth="1"/>
    <col min="1802" max="1802" width="13.7109375" style="34" customWidth="1"/>
    <col min="1803" max="1803" width="54.5703125" style="34" bestFit="1" customWidth="1"/>
    <col min="1804" max="2042" width="9.28515625" style="34"/>
    <col min="2043" max="2043" width="2.7109375" style="34" customWidth="1"/>
    <col min="2044" max="2044" width="5" style="34" customWidth="1"/>
    <col min="2045" max="2045" width="62" style="34" customWidth="1"/>
    <col min="2046" max="2046" width="12.7109375" style="34" bestFit="1" customWidth="1"/>
    <col min="2047" max="2047" width="1.7109375" style="34" customWidth="1"/>
    <col min="2048" max="2050" width="15.7109375" style="34" customWidth="1"/>
    <col min="2051" max="2051" width="17.7109375" style="34" bestFit="1" customWidth="1"/>
    <col min="2052" max="2052" width="18.5703125" style="34" bestFit="1" customWidth="1"/>
    <col min="2053" max="2055" width="15.7109375" style="34" customWidth="1"/>
    <col min="2056" max="2056" width="20" style="34" customWidth="1"/>
    <col min="2057" max="2057" width="18.5703125" style="34" bestFit="1" customWidth="1"/>
    <col min="2058" max="2058" width="13.7109375" style="34" customWidth="1"/>
    <col min="2059" max="2059" width="54.5703125" style="34" bestFit="1" customWidth="1"/>
    <col min="2060" max="2298" width="9.28515625" style="34"/>
    <col min="2299" max="2299" width="2.7109375" style="34" customWidth="1"/>
    <col min="2300" max="2300" width="5" style="34" customWidth="1"/>
    <col min="2301" max="2301" width="62" style="34" customWidth="1"/>
    <col min="2302" max="2302" width="12.7109375" style="34" bestFit="1" customWidth="1"/>
    <col min="2303" max="2303" width="1.7109375" style="34" customWidth="1"/>
    <col min="2304" max="2306" width="15.7109375" style="34" customWidth="1"/>
    <col min="2307" max="2307" width="17.7109375" style="34" bestFit="1" customWidth="1"/>
    <col min="2308" max="2308" width="18.5703125" style="34" bestFit="1" customWidth="1"/>
    <col min="2309" max="2311" width="15.7109375" style="34" customWidth="1"/>
    <col min="2312" max="2312" width="20" style="34" customWidth="1"/>
    <col min="2313" max="2313" width="18.5703125" style="34" bestFit="1" customWidth="1"/>
    <col min="2314" max="2314" width="13.7109375" style="34" customWidth="1"/>
    <col min="2315" max="2315" width="54.5703125" style="34" bestFit="1" customWidth="1"/>
    <col min="2316" max="2554" width="9.28515625" style="34"/>
    <col min="2555" max="2555" width="2.7109375" style="34" customWidth="1"/>
    <col min="2556" max="2556" width="5" style="34" customWidth="1"/>
    <col min="2557" max="2557" width="62" style="34" customWidth="1"/>
    <col min="2558" max="2558" width="12.7109375" style="34" bestFit="1" customWidth="1"/>
    <col min="2559" max="2559" width="1.7109375" style="34" customWidth="1"/>
    <col min="2560" max="2562" width="15.7109375" style="34" customWidth="1"/>
    <col min="2563" max="2563" width="17.7109375" style="34" bestFit="1" customWidth="1"/>
    <col min="2564" max="2564" width="18.5703125" style="34" bestFit="1" customWidth="1"/>
    <col min="2565" max="2567" width="15.7109375" style="34" customWidth="1"/>
    <col min="2568" max="2568" width="20" style="34" customWidth="1"/>
    <col min="2569" max="2569" width="18.5703125" style="34" bestFit="1" customWidth="1"/>
    <col min="2570" max="2570" width="13.7109375" style="34" customWidth="1"/>
    <col min="2571" max="2571" width="54.5703125" style="34" bestFit="1" customWidth="1"/>
    <col min="2572" max="2810" width="9.28515625" style="34"/>
    <col min="2811" max="2811" width="2.7109375" style="34" customWidth="1"/>
    <col min="2812" max="2812" width="5" style="34" customWidth="1"/>
    <col min="2813" max="2813" width="62" style="34" customWidth="1"/>
    <col min="2814" max="2814" width="12.7109375" style="34" bestFit="1" customWidth="1"/>
    <col min="2815" max="2815" width="1.7109375" style="34" customWidth="1"/>
    <col min="2816" max="2818" width="15.7109375" style="34" customWidth="1"/>
    <col min="2819" max="2819" width="17.7109375" style="34" bestFit="1" customWidth="1"/>
    <col min="2820" max="2820" width="18.5703125" style="34" bestFit="1" customWidth="1"/>
    <col min="2821" max="2823" width="15.7109375" style="34" customWidth="1"/>
    <col min="2824" max="2824" width="20" style="34" customWidth="1"/>
    <col min="2825" max="2825" width="18.5703125" style="34" bestFit="1" customWidth="1"/>
    <col min="2826" max="2826" width="13.7109375" style="34" customWidth="1"/>
    <col min="2827" max="2827" width="54.5703125" style="34" bestFit="1" customWidth="1"/>
    <col min="2828" max="3066" width="9.28515625" style="34"/>
    <col min="3067" max="3067" width="2.7109375" style="34" customWidth="1"/>
    <col min="3068" max="3068" width="5" style="34" customWidth="1"/>
    <col min="3069" max="3069" width="62" style="34" customWidth="1"/>
    <col min="3070" max="3070" width="12.7109375" style="34" bestFit="1" customWidth="1"/>
    <col min="3071" max="3071" width="1.7109375" style="34" customWidth="1"/>
    <col min="3072" max="3074" width="15.7109375" style="34" customWidth="1"/>
    <col min="3075" max="3075" width="17.7109375" style="34" bestFit="1" customWidth="1"/>
    <col min="3076" max="3076" width="18.5703125" style="34" bestFit="1" customWidth="1"/>
    <col min="3077" max="3079" width="15.7109375" style="34" customWidth="1"/>
    <col min="3080" max="3080" width="20" style="34" customWidth="1"/>
    <col min="3081" max="3081" width="18.5703125" style="34" bestFit="1" customWidth="1"/>
    <col min="3082" max="3082" width="13.7109375" style="34" customWidth="1"/>
    <col min="3083" max="3083" width="54.5703125" style="34" bestFit="1" customWidth="1"/>
    <col min="3084" max="3322" width="9.28515625" style="34"/>
    <col min="3323" max="3323" width="2.7109375" style="34" customWidth="1"/>
    <col min="3324" max="3324" width="5" style="34" customWidth="1"/>
    <col min="3325" max="3325" width="62" style="34" customWidth="1"/>
    <col min="3326" max="3326" width="12.7109375" style="34" bestFit="1" customWidth="1"/>
    <col min="3327" max="3327" width="1.7109375" style="34" customWidth="1"/>
    <col min="3328" max="3330" width="15.7109375" style="34" customWidth="1"/>
    <col min="3331" max="3331" width="17.7109375" style="34" bestFit="1" customWidth="1"/>
    <col min="3332" max="3332" width="18.5703125" style="34" bestFit="1" customWidth="1"/>
    <col min="3333" max="3335" width="15.7109375" style="34" customWidth="1"/>
    <col min="3336" max="3336" width="20" style="34" customWidth="1"/>
    <col min="3337" max="3337" width="18.5703125" style="34" bestFit="1" customWidth="1"/>
    <col min="3338" max="3338" width="13.7109375" style="34" customWidth="1"/>
    <col min="3339" max="3339" width="54.5703125" style="34" bestFit="1" customWidth="1"/>
    <col min="3340" max="3578" width="9.28515625" style="34"/>
    <col min="3579" max="3579" width="2.7109375" style="34" customWidth="1"/>
    <col min="3580" max="3580" width="5" style="34" customWidth="1"/>
    <col min="3581" max="3581" width="62" style="34" customWidth="1"/>
    <col min="3582" max="3582" width="12.7109375" style="34" bestFit="1" customWidth="1"/>
    <col min="3583" max="3583" width="1.7109375" style="34" customWidth="1"/>
    <col min="3584" max="3586" width="15.7109375" style="34" customWidth="1"/>
    <col min="3587" max="3587" width="17.7109375" style="34" bestFit="1" customWidth="1"/>
    <col min="3588" max="3588" width="18.5703125" style="34" bestFit="1" customWidth="1"/>
    <col min="3589" max="3591" width="15.7109375" style="34" customWidth="1"/>
    <col min="3592" max="3592" width="20" style="34" customWidth="1"/>
    <col min="3593" max="3593" width="18.5703125" style="34" bestFit="1" customWidth="1"/>
    <col min="3594" max="3594" width="13.7109375" style="34" customWidth="1"/>
    <col min="3595" max="3595" width="54.5703125" style="34" bestFit="1" customWidth="1"/>
    <col min="3596" max="3834" width="9.28515625" style="34"/>
    <col min="3835" max="3835" width="2.7109375" style="34" customWidth="1"/>
    <col min="3836" max="3836" width="5" style="34" customWidth="1"/>
    <col min="3837" max="3837" width="62" style="34" customWidth="1"/>
    <col min="3838" max="3838" width="12.7109375" style="34" bestFit="1" customWidth="1"/>
    <col min="3839" max="3839" width="1.7109375" style="34" customWidth="1"/>
    <col min="3840" max="3842" width="15.7109375" style="34" customWidth="1"/>
    <col min="3843" max="3843" width="17.7109375" style="34" bestFit="1" customWidth="1"/>
    <col min="3844" max="3844" width="18.5703125" style="34" bestFit="1" customWidth="1"/>
    <col min="3845" max="3847" width="15.7109375" style="34" customWidth="1"/>
    <col min="3848" max="3848" width="20" style="34" customWidth="1"/>
    <col min="3849" max="3849" width="18.5703125" style="34" bestFit="1" customWidth="1"/>
    <col min="3850" max="3850" width="13.7109375" style="34" customWidth="1"/>
    <col min="3851" max="3851" width="54.5703125" style="34" bestFit="1" customWidth="1"/>
    <col min="3852" max="4090" width="9.28515625" style="34"/>
    <col min="4091" max="4091" width="2.7109375" style="34" customWidth="1"/>
    <col min="4092" max="4092" width="5" style="34" customWidth="1"/>
    <col min="4093" max="4093" width="62" style="34" customWidth="1"/>
    <col min="4094" max="4094" width="12.7109375" style="34" bestFit="1" customWidth="1"/>
    <col min="4095" max="4095" width="1.7109375" style="34" customWidth="1"/>
    <col min="4096" max="4098" width="15.7109375" style="34" customWidth="1"/>
    <col min="4099" max="4099" width="17.7109375" style="34" bestFit="1" customWidth="1"/>
    <col min="4100" max="4100" width="18.5703125" style="34" bestFit="1" customWidth="1"/>
    <col min="4101" max="4103" width="15.7109375" style="34" customWidth="1"/>
    <col min="4104" max="4104" width="20" style="34" customWidth="1"/>
    <col min="4105" max="4105" width="18.5703125" style="34" bestFit="1" customWidth="1"/>
    <col min="4106" max="4106" width="13.7109375" style="34" customWidth="1"/>
    <col min="4107" max="4107" width="54.5703125" style="34" bestFit="1" customWidth="1"/>
    <col min="4108" max="4346" width="9.28515625" style="34"/>
    <col min="4347" max="4347" width="2.7109375" style="34" customWidth="1"/>
    <col min="4348" max="4348" width="5" style="34" customWidth="1"/>
    <col min="4349" max="4349" width="62" style="34" customWidth="1"/>
    <col min="4350" max="4350" width="12.7109375" style="34" bestFit="1" customWidth="1"/>
    <col min="4351" max="4351" width="1.7109375" style="34" customWidth="1"/>
    <col min="4352" max="4354" width="15.7109375" style="34" customWidth="1"/>
    <col min="4355" max="4355" width="17.7109375" style="34" bestFit="1" customWidth="1"/>
    <col min="4356" max="4356" width="18.5703125" style="34" bestFit="1" customWidth="1"/>
    <col min="4357" max="4359" width="15.7109375" style="34" customWidth="1"/>
    <col min="4360" max="4360" width="20" style="34" customWidth="1"/>
    <col min="4361" max="4361" width="18.5703125" style="34" bestFit="1" customWidth="1"/>
    <col min="4362" max="4362" width="13.7109375" style="34" customWidth="1"/>
    <col min="4363" max="4363" width="54.5703125" style="34" bestFit="1" customWidth="1"/>
    <col min="4364" max="4602" width="9.28515625" style="34"/>
    <col min="4603" max="4603" width="2.7109375" style="34" customWidth="1"/>
    <col min="4604" max="4604" width="5" style="34" customWidth="1"/>
    <col min="4605" max="4605" width="62" style="34" customWidth="1"/>
    <col min="4606" max="4606" width="12.7109375" style="34" bestFit="1" customWidth="1"/>
    <col min="4607" max="4607" width="1.7109375" style="34" customWidth="1"/>
    <col min="4608" max="4610" width="15.7109375" style="34" customWidth="1"/>
    <col min="4611" max="4611" width="17.7109375" style="34" bestFit="1" customWidth="1"/>
    <col min="4612" max="4612" width="18.5703125" style="34" bestFit="1" customWidth="1"/>
    <col min="4613" max="4615" width="15.7109375" style="34" customWidth="1"/>
    <col min="4616" max="4616" width="20" style="34" customWidth="1"/>
    <col min="4617" max="4617" width="18.5703125" style="34" bestFit="1" customWidth="1"/>
    <col min="4618" max="4618" width="13.7109375" style="34" customWidth="1"/>
    <col min="4619" max="4619" width="54.5703125" style="34" bestFit="1" customWidth="1"/>
    <col min="4620" max="4858" width="9.28515625" style="34"/>
    <col min="4859" max="4859" width="2.7109375" style="34" customWidth="1"/>
    <col min="4860" max="4860" width="5" style="34" customWidth="1"/>
    <col min="4861" max="4861" width="62" style="34" customWidth="1"/>
    <col min="4862" max="4862" width="12.7109375" style="34" bestFit="1" customWidth="1"/>
    <col min="4863" max="4863" width="1.7109375" style="34" customWidth="1"/>
    <col min="4864" max="4866" width="15.7109375" style="34" customWidth="1"/>
    <col min="4867" max="4867" width="17.7109375" style="34" bestFit="1" customWidth="1"/>
    <col min="4868" max="4868" width="18.5703125" style="34" bestFit="1" customWidth="1"/>
    <col min="4869" max="4871" width="15.7109375" style="34" customWidth="1"/>
    <col min="4872" max="4872" width="20" style="34" customWidth="1"/>
    <col min="4873" max="4873" width="18.5703125" style="34" bestFit="1" customWidth="1"/>
    <col min="4874" max="4874" width="13.7109375" style="34" customWidth="1"/>
    <col min="4875" max="4875" width="54.5703125" style="34" bestFit="1" customWidth="1"/>
    <col min="4876" max="5114" width="9.28515625" style="34"/>
    <col min="5115" max="5115" width="2.7109375" style="34" customWidth="1"/>
    <col min="5116" max="5116" width="5" style="34" customWidth="1"/>
    <col min="5117" max="5117" width="62" style="34" customWidth="1"/>
    <col min="5118" max="5118" width="12.7109375" style="34" bestFit="1" customWidth="1"/>
    <col min="5119" max="5119" width="1.7109375" style="34" customWidth="1"/>
    <col min="5120" max="5122" width="15.7109375" style="34" customWidth="1"/>
    <col min="5123" max="5123" width="17.7109375" style="34" bestFit="1" customWidth="1"/>
    <col min="5124" max="5124" width="18.5703125" style="34" bestFit="1" customWidth="1"/>
    <col min="5125" max="5127" width="15.7109375" style="34" customWidth="1"/>
    <col min="5128" max="5128" width="20" style="34" customWidth="1"/>
    <col min="5129" max="5129" width="18.5703125" style="34" bestFit="1" customWidth="1"/>
    <col min="5130" max="5130" width="13.7109375" style="34" customWidth="1"/>
    <col min="5131" max="5131" width="54.5703125" style="34" bestFit="1" customWidth="1"/>
    <col min="5132" max="5370" width="9.28515625" style="34"/>
    <col min="5371" max="5371" width="2.7109375" style="34" customWidth="1"/>
    <col min="5372" max="5372" width="5" style="34" customWidth="1"/>
    <col min="5373" max="5373" width="62" style="34" customWidth="1"/>
    <col min="5374" max="5374" width="12.7109375" style="34" bestFit="1" customWidth="1"/>
    <col min="5375" max="5375" width="1.7109375" style="34" customWidth="1"/>
    <col min="5376" max="5378" width="15.7109375" style="34" customWidth="1"/>
    <col min="5379" max="5379" width="17.7109375" style="34" bestFit="1" customWidth="1"/>
    <col min="5380" max="5380" width="18.5703125" style="34" bestFit="1" customWidth="1"/>
    <col min="5381" max="5383" width="15.7109375" style="34" customWidth="1"/>
    <col min="5384" max="5384" width="20" style="34" customWidth="1"/>
    <col min="5385" max="5385" width="18.5703125" style="34" bestFit="1" customWidth="1"/>
    <col min="5386" max="5386" width="13.7109375" style="34" customWidth="1"/>
    <col min="5387" max="5387" width="54.5703125" style="34" bestFit="1" customWidth="1"/>
    <col min="5388" max="5626" width="9.28515625" style="34"/>
    <col min="5627" max="5627" width="2.7109375" style="34" customWidth="1"/>
    <col min="5628" max="5628" width="5" style="34" customWidth="1"/>
    <col min="5629" max="5629" width="62" style="34" customWidth="1"/>
    <col min="5630" max="5630" width="12.7109375" style="34" bestFit="1" customWidth="1"/>
    <col min="5631" max="5631" width="1.7109375" style="34" customWidth="1"/>
    <col min="5632" max="5634" width="15.7109375" style="34" customWidth="1"/>
    <col min="5635" max="5635" width="17.7109375" style="34" bestFit="1" customWidth="1"/>
    <col min="5636" max="5636" width="18.5703125" style="34" bestFit="1" customWidth="1"/>
    <col min="5637" max="5639" width="15.7109375" style="34" customWidth="1"/>
    <col min="5640" max="5640" width="20" style="34" customWidth="1"/>
    <col min="5641" max="5641" width="18.5703125" style="34" bestFit="1" customWidth="1"/>
    <col min="5642" max="5642" width="13.7109375" style="34" customWidth="1"/>
    <col min="5643" max="5643" width="54.5703125" style="34" bestFit="1" customWidth="1"/>
    <col min="5644" max="5882" width="9.28515625" style="34"/>
    <col min="5883" max="5883" width="2.7109375" style="34" customWidth="1"/>
    <col min="5884" max="5884" width="5" style="34" customWidth="1"/>
    <col min="5885" max="5885" width="62" style="34" customWidth="1"/>
    <col min="5886" max="5886" width="12.7109375" style="34" bestFit="1" customWidth="1"/>
    <col min="5887" max="5887" width="1.7109375" style="34" customWidth="1"/>
    <col min="5888" max="5890" width="15.7109375" style="34" customWidth="1"/>
    <col min="5891" max="5891" width="17.7109375" style="34" bestFit="1" customWidth="1"/>
    <col min="5892" max="5892" width="18.5703125" style="34" bestFit="1" customWidth="1"/>
    <col min="5893" max="5895" width="15.7109375" style="34" customWidth="1"/>
    <col min="5896" max="5896" width="20" style="34" customWidth="1"/>
    <col min="5897" max="5897" width="18.5703125" style="34" bestFit="1" customWidth="1"/>
    <col min="5898" max="5898" width="13.7109375" style="34" customWidth="1"/>
    <col min="5899" max="5899" width="54.5703125" style="34" bestFit="1" customWidth="1"/>
    <col min="5900" max="6138" width="9.28515625" style="34"/>
    <col min="6139" max="6139" width="2.7109375" style="34" customWidth="1"/>
    <col min="6140" max="6140" width="5" style="34" customWidth="1"/>
    <col min="6141" max="6141" width="62" style="34" customWidth="1"/>
    <col min="6142" max="6142" width="12.7109375" style="34" bestFit="1" customWidth="1"/>
    <col min="6143" max="6143" width="1.7109375" style="34" customWidth="1"/>
    <col min="6144" max="6146" width="15.7109375" style="34" customWidth="1"/>
    <col min="6147" max="6147" width="17.7109375" style="34" bestFit="1" customWidth="1"/>
    <col min="6148" max="6148" width="18.5703125" style="34" bestFit="1" customWidth="1"/>
    <col min="6149" max="6151" width="15.7109375" style="34" customWidth="1"/>
    <col min="6152" max="6152" width="20" style="34" customWidth="1"/>
    <col min="6153" max="6153" width="18.5703125" style="34" bestFit="1" customWidth="1"/>
    <col min="6154" max="6154" width="13.7109375" style="34" customWidth="1"/>
    <col min="6155" max="6155" width="54.5703125" style="34" bestFit="1" customWidth="1"/>
    <col min="6156" max="6394" width="9.28515625" style="34"/>
    <col min="6395" max="6395" width="2.7109375" style="34" customWidth="1"/>
    <col min="6396" max="6396" width="5" style="34" customWidth="1"/>
    <col min="6397" max="6397" width="62" style="34" customWidth="1"/>
    <col min="6398" max="6398" width="12.7109375" style="34" bestFit="1" customWidth="1"/>
    <col min="6399" max="6399" width="1.7109375" style="34" customWidth="1"/>
    <col min="6400" max="6402" width="15.7109375" style="34" customWidth="1"/>
    <col min="6403" max="6403" width="17.7109375" style="34" bestFit="1" customWidth="1"/>
    <col min="6404" max="6404" width="18.5703125" style="34" bestFit="1" customWidth="1"/>
    <col min="6405" max="6407" width="15.7109375" style="34" customWidth="1"/>
    <col min="6408" max="6408" width="20" style="34" customWidth="1"/>
    <col min="6409" max="6409" width="18.5703125" style="34" bestFit="1" customWidth="1"/>
    <col min="6410" max="6410" width="13.7109375" style="34" customWidth="1"/>
    <col min="6411" max="6411" width="54.5703125" style="34" bestFit="1" customWidth="1"/>
    <col min="6412" max="6650" width="9.28515625" style="34"/>
    <col min="6651" max="6651" width="2.7109375" style="34" customWidth="1"/>
    <col min="6652" max="6652" width="5" style="34" customWidth="1"/>
    <col min="6653" max="6653" width="62" style="34" customWidth="1"/>
    <col min="6654" max="6654" width="12.7109375" style="34" bestFit="1" customWidth="1"/>
    <col min="6655" max="6655" width="1.7109375" style="34" customWidth="1"/>
    <col min="6656" max="6658" width="15.7109375" style="34" customWidth="1"/>
    <col min="6659" max="6659" width="17.7109375" style="34" bestFit="1" customWidth="1"/>
    <col min="6660" max="6660" width="18.5703125" style="34" bestFit="1" customWidth="1"/>
    <col min="6661" max="6663" width="15.7109375" style="34" customWidth="1"/>
    <col min="6664" max="6664" width="20" style="34" customWidth="1"/>
    <col min="6665" max="6665" width="18.5703125" style="34" bestFit="1" customWidth="1"/>
    <col min="6666" max="6666" width="13.7109375" style="34" customWidth="1"/>
    <col min="6667" max="6667" width="54.5703125" style="34" bestFit="1" customWidth="1"/>
    <col min="6668" max="6906" width="9.28515625" style="34"/>
    <col min="6907" max="6907" width="2.7109375" style="34" customWidth="1"/>
    <col min="6908" max="6908" width="5" style="34" customWidth="1"/>
    <col min="6909" max="6909" width="62" style="34" customWidth="1"/>
    <col min="6910" max="6910" width="12.7109375" style="34" bestFit="1" customWidth="1"/>
    <col min="6911" max="6911" width="1.7109375" style="34" customWidth="1"/>
    <col min="6912" max="6914" width="15.7109375" style="34" customWidth="1"/>
    <col min="6915" max="6915" width="17.7109375" style="34" bestFit="1" customWidth="1"/>
    <col min="6916" max="6916" width="18.5703125" style="34" bestFit="1" customWidth="1"/>
    <col min="6917" max="6919" width="15.7109375" style="34" customWidth="1"/>
    <col min="6920" max="6920" width="20" style="34" customWidth="1"/>
    <col min="6921" max="6921" width="18.5703125" style="34" bestFit="1" customWidth="1"/>
    <col min="6922" max="6922" width="13.7109375" style="34" customWidth="1"/>
    <col min="6923" max="6923" width="54.5703125" style="34" bestFit="1" customWidth="1"/>
    <col min="6924" max="7162" width="9.28515625" style="34"/>
    <col min="7163" max="7163" width="2.7109375" style="34" customWidth="1"/>
    <col min="7164" max="7164" width="5" style="34" customWidth="1"/>
    <col min="7165" max="7165" width="62" style="34" customWidth="1"/>
    <col min="7166" max="7166" width="12.7109375" style="34" bestFit="1" customWidth="1"/>
    <col min="7167" max="7167" width="1.7109375" style="34" customWidth="1"/>
    <col min="7168" max="7170" width="15.7109375" style="34" customWidth="1"/>
    <col min="7171" max="7171" width="17.7109375" style="34" bestFit="1" customWidth="1"/>
    <col min="7172" max="7172" width="18.5703125" style="34" bestFit="1" customWidth="1"/>
    <col min="7173" max="7175" width="15.7109375" style="34" customWidth="1"/>
    <col min="7176" max="7176" width="20" style="34" customWidth="1"/>
    <col min="7177" max="7177" width="18.5703125" style="34" bestFit="1" customWidth="1"/>
    <col min="7178" max="7178" width="13.7109375" style="34" customWidth="1"/>
    <col min="7179" max="7179" width="54.5703125" style="34" bestFit="1" customWidth="1"/>
    <col min="7180" max="7418" width="9.28515625" style="34"/>
    <col min="7419" max="7419" width="2.7109375" style="34" customWidth="1"/>
    <col min="7420" max="7420" width="5" style="34" customWidth="1"/>
    <col min="7421" max="7421" width="62" style="34" customWidth="1"/>
    <col min="7422" max="7422" width="12.7109375" style="34" bestFit="1" customWidth="1"/>
    <col min="7423" max="7423" width="1.7109375" style="34" customWidth="1"/>
    <col min="7424" max="7426" width="15.7109375" style="34" customWidth="1"/>
    <col min="7427" max="7427" width="17.7109375" style="34" bestFit="1" customWidth="1"/>
    <col min="7428" max="7428" width="18.5703125" style="34" bestFit="1" customWidth="1"/>
    <col min="7429" max="7431" width="15.7109375" style="34" customWidth="1"/>
    <col min="7432" max="7432" width="20" style="34" customWidth="1"/>
    <col min="7433" max="7433" width="18.5703125" style="34" bestFit="1" customWidth="1"/>
    <col min="7434" max="7434" width="13.7109375" style="34" customWidth="1"/>
    <col min="7435" max="7435" width="54.5703125" style="34" bestFit="1" customWidth="1"/>
    <col min="7436" max="7674" width="9.28515625" style="34"/>
    <col min="7675" max="7675" width="2.7109375" style="34" customWidth="1"/>
    <col min="7676" max="7676" width="5" style="34" customWidth="1"/>
    <col min="7677" max="7677" width="62" style="34" customWidth="1"/>
    <col min="7678" max="7678" width="12.7109375" style="34" bestFit="1" customWidth="1"/>
    <col min="7679" max="7679" width="1.7109375" style="34" customWidth="1"/>
    <col min="7680" max="7682" width="15.7109375" style="34" customWidth="1"/>
    <col min="7683" max="7683" width="17.7109375" style="34" bestFit="1" customWidth="1"/>
    <col min="7684" max="7684" width="18.5703125" style="34" bestFit="1" customWidth="1"/>
    <col min="7685" max="7687" width="15.7109375" style="34" customWidth="1"/>
    <col min="7688" max="7688" width="20" style="34" customWidth="1"/>
    <col min="7689" max="7689" width="18.5703125" style="34" bestFit="1" customWidth="1"/>
    <col min="7690" max="7690" width="13.7109375" style="34" customWidth="1"/>
    <col min="7691" max="7691" width="54.5703125" style="34" bestFit="1" customWidth="1"/>
    <col min="7692" max="7930" width="9.28515625" style="34"/>
    <col min="7931" max="7931" width="2.7109375" style="34" customWidth="1"/>
    <col min="7932" max="7932" width="5" style="34" customWidth="1"/>
    <col min="7933" max="7933" width="62" style="34" customWidth="1"/>
    <col min="7934" max="7934" width="12.7109375" style="34" bestFit="1" customWidth="1"/>
    <col min="7935" max="7935" width="1.7109375" style="34" customWidth="1"/>
    <col min="7936" max="7938" width="15.7109375" style="34" customWidth="1"/>
    <col min="7939" max="7939" width="17.7109375" style="34" bestFit="1" customWidth="1"/>
    <col min="7940" max="7940" width="18.5703125" style="34" bestFit="1" customWidth="1"/>
    <col min="7941" max="7943" width="15.7109375" style="34" customWidth="1"/>
    <col min="7944" max="7944" width="20" style="34" customWidth="1"/>
    <col min="7945" max="7945" width="18.5703125" style="34" bestFit="1" customWidth="1"/>
    <col min="7946" max="7946" width="13.7109375" style="34" customWidth="1"/>
    <col min="7947" max="7947" width="54.5703125" style="34" bestFit="1" customWidth="1"/>
    <col min="7948" max="8186" width="9.28515625" style="34"/>
    <col min="8187" max="8187" width="2.7109375" style="34" customWidth="1"/>
    <col min="8188" max="8188" width="5" style="34" customWidth="1"/>
    <col min="8189" max="8189" width="62" style="34" customWidth="1"/>
    <col min="8190" max="8190" width="12.7109375" style="34" bestFit="1" customWidth="1"/>
    <col min="8191" max="8191" width="1.7109375" style="34" customWidth="1"/>
    <col min="8192" max="8194" width="15.7109375" style="34" customWidth="1"/>
    <col min="8195" max="8195" width="17.7109375" style="34" bestFit="1" customWidth="1"/>
    <col min="8196" max="8196" width="18.5703125" style="34" bestFit="1" customWidth="1"/>
    <col min="8197" max="8199" width="15.7109375" style="34" customWidth="1"/>
    <col min="8200" max="8200" width="20" style="34" customWidth="1"/>
    <col min="8201" max="8201" width="18.5703125" style="34" bestFit="1" customWidth="1"/>
    <col min="8202" max="8202" width="13.7109375" style="34" customWidth="1"/>
    <col min="8203" max="8203" width="54.5703125" style="34" bestFit="1" customWidth="1"/>
    <col min="8204" max="8442" width="9.28515625" style="34"/>
    <col min="8443" max="8443" width="2.7109375" style="34" customWidth="1"/>
    <col min="8444" max="8444" width="5" style="34" customWidth="1"/>
    <col min="8445" max="8445" width="62" style="34" customWidth="1"/>
    <col min="8446" max="8446" width="12.7109375" style="34" bestFit="1" customWidth="1"/>
    <col min="8447" max="8447" width="1.7109375" style="34" customWidth="1"/>
    <col min="8448" max="8450" width="15.7109375" style="34" customWidth="1"/>
    <col min="8451" max="8451" width="17.7109375" style="34" bestFit="1" customWidth="1"/>
    <col min="8452" max="8452" width="18.5703125" style="34" bestFit="1" customWidth="1"/>
    <col min="8453" max="8455" width="15.7109375" style="34" customWidth="1"/>
    <col min="8456" max="8456" width="20" style="34" customWidth="1"/>
    <col min="8457" max="8457" width="18.5703125" style="34" bestFit="1" customWidth="1"/>
    <col min="8458" max="8458" width="13.7109375" style="34" customWidth="1"/>
    <col min="8459" max="8459" width="54.5703125" style="34" bestFit="1" customWidth="1"/>
    <col min="8460" max="8698" width="9.28515625" style="34"/>
    <col min="8699" max="8699" width="2.7109375" style="34" customWidth="1"/>
    <col min="8700" max="8700" width="5" style="34" customWidth="1"/>
    <col min="8701" max="8701" width="62" style="34" customWidth="1"/>
    <col min="8702" max="8702" width="12.7109375" style="34" bestFit="1" customWidth="1"/>
    <col min="8703" max="8703" width="1.7109375" style="34" customWidth="1"/>
    <col min="8704" max="8706" width="15.7109375" style="34" customWidth="1"/>
    <col min="8707" max="8707" width="17.7109375" style="34" bestFit="1" customWidth="1"/>
    <col min="8708" max="8708" width="18.5703125" style="34" bestFit="1" customWidth="1"/>
    <col min="8709" max="8711" width="15.7109375" style="34" customWidth="1"/>
    <col min="8712" max="8712" width="20" style="34" customWidth="1"/>
    <col min="8713" max="8713" width="18.5703125" style="34" bestFit="1" customWidth="1"/>
    <col min="8714" max="8714" width="13.7109375" style="34" customWidth="1"/>
    <col min="8715" max="8715" width="54.5703125" style="34" bestFit="1" customWidth="1"/>
    <col min="8716" max="8954" width="9.28515625" style="34"/>
    <col min="8955" max="8955" width="2.7109375" style="34" customWidth="1"/>
    <col min="8956" max="8956" width="5" style="34" customWidth="1"/>
    <col min="8957" max="8957" width="62" style="34" customWidth="1"/>
    <col min="8958" max="8958" width="12.7109375" style="34" bestFit="1" customWidth="1"/>
    <col min="8959" max="8959" width="1.7109375" style="34" customWidth="1"/>
    <col min="8960" max="8962" width="15.7109375" style="34" customWidth="1"/>
    <col min="8963" max="8963" width="17.7109375" style="34" bestFit="1" customWidth="1"/>
    <col min="8964" max="8964" width="18.5703125" style="34" bestFit="1" customWidth="1"/>
    <col min="8965" max="8967" width="15.7109375" style="34" customWidth="1"/>
    <col min="8968" max="8968" width="20" style="34" customWidth="1"/>
    <col min="8969" max="8969" width="18.5703125" style="34" bestFit="1" customWidth="1"/>
    <col min="8970" max="8970" width="13.7109375" style="34" customWidth="1"/>
    <col min="8971" max="8971" width="54.5703125" style="34" bestFit="1" customWidth="1"/>
    <col min="8972" max="9210" width="9.28515625" style="34"/>
    <col min="9211" max="9211" width="2.7109375" style="34" customWidth="1"/>
    <col min="9212" max="9212" width="5" style="34" customWidth="1"/>
    <col min="9213" max="9213" width="62" style="34" customWidth="1"/>
    <col min="9214" max="9214" width="12.7109375" style="34" bestFit="1" customWidth="1"/>
    <col min="9215" max="9215" width="1.7109375" style="34" customWidth="1"/>
    <col min="9216" max="9218" width="15.7109375" style="34" customWidth="1"/>
    <col min="9219" max="9219" width="17.7109375" style="34" bestFit="1" customWidth="1"/>
    <col min="9220" max="9220" width="18.5703125" style="34" bestFit="1" customWidth="1"/>
    <col min="9221" max="9223" width="15.7109375" style="34" customWidth="1"/>
    <col min="9224" max="9224" width="20" style="34" customWidth="1"/>
    <col min="9225" max="9225" width="18.5703125" style="34" bestFit="1" customWidth="1"/>
    <col min="9226" max="9226" width="13.7109375" style="34" customWidth="1"/>
    <col min="9227" max="9227" width="54.5703125" style="34" bestFit="1" customWidth="1"/>
    <col min="9228" max="9466" width="9.28515625" style="34"/>
    <col min="9467" max="9467" width="2.7109375" style="34" customWidth="1"/>
    <col min="9468" max="9468" width="5" style="34" customWidth="1"/>
    <col min="9469" max="9469" width="62" style="34" customWidth="1"/>
    <col min="9470" max="9470" width="12.7109375" style="34" bestFit="1" customWidth="1"/>
    <col min="9471" max="9471" width="1.7109375" style="34" customWidth="1"/>
    <col min="9472" max="9474" width="15.7109375" style="34" customWidth="1"/>
    <col min="9475" max="9475" width="17.7109375" style="34" bestFit="1" customWidth="1"/>
    <col min="9476" max="9476" width="18.5703125" style="34" bestFit="1" customWidth="1"/>
    <col min="9477" max="9479" width="15.7109375" style="34" customWidth="1"/>
    <col min="9480" max="9480" width="20" style="34" customWidth="1"/>
    <col min="9481" max="9481" width="18.5703125" style="34" bestFit="1" customWidth="1"/>
    <col min="9482" max="9482" width="13.7109375" style="34" customWidth="1"/>
    <col min="9483" max="9483" width="54.5703125" style="34" bestFit="1" customWidth="1"/>
    <col min="9484" max="9722" width="9.28515625" style="34"/>
    <col min="9723" max="9723" width="2.7109375" style="34" customWidth="1"/>
    <col min="9724" max="9724" width="5" style="34" customWidth="1"/>
    <col min="9725" max="9725" width="62" style="34" customWidth="1"/>
    <col min="9726" max="9726" width="12.7109375" style="34" bestFit="1" customWidth="1"/>
    <col min="9727" max="9727" width="1.7109375" style="34" customWidth="1"/>
    <col min="9728" max="9730" width="15.7109375" style="34" customWidth="1"/>
    <col min="9731" max="9731" width="17.7109375" style="34" bestFit="1" customWidth="1"/>
    <col min="9732" max="9732" width="18.5703125" style="34" bestFit="1" customWidth="1"/>
    <col min="9733" max="9735" width="15.7109375" style="34" customWidth="1"/>
    <col min="9736" max="9736" width="20" style="34" customWidth="1"/>
    <col min="9737" max="9737" width="18.5703125" style="34" bestFit="1" customWidth="1"/>
    <col min="9738" max="9738" width="13.7109375" style="34" customWidth="1"/>
    <col min="9739" max="9739" width="54.5703125" style="34" bestFit="1" customWidth="1"/>
    <col min="9740" max="9978" width="9.28515625" style="34"/>
    <col min="9979" max="9979" width="2.7109375" style="34" customWidth="1"/>
    <col min="9980" max="9980" width="5" style="34" customWidth="1"/>
    <col min="9981" max="9981" width="62" style="34" customWidth="1"/>
    <col min="9982" max="9982" width="12.7109375" style="34" bestFit="1" customWidth="1"/>
    <col min="9983" max="9983" width="1.7109375" style="34" customWidth="1"/>
    <col min="9984" max="9986" width="15.7109375" style="34" customWidth="1"/>
    <col min="9987" max="9987" width="17.7109375" style="34" bestFit="1" customWidth="1"/>
    <col min="9988" max="9988" width="18.5703125" style="34" bestFit="1" customWidth="1"/>
    <col min="9989" max="9991" width="15.7109375" style="34" customWidth="1"/>
    <col min="9992" max="9992" width="20" style="34" customWidth="1"/>
    <col min="9993" max="9993" width="18.5703125" style="34" bestFit="1" customWidth="1"/>
    <col min="9994" max="9994" width="13.7109375" style="34" customWidth="1"/>
    <col min="9995" max="9995" width="54.5703125" style="34" bestFit="1" customWidth="1"/>
    <col min="9996" max="10234" width="9.28515625" style="34"/>
    <col min="10235" max="10235" width="2.7109375" style="34" customWidth="1"/>
    <col min="10236" max="10236" width="5" style="34" customWidth="1"/>
    <col min="10237" max="10237" width="62" style="34" customWidth="1"/>
    <col min="10238" max="10238" width="12.7109375" style="34" bestFit="1" customWidth="1"/>
    <col min="10239" max="10239" width="1.7109375" style="34" customWidth="1"/>
    <col min="10240" max="10242" width="15.7109375" style="34" customWidth="1"/>
    <col min="10243" max="10243" width="17.7109375" style="34" bestFit="1" customWidth="1"/>
    <col min="10244" max="10244" width="18.5703125" style="34" bestFit="1" customWidth="1"/>
    <col min="10245" max="10247" width="15.7109375" style="34" customWidth="1"/>
    <col min="10248" max="10248" width="20" style="34" customWidth="1"/>
    <col min="10249" max="10249" width="18.5703125" style="34" bestFit="1" customWidth="1"/>
    <col min="10250" max="10250" width="13.7109375" style="34" customWidth="1"/>
    <col min="10251" max="10251" width="54.5703125" style="34" bestFit="1" customWidth="1"/>
    <col min="10252" max="10490" width="9.28515625" style="34"/>
    <col min="10491" max="10491" width="2.7109375" style="34" customWidth="1"/>
    <col min="10492" max="10492" width="5" style="34" customWidth="1"/>
    <col min="10493" max="10493" width="62" style="34" customWidth="1"/>
    <col min="10494" max="10494" width="12.7109375" style="34" bestFit="1" customWidth="1"/>
    <col min="10495" max="10495" width="1.7109375" style="34" customWidth="1"/>
    <col min="10496" max="10498" width="15.7109375" style="34" customWidth="1"/>
    <col min="10499" max="10499" width="17.7109375" style="34" bestFit="1" customWidth="1"/>
    <col min="10500" max="10500" width="18.5703125" style="34" bestFit="1" customWidth="1"/>
    <col min="10501" max="10503" width="15.7109375" style="34" customWidth="1"/>
    <col min="10504" max="10504" width="20" style="34" customWidth="1"/>
    <col min="10505" max="10505" width="18.5703125" style="34" bestFit="1" customWidth="1"/>
    <col min="10506" max="10506" width="13.7109375" style="34" customWidth="1"/>
    <col min="10507" max="10507" width="54.5703125" style="34" bestFit="1" customWidth="1"/>
    <col min="10508" max="10746" width="9.28515625" style="34"/>
    <col min="10747" max="10747" width="2.7109375" style="34" customWidth="1"/>
    <col min="10748" max="10748" width="5" style="34" customWidth="1"/>
    <col min="10749" max="10749" width="62" style="34" customWidth="1"/>
    <col min="10750" max="10750" width="12.7109375" style="34" bestFit="1" customWidth="1"/>
    <col min="10751" max="10751" width="1.7109375" style="34" customWidth="1"/>
    <col min="10752" max="10754" width="15.7109375" style="34" customWidth="1"/>
    <col min="10755" max="10755" width="17.7109375" style="34" bestFit="1" customWidth="1"/>
    <col min="10756" max="10756" width="18.5703125" style="34" bestFit="1" customWidth="1"/>
    <col min="10757" max="10759" width="15.7109375" style="34" customWidth="1"/>
    <col min="10760" max="10760" width="20" style="34" customWidth="1"/>
    <col min="10761" max="10761" width="18.5703125" style="34" bestFit="1" customWidth="1"/>
    <col min="10762" max="10762" width="13.7109375" style="34" customWidth="1"/>
    <col min="10763" max="10763" width="54.5703125" style="34" bestFit="1" customWidth="1"/>
    <col min="10764" max="11002" width="9.28515625" style="34"/>
    <col min="11003" max="11003" width="2.7109375" style="34" customWidth="1"/>
    <col min="11004" max="11004" width="5" style="34" customWidth="1"/>
    <col min="11005" max="11005" width="62" style="34" customWidth="1"/>
    <col min="11006" max="11006" width="12.7109375" style="34" bestFit="1" customWidth="1"/>
    <col min="11007" max="11007" width="1.7109375" style="34" customWidth="1"/>
    <col min="11008" max="11010" width="15.7109375" style="34" customWidth="1"/>
    <col min="11011" max="11011" width="17.7109375" style="34" bestFit="1" customWidth="1"/>
    <col min="11012" max="11012" width="18.5703125" style="34" bestFit="1" customWidth="1"/>
    <col min="11013" max="11015" width="15.7109375" style="34" customWidth="1"/>
    <col min="11016" max="11016" width="20" style="34" customWidth="1"/>
    <col min="11017" max="11017" width="18.5703125" style="34" bestFit="1" customWidth="1"/>
    <col min="11018" max="11018" width="13.7109375" style="34" customWidth="1"/>
    <col min="11019" max="11019" width="54.5703125" style="34" bestFit="1" customWidth="1"/>
    <col min="11020" max="11258" width="9.28515625" style="34"/>
    <col min="11259" max="11259" width="2.7109375" style="34" customWidth="1"/>
    <col min="11260" max="11260" width="5" style="34" customWidth="1"/>
    <col min="11261" max="11261" width="62" style="34" customWidth="1"/>
    <col min="11262" max="11262" width="12.7109375" style="34" bestFit="1" customWidth="1"/>
    <col min="11263" max="11263" width="1.7109375" style="34" customWidth="1"/>
    <col min="11264" max="11266" width="15.7109375" style="34" customWidth="1"/>
    <col min="11267" max="11267" width="17.7109375" style="34" bestFit="1" customWidth="1"/>
    <col min="11268" max="11268" width="18.5703125" style="34" bestFit="1" customWidth="1"/>
    <col min="11269" max="11271" width="15.7109375" style="34" customWidth="1"/>
    <col min="11272" max="11272" width="20" style="34" customWidth="1"/>
    <col min="11273" max="11273" width="18.5703125" style="34" bestFit="1" customWidth="1"/>
    <col min="11274" max="11274" width="13.7109375" style="34" customWidth="1"/>
    <col min="11275" max="11275" width="54.5703125" style="34" bestFit="1" customWidth="1"/>
    <col min="11276" max="11514" width="9.28515625" style="34"/>
    <col min="11515" max="11515" width="2.7109375" style="34" customWidth="1"/>
    <col min="11516" max="11516" width="5" style="34" customWidth="1"/>
    <col min="11517" max="11517" width="62" style="34" customWidth="1"/>
    <col min="11518" max="11518" width="12.7109375" style="34" bestFit="1" customWidth="1"/>
    <col min="11519" max="11519" width="1.7109375" style="34" customWidth="1"/>
    <col min="11520" max="11522" width="15.7109375" style="34" customWidth="1"/>
    <col min="11523" max="11523" width="17.7109375" style="34" bestFit="1" customWidth="1"/>
    <col min="11524" max="11524" width="18.5703125" style="34" bestFit="1" customWidth="1"/>
    <col min="11525" max="11527" width="15.7109375" style="34" customWidth="1"/>
    <col min="11528" max="11528" width="20" style="34" customWidth="1"/>
    <col min="11529" max="11529" width="18.5703125" style="34" bestFit="1" customWidth="1"/>
    <col min="11530" max="11530" width="13.7109375" style="34" customWidth="1"/>
    <col min="11531" max="11531" width="54.5703125" style="34" bestFit="1" customWidth="1"/>
    <col min="11532" max="11770" width="9.28515625" style="34"/>
    <col min="11771" max="11771" width="2.7109375" style="34" customWidth="1"/>
    <col min="11772" max="11772" width="5" style="34" customWidth="1"/>
    <col min="11773" max="11773" width="62" style="34" customWidth="1"/>
    <col min="11774" max="11774" width="12.7109375" style="34" bestFit="1" customWidth="1"/>
    <col min="11775" max="11775" width="1.7109375" style="34" customWidth="1"/>
    <col min="11776" max="11778" width="15.7109375" style="34" customWidth="1"/>
    <col min="11779" max="11779" width="17.7109375" style="34" bestFit="1" customWidth="1"/>
    <col min="11780" max="11780" width="18.5703125" style="34" bestFit="1" customWidth="1"/>
    <col min="11781" max="11783" width="15.7109375" style="34" customWidth="1"/>
    <col min="11784" max="11784" width="20" style="34" customWidth="1"/>
    <col min="11785" max="11785" width="18.5703125" style="34" bestFit="1" customWidth="1"/>
    <col min="11786" max="11786" width="13.7109375" style="34" customWidth="1"/>
    <col min="11787" max="11787" width="54.5703125" style="34" bestFit="1" customWidth="1"/>
    <col min="11788" max="12026" width="9.28515625" style="34"/>
    <col min="12027" max="12027" width="2.7109375" style="34" customWidth="1"/>
    <col min="12028" max="12028" width="5" style="34" customWidth="1"/>
    <col min="12029" max="12029" width="62" style="34" customWidth="1"/>
    <col min="12030" max="12030" width="12.7109375" style="34" bestFit="1" customWidth="1"/>
    <col min="12031" max="12031" width="1.7109375" style="34" customWidth="1"/>
    <col min="12032" max="12034" width="15.7109375" style="34" customWidth="1"/>
    <col min="12035" max="12035" width="17.7109375" style="34" bestFit="1" customWidth="1"/>
    <col min="12036" max="12036" width="18.5703125" style="34" bestFit="1" customWidth="1"/>
    <col min="12037" max="12039" width="15.7109375" style="34" customWidth="1"/>
    <col min="12040" max="12040" width="20" style="34" customWidth="1"/>
    <col min="12041" max="12041" width="18.5703125" style="34" bestFit="1" customWidth="1"/>
    <col min="12042" max="12042" width="13.7109375" style="34" customWidth="1"/>
    <col min="12043" max="12043" width="54.5703125" style="34" bestFit="1" customWidth="1"/>
    <col min="12044" max="12282" width="9.28515625" style="34"/>
    <col min="12283" max="12283" width="2.7109375" style="34" customWidth="1"/>
    <col min="12284" max="12284" width="5" style="34" customWidth="1"/>
    <col min="12285" max="12285" width="62" style="34" customWidth="1"/>
    <col min="12286" max="12286" width="12.7109375" style="34" bestFit="1" customWidth="1"/>
    <col min="12287" max="12287" width="1.7109375" style="34" customWidth="1"/>
    <col min="12288" max="12290" width="15.7109375" style="34" customWidth="1"/>
    <col min="12291" max="12291" width="17.7109375" style="34" bestFit="1" customWidth="1"/>
    <col min="12292" max="12292" width="18.5703125" style="34" bestFit="1" customWidth="1"/>
    <col min="12293" max="12295" width="15.7109375" style="34" customWidth="1"/>
    <col min="12296" max="12296" width="20" style="34" customWidth="1"/>
    <col min="12297" max="12297" width="18.5703125" style="34" bestFit="1" customWidth="1"/>
    <col min="12298" max="12298" width="13.7109375" style="34" customWidth="1"/>
    <col min="12299" max="12299" width="54.5703125" style="34" bestFit="1" customWidth="1"/>
    <col min="12300" max="12538" width="9.28515625" style="34"/>
    <col min="12539" max="12539" width="2.7109375" style="34" customWidth="1"/>
    <col min="12540" max="12540" width="5" style="34" customWidth="1"/>
    <col min="12541" max="12541" width="62" style="34" customWidth="1"/>
    <col min="12542" max="12542" width="12.7109375" style="34" bestFit="1" customWidth="1"/>
    <col min="12543" max="12543" width="1.7109375" style="34" customWidth="1"/>
    <col min="12544" max="12546" width="15.7109375" style="34" customWidth="1"/>
    <col min="12547" max="12547" width="17.7109375" style="34" bestFit="1" customWidth="1"/>
    <col min="12548" max="12548" width="18.5703125" style="34" bestFit="1" customWidth="1"/>
    <col min="12549" max="12551" width="15.7109375" style="34" customWidth="1"/>
    <col min="12552" max="12552" width="20" style="34" customWidth="1"/>
    <col min="12553" max="12553" width="18.5703125" style="34" bestFit="1" customWidth="1"/>
    <col min="12554" max="12554" width="13.7109375" style="34" customWidth="1"/>
    <col min="12555" max="12555" width="54.5703125" style="34" bestFit="1" customWidth="1"/>
    <col min="12556" max="12794" width="9.28515625" style="34"/>
    <col min="12795" max="12795" width="2.7109375" style="34" customWidth="1"/>
    <col min="12796" max="12796" width="5" style="34" customWidth="1"/>
    <col min="12797" max="12797" width="62" style="34" customWidth="1"/>
    <col min="12798" max="12798" width="12.7109375" style="34" bestFit="1" customWidth="1"/>
    <col min="12799" max="12799" width="1.7109375" style="34" customWidth="1"/>
    <col min="12800" max="12802" width="15.7109375" style="34" customWidth="1"/>
    <col min="12803" max="12803" width="17.7109375" style="34" bestFit="1" customWidth="1"/>
    <col min="12804" max="12804" width="18.5703125" style="34" bestFit="1" customWidth="1"/>
    <col min="12805" max="12807" width="15.7109375" style="34" customWidth="1"/>
    <col min="12808" max="12808" width="20" style="34" customWidth="1"/>
    <col min="12809" max="12809" width="18.5703125" style="34" bestFit="1" customWidth="1"/>
    <col min="12810" max="12810" width="13.7109375" style="34" customWidth="1"/>
    <col min="12811" max="12811" width="54.5703125" style="34" bestFit="1" customWidth="1"/>
    <col min="12812" max="13050" width="9.28515625" style="34"/>
    <col min="13051" max="13051" width="2.7109375" style="34" customWidth="1"/>
    <col min="13052" max="13052" width="5" style="34" customWidth="1"/>
    <col min="13053" max="13053" width="62" style="34" customWidth="1"/>
    <col min="13054" max="13054" width="12.7109375" style="34" bestFit="1" customWidth="1"/>
    <col min="13055" max="13055" width="1.7109375" style="34" customWidth="1"/>
    <col min="13056" max="13058" width="15.7109375" style="34" customWidth="1"/>
    <col min="13059" max="13059" width="17.7109375" style="34" bestFit="1" customWidth="1"/>
    <col min="13060" max="13060" width="18.5703125" style="34" bestFit="1" customWidth="1"/>
    <col min="13061" max="13063" width="15.7109375" style="34" customWidth="1"/>
    <col min="13064" max="13064" width="20" style="34" customWidth="1"/>
    <col min="13065" max="13065" width="18.5703125" style="34" bestFit="1" customWidth="1"/>
    <col min="13066" max="13066" width="13.7109375" style="34" customWidth="1"/>
    <col min="13067" max="13067" width="54.5703125" style="34" bestFit="1" customWidth="1"/>
    <col min="13068" max="13306" width="9.28515625" style="34"/>
    <col min="13307" max="13307" width="2.7109375" style="34" customWidth="1"/>
    <col min="13308" max="13308" width="5" style="34" customWidth="1"/>
    <col min="13309" max="13309" width="62" style="34" customWidth="1"/>
    <col min="13310" max="13310" width="12.7109375" style="34" bestFit="1" customWidth="1"/>
    <col min="13311" max="13311" width="1.7109375" style="34" customWidth="1"/>
    <col min="13312" max="13314" width="15.7109375" style="34" customWidth="1"/>
    <col min="13315" max="13315" width="17.7109375" style="34" bestFit="1" customWidth="1"/>
    <col min="13316" max="13316" width="18.5703125" style="34" bestFit="1" customWidth="1"/>
    <col min="13317" max="13319" width="15.7109375" style="34" customWidth="1"/>
    <col min="13320" max="13320" width="20" style="34" customWidth="1"/>
    <col min="13321" max="13321" width="18.5703125" style="34" bestFit="1" customWidth="1"/>
    <col min="13322" max="13322" width="13.7109375" style="34" customWidth="1"/>
    <col min="13323" max="13323" width="54.5703125" style="34" bestFit="1" customWidth="1"/>
    <col min="13324" max="13562" width="9.28515625" style="34"/>
    <col min="13563" max="13563" width="2.7109375" style="34" customWidth="1"/>
    <col min="13564" max="13564" width="5" style="34" customWidth="1"/>
    <col min="13565" max="13565" width="62" style="34" customWidth="1"/>
    <col min="13566" max="13566" width="12.7109375" style="34" bestFit="1" customWidth="1"/>
    <col min="13567" max="13567" width="1.7109375" style="34" customWidth="1"/>
    <col min="13568" max="13570" width="15.7109375" style="34" customWidth="1"/>
    <col min="13571" max="13571" width="17.7109375" style="34" bestFit="1" customWidth="1"/>
    <col min="13572" max="13572" width="18.5703125" style="34" bestFit="1" customWidth="1"/>
    <col min="13573" max="13575" width="15.7109375" style="34" customWidth="1"/>
    <col min="13576" max="13576" width="20" style="34" customWidth="1"/>
    <col min="13577" max="13577" width="18.5703125" style="34" bestFit="1" customWidth="1"/>
    <col min="13578" max="13578" width="13.7109375" style="34" customWidth="1"/>
    <col min="13579" max="13579" width="54.5703125" style="34" bestFit="1" customWidth="1"/>
    <col min="13580" max="13818" width="9.28515625" style="34"/>
    <col min="13819" max="13819" width="2.7109375" style="34" customWidth="1"/>
    <col min="13820" max="13820" width="5" style="34" customWidth="1"/>
    <col min="13821" max="13821" width="62" style="34" customWidth="1"/>
    <col min="13822" max="13822" width="12.7109375" style="34" bestFit="1" customWidth="1"/>
    <col min="13823" max="13823" width="1.7109375" style="34" customWidth="1"/>
    <col min="13824" max="13826" width="15.7109375" style="34" customWidth="1"/>
    <col min="13827" max="13827" width="17.7109375" style="34" bestFit="1" customWidth="1"/>
    <col min="13828" max="13828" width="18.5703125" style="34" bestFit="1" customWidth="1"/>
    <col min="13829" max="13831" width="15.7109375" style="34" customWidth="1"/>
    <col min="13832" max="13832" width="20" style="34" customWidth="1"/>
    <col min="13833" max="13833" width="18.5703125" style="34" bestFit="1" customWidth="1"/>
    <col min="13834" max="13834" width="13.7109375" style="34" customWidth="1"/>
    <col min="13835" max="13835" width="54.5703125" style="34" bestFit="1" customWidth="1"/>
    <col min="13836" max="14074" width="9.28515625" style="34"/>
    <col min="14075" max="14075" width="2.7109375" style="34" customWidth="1"/>
    <col min="14076" max="14076" width="5" style="34" customWidth="1"/>
    <col min="14077" max="14077" width="62" style="34" customWidth="1"/>
    <col min="14078" max="14078" width="12.7109375" style="34" bestFit="1" customWidth="1"/>
    <col min="14079" max="14079" width="1.7109375" style="34" customWidth="1"/>
    <col min="14080" max="14082" width="15.7109375" style="34" customWidth="1"/>
    <col min="14083" max="14083" width="17.7109375" style="34" bestFit="1" customWidth="1"/>
    <col min="14084" max="14084" width="18.5703125" style="34" bestFit="1" customWidth="1"/>
    <col min="14085" max="14087" width="15.7109375" style="34" customWidth="1"/>
    <col min="14088" max="14088" width="20" style="34" customWidth="1"/>
    <col min="14089" max="14089" width="18.5703125" style="34" bestFit="1" customWidth="1"/>
    <col min="14090" max="14090" width="13.7109375" style="34" customWidth="1"/>
    <col min="14091" max="14091" width="54.5703125" style="34" bestFit="1" customWidth="1"/>
    <col min="14092" max="14330" width="9.28515625" style="34"/>
    <col min="14331" max="14331" width="2.7109375" style="34" customWidth="1"/>
    <col min="14332" max="14332" width="5" style="34" customWidth="1"/>
    <col min="14333" max="14333" width="62" style="34" customWidth="1"/>
    <col min="14334" max="14334" width="12.7109375" style="34" bestFit="1" customWidth="1"/>
    <col min="14335" max="14335" width="1.7109375" style="34" customWidth="1"/>
    <col min="14336" max="14338" width="15.7109375" style="34" customWidth="1"/>
    <col min="14339" max="14339" width="17.7109375" style="34" bestFit="1" customWidth="1"/>
    <col min="14340" max="14340" width="18.5703125" style="34" bestFit="1" customWidth="1"/>
    <col min="14341" max="14343" width="15.7109375" style="34" customWidth="1"/>
    <col min="14344" max="14344" width="20" style="34" customWidth="1"/>
    <col min="14345" max="14345" width="18.5703125" style="34" bestFit="1" customWidth="1"/>
    <col min="14346" max="14346" width="13.7109375" style="34" customWidth="1"/>
    <col min="14347" max="14347" width="54.5703125" style="34" bestFit="1" customWidth="1"/>
    <col min="14348" max="14586" width="9.28515625" style="34"/>
    <col min="14587" max="14587" width="2.7109375" style="34" customWidth="1"/>
    <col min="14588" max="14588" width="5" style="34" customWidth="1"/>
    <col min="14589" max="14589" width="62" style="34" customWidth="1"/>
    <col min="14590" max="14590" width="12.7109375" style="34" bestFit="1" customWidth="1"/>
    <col min="14591" max="14591" width="1.7109375" style="34" customWidth="1"/>
    <col min="14592" max="14594" width="15.7109375" style="34" customWidth="1"/>
    <col min="14595" max="14595" width="17.7109375" style="34" bestFit="1" customWidth="1"/>
    <col min="14596" max="14596" width="18.5703125" style="34" bestFit="1" customWidth="1"/>
    <col min="14597" max="14599" width="15.7109375" style="34" customWidth="1"/>
    <col min="14600" max="14600" width="20" style="34" customWidth="1"/>
    <col min="14601" max="14601" width="18.5703125" style="34" bestFit="1" customWidth="1"/>
    <col min="14602" max="14602" width="13.7109375" style="34" customWidth="1"/>
    <col min="14603" max="14603" width="54.5703125" style="34" bestFit="1" customWidth="1"/>
    <col min="14604" max="14842" width="9.28515625" style="34"/>
    <col min="14843" max="14843" width="2.7109375" style="34" customWidth="1"/>
    <col min="14844" max="14844" width="5" style="34" customWidth="1"/>
    <col min="14845" max="14845" width="62" style="34" customWidth="1"/>
    <col min="14846" max="14846" width="12.7109375" style="34" bestFit="1" customWidth="1"/>
    <col min="14847" max="14847" width="1.7109375" style="34" customWidth="1"/>
    <col min="14848" max="14850" width="15.7109375" style="34" customWidth="1"/>
    <col min="14851" max="14851" width="17.7109375" style="34" bestFit="1" customWidth="1"/>
    <col min="14852" max="14852" width="18.5703125" style="34" bestFit="1" customWidth="1"/>
    <col min="14853" max="14855" width="15.7109375" style="34" customWidth="1"/>
    <col min="14856" max="14856" width="20" style="34" customWidth="1"/>
    <col min="14857" max="14857" width="18.5703125" style="34" bestFit="1" customWidth="1"/>
    <col min="14858" max="14858" width="13.7109375" style="34" customWidth="1"/>
    <col min="14859" max="14859" width="54.5703125" style="34" bestFit="1" customWidth="1"/>
    <col min="14860" max="15098" width="9.28515625" style="34"/>
    <col min="15099" max="15099" width="2.7109375" style="34" customWidth="1"/>
    <col min="15100" max="15100" width="5" style="34" customWidth="1"/>
    <col min="15101" max="15101" width="62" style="34" customWidth="1"/>
    <col min="15102" max="15102" width="12.7109375" style="34" bestFit="1" customWidth="1"/>
    <col min="15103" max="15103" width="1.7109375" style="34" customWidth="1"/>
    <col min="15104" max="15106" width="15.7109375" style="34" customWidth="1"/>
    <col min="15107" max="15107" width="17.7109375" style="34" bestFit="1" customWidth="1"/>
    <col min="15108" max="15108" width="18.5703125" style="34" bestFit="1" customWidth="1"/>
    <col min="15109" max="15111" width="15.7109375" style="34" customWidth="1"/>
    <col min="15112" max="15112" width="20" style="34" customWidth="1"/>
    <col min="15113" max="15113" width="18.5703125" style="34" bestFit="1" customWidth="1"/>
    <col min="15114" max="15114" width="13.7109375" style="34" customWidth="1"/>
    <col min="15115" max="15115" width="54.5703125" style="34" bestFit="1" customWidth="1"/>
    <col min="15116" max="15354" width="9.28515625" style="34"/>
    <col min="15355" max="15355" width="2.7109375" style="34" customWidth="1"/>
    <col min="15356" max="15356" width="5" style="34" customWidth="1"/>
    <col min="15357" max="15357" width="62" style="34" customWidth="1"/>
    <col min="15358" max="15358" width="12.7109375" style="34" bestFit="1" customWidth="1"/>
    <col min="15359" max="15359" width="1.7109375" style="34" customWidth="1"/>
    <col min="15360" max="15362" width="15.7109375" style="34" customWidth="1"/>
    <col min="15363" max="15363" width="17.7109375" style="34" bestFit="1" customWidth="1"/>
    <col min="15364" max="15364" width="18.5703125" style="34" bestFit="1" customWidth="1"/>
    <col min="15365" max="15367" width="15.7109375" style="34" customWidth="1"/>
    <col min="15368" max="15368" width="20" style="34" customWidth="1"/>
    <col min="15369" max="15369" width="18.5703125" style="34" bestFit="1" customWidth="1"/>
    <col min="15370" max="15370" width="13.7109375" style="34" customWidth="1"/>
    <col min="15371" max="15371" width="54.5703125" style="34" bestFit="1" customWidth="1"/>
    <col min="15372" max="15610" width="9.28515625" style="34"/>
    <col min="15611" max="15611" width="2.7109375" style="34" customWidth="1"/>
    <col min="15612" max="15612" width="5" style="34" customWidth="1"/>
    <col min="15613" max="15613" width="62" style="34" customWidth="1"/>
    <col min="15614" max="15614" width="12.7109375" style="34" bestFit="1" customWidth="1"/>
    <col min="15615" max="15615" width="1.7109375" style="34" customWidth="1"/>
    <col min="15616" max="15618" width="15.7109375" style="34" customWidth="1"/>
    <col min="15619" max="15619" width="17.7109375" style="34" bestFit="1" customWidth="1"/>
    <col min="15620" max="15620" width="18.5703125" style="34" bestFit="1" customWidth="1"/>
    <col min="15621" max="15623" width="15.7109375" style="34" customWidth="1"/>
    <col min="15624" max="15624" width="20" style="34" customWidth="1"/>
    <col min="15625" max="15625" width="18.5703125" style="34" bestFit="1" customWidth="1"/>
    <col min="15626" max="15626" width="13.7109375" style="34" customWidth="1"/>
    <col min="15627" max="15627" width="54.5703125" style="34" bestFit="1" customWidth="1"/>
    <col min="15628" max="15866" width="9.28515625" style="34"/>
    <col min="15867" max="15867" width="2.7109375" style="34" customWidth="1"/>
    <col min="15868" max="15868" width="5" style="34" customWidth="1"/>
    <col min="15869" max="15869" width="62" style="34" customWidth="1"/>
    <col min="15870" max="15870" width="12.7109375" style="34" bestFit="1" customWidth="1"/>
    <col min="15871" max="15871" width="1.7109375" style="34" customWidth="1"/>
    <col min="15872" max="15874" width="15.7109375" style="34" customWidth="1"/>
    <col min="15875" max="15875" width="17.7109375" style="34" bestFit="1" customWidth="1"/>
    <col min="15876" max="15876" width="18.5703125" style="34" bestFit="1" customWidth="1"/>
    <col min="15877" max="15879" width="15.7109375" style="34" customWidth="1"/>
    <col min="15880" max="15880" width="20" style="34" customWidth="1"/>
    <col min="15881" max="15881" width="18.5703125" style="34" bestFit="1" customWidth="1"/>
    <col min="15882" max="15882" width="13.7109375" style="34" customWidth="1"/>
    <col min="15883" max="15883" width="54.5703125" style="34" bestFit="1" customWidth="1"/>
    <col min="15884" max="16122" width="9.28515625" style="34"/>
    <col min="16123" max="16123" width="2.7109375" style="34" customWidth="1"/>
    <col min="16124" max="16124" width="5" style="34" customWidth="1"/>
    <col min="16125" max="16125" width="62" style="34" customWidth="1"/>
    <col min="16126" max="16126" width="12.7109375" style="34" bestFit="1" customWidth="1"/>
    <col min="16127" max="16127" width="1.7109375" style="34" customWidth="1"/>
    <col min="16128" max="16130" width="15.7109375" style="34" customWidth="1"/>
    <col min="16131" max="16131" width="17.7109375" style="34" bestFit="1" customWidth="1"/>
    <col min="16132" max="16132" width="18.5703125" style="34" bestFit="1" customWidth="1"/>
    <col min="16133" max="16135" width="15.7109375" style="34" customWidth="1"/>
    <col min="16136" max="16136" width="20" style="34" customWidth="1"/>
    <col min="16137" max="16137" width="18.5703125" style="34" bestFit="1" customWidth="1"/>
    <col min="16138" max="16138" width="13.7109375" style="34" customWidth="1"/>
    <col min="16139" max="16139" width="54.5703125" style="34" bestFit="1" customWidth="1"/>
    <col min="16140" max="16384" width="9.28515625" style="34"/>
  </cols>
  <sheetData>
    <row r="1" spans="1:11" ht="26.25" x14ac:dyDescent="0.4">
      <c r="A1" s="1525" t="s">
        <v>1486</v>
      </c>
      <c r="E1" s="79"/>
      <c r="F1" s="77" t="s">
        <v>277</v>
      </c>
      <c r="G1" s="40" t="str">
        <f>EBNUMBER</f>
        <v>EB-2018-0056</v>
      </c>
      <c r="H1" s="77"/>
    </row>
    <row r="2" spans="1:11" x14ac:dyDescent="0.2">
      <c r="E2" s="79"/>
      <c r="F2" s="77" t="s">
        <v>278</v>
      </c>
      <c r="G2" s="33"/>
      <c r="H2" s="77"/>
    </row>
    <row r="3" spans="1:11" x14ac:dyDescent="0.2">
      <c r="E3" s="79"/>
      <c r="F3" s="77" t="s">
        <v>279</v>
      </c>
      <c r="G3" s="33"/>
      <c r="H3" s="77"/>
    </row>
    <row r="4" spans="1:11" x14ac:dyDescent="0.2">
      <c r="E4" s="79"/>
      <c r="F4" s="77" t="s">
        <v>280</v>
      </c>
      <c r="G4" s="33"/>
      <c r="H4" s="77"/>
    </row>
    <row r="5" spans="1:11" x14ac:dyDescent="0.2">
      <c r="E5" s="79"/>
      <c r="F5" s="77" t="s">
        <v>281</v>
      </c>
      <c r="G5" s="469"/>
      <c r="H5" s="77"/>
    </row>
    <row r="6" spans="1:11" x14ac:dyDescent="0.2">
      <c r="E6" s="79"/>
      <c r="F6" s="77"/>
      <c r="G6" s="620"/>
      <c r="H6" s="77"/>
    </row>
    <row r="7" spans="1:11" x14ac:dyDescent="0.2">
      <c r="E7" s="79"/>
      <c r="F7" s="77" t="s">
        <v>282</v>
      </c>
      <c r="G7" s="469"/>
      <c r="H7" s="77"/>
    </row>
    <row r="8" spans="1:11" ht="8.25" customHeight="1" x14ac:dyDescent="0.2"/>
    <row r="9" spans="1:11" ht="20.25" customHeight="1" x14ac:dyDescent="0.2">
      <c r="A9" s="1753" t="s">
        <v>835</v>
      </c>
      <c r="B9" s="1753"/>
      <c r="C9" s="1753"/>
      <c r="D9" s="1753"/>
      <c r="E9" s="1753"/>
      <c r="F9" s="1753"/>
      <c r="G9" s="1753"/>
      <c r="H9" s="1753"/>
      <c r="I9" s="778"/>
      <c r="J9" s="778"/>
      <c r="K9" s="778"/>
    </row>
    <row r="10" spans="1:11" ht="19.5" customHeight="1" x14ac:dyDescent="0.2">
      <c r="A10" s="1753" t="s">
        <v>381</v>
      </c>
      <c r="B10" s="1753"/>
      <c r="C10" s="1753"/>
      <c r="D10" s="1753"/>
      <c r="E10" s="1753"/>
      <c r="F10" s="1753"/>
      <c r="G10" s="1753"/>
      <c r="H10" s="1753"/>
      <c r="I10" s="779"/>
      <c r="J10" s="779"/>
      <c r="K10" s="779"/>
    </row>
    <row r="12" spans="1:11" ht="30" customHeight="1" x14ac:dyDescent="0.2">
      <c r="A12" s="1683" t="s">
        <v>843</v>
      </c>
      <c r="B12" s="1683"/>
      <c r="C12" s="1683"/>
      <c r="D12" s="1683"/>
      <c r="E12" s="1683"/>
      <c r="F12" s="1683"/>
      <c r="G12" s="868"/>
      <c r="H12" s="868"/>
      <c r="I12" s="779"/>
      <c r="J12" s="779"/>
      <c r="K12" s="779"/>
    </row>
    <row r="13" spans="1:11" ht="13.5" thickBot="1" x14ac:dyDescent="0.25">
      <c r="B13" s="138"/>
      <c r="C13" s="138"/>
      <c r="D13" s="138"/>
      <c r="E13" s="138"/>
      <c r="F13" s="138"/>
      <c r="G13" s="138"/>
      <c r="H13" s="138"/>
    </row>
    <row r="14" spans="1:11" x14ac:dyDescent="0.2">
      <c r="A14" s="1775" t="s">
        <v>837</v>
      </c>
      <c r="B14" s="432"/>
      <c r="C14" s="432"/>
      <c r="D14" s="432"/>
      <c r="E14" s="432"/>
      <c r="F14" s="432"/>
    </row>
    <row r="15" spans="1:11" ht="12" customHeight="1" x14ac:dyDescent="0.2">
      <c r="A15" s="1776"/>
      <c r="B15" s="139">
        <f>F15-4</f>
        <v>2015</v>
      </c>
      <c r="C15" s="139">
        <f>F15-3</f>
        <v>2016</v>
      </c>
      <c r="D15" s="139">
        <f>F15-2</f>
        <v>2017</v>
      </c>
      <c r="E15" s="139">
        <f>F15-1</f>
        <v>2018</v>
      </c>
      <c r="F15" s="139">
        <f>TestYear</f>
        <v>2019</v>
      </c>
    </row>
    <row r="16" spans="1:11" x14ac:dyDescent="0.2">
      <c r="A16" s="1777"/>
      <c r="B16" s="140" t="s">
        <v>872</v>
      </c>
      <c r="C16" s="140" t="s">
        <v>872</v>
      </c>
      <c r="D16" s="140" t="s">
        <v>872</v>
      </c>
      <c r="E16" s="141" t="s">
        <v>289</v>
      </c>
      <c r="F16" s="141" t="s">
        <v>290</v>
      </c>
    </row>
    <row r="17" spans="1:8" x14ac:dyDescent="0.2">
      <c r="A17" s="781">
        <v>0</v>
      </c>
      <c r="B17" s="1503">
        <v>0</v>
      </c>
      <c r="C17" s="1503">
        <v>0</v>
      </c>
      <c r="D17" s="1503">
        <v>0</v>
      </c>
      <c r="E17" s="1503">
        <v>0</v>
      </c>
      <c r="F17" s="1503">
        <v>0</v>
      </c>
    </row>
    <row r="18" spans="1:8" x14ac:dyDescent="0.2">
      <c r="A18" s="1503">
        <v>0</v>
      </c>
      <c r="B18" s="1503">
        <v>0</v>
      </c>
      <c r="C18" s="1503">
        <v>0</v>
      </c>
      <c r="D18" s="1503">
        <v>0</v>
      </c>
      <c r="E18" s="1503">
        <v>0</v>
      </c>
      <c r="F18" s="1503">
        <v>0</v>
      </c>
    </row>
    <row r="19" spans="1:8" x14ac:dyDescent="0.2">
      <c r="A19" s="1503">
        <v>0</v>
      </c>
      <c r="B19" s="1503">
        <v>0</v>
      </c>
      <c r="C19" s="1503">
        <v>0</v>
      </c>
      <c r="D19" s="1503">
        <v>0</v>
      </c>
      <c r="E19" s="1503">
        <v>0</v>
      </c>
      <c r="F19" s="1503">
        <v>0</v>
      </c>
    </row>
    <row r="20" spans="1:8" ht="25.15" customHeight="1" x14ac:dyDescent="0.2">
      <c r="A20" s="1503">
        <v>0</v>
      </c>
      <c r="B20" s="1503">
        <v>0</v>
      </c>
      <c r="C20" s="1503">
        <v>0</v>
      </c>
      <c r="D20" s="1503">
        <v>0</v>
      </c>
      <c r="E20" s="1503">
        <v>0</v>
      </c>
      <c r="F20" s="1503">
        <v>0</v>
      </c>
    </row>
    <row r="21" spans="1:8" ht="25.15" customHeight="1" x14ac:dyDescent="0.2">
      <c r="A21" s="1503">
        <v>0</v>
      </c>
      <c r="B21" s="1503">
        <v>0</v>
      </c>
      <c r="C21" s="1503">
        <v>0</v>
      </c>
      <c r="D21" s="1503">
        <v>0</v>
      </c>
      <c r="E21" s="1503">
        <v>0</v>
      </c>
      <c r="F21" s="1503">
        <v>0</v>
      </c>
    </row>
    <row r="22" spans="1:8" x14ac:dyDescent="0.2">
      <c r="A22" s="1503">
        <v>0</v>
      </c>
      <c r="B22" s="1503">
        <v>0</v>
      </c>
      <c r="C22" s="1503">
        <v>0</v>
      </c>
      <c r="D22" s="1503">
        <v>0</v>
      </c>
      <c r="E22" s="1503">
        <v>0</v>
      </c>
      <c r="F22" s="1503">
        <v>0</v>
      </c>
    </row>
    <row r="23" spans="1:8" ht="13.5" customHeight="1" x14ac:dyDescent="0.2">
      <c r="A23" s="1503">
        <v>0</v>
      </c>
      <c r="B23" s="1503">
        <v>0</v>
      </c>
      <c r="C23" s="1503">
        <v>0</v>
      </c>
      <c r="D23" s="1503">
        <v>0</v>
      </c>
      <c r="E23" s="1503">
        <v>0</v>
      </c>
      <c r="F23" s="1503">
        <v>0</v>
      </c>
    </row>
    <row r="24" spans="1:8" ht="13.5" customHeight="1" x14ac:dyDescent="0.2">
      <c r="A24" s="1503">
        <v>0</v>
      </c>
      <c r="B24" s="1503">
        <v>0</v>
      </c>
      <c r="C24" s="1503">
        <v>0</v>
      </c>
      <c r="D24" s="1503">
        <v>0</v>
      </c>
      <c r="E24" s="1503">
        <v>0</v>
      </c>
      <c r="F24" s="1503">
        <v>0</v>
      </c>
    </row>
    <row r="25" spans="1:8" ht="27" customHeight="1" x14ac:dyDescent="0.2">
      <c r="A25" s="1503">
        <v>0</v>
      </c>
      <c r="B25" s="1503">
        <v>0</v>
      </c>
      <c r="C25" s="1503">
        <v>0</v>
      </c>
      <c r="D25" s="1503">
        <v>0</v>
      </c>
      <c r="E25" s="1503">
        <v>0</v>
      </c>
      <c r="F25" s="1503">
        <v>0</v>
      </c>
    </row>
    <row r="26" spans="1:8" ht="13.5" thickBot="1" x14ac:dyDescent="0.25">
      <c r="A26" s="1503">
        <v>0</v>
      </c>
      <c r="B26" s="1503">
        <v>0</v>
      </c>
      <c r="C26" s="1503">
        <v>0</v>
      </c>
      <c r="D26" s="1503">
        <v>0</v>
      </c>
      <c r="E26" s="1503">
        <v>0</v>
      </c>
      <c r="F26" s="1503">
        <v>0</v>
      </c>
    </row>
    <row r="27" spans="1:8" ht="14.25" customHeight="1" thickTop="1" thickBot="1" x14ac:dyDescent="0.25">
      <c r="A27" s="869" t="s">
        <v>841</v>
      </c>
      <c r="B27" s="144">
        <f>SUM(B17:B26)</f>
        <v>0</v>
      </c>
      <c r="C27" s="144">
        <f>SUM(C17:C26)</f>
        <v>0</v>
      </c>
      <c r="D27" s="144">
        <f>SUM(D17:D26)</f>
        <v>0</v>
      </c>
      <c r="E27" s="144">
        <f>SUM(E17:E26)</f>
        <v>0</v>
      </c>
      <c r="F27" s="144">
        <f>SUM(F17:F26)</f>
        <v>0</v>
      </c>
    </row>
    <row r="28" spans="1:8" ht="14.25" customHeight="1" x14ac:dyDescent="0.2">
      <c r="A28" s="870"/>
      <c r="B28" s="871"/>
      <c r="C28" s="871"/>
      <c r="D28" s="871"/>
      <c r="E28" s="871"/>
      <c r="F28" s="871"/>
    </row>
    <row r="29" spans="1:8" s="113" customFormat="1" ht="31.5" customHeight="1" x14ac:dyDescent="0.2">
      <c r="A29" s="1784" t="s">
        <v>844</v>
      </c>
      <c r="B29" s="1784"/>
      <c r="C29" s="1784"/>
      <c r="D29" s="1784"/>
      <c r="E29" s="1784"/>
      <c r="F29" s="1784"/>
      <c r="G29" s="872"/>
      <c r="H29" s="873"/>
    </row>
    <row r="30" spans="1:8" s="113" customFormat="1" ht="14.25" customHeight="1" thickBot="1" x14ac:dyDescent="0.25">
      <c r="A30" s="874"/>
      <c r="B30" s="872"/>
      <c r="C30" s="872"/>
      <c r="D30" s="872"/>
      <c r="E30" s="872"/>
      <c r="F30" s="872"/>
      <c r="G30" s="872"/>
      <c r="H30" s="873"/>
    </row>
    <row r="31" spans="1:8" x14ac:dyDescent="0.2">
      <c r="A31" s="1778" t="s">
        <v>836</v>
      </c>
      <c r="B31" s="780"/>
      <c r="C31" s="145"/>
      <c r="D31" s="875"/>
      <c r="E31" s="145"/>
      <c r="F31" s="875"/>
      <c r="G31" s="145" t="s">
        <v>354</v>
      </c>
      <c r="H31" s="1781" t="s">
        <v>839</v>
      </c>
    </row>
    <row r="32" spans="1:8" x14ac:dyDescent="0.2">
      <c r="A32" s="1779"/>
      <c r="B32" s="139">
        <f>F32-4</f>
        <v>2015</v>
      </c>
      <c r="C32" s="139">
        <f>F32-3</f>
        <v>2016</v>
      </c>
      <c r="D32" s="139">
        <f>F32-2</f>
        <v>2017</v>
      </c>
      <c r="E32" s="139">
        <f>F32-1</f>
        <v>2018</v>
      </c>
      <c r="F32" s="139">
        <f>TestYear</f>
        <v>2019</v>
      </c>
      <c r="G32" s="146" t="s">
        <v>355</v>
      </c>
      <c r="H32" s="1782"/>
    </row>
    <row r="33" spans="1:8" x14ac:dyDescent="0.2">
      <c r="A33" s="1780"/>
      <c r="B33" s="140" t="s">
        <v>872</v>
      </c>
      <c r="C33" s="140" t="s">
        <v>872</v>
      </c>
      <c r="D33" s="140" t="s">
        <v>872</v>
      </c>
      <c r="E33" s="147" t="s">
        <v>289</v>
      </c>
      <c r="F33" s="148" t="s">
        <v>290</v>
      </c>
      <c r="G33" s="876" t="s">
        <v>1080</v>
      </c>
      <c r="H33" s="1783"/>
    </row>
    <row r="34" spans="1:8" x14ac:dyDescent="0.2">
      <c r="A34" s="877" t="s">
        <v>356</v>
      </c>
      <c r="B34" s="149">
        <v>0</v>
      </c>
      <c r="C34" s="149">
        <v>0</v>
      </c>
      <c r="D34" s="149">
        <v>0</v>
      </c>
      <c r="E34" s="149">
        <v>0</v>
      </c>
      <c r="F34" s="149">
        <v>0</v>
      </c>
      <c r="G34" s="150"/>
      <c r="H34" s="151">
        <v>0</v>
      </c>
    </row>
    <row r="35" spans="1:8" x14ac:dyDescent="0.2">
      <c r="A35" s="878" t="s">
        <v>357</v>
      </c>
      <c r="B35" s="149">
        <v>0</v>
      </c>
      <c r="C35" s="149">
        <v>0</v>
      </c>
      <c r="D35" s="149">
        <v>0</v>
      </c>
      <c r="E35" s="149">
        <v>0</v>
      </c>
      <c r="F35" s="149">
        <v>0</v>
      </c>
      <c r="G35" s="150"/>
      <c r="H35" s="151">
        <v>0</v>
      </c>
    </row>
    <row r="36" spans="1:8" x14ac:dyDescent="0.2">
      <c r="A36" s="877" t="s">
        <v>358</v>
      </c>
      <c r="B36" s="149">
        <v>0</v>
      </c>
      <c r="C36" s="149">
        <v>0</v>
      </c>
      <c r="D36" s="149">
        <v>0</v>
      </c>
      <c r="E36" s="149">
        <v>0</v>
      </c>
      <c r="F36" s="149">
        <v>0</v>
      </c>
      <c r="G36" s="150"/>
      <c r="H36" s="151">
        <v>0</v>
      </c>
    </row>
    <row r="37" spans="1:8" x14ac:dyDescent="0.2">
      <c r="A37" s="879" t="s">
        <v>359</v>
      </c>
      <c r="B37" s="149">
        <v>0</v>
      </c>
      <c r="C37" s="149">
        <v>0</v>
      </c>
      <c r="D37" s="149">
        <v>0</v>
      </c>
      <c r="E37" s="149">
        <v>0</v>
      </c>
      <c r="F37" s="149">
        <v>0</v>
      </c>
      <c r="G37" s="150"/>
      <c r="H37" s="151">
        <v>0</v>
      </c>
    </row>
    <row r="38" spans="1:8" x14ac:dyDescent="0.2">
      <c r="A38" s="878" t="s">
        <v>360</v>
      </c>
      <c r="B38" s="149">
        <v>0</v>
      </c>
      <c r="C38" s="149">
        <v>0</v>
      </c>
      <c r="D38" s="149">
        <v>0</v>
      </c>
      <c r="E38" s="149">
        <v>0</v>
      </c>
      <c r="F38" s="149">
        <v>0</v>
      </c>
      <c r="G38" s="150"/>
      <c r="H38" s="151">
        <v>0</v>
      </c>
    </row>
    <row r="39" spans="1:8" x14ac:dyDescent="0.2">
      <c r="A39" s="878"/>
      <c r="B39" s="149">
        <v>0</v>
      </c>
      <c r="C39" s="149">
        <v>0</v>
      </c>
      <c r="D39" s="149">
        <v>0</v>
      </c>
      <c r="E39" s="149">
        <v>0</v>
      </c>
      <c r="F39" s="149">
        <v>0</v>
      </c>
      <c r="G39" s="150"/>
      <c r="H39" s="151">
        <v>0</v>
      </c>
    </row>
    <row r="40" spans="1:8" x14ac:dyDescent="0.2">
      <c r="A40" s="877" t="s">
        <v>361</v>
      </c>
      <c r="B40" s="149">
        <v>0</v>
      </c>
      <c r="C40" s="149">
        <v>0</v>
      </c>
      <c r="D40" s="149">
        <v>0</v>
      </c>
      <c r="E40" s="149">
        <v>0</v>
      </c>
      <c r="F40" s="149">
        <v>0</v>
      </c>
      <c r="G40" s="150"/>
      <c r="H40" s="151">
        <v>0</v>
      </c>
    </row>
    <row r="41" spans="1:8" ht="25.5" x14ac:dyDescent="0.2">
      <c r="A41" s="879" t="s">
        <v>362</v>
      </c>
      <c r="B41" s="149">
        <v>0</v>
      </c>
      <c r="C41" s="149">
        <v>0</v>
      </c>
      <c r="D41" s="149">
        <v>0</v>
      </c>
      <c r="E41" s="149">
        <v>0</v>
      </c>
      <c r="F41" s="149">
        <v>0</v>
      </c>
      <c r="G41" s="150"/>
      <c r="H41" s="151">
        <v>0</v>
      </c>
    </row>
    <row r="42" spans="1:8" ht="25.5" x14ac:dyDescent="0.2">
      <c r="A42" s="879" t="s">
        <v>363</v>
      </c>
      <c r="B42" s="149">
        <v>0</v>
      </c>
      <c r="C42" s="149">
        <v>0</v>
      </c>
      <c r="D42" s="149">
        <v>0</v>
      </c>
      <c r="E42" s="149">
        <v>0</v>
      </c>
      <c r="F42" s="149">
        <v>0</v>
      </c>
      <c r="G42" s="150"/>
      <c r="H42" s="151">
        <v>0</v>
      </c>
    </row>
    <row r="43" spans="1:8" x14ac:dyDescent="0.2">
      <c r="A43" s="878" t="s">
        <v>364</v>
      </c>
      <c r="B43" s="149">
        <v>0</v>
      </c>
      <c r="C43" s="149">
        <v>0</v>
      </c>
      <c r="D43" s="149">
        <v>0</v>
      </c>
      <c r="E43" s="149">
        <v>0</v>
      </c>
      <c r="F43" s="149">
        <v>0</v>
      </c>
      <c r="G43" s="152"/>
      <c r="H43" s="151">
        <v>0</v>
      </c>
    </row>
    <row r="44" spans="1:8" x14ac:dyDescent="0.2">
      <c r="A44" s="880"/>
      <c r="B44" s="149">
        <v>0</v>
      </c>
      <c r="C44" s="149">
        <v>0</v>
      </c>
      <c r="D44" s="149">
        <v>0</v>
      </c>
      <c r="E44" s="149">
        <v>0</v>
      </c>
      <c r="F44" s="149">
        <v>0</v>
      </c>
      <c r="G44" s="150"/>
      <c r="H44" s="151">
        <v>0</v>
      </c>
    </row>
    <row r="45" spans="1:8" x14ac:dyDescent="0.2">
      <c r="A45" s="153" t="s">
        <v>838</v>
      </c>
      <c r="B45" s="149">
        <v>0</v>
      </c>
      <c r="C45" s="149">
        <v>0</v>
      </c>
      <c r="D45" s="149">
        <v>0</v>
      </c>
      <c r="E45" s="149">
        <v>0</v>
      </c>
      <c r="F45" s="149">
        <v>0</v>
      </c>
      <c r="G45" s="150"/>
      <c r="H45" s="151">
        <v>0</v>
      </c>
    </row>
    <row r="46" spans="1:8" ht="13.5" thickBot="1" x14ac:dyDescent="0.25">
      <c r="A46" s="154"/>
      <c r="B46" s="149">
        <v>0</v>
      </c>
      <c r="C46" s="149">
        <v>0</v>
      </c>
      <c r="D46" s="149">
        <v>0</v>
      </c>
      <c r="E46" s="149">
        <v>0</v>
      </c>
      <c r="F46" s="149">
        <v>0</v>
      </c>
      <c r="G46" s="150"/>
      <c r="H46" s="151">
        <v>0</v>
      </c>
    </row>
    <row r="47" spans="1:8" ht="14.25" thickTop="1" thickBot="1" x14ac:dyDescent="0.25">
      <c r="A47" s="881" t="s">
        <v>840</v>
      </c>
      <c r="B47" s="882">
        <f>SUM(B34:B46)</f>
        <v>0</v>
      </c>
      <c r="C47" s="882">
        <f>SUM(C34:C46)</f>
        <v>0</v>
      </c>
      <c r="D47" s="882">
        <f>SUM(D34:D46)</f>
        <v>0</v>
      </c>
      <c r="E47" s="882">
        <f>SUM(E34:E46)</f>
        <v>0</v>
      </c>
      <c r="F47" s="882">
        <f>SUM(F34:F46)</f>
        <v>0</v>
      </c>
      <c r="G47" s="883"/>
      <c r="H47" s="884"/>
    </row>
    <row r="48" spans="1:8" s="113" customFormat="1" ht="13.5" thickBot="1" x14ac:dyDescent="0.25">
      <c r="A48" s="874"/>
      <c r="B48" s="872"/>
      <c r="C48" s="872"/>
      <c r="D48" s="872"/>
      <c r="E48" s="872"/>
      <c r="F48" s="872"/>
      <c r="G48" s="872"/>
      <c r="H48" s="872"/>
    </row>
    <row r="49" spans="1:9" ht="13.5" thickBot="1" x14ac:dyDescent="0.25">
      <c r="A49" s="885" t="s">
        <v>842</v>
      </c>
      <c r="B49" s="886" t="str">
        <f>IF(ISERROR(B47/B27),"0%",B47/B27)</f>
        <v>0%</v>
      </c>
      <c r="C49" s="886" t="str">
        <f>IF(ISERROR(C47/C27),"0%",C47/C27)</f>
        <v>0%</v>
      </c>
      <c r="D49" s="886" t="str">
        <f>IF(ISERROR(D47/D27),"0%",D47/D27)</f>
        <v>0%</v>
      </c>
      <c r="E49" s="886" t="str">
        <f>IF(ISERROR(E47/E27),"0%",E47/E27)</f>
        <v>0%</v>
      </c>
      <c r="F49" s="886" t="str">
        <f>IF(ISERROR(F47/F27),"0%",F47/F27)</f>
        <v>0%</v>
      </c>
      <c r="G49" s="887"/>
      <c r="H49" s="155"/>
    </row>
    <row r="50" spans="1:9" x14ac:dyDescent="0.2">
      <c r="A50" s="1785"/>
      <c r="B50" s="1786"/>
      <c r="C50" s="775"/>
      <c r="D50" s="775"/>
      <c r="E50" s="771"/>
    </row>
    <row r="51" spans="1:9" x14ac:dyDescent="0.2">
      <c r="A51" s="1785"/>
      <c r="B51" s="1786"/>
      <c r="C51" s="775"/>
      <c r="D51" s="775"/>
      <c r="E51" s="462"/>
    </row>
    <row r="52" spans="1:9" x14ac:dyDescent="0.2">
      <c r="A52" s="76"/>
      <c r="B52" s="38"/>
      <c r="C52" s="38"/>
      <c r="D52" s="38"/>
    </row>
    <row r="53" spans="1:9" x14ac:dyDescent="0.2">
      <c r="A53" s="1785"/>
      <c r="B53" s="772"/>
      <c r="C53" s="772"/>
      <c r="D53" s="772"/>
      <c r="E53" s="121"/>
    </row>
    <row r="54" spans="1:9" x14ac:dyDescent="0.2">
      <c r="A54" s="1785"/>
      <c r="B54" s="116"/>
      <c r="C54" s="116"/>
      <c r="D54" s="116"/>
    </row>
    <row r="55" spans="1:9" x14ac:dyDescent="0.2">
      <c r="A55" s="138"/>
      <c r="B55" s="116"/>
      <c r="C55" s="116"/>
      <c r="D55" s="116"/>
    </row>
    <row r="56" spans="1:9" x14ac:dyDescent="0.2">
      <c r="A56" s="1785"/>
      <c r="B56" s="116"/>
      <c r="C56" s="116"/>
      <c r="D56" s="116"/>
      <c r="E56" s="462"/>
      <c r="F56" s="462"/>
      <c r="G56" s="462"/>
      <c r="H56" s="462"/>
      <c r="I56" s="462"/>
    </row>
    <row r="57" spans="1:9" x14ac:dyDescent="0.2">
      <c r="A57" s="1785"/>
      <c r="B57" s="116"/>
      <c r="C57" s="116"/>
      <c r="D57" s="116"/>
      <c r="E57" s="462"/>
      <c r="F57" s="462"/>
      <c r="G57" s="462"/>
      <c r="H57" s="462"/>
      <c r="I57" s="462"/>
    </row>
    <row r="58" spans="1:9" x14ac:dyDescent="0.2">
      <c r="A58" s="138"/>
      <c r="B58" s="116"/>
      <c r="C58" s="116"/>
      <c r="D58" s="116"/>
      <c r="E58" s="462"/>
      <c r="F58" s="462"/>
      <c r="G58" s="462"/>
      <c r="H58" s="462"/>
      <c r="I58" s="462"/>
    </row>
    <row r="59" spans="1:9" x14ac:dyDescent="0.2">
      <c r="A59" s="1787"/>
      <c r="B59" s="116"/>
      <c r="C59" s="116"/>
      <c r="D59" s="116"/>
      <c r="E59" s="462"/>
      <c r="F59" s="462"/>
      <c r="G59" s="462"/>
      <c r="H59" s="462"/>
      <c r="I59" s="462"/>
    </row>
    <row r="60" spans="1:9" x14ac:dyDescent="0.2">
      <c r="A60" s="1787"/>
      <c r="B60" s="116"/>
      <c r="C60" s="116"/>
      <c r="D60" s="116"/>
      <c r="E60" s="462"/>
      <c r="F60" s="462"/>
      <c r="G60" s="462"/>
      <c r="H60" s="462"/>
      <c r="I60" s="462"/>
    </row>
    <row r="61" spans="1:9" x14ac:dyDescent="0.2">
      <c r="A61" s="1787"/>
      <c r="B61" s="116"/>
      <c r="C61" s="116"/>
      <c r="D61" s="116"/>
      <c r="E61" s="462"/>
      <c r="F61" s="462"/>
      <c r="G61" s="462"/>
      <c r="H61" s="462"/>
      <c r="I61" s="462"/>
    </row>
    <row r="62" spans="1:9" x14ac:dyDescent="0.2">
      <c r="A62" s="1787"/>
      <c r="B62" s="116"/>
      <c r="C62" s="116"/>
      <c r="D62" s="116"/>
      <c r="E62" s="462"/>
      <c r="F62" s="462"/>
      <c r="G62" s="462"/>
      <c r="H62" s="462"/>
      <c r="I62" s="462"/>
    </row>
    <row r="63" spans="1:9" x14ac:dyDescent="0.2">
      <c r="A63" s="138"/>
      <c r="B63" s="116"/>
      <c r="C63" s="116"/>
      <c r="D63" s="116"/>
    </row>
    <row r="64" spans="1:9" x14ac:dyDescent="0.2">
      <c r="A64" s="1785"/>
      <c r="B64" s="116"/>
      <c r="C64" s="116"/>
      <c r="D64" s="116"/>
      <c r="E64" s="462"/>
      <c r="F64" s="462"/>
      <c r="G64" s="462"/>
      <c r="H64" s="462"/>
      <c r="I64" s="462"/>
    </row>
    <row r="65" spans="1:9" x14ac:dyDescent="0.2">
      <c r="A65" s="1785"/>
      <c r="B65" s="116"/>
      <c r="C65" s="116"/>
      <c r="D65" s="116"/>
      <c r="E65" s="462"/>
      <c r="F65" s="462"/>
      <c r="G65" s="462"/>
      <c r="H65" s="462"/>
      <c r="I65" s="462"/>
    </row>
    <row r="66" spans="1:9" x14ac:dyDescent="0.2">
      <c r="B66" s="116"/>
      <c r="C66" s="116"/>
      <c r="D66" s="116"/>
    </row>
    <row r="67" spans="1:9" x14ac:dyDescent="0.2">
      <c r="B67" s="116"/>
      <c r="C67" s="116"/>
      <c r="D67" s="116"/>
    </row>
    <row r="76" spans="1:9" x14ac:dyDescent="0.2">
      <c r="A76" s="116"/>
    </row>
  </sheetData>
  <mergeCells count="13">
    <mergeCell ref="A64:A65"/>
    <mergeCell ref="A50:A51"/>
    <mergeCell ref="B50:B51"/>
    <mergeCell ref="A53:A54"/>
    <mergeCell ref="A56:A57"/>
    <mergeCell ref="A59:A62"/>
    <mergeCell ref="A9:H9"/>
    <mergeCell ref="A10:H10"/>
    <mergeCell ref="A14:A16"/>
    <mergeCell ref="A31:A33"/>
    <mergeCell ref="H31:H33"/>
    <mergeCell ref="A12:F12"/>
    <mergeCell ref="A29:F29"/>
  </mergeCells>
  <dataValidations count="2">
    <dataValidation allowBlank="1" showInputMessage="1" showErrorMessage="1" promptTitle="Date Format" prompt="E.g:  &quot;August 1, 2011&quot;" sqref="WVP983037 JD7 SZ7 ACV7 AMR7 AWN7 BGJ7 BQF7 CAB7 CJX7 CTT7 DDP7 DNL7 DXH7 EHD7 EQZ7 FAV7 FKR7 FUN7 GEJ7 GOF7 GYB7 HHX7 HRT7 IBP7 ILL7 IVH7 JFD7 JOZ7 JYV7 KIR7 KSN7 LCJ7 LMF7 LWB7 MFX7 MPT7 MZP7 NJL7 NTH7 ODD7 OMZ7 OWV7 PGR7 PQN7 QAJ7 QKF7 QUB7 RDX7 RNT7 RXP7 SHL7 SRH7 TBD7 TKZ7 TUV7 UER7 UON7 UYJ7 VIF7 VSB7 WBX7 WLT7 WVP7 JD65533 SZ65533 ACV65533 AMR65533 AWN65533 BGJ65533 BQF65533 CAB65533 CJX65533 CTT65533 DDP65533 DNL65533 DXH65533 EHD65533 EQZ65533 FAV65533 FKR65533 FUN65533 GEJ65533 GOF65533 GYB65533 HHX65533 HRT65533 IBP65533 ILL65533 IVH65533 JFD65533 JOZ65533 JYV65533 KIR65533 KSN65533 LCJ65533 LMF65533 LWB65533 MFX65533 MPT65533 MZP65533 NJL65533 NTH65533 ODD65533 OMZ65533 OWV65533 PGR65533 PQN65533 QAJ65533 QKF65533 QUB65533 RDX65533 RNT65533 RXP65533 SHL65533 SRH65533 TBD65533 TKZ65533 TUV65533 UER65533 UON65533 UYJ65533 VIF65533 VSB65533 WBX65533 WLT65533 WVP65533 JD131069 SZ131069 ACV131069 AMR131069 AWN131069 BGJ131069 BQF131069 CAB131069 CJX131069 CTT131069 DDP131069 DNL131069 DXH131069 EHD131069 EQZ131069 FAV131069 FKR131069 FUN131069 GEJ131069 GOF131069 GYB131069 HHX131069 HRT131069 IBP131069 ILL131069 IVH131069 JFD131069 JOZ131069 JYV131069 KIR131069 KSN131069 LCJ131069 LMF131069 LWB131069 MFX131069 MPT131069 MZP131069 NJL131069 NTH131069 ODD131069 OMZ131069 OWV131069 PGR131069 PQN131069 QAJ131069 QKF131069 QUB131069 RDX131069 RNT131069 RXP131069 SHL131069 SRH131069 TBD131069 TKZ131069 TUV131069 UER131069 UON131069 UYJ131069 VIF131069 VSB131069 WBX131069 WLT131069 WVP131069 JD196605 SZ196605 ACV196605 AMR196605 AWN196605 BGJ196605 BQF196605 CAB196605 CJX196605 CTT196605 DDP196605 DNL196605 DXH196605 EHD196605 EQZ196605 FAV196605 FKR196605 FUN196605 GEJ196605 GOF196605 GYB196605 HHX196605 HRT196605 IBP196605 ILL196605 IVH196605 JFD196605 JOZ196605 JYV196605 KIR196605 KSN196605 LCJ196605 LMF196605 LWB196605 MFX196605 MPT196605 MZP196605 NJL196605 NTH196605 ODD196605 OMZ196605 OWV196605 PGR196605 PQN196605 QAJ196605 QKF196605 QUB196605 RDX196605 RNT196605 RXP196605 SHL196605 SRH196605 TBD196605 TKZ196605 TUV196605 UER196605 UON196605 UYJ196605 VIF196605 VSB196605 WBX196605 WLT196605 WVP196605 JD262141 SZ262141 ACV262141 AMR262141 AWN262141 BGJ262141 BQF262141 CAB262141 CJX262141 CTT262141 DDP262141 DNL262141 DXH262141 EHD262141 EQZ262141 FAV262141 FKR262141 FUN262141 GEJ262141 GOF262141 GYB262141 HHX262141 HRT262141 IBP262141 ILL262141 IVH262141 JFD262141 JOZ262141 JYV262141 KIR262141 KSN262141 LCJ262141 LMF262141 LWB262141 MFX262141 MPT262141 MZP262141 NJL262141 NTH262141 ODD262141 OMZ262141 OWV262141 PGR262141 PQN262141 QAJ262141 QKF262141 QUB262141 RDX262141 RNT262141 RXP262141 SHL262141 SRH262141 TBD262141 TKZ262141 TUV262141 UER262141 UON262141 UYJ262141 VIF262141 VSB262141 WBX262141 WLT262141 WVP262141 JD327677 SZ327677 ACV327677 AMR327677 AWN327677 BGJ327677 BQF327677 CAB327677 CJX327677 CTT327677 DDP327677 DNL327677 DXH327677 EHD327677 EQZ327677 FAV327677 FKR327677 FUN327677 GEJ327677 GOF327677 GYB327677 HHX327677 HRT327677 IBP327677 ILL327677 IVH327677 JFD327677 JOZ327677 JYV327677 KIR327677 KSN327677 LCJ327677 LMF327677 LWB327677 MFX327677 MPT327677 MZP327677 NJL327677 NTH327677 ODD327677 OMZ327677 OWV327677 PGR327677 PQN327677 QAJ327677 QKF327677 QUB327677 RDX327677 RNT327677 RXP327677 SHL327677 SRH327677 TBD327677 TKZ327677 TUV327677 UER327677 UON327677 UYJ327677 VIF327677 VSB327677 WBX327677 WLT327677 WVP327677 JD393213 SZ393213 ACV393213 AMR393213 AWN393213 BGJ393213 BQF393213 CAB393213 CJX393213 CTT393213 DDP393213 DNL393213 DXH393213 EHD393213 EQZ393213 FAV393213 FKR393213 FUN393213 GEJ393213 GOF393213 GYB393213 HHX393213 HRT393213 IBP393213 ILL393213 IVH393213 JFD393213 JOZ393213 JYV393213 KIR393213 KSN393213 LCJ393213 LMF393213 LWB393213 MFX393213 MPT393213 MZP393213 NJL393213 NTH393213 ODD393213 OMZ393213 OWV393213 PGR393213 PQN393213 QAJ393213 QKF393213 QUB393213 RDX393213 RNT393213 RXP393213 SHL393213 SRH393213 TBD393213 TKZ393213 TUV393213 UER393213 UON393213 UYJ393213 VIF393213 VSB393213 WBX393213 WLT393213 WVP393213 JD458749 SZ458749 ACV458749 AMR458749 AWN458749 BGJ458749 BQF458749 CAB458749 CJX458749 CTT458749 DDP458749 DNL458749 DXH458749 EHD458749 EQZ458749 FAV458749 FKR458749 FUN458749 GEJ458749 GOF458749 GYB458749 HHX458749 HRT458749 IBP458749 ILL458749 IVH458749 JFD458749 JOZ458749 JYV458749 KIR458749 KSN458749 LCJ458749 LMF458749 LWB458749 MFX458749 MPT458749 MZP458749 NJL458749 NTH458749 ODD458749 OMZ458749 OWV458749 PGR458749 PQN458749 QAJ458749 QKF458749 QUB458749 RDX458749 RNT458749 RXP458749 SHL458749 SRH458749 TBD458749 TKZ458749 TUV458749 UER458749 UON458749 UYJ458749 VIF458749 VSB458749 WBX458749 WLT458749 WVP458749 JD524285 SZ524285 ACV524285 AMR524285 AWN524285 BGJ524285 BQF524285 CAB524285 CJX524285 CTT524285 DDP524285 DNL524285 DXH524285 EHD524285 EQZ524285 FAV524285 FKR524285 FUN524285 GEJ524285 GOF524285 GYB524285 HHX524285 HRT524285 IBP524285 ILL524285 IVH524285 JFD524285 JOZ524285 JYV524285 KIR524285 KSN524285 LCJ524285 LMF524285 LWB524285 MFX524285 MPT524285 MZP524285 NJL524285 NTH524285 ODD524285 OMZ524285 OWV524285 PGR524285 PQN524285 QAJ524285 QKF524285 QUB524285 RDX524285 RNT524285 RXP524285 SHL524285 SRH524285 TBD524285 TKZ524285 TUV524285 UER524285 UON524285 UYJ524285 VIF524285 VSB524285 WBX524285 WLT524285 WVP524285 JD589821 SZ589821 ACV589821 AMR589821 AWN589821 BGJ589821 BQF589821 CAB589821 CJX589821 CTT589821 DDP589821 DNL589821 DXH589821 EHD589821 EQZ589821 FAV589821 FKR589821 FUN589821 GEJ589821 GOF589821 GYB589821 HHX589821 HRT589821 IBP589821 ILL589821 IVH589821 JFD589821 JOZ589821 JYV589821 KIR589821 KSN589821 LCJ589821 LMF589821 LWB589821 MFX589821 MPT589821 MZP589821 NJL589821 NTH589821 ODD589821 OMZ589821 OWV589821 PGR589821 PQN589821 QAJ589821 QKF589821 QUB589821 RDX589821 RNT589821 RXP589821 SHL589821 SRH589821 TBD589821 TKZ589821 TUV589821 UER589821 UON589821 UYJ589821 VIF589821 VSB589821 WBX589821 WLT589821 WVP589821 JD655357 SZ655357 ACV655357 AMR655357 AWN655357 BGJ655357 BQF655357 CAB655357 CJX655357 CTT655357 DDP655357 DNL655357 DXH655357 EHD655357 EQZ655357 FAV655357 FKR655357 FUN655357 GEJ655357 GOF655357 GYB655357 HHX655357 HRT655357 IBP655357 ILL655357 IVH655357 JFD655357 JOZ655357 JYV655357 KIR655357 KSN655357 LCJ655357 LMF655357 LWB655357 MFX655357 MPT655357 MZP655357 NJL655357 NTH655357 ODD655357 OMZ655357 OWV655357 PGR655357 PQN655357 QAJ655357 QKF655357 QUB655357 RDX655357 RNT655357 RXP655357 SHL655357 SRH655357 TBD655357 TKZ655357 TUV655357 UER655357 UON655357 UYJ655357 VIF655357 VSB655357 WBX655357 WLT655357 WVP655357 JD720893 SZ720893 ACV720893 AMR720893 AWN720893 BGJ720893 BQF720893 CAB720893 CJX720893 CTT720893 DDP720893 DNL720893 DXH720893 EHD720893 EQZ720893 FAV720893 FKR720893 FUN720893 GEJ720893 GOF720893 GYB720893 HHX720893 HRT720893 IBP720893 ILL720893 IVH720893 JFD720893 JOZ720893 JYV720893 KIR720893 KSN720893 LCJ720893 LMF720893 LWB720893 MFX720893 MPT720893 MZP720893 NJL720893 NTH720893 ODD720893 OMZ720893 OWV720893 PGR720893 PQN720893 QAJ720893 QKF720893 QUB720893 RDX720893 RNT720893 RXP720893 SHL720893 SRH720893 TBD720893 TKZ720893 TUV720893 UER720893 UON720893 UYJ720893 VIF720893 VSB720893 WBX720893 WLT720893 WVP720893 JD786429 SZ786429 ACV786429 AMR786429 AWN786429 BGJ786429 BQF786429 CAB786429 CJX786429 CTT786429 DDP786429 DNL786429 DXH786429 EHD786429 EQZ786429 FAV786429 FKR786429 FUN786429 GEJ786429 GOF786429 GYB786429 HHX786429 HRT786429 IBP786429 ILL786429 IVH786429 JFD786429 JOZ786429 JYV786429 KIR786429 KSN786429 LCJ786429 LMF786429 LWB786429 MFX786429 MPT786429 MZP786429 NJL786429 NTH786429 ODD786429 OMZ786429 OWV786429 PGR786429 PQN786429 QAJ786429 QKF786429 QUB786429 RDX786429 RNT786429 RXP786429 SHL786429 SRH786429 TBD786429 TKZ786429 TUV786429 UER786429 UON786429 UYJ786429 VIF786429 VSB786429 WBX786429 WLT786429 WVP786429 JD851965 SZ851965 ACV851965 AMR851965 AWN851965 BGJ851965 BQF851965 CAB851965 CJX851965 CTT851965 DDP851965 DNL851965 DXH851965 EHD851965 EQZ851965 FAV851965 FKR851965 FUN851965 GEJ851965 GOF851965 GYB851965 HHX851965 HRT851965 IBP851965 ILL851965 IVH851965 JFD851965 JOZ851965 JYV851965 KIR851965 KSN851965 LCJ851965 LMF851965 LWB851965 MFX851965 MPT851965 MZP851965 NJL851965 NTH851965 ODD851965 OMZ851965 OWV851965 PGR851965 PQN851965 QAJ851965 QKF851965 QUB851965 RDX851965 RNT851965 RXP851965 SHL851965 SRH851965 TBD851965 TKZ851965 TUV851965 UER851965 UON851965 UYJ851965 VIF851965 VSB851965 WBX851965 WLT851965 WVP851965 JD917501 SZ917501 ACV917501 AMR917501 AWN917501 BGJ917501 BQF917501 CAB917501 CJX917501 CTT917501 DDP917501 DNL917501 DXH917501 EHD917501 EQZ917501 FAV917501 FKR917501 FUN917501 GEJ917501 GOF917501 GYB917501 HHX917501 HRT917501 IBP917501 ILL917501 IVH917501 JFD917501 JOZ917501 JYV917501 KIR917501 KSN917501 LCJ917501 LMF917501 LWB917501 MFX917501 MPT917501 MZP917501 NJL917501 NTH917501 ODD917501 OMZ917501 OWV917501 PGR917501 PQN917501 QAJ917501 QKF917501 QUB917501 RDX917501 RNT917501 RXP917501 SHL917501 SRH917501 TBD917501 TKZ917501 TUV917501 UER917501 UON917501 UYJ917501 VIF917501 VSB917501 WBX917501 WLT917501 WVP917501 JD983037 SZ983037 ACV983037 AMR983037 AWN983037 BGJ983037 BQF983037 CAB983037 CJX983037 CTT983037 DDP983037 DNL983037 DXH983037 EHD983037 EQZ983037 FAV983037 FKR983037 FUN983037 GEJ983037 GOF983037 GYB983037 HHX983037 HRT983037 IBP983037 ILL983037 IVH983037 JFD983037 JOZ983037 JYV983037 KIR983037 KSN983037 LCJ983037 LMF983037 LWB983037 MFX983037 MPT983037 MZP983037 NJL983037 NTH983037 ODD983037 OMZ983037 OWV983037 PGR983037 PQN983037 QAJ983037 QKF983037 QUB983037 RDX983037 RNT983037 RXP983037 SHL983037 SRH983037 TBD983037 TKZ983037 TUV983037 UER983037 UON983037 UYJ983037 VIF983037 VSB983037 WBX983037 WLT983037" xr:uid="{00000000-0002-0000-0D00-000000000000}"/>
    <dataValidation type="list" allowBlank="1" showInputMessage="1" showErrorMessage="1" sqref="G34:G46" xr:uid="{00000000-0002-0000-0D00-000001000000}">
      <formula1>"Yes, No"</formula1>
    </dataValidation>
  </dataValidations>
  <pageMargins left="0.75" right="0.75" top="1" bottom="1" header="0.5" footer="0.5"/>
  <pageSetup scale="62" orientation="landscape"/>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8">
    <tabColor rgb="FFFFC000"/>
    <pageSetUpPr fitToPage="1"/>
  </sheetPr>
  <dimension ref="A1:L54"/>
  <sheetViews>
    <sheetView showGridLines="0" zoomScaleNormal="100" workbookViewId="0"/>
  </sheetViews>
  <sheetFormatPr defaultRowHeight="15" x14ac:dyDescent="0.25"/>
  <cols>
    <col min="1" max="1" width="55" style="156" customWidth="1"/>
    <col min="2" max="6" width="13.7109375" style="156" customWidth="1"/>
    <col min="7" max="7" width="10.28515625" style="156" bestFit="1" customWidth="1"/>
    <col min="8" max="8" width="15.42578125" style="156" customWidth="1"/>
    <col min="9" max="9" width="11" style="156" bestFit="1" customWidth="1"/>
    <col min="10" max="10" width="9.28515625" style="156" bestFit="1" customWidth="1"/>
    <col min="11" max="256" width="9.28515625" style="156"/>
    <col min="257" max="257" width="51.7109375" style="156" customWidth="1"/>
    <col min="258" max="263" width="9.28515625" style="156"/>
    <col min="264" max="264" width="10.7109375" style="156" customWidth="1"/>
    <col min="265" max="512" width="9.28515625" style="156"/>
    <col min="513" max="513" width="51.7109375" style="156" customWidth="1"/>
    <col min="514" max="519" width="9.28515625" style="156"/>
    <col min="520" max="520" width="10.7109375" style="156" customWidth="1"/>
    <col min="521" max="768" width="9.28515625" style="156"/>
    <col min="769" max="769" width="51.7109375" style="156" customWidth="1"/>
    <col min="770" max="775" width="9.28515625" style="156"/>
    <col min="776" max="776" width="10.7109375" style="156" customWidth="1"/>
    <col min="777" max="1024" width="9.28515625" style="156"/>
    <col min="1025" max="1025" width="51.7109375" style="156" customWidth="1"/>
    <col min="1026" max="1031" width="9.28515625" style="156"/>
    <col min="1032" max="1032" width="10.7109375" style="156" customWidth="1"/>
    <col min="1033" max="1280" width="9.28515625" style="156"/>
    <col min="1281" max="1281" width="51.7109375" style="156" customWidth="1"/>
    <col min="1282" max="1287" width="9.28515625" style="156"/>
    <col min="1288" max="1288" width="10.7109375" style="156" customWidth="1"/>
    <col min="1289" max="1536" width="9.28515625" style="156"/>
    <col min="1537" max="1537" width="51.7109375" style="156" customWidth="1"/>
    <col min="1538" max="1543" width="9.28515625" style="156"/>
    <col min="1544" max="1544" width="10.7109375" style="156" customWidth="1"/>
    <col min="1545" max="1792" width="9.28515625" style="156"/>
    <col min="1793" max="1793" width="51.7109375" style="156" customWidth="1"/>
    <col min="1794" max="1799" width="9.28515625" style="156"/>
    <col min="1800" max="1800" width="10.7109375" style="156" customWidth="1"/>
    <col min="1801" max="2048" width="9.28515625" style="156"/>
    <col min="2049" max="2049" width="51.7109375" style="156" customWidth="1"/>
    <col min="2050" max="2055" width="9.28515625" style="156"/>
    <col min="2056" max="2056" width="10.7109375" style="156" customWidth="1"/>
    <col min="2057" max="2304" width="9.28515625" style="156"/>
    <col min="2305" max="2305" width="51.7109375" style="156" customWidth="1"/>
    <col min="2306" max="2311" width="9.28515625" style="156"/>
    <col min="2312" max="2312" width="10.7109375" style="156" customWidth="1"/>
    <col min="2313" max="2560" width="9.28515625" style="156"/>
    <col min="2561" max="2561" width="51.7109375" style="156" customWidth="1"/>
    <col min="2562" max="2567" width="9.28515625" style="156"/>
    <col min="2568" max="2568" width="10.7109375" style="156" customWidth="1"/>
    <col min="2569" max="2816" width="9.28515625" style="156"/>
    <col min="2817" max="2817" width="51.7109375" style="156" customWidth="1"/>
    <col min="2818" max="2823" width="9.28515625" style="156"/>
    <col min="2824" max="2824" width="10.7109375" style="156" customWidth="1"/>
    <col min="2825" max="3072" width="9.28515625" style="156"/>
    <col min="3073" max="3073" width="51.7109375" style="156" customWidth="1"/>
    <col min="3074" max="3079" width="9.28515625" style="156"/>
    <col min="3080" max="3080" width="10.7109375" style="156" customWidth="1"/>
    <col min="3081" max="3328" width="9.28515625" style="156"/>
    <col min="3329" max="3329" width="51.7109375" style="156" customWidth="1"/>
    <col min="3330" max="3335" width="9.28515625" style="156"/>
    <col min="3336" max="3336" width="10.7109375" style="156" customWidth="1"/>
    <col min="3337" max="3584" width="9.28515625" style="156"/>
    <col min="3585" max="3585" width="51.7109375" style="156" customWidth="1"/>
    <col min="3586" max="3591" width="9.28515625" style="156"/>
    <col min="3592" max="3592" width="10.7109375" style="156" customWidth="1"/>
    <col min="3593" max="3840" width="9.28515625" style="156"/>
    <col min="3841" max="3841" width="51.7109375" style="156" customWidth="1"/>
    <col min="3842" max="3847" width="9.28515625" style="156"/>
    <col min="3848" max="3848" width="10.7109375" style="156" customWidth="1"/>
    <col min="3849" max="4096" width="9.28515625" style="156"/>
    <col min="4097" max="4097" width="51.7109375" style="156" customWidth="1"/>
    <col min="4098" max="4103" width="9.28515625" style="156"/>
    <col min="4104" max="4104" width="10.7109375" style="156" customWidth="1"/>
    <col min="4105" max="4352" width="9.28515625" style="156"/>
    <col min="4353" max="4353" width="51.7109375" style="156" customWidth="1"/>
    <col min="4354" max="4359" width="9.28515625" style="156"/>
    <col min="4360" max="4360" width="10.7109375" style="156" customWidth="1"/>
    <col min="4361" max="4608" width="9.28515625" style="156"/>
    <col min="4609" max="4609" width="51.7109375" style="156" customWidth="1"/>
    <col min="4610" max="4615" width="9.28515625" style="156"/>
    <col min="4616" max="4616" width="10.7109375" style="156" customWidth="1"/>
    <col min="4617" max="4864" width="9.28515625" style="156"/>
    <col min="4865" max="4865" width="51.7109375" style="156" customWidth="1"/>
    <col min="4866" max="4871" width="9.28515625" style="156"/>
    <col min="4872" max="4872" width="10.7109375" style="156" customWidth="1"/>
    <col min="4873" max="5120" width="9.28515625" style="156"/>
    <col min="5121" max="5121" width="51.7109375" style="156" customWidth="1"/>
    <col min="5122" max="5127" width="9.28515625" style="156"/>
    <col min="5128" max="5128" width="10.7109375" style="156" customWidth="1"/>
    <col min="5129" max="5376" width="9.28515625" style="156"/>
    <col min="5377" max="5377" width="51.7109375" style="156" customWidth="1"/>
    <col min="5378" max="5383" width="9.28515625" style="156"/>
    <col min="5384" max="5384" width="10.7109375" style="156" customWidth="1"/>
    <col min="5385" max="5632" width="9.28515625" style="156"/>
    <col min="5633" max="5633" width="51.7109375" style="156" customWidth="1"/>
    <col min="5634" max="5639" width="9.28515625" style="156"/>
    <col min="5640" max="5640" width="10.7109375" style="156" customWidth="1"/>
    <col min="5641" max="5888" width="9.28515625" style="156"/>
    <col min="5889" max="5889" width="51.7109375" style="156" customWidth="1"/>
    <col min="5890" max="5895" width="9.28515625" style="156"/>
    <col min="5896" max="5896" width="10.7109375" style="156" customWidth="1"/>
    <col min="5897" max="6144" width="9.28515625" style="156"/>
    <col min="6145" max="6145" width="51.7109375" style="156" customWidth="1"/>
    <col min="6146" max="6151" width="9.28515625" style="156"/>
    <col min="6152" max="6152" width="10.7109375" style="156" customWidth="1"/>
    <col min="6153" max="6400" width="9.28515625" style="156"/>
    <col min="6401" max="6401" width="51.7109375" style="156" customWidth="1"/>
    <col min="6402" max="6407" width="9.28515625" style="156"/>
    <col min="6408" max="6408" width="10.7109375" style="156" customWidth="1"/>
    <col min="6409" max="6656" width="9.28515625" style="156"/>
    <col min="6657" max="6657" width="51.7109375" style="156" customWidth="1"/>
    <col min="6658" max="6663" width="9.28515625" style="156"/>
    <col min="6664" max="6664" width="10.7109375" style="156" customWidth="1"/>
    <col min="6665" max="6912" width="9.28515625" style="156"/>
    <col min="6913" max="6913" width="51.7109375" style="156" customWidth="1"/>
    <col min="6914" max="6919" width="9.28515625" style="156"/>
    <col min="6920" max="6920" width="10.7109375" style="156" customWidth="1"/>
    <col min="6921" max="7168" width="9.28515625" style="156"/>
    <col min="7169" max="7169" width="51.7109375" style="156" customWidth="1"/>
    <col min="7170" max="7175" width="9.28515625" style="156"/>
    <col min="7176" max="7176" width="10.7109375" style="156" customWidth="1"/>
    <col min="7177" max="7424" width="9.28515625" style="156"/>
    <col min="7425" max="7425" width="51.7109375" style="156" customWidth="1"/>
    <col min="7426" max="7431" width="9.28515625" style="156"/>
    <col min="7432" max="7432" width="10.7109375" style="156" customWidth="1"/>
    <col min="7433" max="7680" width="9.28515625" style="156"/>
    <col min="7681" max="7681" width="51.7109375" style="156" customWidth="1"/>
    <col min="7682" max="7687" width="9.28515625" style="156"/>
    <col min="7688" max="7688" width="10.7109375" style="156" customWidth="1"/>
    <col min="7689" max="7936" width="9.28515625" style="156"/>
    <col min="7937" max="7937" width="51.7109375" style="156" customWidth="1"/>
    <col min="7938" max="7943" width="9.28515625" style="156"/>
    <col min="7944" max="7944" width="10.7109375" style="156" customWidth="1"/>
    <col min="7945" max="8192" width="9.28515625" style="156"/>
    <col min="8193" max="8193" width="51.7109375" style="156" customWidth="1"/>
    <col min="8194" max="8199" width="9.28515625" style="156"/>
    <col min="8200" max="8200" width="10.7109375" style="156" customWidth="1"/>
    <col min="8201" max="8448" width="9.28515625" style="156"/>
    <col min="8449" max="8449" width="51.7109375" style="156" customWidth="1"/>
    <col min="8450" max="8455" width="9.28515625" style="156"/>
    <col min="8456" max="8456" width="10.7109375" style="156" customWidth="1"/>
    <col min="8457" max="8704" width="9.28515625" style="156"/>
    <col min="8705" max="8705" width="51.7109375" style="156" customWidth="1"/>
    <col min="8706" max="8711" width="9.28515625" style="156"/>
    <col min="8712" max="8712" width="10.7109375" style="156" customWidth="1"/>
    <col min="8713" max="8960" width="9.28515625" style="156"/>
    <col min="8961" max="8961" width="51.7109375" style="156" customWidth="1"/>
    <col min="8962" max="8967" width="9.28515625" style="156"/>
    <col min="8968" max="8968" width="10.7109375" style="156" customWidth="1"/>
    <col min="8969" max="9216" width="9.28515625" style="156"/>
    <col min="9217" max="9217" width="51.7109375" style="156" customWidth="1"/>
    <col min="9218" max="9223" width="9.28515625" style="156"/>
    <col min="9224" max="9224" width="10.7109375" style="156" customWidth="1"/>
    <col min="9225" max="9472" width="9.28515625" style="156"/>
    <col min="9473" max="9473" width="51.7109375" style="156" customWidth="1"/>
    <col min="9474" max="9479" width="9.28515625" style="156"/>
    <col min="9480" max="9480" width="10.7109375" style="156" customWidth="1"/>
    <col min="9481" max="9728" width="9.28515625" style="156"/>
    <col min="9729" max="9729" width="51.7109375" style="156" customWidth="1"/>
    <col min="9730" max="9735" width="9.28515625" style="156"/>
    <col min="9736" max="9736" width="10.7109375" style="156" customWidth="1"/>
    <col min="9737" max="9984" width="9.28515625" style="156"/>
    <col min="9985" max="9985" width="51.7109375" style="156" customWidth="1"/>
    <col min="9986" max="9991" width="9.28515625" style="156"/>
    <col min="9992" max="9992" width="10.7109375" style="156" customWidth="1"/>
    <col min="9993" max="10240" width="9.28515625" style="156"/>
    <col min="10241" max="10241" width="51.7109375" style="156" customWidth="1"/>
    <col min="10242" max="10247" width="9.28515625" style="156"/>
    <col min="10248" max="10248" width="10.7109375" style="156" customWidth="1"/>
    <col min="10249" max="10496" width="9.28515625" style="156"/>
    <col min="10497" max="10497" width="51.7109375" style="156" customWidth="1"/>
    <col min="10498" max="10503" width="9.28515625" style="156"/>
    <col min="10504" max="10504" width="10.7109375" style="156" customWidth="1"/>
    <col min="10505" max="10752" width="9.28515625" style="156"/>
    <col min="10753" max="10753" width="51.7109375" style="156" customWidth="1"/>
    <col min="10754" max="10759" width="9.28515625" style="156"/>
    <col min="10760" max="10760" width="10.7109375" style="156" customWidth="1"/>
    <col min="10761" max="11008" width="9.28515625" style="156"/>
    <col min="11009" max="11009" width="51.7109375" style="156" customWidth="1"/>
    <col min="11010" max="11015" width="9.28515625" style="156"/>
    <col min="11016" max="11016" width="10.7109375" style="156" customWidth="1"/>
    <col min="11017" max="11264" width="9.28515625" style="156"/>
    <col min="11265" max="11265" width="51.7109375" style="156" customWidth="1"/>
    <col min="11266" max="11271" width="9.28515625" style="156"/>
    <col min="11272" max="11272" width="10.7109375" style="156" customWidth="1"/>
    <col min="11273" max="11520" width="9.28515625" style="156"/>
    <col min="11521" max="11521" width="51.7109375" style="156" customWidth="1"/>
    <col min="11522" max="11527" width="9.28515625" style="156"/>
    <col min="11528" max="11528" width="10.7109375" style="156" customWidth="1"/>
    <col min="11529" max="11776" width="9.28515625" style="156"/>
    <col min="11777" max="11777" width="51.7109375" style="156" customWidth="1"/>
    <col min="11778" max="11783" width="9.28515625" style="156"/>
    <col min="11784" max="11784" width="10.7109375" style="156" customWidth="1"/>
    <col min="11785" max="12032" width="9.28515625" style="156"/>
    <col min="12033" max="12033" width="51.7109375" style="156" customWidth="1"/>
    <col min="12034" max="12039" width="9.28515625" style="156"/>
    <col min="12040" max="12040" width="10.7109375" style="156" customWidth="1"/>
    <col min="12041" max="12288" width="9.28515625" style="156"/>
    <col min="12289" max="12289" width="51.7109375" style="156" customWidth="1"/>
    <col min="12290" max="12295" width="9.28515625" style="156"/>
    <col min="12296" max="12296" width="10.7109375" style="156" customWidth="1"/>
    <col min="12297" max="12544" width="9.28515625" style="156"/>
    <col min="12545" max="12545" width="51.7109375" style="156" customWidth="1"/>
    <col min="12546" max="12551" width="9.28515625" style="156"/>
    <col min="12552" max="12552" width="10.7109375" style="156" customWidth="1"/>
    <col min="12553" max="12800" width="9.28515625" style="156"/>
    <col min="12801" max="12801" width="51.7109375" style="156" customWidth="1"/>
    <col min="12802" max="12807" width="9.28515625" style="156"/>
    <col min="12808" max="12808" width="10.7109375" style="156" customWidth="1"/>
    <col min="12809" max="13056" width="9.28515625" style="156"/>
    <col min="13057" max="13057" width="51.7109375" style="156" customWidth="1"/>
    <col min="13058" max="13063" width="9.28515625" style="156"/>
    <col min="13064" max="13064" width="10.7109375" style="156" customWidth="1"/>
    <col min="13065" max="13312" width="9.28515625" style="156"/>
    <col min="13313" max="13313" width="51.7109375" style="156" customWidth="1"/>
    <col min="13314" max="13319" width="9.28515625" style="156"/>
    <col min="13320" max="13320" width="10.7109375" style="156" customWidth="1"/>
    <col min="13321" max="13568" width="9.28515625" style="156"/>
    <col min="13569" max="13569" width="51.7109375" style="156" customWidth="1"/>
    <col min="13570" max="13575" width="9.28515625" style="156"/>
    <col min="13576" max="13576" width="10.7109375" style="156" customWidth="1"/>
    <col min="13577" max="13824" width="9.28515625" style="156"/>
    <col min="13825" max="13825" width="51.7109375" style="156" customWidth="1"/>
    <col min="13826" max="13831" width="9.28515625" style="156"/>
    <col min="13832" max="13832" width="10.7109375" style="156" customWidth="1"/>
    <col min="13833" max="14080" width="9.28515625" style="156"/>
    <col min="14081" max="14081" width="51.7109375" style="156" customWidth="1"/>
    <col min="14082" max="14087" width="9.28515625" style="156"/>
    <col min="14088" max="14088" width="10.7109375" style="156" customWidth="1"/>
    <col min="14089" max="14336" width="9.28515625" style="156"/>
    <col min="14337" max="14337" width="51.7109375" style="156" customWidth="1"/>
    <col min="14338" max="14343" width="9.28515625" style="156"/>
    <col min="14344" max="14344" width="10.7109375" style="156" customWidth="1"/>
    <col min="14345" max="14592" width="9.28515625" style="156"/>
    <col min="14593" max="14593" width="51.7109375" style="156" customWidth="1"/>
    <col min="14594" max="14599" width="9.28515625" style="156"/>
    <col min="14600" max="14600" width="10.7109375" style="156" customWidth="1"/>
    <col min="14601" max="14848" width="9.28515625" style="156"/>
    <col min="14849" max="14849" width="51.7109375" style="156" customWidth="1"/>
    <col min="14850" max="14855" width="9.28515625" style="156"/>
    <col min="14856" max="14856" width="10.7109375" style="156" customWidth="1"/>
    <col min="14857" max="15104" width="9.28515625" style="156"/>
    <col min="15105" max="15105" width="51.7109375" style="156" customWidth="1"/>
    <col min="15106" max="15111" width="9.28515625" style="156"/>
    <col min="15112" max="15112" width="10.7109375" style="156" customWidth="1"/>
    <col min="15113" max="15360" width="9.28515625" style="156"/>
    <col min="15361" max="15361" width="51.7109375" style="156" customWidth="1"/>
    <col min="15362" max="15367" width="9.28515625" style="156"/>
    <col min="15368" max="15368" width="10.7109375" style="156" customWidth="1"/>
    <col min="15369" max="15616" width="9.28515625" style="156"/>
    <col min="15617" max="15617" width="51.7109375" style="156" customWidth="1"/>
    <col min="15618" max="15623" width="9.28515625" style="156"/>
    <col min="15624" max="15624" width="10.7109375" style="156" customWidth="1"/>
    <col min="15625" max="15872" width="9.28515625" style="156"/>
    <col min="15873" max="15873" width="51.7109375" style="156" customWidth="1"/>
    <col min="15874" max="15879" width="9.28515625" style="156"/>
    <col min="15880" max="15880" width="10.7109375" style="156" customWidth="1"/>
    <col min="15881" max="16128" width="9.28515625" style="156"/>
    <col min="16129" max="16129" width="51.7109375" style="156" customWidth="1"/>
    <col min="16130" max="16135" width="9.28515625" style="156"/>
    <col min="16136" max="16136" width="10.7109375" style="156" customWidth="1"/>
    <col min="16137" max="16384" width="9.28515625" style="156"/>
  </cols>
  <sheetData>
    <row r="1" spans="1:12" x14ac:dyDescent="0.25">
      <c r="A1" s="34"/>
      <c r="B1" s="34"/>
      <c r="C1" s="34"/>
      <c r="D1" s="34"/>
      <c r="E1" s="34"/>
      <c r="F1" s="34"/>
      <c r="G1" s="34"/>
      <c r="H1" s="77" t="s">
        <v>277</v>
      </c>
      <c r="I1" s="620" t="str">
        <f>EBNUMBER</f>
        <v>EB-2018-0056</v>
      </c>
    </row>
    <row r="2" spans="1:12" x14ac:dyDescent="0.25">
      <c r="A2" s="34"/>
      <c r="B2" s="34"/>
      <c r="C2" s="34"/>
      <c r="D2" s="34"/>
      <c r="E2" s="34"/>
      <c r="F2" s="34"/>
      <c r="G2" s="34"/>
      <c r="H2" s="77" t="s">
        <v>278</v>
      </c>
      <c r="I2" s="33"/>
    </row>
    <row r="3" spans="1:12" x14ac:dyDescent="0.25">
      <c r="A3" s="34"/>
      <c r="B3" s="34"/>
      <c r="C3" s="34"/>
      <c r="D3" s="34"/>
      <c r="E3" s="34"/>
      <c r="F3" s="34"/>
      <c r="G3" s="34"/>
      <c r="H3" s="77" t="s">
        <v>279</v>
      </c>
      <c r="I3" s="33"/>
    </row>
    <row r="4" spans="1:12" x14ac:dyDescent="0.25">
      <c r="A4" s="34"/>
      <c r="B4" s="34"/>
      <c r="C4" s="34"/>
      <c r="D4" s="34"/>
      <c r="E4" s="34"/>
      <c r="F4" s="34"/>
      <c r="G4" s="34"/>
      <c r="H4" s="77" t="s">
        <v>280</v>
      </c>
      <c r="I4" s="33"/>
    </row>
    <row r="5" spans="1:12" x14ac:dyDescent="0.25">
      <c r="A5" s="34"/>
      <c r="B5" s="34"/>
      <c r="C5" s="34"/>
      <c r="D5" s="34"/>
      <c r="E5" s="34"/>
      <c r="F5" s="34"/>
      <c r="G5" s="34"/>
      <c r="H5" s="77" t="s">
        <v>281</v>
      </c>
      <c r="I5" s="469"/>
    </row>
    <row r="6" spans="1:12" x14ac:dyDescent="0.25">
      <c r="A6" s="34"/>
      <c r="B6" s="34"/>
      <c r="C6" s="34"/>
      <c r="D6" s="34"/>
      <c r="E6" s="34"/>
      <c r="F6" s="34"/>
      <c r="G6" s="34"/>
      <c r="H6" s="77"/>
      <c r="I6" s="620"/>
    </row>
    <row r="7" spans="1:12" x14ac:dyDescent="0.25">
      <c r="A7" s="34"/>
      <c r="B7" s="34"/>
      <c r="C7" s="34"/>
      <c r="D7" s="34"/>
      <c r="E7" s="34"/>
      <c r="F7" s="34"/>
      <c r="G7" s="34"/>
      <c r="H7" s="77" t="s">
        <v>282</v>
      </c>
      <c r="I7" s="469"/>
    </row>
    <row r="8" spans="1:12" x14ac:dyDescent="0.25">
      <c r="A8" s="34"/>
      <c r="B8" s="34"/>
      <c r="C8" s="34"/>
      <c r="D8" s="34"/>
      <c r="E8" s="34"/>
      <c r="F8" s="34"/>
      <c r="G8" s="34"/>
      <c r="H8" s="34"/>
      <c r="I8" s="34"/>
    </row>
    <row r="9" spans="1:12" ht="18" x14ac:dyDescent="0.25">
      <c r="A9" s="1760" t="s">
        <v>383</v>
      </c>
      <c r="B9" s="1790"/>
      <c r="C9" s="1790"/>
      <c r="D9" s="1790"/>
      <c r="E9" s="1790"/>
      <c r="F9" s="1790"/>
      <c r="G9" s="1790"/>
      <c r="H9" s="1790"/>
      <c r="I9" s="1790"/>
    </row>
    <row r="10" spans="1:12" ht="18" x14ac:dyDescent="0.25">
      <c r="A10" s="1760" t="s">
        <v>376</v>
      </c>
      <c r="B10" s="1791"/>
      <c r="C10" s="1791"/>
      <c r="D10" s="1791"/>
      <c r="E10" s="1791"/>
      <c r="F10" s="1791"/>
      <c r="G10" s="1791"/>
      <c r="H10" s="1791"/>
      <c r="I10" s="1791"/>
    </row>
    <row r="11" spans="1:12" ht="18" x14ac:dyDescent="0.25">
      <c r="A11" s="1760" t="s">
        <v>833</v>
      </c>
      <c r="B11" s="1791"/>
      <c r="C11" s="1791"/>
      <c r="D11" s="1791"/>
      <c r="E11" s="1791"/>
      <c r="F11" s="1791"/>
      <c r="G11" s="1791"/>
      <c r="H11" s="1791"/>
      <c r="I11" s="1791"/>
    </row>
    <row r="12" spans="1:12" x14ac:dyDescent="0.25">
      <c r="A12" s="34"/>
      <c r="B12" s="34"/>
      <c r="C12" s="34"/>
      <c r="D12" s="34"/>
      <c r="E12" s="34"/>
      <c r="F12" s="34"/>
      <c r="G12" s="34"/>
      <c r="H12" s="34"/>
      <c r="I12" s="34"/>
    </row>
    <row r="13" spans="1:12" s="157" customFormat="1" x14ac:dyDescent="0.25">
      <c r="A13" s="1792" t="s">
        <v>932</v>
      </c>
      <c r="B13" s="1792"/>
      <c r="C13" s="1792"/>
      <c r="D13" s="1792"/>
      <c r="E13" s="1792"/>
      <c r="F13" s="1792"/>
      <c r="G13" s="1792"/>
      <c r="H13" s="1792"/>
      <c r="I13" s="1792"/>
      <c r="J13" s="137"/>
      <c r="K13" s="137"/>
      <c r="L13" s="137"/>
    </row>
    <row r="14" spans="1:12" x14ac:dyDescent="0.25">
      <c r="A14" s="158"/>
      <c r="B14" s="158"/>
      <c r="C14" s="158"/>
      <c r="D14" s="158"/>
      <c r="E14" s="158"/>
      <c r="F14" s="158"/>
      <c r="G14" s="158"/>
      <c r="H14" s="158"/>
      <c r="I14" s="158"/>
      <c r="J14" s="159"/>
      <c r="K14" s="159"/>
    </row>
    <row r="15" spans="1:12" x14ac:dyDescent="0.25">
      <c r="A15" s="1792"/>
      <c r="B15" s="1792"/>
      <c r="C15" s="1792"/>
      <c r="D15" s="1792"/>
      <c r="E15" s="1792"/>
      <c r="F15" s="1792"/>
      <c r="G15" s="1792"/>
      <c r="H15" s="1792"/>
      <c r="I15" s="1792"/>
      <c r="J15" s="159"/>
      <c r="K15" s="159"/>
    </row>
    <row r="16" spans="1:12" x14ac:dyDescent="0.25">
      <c r="A16" s="158"/>
      <c r="B16" s="158"/>
      <c r="C16" s="158"/>
      <c r="D16" s="158"/>
      <c r="E16" s="158"/>
      <c r="F16" s="158"/>
      <c r="G16" s="158"/>
      <c r="H16" s="158"/>
      <c r="I16" s="158"/>
      <c r="J16" s="159"/>
      <c r="K16" s="159"/>
    </row>
    <row r="17" spans="1:7" ht="39" x14ac:dyDescent="0.25">
      <c r="A17" s="158"/>
      <c r="B17" s="160">
        <v>2014</v>
      </c>
      <c r="C17" s="160">
        <f>TestYear-3</f>
        <v>2016</v>
      </c>
      <c r="D17" s="160">
        <f>TestYear-2</f>
        <v>2017</v>
      </c>
      <c r="E17" s="160" t="str">
        <f>CONCATENATE(TestYear-1," Bridge Year")</f>
        <v>2018 Bridge Year</v>
      </c>
      <c r="F17" s="160" t="str">
        <f>CONCATENATE(TestYear," Rebasing Year")</f>
        <v>2019 Rebasing Year</v>
      </c>
      <c r="G17" s="159"/>
    </row>
    <row r="18" spans="1:7" x14ac:dyDescent="0.25">
      <c r="A18" s="161" t="s">
        <v>93</v>
      </c>
      <c r="B18" s="162" t="s">
        <v>94</v>
      </c>
      <c r="C18" s="162" t="s">
        <v>94</v>
      </c>
      <c r="D18" s="162" t="s">
        <v>94</v>
      </c>
      <c r="E18" s="163" t="s">
        <v>95</v>
      </c>
      <c r="F18" s="163" t="s">
        <v>95</v>
      </c>
      <c r="G18" s="159"/>
    </row>
    <row r="19" spans="1:7" x14ac:dyDescent="0.25">
      <c r="A19" s="161"/>
      <c r="B19" s="162" t="s">
        <v>370</v>
      </c>
      <c r="C19" s="162" t="s">
        <v>370</v>
      </c>
      <c r="D19" s="162" t="s">
        <v>370</v>
      </c>
      <c r="E19" s="162" t="s">
        <v>80</v>
      </c>
      <c r="F19" s="162" t="s">
        <v>80</v>
      </c>
      <c r="G19" s="159"/>
    </row>
    <row r="20" spans="1:7" x14ac:dyDescent="0.25">
      <c r="A20" s="158"/>
      <c r="B20" s="165"/>
      <c r="C20" s="165"/>
      <c r="D20" s="165" t="s">
        <v>152</v>
      </c>
      <c r="E20" s="165" t="s">
        <v>152</v>
      </c>
      <c r="F20" s="165"/>
      <c r="G20" s="159"/>
    </row>
    <row r="21" spans="1:7" x14ac:dyDescent="0.25">
      <c r="A21" s="161" t="s">
        <v>371</v>
      </c>
      <c r="B21" s="1788"/>
      <c r="C21" s="1788"/>
      <c r="D21" s="1788"/>
      <c r="E21" s="1788"/>
      <c r="F21" s="1789"/>
      <c r="G21" s="159"/>
    </row>
    <row r="22" spans="1:7" x14ac:dyDescent="0.25">
      <c r="A22" s="164" t="s">
        <v>372</v>
      </c>
      <c r="B22" s="167"/>
      <c r="C22" s="888">
        <f>+B25</f>
        <v>0</v>
      </c>
      <c r="D22" s="888">
        <f>+C25</f>
        <v>0</v>
      </c>
      <c r="E22" s="888">
        <f>+D25</f>
        <v>0</v>
      </c>
      <c r="F22" s="166"/>
      <c r="G22" s="159"/>
    </row>
    <row r="23" spans="1:7" x14ac:dyDescent="0.25">
      <c r="A23" s="164" t="s">
        <v>670</v>
      </c>
      <c r="B23" s="167"/>
      <c r="C23" s="167"/>
      <c r="D23" s="167"/>
      <c r="E23" s="167"/>
      <c r="F23" s="166"/>
      <c r="G23" s="159"/>
    </row>
    <row r="24" spans="1:7" x14ac:dyDescent="0.25">
      <c r="A24" s="164" t="s">
        <v>671</v>
      </c>
      <c r="B24" s="167"/>
      <c r="C24" s="167"/>
      <c r="D24" s="167"/>
      <c r="E24" s="167"/>
      <c r="F24" s="166"/>
      <c r="G24" s="159"/>
    </row>
    <row r="25" spans="1:7" x14ac:dyDescent="0.25">
      <c r="A25" s="168" t="s">
        <v>373</v>
      </c>
      <c r="B25" s="169">
        <f>SUM(B22:B24)</f>
        <v>0</v>
      </c>
      <c r="C25" s="169">
        <f>SUM(C22:C24)</f>
        <v>0</v>
      </c>
      <c r="D25" s="169">
        <f>SUM(D22:D24)</f>
        <v>0</v>
      </c>
      <c r="E25" s="169">
        <f>SUM(E22:E24)</f>
        <v>0</v>
      </c>
      <c r="F25" s="166"/>
      <c r="G25" s="159"/>
    </row>
    <row r="26" spans="1:7" x14ac:dyDescent="0.25">
      <c r="A26" s="158"/>
      <c r="B26" s="1795"/>
      <c r="C26" s="1795"/>
      <c r="D26" s="1795"/>
      <c r="E26" s="1795"/>
      <c r="F26" s="1796"/>
      <c r="G26" s="159"/>
    </row>
    <row r="27" spans="1:7" ht="26.25" x14ac:dyDescent="0.25">
      <c r="A27" s="170" t="s">
        <v>867</v>
      </c>
      <c r="B27" s="1797"/>
      <c r="C27" s="1797"/>
      <c r="D27" s="1797"/>
      <c r="E27" s="1797"/>
      <c r="F27" s="1798"/>
      <c r="G27" s="159"/>
    </row>
    <row r="28" spans="1:7" x14ac:dyDescent="0.25">
      <c r="A28" s="164" t="s">
        <v>374</v>
      </c>
      <c r="B28" s="171"/>
      <c r="C28" s="888">
        <f>+B31</f>
        <v>0</v>
      </c>
      <c r="D28" s="888">
        <f>+C31</f>
        <v>0</v>
      </c>
      <c r="E28" s="888">
        <f>+D31</f>
        <v>0</v>
      </c>
      <c r="F28" s="166"/>
      <c r="G28" s="159"/>
    </row>
    <row r="29" spans="1:7" x14ac:dyDescent="0.25">
      <c r="A29" s="164" t="s">
        <v>670</v>
      </c>
      <c r="B29" s="171"/>
      <c r="C29" s="167"/>
      <c r="D29" s="167"/>
      <c r="E29" s="167"/>
      <c r="F29" s="166"/>
      <c r="G29" s="159"/>
    </row>
    <row r="30" spans="1:7" x14ac:dyDescent="0.25">
      <c r="A30" s="164" t="s">
        <v>671</v>
      </c>
      <c r="B30" s="171"/>
      <c r="C30" s="167"/>
      <c r="D30" s="167"/>
      <c r="E30" s="167"/>
      <c r="F30" s="166"/>
      <c r="G30" s="159"/>
    </row>
    <row r="31" spans="1:7" x14ac:dyDescent="0.25">
      <c r="A31" s="168" t="s">
        <v>375</v>
      </c>
      <c r="B31" s="169">
        <f>SUM(B28:B30)</f>
        <v>0</v>
      </c>
      <c r="C31" s="169">
        <f>SUM(C28:C30)</f>
        <v>0</v>
      </c>
      <c r="D31" s="169">
        <f>SUM(D28:D30)</f>
        <v>0</v>
      </c>
      <c r="E31" s="169">
        <f>SUM(E28:E30)</f>
        <v>0</v>
      </c>
      <c r="F31" s="166"/>
      <c r="G31" s="159"/>
    </row>
    <row r="32" spans="1:7" x14ac:dyDescent="0.25">
      <c r="A32" s="158"/>
      <c r="B32" s="1788"/>
      <c r="C32" s="1788"/>
      <c r="D32" s="1788"/>
      <c r="E32" s="1788"/>
      <c r="F32" s="1789"/>
      <c r="G32" s="159"/>
    </row>
    <row r="33" spans="1:11" ht="26.25" x14ac:dyDescent="0.25">
      <c r="A33" s="172" t="s">
        <v>677</v>
      </c>
      <c r="B33" s="173">
        <f>B25-B31</f>
        <v>0</v>
      </c>
      <c r="C33" s="173">
        <f>C25-C31</f>
        <v>0</v>
      </c>
      <c r="D33" s="173">
        <f>D25-D31</f>
        <v>0</v>
      </c>
      <c r="E33" s="173">
        <f>E25-E31</f>
        <v>0</v>
      </c>
      <c r="F33" s="166"/>
      <c r="G33" s="159"/>
    </row>
    <row r="34" spans="1:11" x14ac:dyDescent="0.25">
      <c r="A34" s="161"/>
      <c r="B34" s="174"/>
      <c r="C34" s="174"/>
      <c r="D34" s="174"/>
      <c r="E34" s="174"/>
      <c r="F34" s="174"/>
      <c r="G34" s="174"/>
      <c r="H34" s="174"/>
      <c r="I34" s="158"/>
      <c r="J34" s="159"/>
      <c r="K34" s="159"/>
    </row>
    <row r="35" spans="1:11" x14ac:dyDescent="0.25">
      <c r="A35" s="161"/>
      <c r="B35" s="174"/>
      <c r="C35" s="174"/>
      <c r="D35" s="174"/>
      <c r="E35" s="174"/>
      <c r="F35" s="174"/>
      <c r="G35" s="174"/>
      <c r="H35" s="174"/>
      <c r="I35" s="158"/>
      <c r="J35" s="159"/>
      <c r="K35" s="159"/>
    </row>
    <row r="36" spans="1:11" x14ac:dyDescent="0.25">
      <c r="A36" s="161" t="s">
        <v>672</v>
      </c>
      <c r="B36" s="174"/>
      <c r="C36" s="174"/>
      <c r="D36" s="174"/>
      <c r="E36" s="174"/>
      <c r="F36" s="174"/>
      <c r="G36" s="174"/>
      <c r="H36" s="174"/>
      <c r="I36" s="158"/>
      <c r="J36" s="159"/>
      <c r="K36" s="159"/>
    </row>
    <row r="37" spans="1:11" s="180" customFormat="1" x14ac:dyDescent="0.25">
      <c r="A37" s="175" t="s">
        <v>1126</v>
      </c>
      <c r="B37" s="176"/>
      <c r="C37" s="176"/>
      <c r="D37" s="176"/>
      <c r="E37" s="176"/>
      <c r="F37" s="177">
        <f>IF(ISERROR(E33), 0, E33)</f>
        <v>0</v>
      </c>
      <c r="G37" s="158"/>
      <c r="H37" s="178" t="s">
        <v>377</v>
      </c>
      <c r="I37" s="179"/>
      <c r="J37" s="159"/>
      <c r="K37" s="159"/>
    </row>
    <row r="38" spans="1:11" s="180" customFormat="1" ht="26.25" customHeight="1" x14ac:dyDescent="0.25">
      <c r="A38" s="175" t="s">
        <v>1127</v>
      </c>
      <c r="B38" s="176"/>
      <c r="C38" s="176"/>
      <c r="D38" s="176"/>
      <c r="E38" s="176"/>
      <c r="F38" s="177">
        <f>E33*I37*I38</f>
        <v>0</v>
      </c>
      <c r="G38" s="1799" t="s">
        <v>673</v>
      </c>
      <c r="H38" s="1799"/>
      <c r="I38" s="1800"/>
      <c r="J38" s="181"/>
      <c r="K38" s="159"/>
    </row>
    <row r="39" spans="1:11" x14ac:dyDescent="0.25">
      <c r="A39" s="182" t="s">
        <v>674</v>
      </c>
      <c r="B39" s="183"/>
      <c r="C39" s="183"/>
      <c r="D39" s="183"/>
      <c r="E39" s="183"/>
      <c r="F39" s="184">
        <f>F37+F38</f>
        <v>0</v>
      </c>
      <c r="G39" s="1799"/>
      <c r="H39" s="1799"/>
      <c r="I39" s="1801"/>
      <c r="J39" s="159"/>
      <c r="K39" s="159"/>
    </row>
    <row r="40" spans="1:11" x14ac:dyDescent="0.25">
      <c r="A40" s="161"/>
      <c r="B40" s="158"/>
      <c r="C40" s="158"/>
      <c r="D40" s="158"/>
      <c r="E40" s="158"/>
      <c r="F40" s="158"/>
      <c r="G40" s="158"/>
      <c r="H40" s="158"/>
      <c r="I40" s="158"/>
      <c r="J40" s="159"/>
      <c r="K40" s="159"/>
    </row>
    <row r="41" spans="1:11" x14ac:dyDescent="0.25">
      <c r="A41" s="161" t="s">
        <v>6</v>
      </c>
      <c r="B41" s="158"/>
      <c r="C41" s="158"/>
      <c r="D41" s="158"/>
      <c r="E41" s="158"/>
      <c r="F41" s="158"/>
      <c r="G41" s="158"/>
      <c r="H41" s="158"/>
      <c r="I41" s="158"/>
      <c r="J41" s="159"/>
      <c r="K41" s="159"/>
    </row>
    <row r="42" spans="1:11" x14ac:dyDescent="0.25">
      <c r="A42" s="158" t="s">
        <v>933</v>
      </c>
      <c r="B42" s="889"/>
      <c r="C42" s="889"/>
      <c r="D42" s="889"/>
      <c r="E42" s="889"/>
      <c r="F42" s="889"/>
      <c r="G42" s="889"/>
      <c r="H42" s="889"/>
      <c r="I42" s="889"/>
      <c r="J42" s="889"/>
      <c r="K42" s="159"/>
    </row>
    <row r="43" spans="1:11" x14ac:dyDescent="0.25">
      <c r="A43" s="158" t="s">
        <v>675</v>
      </c>
      <c r="B43" s="158"/>
      <c r="C43" s="158"/>
      <c r="D43" s="158"/>
      <c r="E43" s="158"/>
      <c r="F43" s="158"/>
      <c r="G43" s="158"/>
      <c r="H43" s="158"/>
      <c r="I43" s="158"/>
      <c r="J43" s="159"/>
      <c r="K43" s="159"/>
    </row>
    <row r="44" spans="1:11" x14ac:dyDescent="0.25">
      <c r="A44" s="158" t="s">
        <v>1128</v>
      </c>
      <c r="B44" s="158"/>
      <c r="C44" s="158"/>
      <c r="D44" s="158"/>
      <c r="E44" s="158"/>
      <c r="F44" s="158"/>
      <c r="G44" s="158"/>
      <c r="H44" s="158"/>
      <c r="I44" s="158"/>
      <c r="J44" s="159"/>
      <c r="K44" s="159"/>
    </row>
    <row r="45" spans="1:11" x14ac:dyDescent="0.25">
      <c r="A45" s="158" t="s">
        <v>378</v>
      </c>
      <c r="B45" s="158"/>
      <c r="C45" s="158"/>
      <c r="D45" s="158"/>
      <c r="E45" s="158"/>
      <c r="F45" s="158"/>
      <c r="G45" s="158"/>
      <c r="H45" s="158"/>
      <c r="I45" s="158"/>
      <c r="J45" s="159"/>
      <c r="K45" s="159"/>
    </row>
    <row r="46" spans="1:11" ht="20.25" customHeight="1" x14ac:dyDescent="0.25">
      <c r="A46" s="890" t="s">
        <v>676</v>
      </c>
      <c r="B46" s="891"/>
      <c r="C46" s="891"/>
      <c r="D46" s="891"/>
      <c r="E46" s="891"/>
      <c r="F46" s="891"/>
      <c r="G46" s="891"/>
      <c r="H46" s="891"/>
      <c r="I46" s="158"/>
      <c r="J46" s="159"/>
      <c r="K46" s="159"/>
    </row>
    <row r="47" spans="1:11" ht="15.75" customHeight="1" x14ac:dyDescent="0.25">
      <c r="A47" s="158" t="s">
        <v>806</v>
      </c>
      <c r="B47" s="159"/>
      <c r="C47" s="159"/>
      <c r="D47" s="159"/>
      <c r="E47" s="159"/>
      <c r="F47" s="159"/>
      <c r="G47" s="159"/>
      <c r="H47" s="159"/>
      <c r="I47" s="776"/>
      <c r="J47" s="159"/>
      <c r="K47" s="159"/>
    </row>
    <row r="48" spans="1:11" x14ac:dyDescent="0.25">
      <c r="A48" s="1793"/>
      <c r="B48" s="1793"/>
      <c r="C48" s="1793"/>
      <c r="D48" s="1793"/>
      <c r="E48" s="1793"/>
      <c r="F48" s="1793"/>
      <c r="G48" s="1793"/>
      <c r="H48" s="1793"/>
      <c r="I48" s="1793"/>
      <c r="J48" s="1793"/>
      <c r="K48" s="159"/>
    </row>
    <row r="49" spans="1:11" x14ac:dyDescent="0.25">
      <c r="A49" s="158"/>
      <c r="B49" s="158"/>
      <c r="C49" s="158"/>
      <c r="D49" s="158"/>
      <c r="E49" s="158"/>
      <c r="F49" s="158"/>
      <c r="G49" s="158"/>
      <c r="H49" s="158"/>
      <c r="I49" s="158"/>
      <c r="J49" s="159"/>
      <c r="K49" s="159"/>
    </row>
    <row r="50" spans="1:11" x14ac:dyDescent="0.25">
      <c r="A50" s="158"/>
      <c r="B50" s="158"/>
      <c r="C50" s="158"/>
      <c r="D50" s="158"/>
      <c r="E50" s="158"/>
      <c r="F50" s="158"/>
      <c r="G50" s="158"/>
      <c r="H50" s="158"/>
      <c r="I50" s="158"/>
      <c r="J50" s="159"/>
      <c r="K50" s="159"/>
    </row>
    <row r="51" spans="1:11" x14ac:dyDescent="0.25">
      <c r="A51" s="158"/>
      <c r="B51" s="158"/>
      <c r="C51" s="158"/>
      <c r="D51" s="158"/>
      <c r="E51" s="158"/>
      <c r="F51" s="158"/>
      <c r="G51" s="158"/>
      <c r="H51" s="158"/>
      <c r="I51" s="158"/>
      <c r="J51" s="159"/>
      <c r="K51" s="159"/>
    </row>
    <row r="52" spans="1:11" x14ac:dyDescent="0.25">
      <c r="A52" s="158"/>
      <c r="B52" s="158"/>
      <c r="C52" s="158"/>
      <c r="D52" s="158"/>
      <c r="E52" s="158"/>
      <c r="F52" s="158"/>
      <c r="G52" s="158"/>
      <c r="H52" s="158"/>
      <c r="I52" s="158"/>
      <c r="J52" s="159"/>
      <c r="K52" s="159"/>
    </row>
    <row r="53" spans="1:11" ht="24.75" customHeight="1" x14ac:dyDescent="0.25">
      <c r="A53" s="1794"/>
      <c r="B53" s="1794"/>
      <c r="C53" s="1794"/>
      <c r="D53" s="1794"/>
      <c r="E53" s="1794"/>
      <c r="F53" s="1794"/>
      <c r="G53" s="1794"/>
      <c r="H53" s="1794"/>
      <c r="I53" s="1794"/>
      <c r="J53" s="159"/>
      <c r="K53" s="159"/>
    </row>
    <row r="54" spans="1:11" ht="24.75" customHeight="1" x14ac:dyDescent="0.25">
      <c r="A54" s="1794"/>
      <c r="B54" s="1794"/>
      <c r="C54" s="1794"/>
      <c r="D54" s="1794"/>
      <c r="E54" s="1794"/>
      <c r="F54" s="1794"/>
      <c r="G54" s="1794"/>
      <c r="H54" s="1794"/>
      <c r="I54" s="1794"/>
    </row>
  </sheetData>
  <sheetProtection algorithmName="SHA-512" hashValue="RVOLa99wmtbJ3M+YyKQtvQTEQDcw8yiVPRPQVokZtnGvgozZ3WXj+3m5/l1MsRbtSrVmqrm2oEGVBUHodc3QPQ==" saltValue="YC1pGtUTDfdTnskYRQ0kNw==" spinCount="100000" sheet="1" objects="1" scenarios="1"/>
  <mergeCells count="12">
    <mergeCell ref="A48:J48"/>
    <mergeCell ref="A53:I54"/>
    <mergeCell ref="B26:F27"/>
    <mergeCell ref="B32:F32"/>
    <mergeCell ref="G38:H39"/>
    <mergeCell ref="I38:I39"/>
    <mergeCell ref="B21:F21"/>
    <mergeCell ref="A9:I9"/>
    <mergeCell ref="A10:I10"/>
    <mergeCell ref="A11:I11"/>
    <mergeCell ref="A13:I13"/>
    <mergeCell ref="A15:I15"/>
  </mergeCells>
  <dataValidations count="1">
    <dataValidation allowBlank="1" showInputMessage="1" showErrorMessage="1" promptTitle="Date Format" prompt="E.g:  &quot;August 1, 2011&quot;" sqref="WVM983042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xr:uid="{00000000-0002-0000-0E00-000000000000}"/>
  </dataValidations>
  <pageMargins left="0.7" right="0.7" top="0.75" bottom="0.75" header="0.3" footer="0.3"/>
  <pageSetup scale="53"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45">
    <tabColor rgb="FFFFC000"/>
    <pageSetUpPr fitToPage="1"/>
  </sheetPr>
  <dimension ref="A1:O55"/>
  <sheetViews>
    <sheetView showGridLines="0" zoomScaleNormal="100" workbookViewId="0"/>
  </sheetViews>
  <sheetFormatPr defaultRowHeight="15" x14ac:dyDescent="0.25"/>
  <cols>
    <col min="1" max="1" width="51.7109375" style="156" customWidth="1"/>
    <col min="2" max="2" width="11" style="156" customWidth="1"/>
    <col min="3" max="8" width="13.7109375" style="156" customWidth="1"/>
    <col min="9" max="9" width="12.7109375" style="156" customWidth="1"/>
    <col min="10" max="10" width="8.5703125" style="156" customWidth="1"/>
    <col min="11" max="11" width="13" style="156" customWidth="1"/>
    <col min="12" max="12" width="11.5703125" style="156" customWidth="1"/>
    <col min="13" max="13" width="9.28515625" style="156" bestFit="1" customWidth="1"/>
    <col min="14" max="259" width="9.28515625" style="156"/>
    <col min="260" max="260" width="51.7109375" style="156" customWidth="1"/>
    <col min="261" max="266" width="9.28515625" style="156"/>
    <col min="267" max="267" width="11.28515625" style="156" customWidth="1"/>
    <col min="268" max="515" width="9.28515625" style="156"/>
    <col min="516" max="516" width="51.7109375" style="156" customWidth="1"/>
    <col min="517" max="522" width="9.28515625" style="156"/>
    <col min="523" max="523" width="11.28515625" style="156" customWidth="1"/>
    <col min="524" max="771" width="9.28515625" style="156"/>
    <col min="772" max="772" width="51.7109375" style="156" customWidth="1"/>
    <col min="773" max="778" width="9.28515625" style="156"/>
    <col min="779" max="779" width="11.28515625" style="156" customWidth="1"/>
    <col min="780" max="1027" width="9.28515625" style="156"/>
    <col min="1028" max="1028" width="51.7109375" style="156" customWidth="1"/>
    <col min="1029" max="1034" width="9.28515625" style="156"/>
    <col min="1035" max="1035" width="11.28515625" style="156" customWidth="1"/>
    <col min="1036" max="1283" width="9.28515625" style="156"/>
    <col min="1284" max="1284" width="51.7109375" style="156" customWidth="1"/>
    <col min="1285" max="1290" width="9.28515625" style="156"/>
    <col min="1291" max="1291" width="11.28515625" style="156" customWidth="1"/>
    <col min="1292" max="1539" width="9.28515625" style="156"/>
    <col min="1540" max="1540" width="51.7109375" style="156" customWidth="1"/>
    <col min="1541" max="1546" width="9.28515625" style="156"/>
    <col min="1547" max="1547" width="11.28515625" style="156" customWidth="1"/>
    <col min="1548" max="1795" width="9.28515625" style="156"/>
    <col min="1796" max="1796" width="51.7109375" style="156" customWidth="1"/>
    <col min="1797" max="1802" width="9.28515625" style="156"/>
    <col min="1803" max="1803" width="11.28515625" style="156" customWidth="1"/>
    <col min="1804" max="2051" width="9.28515625" style="156"/>
    <col min="2052" max="2052" width="51.7109375" style="156" customWidth="1"/>
    <col min="2053" max="2058" width="9.28515625" style="156"/>
    <col min="2059" max="2059" width="11.28515625" style="156" customWidth="1"/>
    <col min="2060" max="2307" width="9.28515625" style="156"/>
    <col min="2308" max="2308" width="51.7109375" style="156" customWidth="1"/>
    <col min="2309" max="2314" width="9.28515625" style="156"/>
    <col min="2315" max="2315" width="11.28515625" style="156" customWidth="1"/>
    <col min="2316" max="2563" width="9.28515625" style="156"/>
    <col min="2564" max="2564" width="51.7109375" style="156" customWidth="1"/>
    <col min="2565" max="2570" width="9.28515625" style="156"/>
    <col min="2571" max="2571" width="11.28515625" style="156" customWidth="1"/>
    <col min="2572" max="2819" width="9.28515625" style="156"/>
    <col min="2820" max="2820" width="51.7109375" style="156" customWidth="1"/>
    <col min="2821" max="2826" width="9.28515625" style="156"/>
    <col min="2827" max="2827" width="11.28515625" style="156" customWidth="1"/>
    <col min="2828" max="3075" width="9.28515625" style="156"/>
    <col min="3076" max="3076" width="51.7109375" style="156" customWidth="1"/>
    <col min="3077" max="3082" width="9.28515625" style="156"/>
    <col min="3083" max="3083" width="11.28515625" style="156" customWidth="1"/>
    <col min="3084" max="3331" width="9.28515625" style="156"/>
    <col min="3332" max="3332" width="51.7109375" style="156" customWidth="1"/>
    <col min="3333" max="3338" width="9.28515625" style="156"/>
    <col min="3339" max="3339" width="11.28515625" style="156" customWidth="1"/>
    <col min="3340" max="3587" width="9.28515625" style="156"/>
    <col min="3588" max="3588" width="51.7109375" style="156" customWidth="1"/>
    <col min="3589" max="3594" width="9.28515625" style="156"/>
    <col min="3595" max="3595" width="11.28515625" style="156" customWidth="1"/>
    <col min="3596" max="3843" width="9.28515625" style="156"/>
    <col min="3844" max="3844" width="51.7109375" style="156" customWidth="1"/>
    <col min="3845" max="3850" width="9.28515625" style="156"/>
    <col min="3851" max="3851" width="11.28515625" style="156" customWidth="1"/>
    <col min="3852" max="4099" width="9.28515625" style="156"/>
    <col min="4100" max="4100" width="51.7109375" style="156" customWidth="1"/>
    <col min="4101" max="4106" width="9.28515625" style="156"/>
    <col min="4107" max="4107" width="11.28515625" style="156" customWidth="1"/>
    <col min="4108" max="4355" width="9.28515625" style="156"/>
    <col min="4356" max="4356" width="51.7109375" style="156" customWidth="1"/>
    <col min="4357" max="4362" width="9.28515625" style="156"/>
    <col min="4363" max="4363" width="11.28515625" style="156" customWidth="1"/>
    <col min="4364" max="4611" width="9.28515625" style="156"/>
    <col min="4612" max="4612" width="51.7109375" style="156" customWidth="1"/>
    <col min="4613" max="4618" width="9.28515625" style="156"/>
    <col min="4619" max="4619" width="11.28515625" style="156" customWidth="1"/>
    <col min="4620" max="4867" width="9.28515625" style="156"/>
    <col min="4868" max="4868" width="51.7109375" style="156" customWidth="1"/>
    <col min="4869" max="4874" width="9.28515625" style="156"/>
    <col min="4875" max="4875" width="11.28515625" style="156" customWidth="1"/>
    <col min="4876" max="5123" width="9.28515625" style="156"/>
    <col min="5124" max="5124" width="51.7109375" style="156" customWidth="1"/>
    <col min="5125" max="5130" width="9.28515625" style="156"/>
    <col min="5131" max="5131" width="11.28515625" style="156" customWidth="1"/>
    <col min="5132" max="5379" width="9.28515625" style="156"/>
    <col min="5380" max="5380" width="51.7109375" style="156" customWidth="1"/>
    <col min="5381" max="5386" width="9.28515625" style="156"/>
    <col min="5387" max="5387" width="11.28515625" style="156" customWidth="1"/>
    <col min="5388" max="5635" width="9.28515625" style="156"/>
    <col min="5636" max="5636" width="51.7109375" style="156" customWidth="1"/>
    <col min="5637" max="5642" width="9.28515625" style="156"/>
    <col min="5643" max="5643" width="11.28515625" style="156" customWidth="1"/>
    <col min="5644" max="5891" width="9.28515625" style="156"/>
    <col min="5892" max="5892" width="51.7109375" style="156" customWidth="1"/>
    <col min="5893" max="5898" width="9.28515625" style="156"/>
    <col min="5899" max="5899" width="11.28515625" style="156" customWidth="1"/>
    <col min="5900" max="6147" width="9.28515625" style="156"/>
    <col min="6148" max="6148" width="51.7109375" style="156" customWidth="1"/>
    <col min="6149" max="6154" width="9.28515625" style="156"/>
    <col min="6155" max="6155" width="11.28515625" style="156" customWidth="1"/>
    <col min="6156" max="6403" width="9.28515625" style="156"/>
    <col min="6404" max="6404" width="51.7109375" style="156" customWidth="1"/>
    <col min="6405" max="6410" width="9.28515625" style="156"/>
    <col min="6411" max="6411" width="11.28515625" style="156" customWidth="1"/>
    <col min="6412" max="6659" width="9.28515625" style="156"/>
    <col min="6660" max="6660" width="51.7109375" style="156" customWidth="1"/>
    <col min="6661" max="6666" width="9.28515625" style="156"/>
    <col min="6667" max="6667" width="11.28515625" style="156" customWidth="1"/>
    <col min="6668" max="6915" width="9.28515625" style="156"/>
    <col min="6916" max="6916" width="51.7109375" style="156" customWidth="1"/>
    <col min="6917" max="6922" width="9.28515625" style="156"/>
    <col min="6923" max="6923" width="11.28515625" style="156" customWidth="1"/>
    <col min="6924" max="7171" width="9.28515625" style="156"/>
    <col min="7172" max="7172" width="51.7109375" style="156" customWidth="1"/>
    <col min="7173" max="7178" width="9.28515625" style="156"/>
    <col min="7179" max="7179" width="11.28515625" style="156" customWidth="1"/>
    <col min="7180" max="7427" width="9.28515625" style="156"/>
    <col min="7428" max="7428" width="51.7109375" style="156" customWidth="1"/>
    <col min="7429" max="7434" width="9.28515625" style="156"/>
    <col min="7435" max="7435" width="11.28515625" style="156" customWidth="1"/>
    <col min="7436" max="7683" width="9.28515625" style="156"/>
    <col min="7684" max="7684" width="51.7109375" style="156" customWidth="1"/>
    <col min="7685" max="7690" width="9.28515625" style="156"/>
    <col min="7691" max="7691" width="11.28515625" style="156" customWidth="1"/>
    <col min="7692" max="7939" width="9.28515625" style="156"/>
    <col min="7940" max="7940" width="51.7109375" style="156" customWidth="1"/>
    <col min="7941" max="7946" width="9.28515625" style="156"/>
    <col min="7947" max="7947" width="11.28515625" style="156" customWidth="1"/>
    <col min="7948" max="8195" width="9.28515625" style="156"/>
    <col min="8196" max="8196" width="51.7109375" style="156" customWidth="1"/>
    <col min="8197" max="8202" width="9.28515625" style="156"/>
    <col min="8203" max="8203" width="11.28515625" style="156" customWidth="1"/>
    <col min="8204" max="8451" width="9.28515625" style="156"/>
    <col min="8452" max="8452" width="51.7109375" style="156" customWidth="1"/>
    <col min="8453" max="8458" width="9.28515625" style="156"/>
    <col min="8459" max="8459" width="11.28515625" style="156" customWidth="1"/>
    <col min="8460" max="8707" width="9.28515625" style="156"/>
    <col min="8708" max="8708" width="51.7109375" style="156" customWidth="1"/>
    <col min="8709" max="8714" width="9.28515625" style="156"/>
    <col min="8715" max="8715" width="11.28515625" style="156" customWidth="1"/>
    <col min="8716" max="8963" width="9.28515625" style="156"/>
    <col min="8964" max="8964" width="51.7109375" style="156" customWidth="1"/>
    <col min="8965" max="8970" width="9.28515625" style="156"/>
    <col min="8971" max="8971" width="11.28515625" style="156" customWidth="1"/>
    <col min="8972" max="9219" width="9.28515625" style="156"/>
    <col min="9220" max="9220" width="51.7109375" style="156" customWidth="1"/>
    <col min="9221" max="9226" width="9.28515625" style="156"/>
    <col min="9227" max="9227" width="11.28515625" style="156" customWidth="1"/>
    <col min="9228" max="9475" width="9.28515625" style="156"/>
    <col min="9476" max="9476" width="51.7109375" style="156" customWidth="1"/>
    <col min="9477" max="9482" width="9.28515625" style="156"/>
    <col min="9483" max="9483" width="11.28515625" style="156" customWidth="1"/>
    <col min="9484" max="9731" width="9.28515625" style="156"/>
    <col min="9732" max="9732" width="51.7109375" style="156" customWidth="1"/>
    <col min="9733" max="9738" width="9.28515625" style="156"/>
    <col min="9739" max="9739" width="11.28515625" style="156" customWidth="1"/>
    <col min="9740" max="9987" width="9.28515625" style="156"/>
    <col min="9988" max="9988" width="51.7109375" style="156" customWidth="1"/>
    <col min="9989" max="9994" width="9.28515625" style="156"/>
    <col min="9995" max="9995" width="11.28515625" style="156" customWidth="1"/>
    <col min="9996" max="10243" width="9.28515625" style="156"/>
    <col min="10244" max="10244" width="51.7109375" style="156" customWidth="1"/>
    <col min="10245" max="10250" width="9.28515625" style="156"/>
    <col min="10251" max="10251" width="11.28515625" style="156" customWidth="1"/>
    <col min="10252" max="10499" width="9.28515625" style="156"/>
    <col min="10500" max="10500" width="51.7109375" style="156" customWidth="1"/>
    <col min="10501" max="10506" width="9.28515625" style="156"/>
    <col min="10507" max="10507" width="11.28515625" style="156" customWidth="1"/>
    <col min="10508" max="10755" width="9.28515625" style="156"/>
    <col min="10756" max="10756" width="51.7109375" style="156" customWidth="1"/>
    <col min="10757" max="10762" width="9.28515625" style="156"/>
    <col min="10763" max="10763" width="11.28515625" style="156" customWidth="1"/>
    <col min="10764" max="11011" width="9.28515625" style="156"/>
    <col min="11012" max="11012" width="51.7109375" style="156" customWidth="1"/>
    <col min="11013" max="11018" width="9.28515625" style="156"/>
    <col min="11019" max="11019" width="11.28515625" style="156" customWidth="1"/>
    <col min="11020" max="11267" width="9.28515625" style="156"/>
    <col min="11268" max="11268" width="51.7109375" style="156" customWidth="1"/>
    <col min="11269" max="11274" width="9.28515625" style="156"/>
    <col min="11275" max="11275" width="11.28515625" style="156" customWidth="1"/>
    <col min="11276" max="11523" width="9.28515625" style="156"/>
    <col min="11524" max="11524" width="51.7109375" style="156" customWidth="1"/>
    <col min="11525" max="11530" width="9.28515625" style="156"/>
    <col min="11531" max="11531" width="11.28515625" style="156" customWidth="1"/>
    <col min="11532" max="11779" width="9.28515625" style="156"/>
    <col min="11780" max="11780" width="51.7109375" style="156" customWidth="1"/>
    <col min="11781" max="11786" width="9.28515625" style="156"/>
    <col min="11787" max="11787" width="11.28515625" style="156" customWidth="1"/>
    <col min="11788" max="12035" width="9.28515625" style="156"/>
    <col min="12036" max="12036" width="51.7109375" style="156" customWidth="1"/>
    <col min="12037" max="12042" width="9.28515625" style="156"/>
    <col min="12043" max="12043" width="11.28515625" style="156" customWidth="1"/>
    <col min="12044" max="12291" width="9.28515625" style="156"/>
    <col min="12292" max="12292" width="51.7109375" style="156" customWidth="1"/>
    <col min="12293" max="12298" width="9.28515625" style="156"/>
    <col min="12299" max="12299" width="11.28515625" style="156" customWidth="1"/>
    <col min="12300" max="12547" width="9.28515625" style="156"/>
    <col min="12548" max="12548" width="51.7109375" style="156" customWidth="1"/>
    <col min="12549" max="12554" width="9.28515625" style="156"/>
    <col min="12555" max="12555" width="11.28515625" style="156" customWidth="1"/>
    <col min="12556" max="12803" width="9.28515625" style="156"/>
    <col min="12804" max="12804" width="51.7109375" style="156" customWidth="1"/>
    <col min="12805" max="12810" width="9.28515625" style="156"/>
    <col min="12811" max="12811" width="11.28515625" style="156" customWidth="1"/>
    <col min="12812" max="13059" width="9.28515625" style="156"/>
    <col min="13060" max="13060" width="51.7109375" style="156" customWidth="1"/>
    <col min="13061" max="13066" width="9.28515625" style="156"/>
    <col min="13067" max="13067" width="11.28515625" style="156" customWidth="1"/>
    <col min="13068" max="13315" width="9.28515625" style="156"/>
    <col min="13316" max="13316" width="51.7109375" style="156" customWidth="1"/>
    <col min="13317" max="13322" width="9.28515625" style="156"/>
    <col min="13323" max="13323" width="11.28515625" style="156" customWidth="1"/>
    <col min="13324" max="13571" width="9.28515625" style="156"/>
    <col min="13572" max="13572" width="51.7109375" style="156" customWidth="1"/>
    <col min="13573" max="13578" width="9.28515625" style="156"/>
    <col min="13579" max="13579" width="11.28515625" style="156" customWidth="1"/>
    <col min="13580" max="13827" width="9.28515625" style="156"/>
    <col min="13828" max="13828" width="51.7109375" style="156" customWidth="1"/>
    <col min="13829" max="13834" width="9.28515625" style="156"/>
    <col min="13835" max="13835" width="11.28515625" style="156" customWidth="1"/>
    <col min="13836" max="14083" width="9.28515625" style="156"/>
    <col min="14084" max="14084" width="51.7109375" style="156" customWidth="1"/>
    <col min="14085" max="14090" width="9.28515625" style="156"/>
    <col min="14091" max="14091" width="11.28515625" style="156" customWidth="1"/>
    <col min="14092" max="14339" width="9.28515625" style="156"/>
    <col min="14340" max="14340" width="51.7109375" style="156" customWidth="1"/>
    <col min="14341" max="14346" width="9.28515625" style="156"/>
    <col min="14347" max="14347" width="11.28515625" style="156" customWidth="1"/>
    <col min="14348" max="14595" width="9.28515625" style="156"/>
    <col min="14596" max="14596" width="51.7109375" style="156" customWidth="1"/>
    <col min="14597" max="14602" width="9.28515625" style="156"/>
    <col min="14603" max="14603" width="11.28515625" style="156" customWidth="1"/>
    <col min="14604" max="14851" width="9.28515625" style="156"/>
    <col min="14852" max="14852" width="51.7109375" style="156" customWidth="1"/>
    <col min="14853" max="14858" width="9.28515625" style="156"/>
    <col min="14859" max="14859" width="11.28515625" style="156" customWidth="1"/>
    <col min="14860" max="15107" width="9.28515625" style="156"/>
    <col min="15108" max="15108" width="51.7109375" style="156" customWidth="1"/>
    <col min="15109" max="15114" width="9.28515625" style="156"/>
    <col min="15115" max="15115" width="11.28515625" style="156" customWidth="1"/>
    <col min="15116" max="15363" width="9.28515625" style="156"/>
    <col min="15364" max="15364" width="51.7109375" style="156" customWidth="1"/>
    <col min="15365" max="15370" width="9.28515625" style="156"/>
    <col min="15371" max="15371" width="11.28515625" style="156" customWidth="1"/>
    <col min="15372" max="15619" width="9.28515625" style="156"/>
    <col min="15620" max="15620" width="51.7109375" style="156" customWidth="1"/>
    <col min="15621" max="15626" width="9.28515625" style="156"/>
    <col min="15627" max="15627" width="11.28515625" style="156" customWidth="1"/>
    <col min="15628" max="15875" width="9.28515625" style="156"/>
    <col min="15876" max="15876" width="51.7109375" style="156" customWidth="1"/>
    <col min="15877" max="15882" width="9.28515625" style="156"/>
    <col min="15883" max="15883" width="11.28515625" style="156" customWidth="1"/>
    <col min="15884" max="16131" width="9.28515625" style="156"/>
    <col min="16132" max="16132" width="51.7109375" style="156" customWidth="1"/>
    <col min="16133" max="16138" width="9.28515625" style="156"/>
    <col min="16139" max="16139" width="11.28515625" style="156" customWidth="1"/>
    <col min="16140" max="16384" width="9.28515625" style="156"/>
  </cols>
  <sheetData>
    <row r="1" spans="1:15" x14ac:dyDescent="0.25">
      <c r="A1" s="34"/>
      <c r="B1" s="79"/>
      <c r="C1" s="79"/>
      <c r="D1" s="79"/>
      <c r="E1" s="79"/>
      <c r="F1" s="79"/>
      <c r="G1" s="79"/>
      <c r="H1" s="79"/>
      <c r="I1" s="79"/>
      <c r="J1" s="34"/>
      <c r="K1" s="77" t="s">
        <v>277</v>
      </c>
      <c r="L1" s="620" t="str">
        <f>EBNUMBER</f>
        <v>EB-2018-0056</v>
      </c>
    </row>
    <row r="2" spans="1:15" x14ac:dyDescent="0.25">
      <c r="A2" s="34"/>
      <c r="B2" s="79"/>
      <c r="C2" s="79"/>
      <c r="D2" s="79"/>
      <c r="E2" s="79"/>
      <c r="F2" s="79"/>
      <c r="G2" s="79"/>
      <c r="H2" s="79"/>
      <c r="I2" s="79"/>
      <c r="J2" s="34"/>
      <c r="K2" s="77" t="s">
        <v>278</v>
      </c>
      <c r="L2" s="33"/>
    </row>
    <row r="3" spans="1:15" x14ac:dyDescent="0.25">
      <c r="A3" s="34"/>
      <c r="B3" s="79"/>
      <c r="C3" s="79"/>
      <c r="D3" s="79"/>
      <c r="E3" s="79"/>
      <c r="F3" s="79"/>
      <c r="G3" s="79"/>
      <c r="H3" s="79"/>
      <c r="I3" s="79"/>
      <c r="J3" s="34"/>
      <c r="K3" s="77" t="s">
        <v>279</v>
      </c>
      <c r="L3" s="33"/>
    </row>
    <row r="4" spans="1:15" x14ac:dyDescent="0.25">
      <c r="A4" s="34"/>
      <c r="B4" s="79"/>
      <c r="C4" s="79"/>
      <c r="D4" s="79"/>
      <c r="E4" s="79"/>
      <c r="F4" s="79"/>
      <c r="G4" s="79"/>
      <c r="H4" s="79"/>
      <c r="I4" s="79"/>
      <c r="J4" s="34"/>
      <c r="K4" s="77" t="s">
        <v>280</v>
      </c>
      <c r="L4" s="33"/>
    </row>
    <row r="5" spans="1:15" x14ac:dyDescent="0.25">
      <c r="A5" s="34"/>
      <c r="B5" s="79"/>
      <c r="C5" s="79"/>
      <c r="D5" s="79"/>
      <c r="E5" s="79"/>
      <c r="F5" s="79"/>
      <c r="G5" s="79"/>
      <c r="H5" s="79"/>
      <c r="I5" s="79"/>
      <c r="J5" s="34"/>
      <c r="K5" s="77" t="s">
        <v>281</v>
      </c>
      <c r="L5" s="469"/>
    </row>
    <row r="6" spans="1:15" x14ac:dyDescent="0.25">
      <c r="A6" s="34"/>
      <c r="B6" s="79"/>
      <c r="C6" s="79"/>
      <c r="D6" s="79"/>
      <c r="E6" s="79"/>
      <c r="F6" s="79"/>
      <c r="G6" s="79"/>
      <c r="H6" s="79"/>
      <c r="I6" s="79"/>
      <c r="J6" s="34"/>
      <c r="K6" s="77"/>
      <c r="L6" s="620"/>
    </row>
    <row r="7" spans="1:15" x14ac:dyDescent="0.25">
      <c r="A7" s="34"/>
      <c r="B7" s="79"/>
      <c r="C7" s="79"/>
      <c r="D7" s="79"/>
      <c r="E7" s="79"/>
      <c r="F7" s="79"/>
      <c r="G7" s="79"/>
      <c r="H7" s="79"/>
      <c r="I7" s="79"/>
      <c r="J7" s="34"/>
      <c r="K7" s="77" t="s">
        <v>282</v>
      </c>
      <c r="L7" s="469"/>
    </row>
    <row r="8" spans="1:15" x14ac:dyDescent="0.25">
      <c r="A8" s="34"/>
      <c r="B8" s="34"/>
      <c r="C8" s="34"/>
      <c r="D8" s="34"/>
      <c r="E8" s="34"/>
      <c r="F8" s="34"/>
      <c r="G8" s="34"/>
      <c r="H8" s="34"/>
      <c r="I8" s="34"/>
      <c r="J8" s="34"/>
      <c r="K8" s="34"/>
      <c r="L8" s="34"/>
    </row>
    <row r="9" spans="1:15" ht="18" x14ac:dyDescent="0.25">
      <c r="A9" s="1760" t="s">
        <v>382</v>
      </c>
      <c r="B9" s="1760"/>
      <c r="C9" s="1760"/>
      <c r="D9" s="1760"/>
      <c r="E9" s="1760"/>
      <c r="F9" s="1760"/>
      <c r="G9" s="1760"/>
      <c r="H9" s="1760"/>
      <c r="I9" s="1760"/>
      <c r="J9" s="1760"/>
      <c r="K9" s="1760"/>
      <c r="L9" s="1760"/>
    </row>
    <row r="10" spans="1:15" ht="18" x14ac:dyDescent="0.25">
      <c r="A10" s="1760" t="s">
        <v>459</v>
      </c>
      <c r="B10" s="1760"/>
      <c r="C10" s="1760"/>
      <c r="D10" s="1760"/>
      <c r="E10" s="1760"/>
      <c r="F10" s="1760"/>
      <c r="G10" s="1760"/>
      <c r="H10" s="1760"/>
      <c r="I10" s="1760"/>
      <c r="J10" s="1760"/>
      <c r="K10" s="1760"/>
      <c r="L10" s="1760"/>
    </row>
    <row r="11" spans="1:15" ht="18" x14ac:dyDescent="0.25">
      <c r="A11" s="1760" t="s">
        <v>460</v>
      </c>
      <c r="B11" s="1760"/>
      <c r="C11" s="1760"/>
      <c r="D11" s="1760"/>
      <c r="E11" s="1760"/>
      <c r="F11" s="1760"/>
      <c r="G11" s="1760"/>
      <c r="H11" s="1760"/>
      <c r="I11" s="1760"/>
      <c r="J11" s="1760"/>
      <c r="K11" s="1760"/>
      <c r="L11" s="1760"/>
    </row>
    <row r="12" spans="1:15" x14ac:dyDescent="0.25">
      <c r="A12" s="34"/>
      <c r="B12" s="34"/>
      <c r="C12" s="34"/>
      <c r="D12" s="34"/>
      <c r="E12" s="34"/>
      <c r="F12" s="34"/>
      <c r="G12" s="34"/>
      <c r="H12" s="34"/>
      <c r="I12" s="34"/>
      <c r="J12" s="34"/>
      <c r="K12" s="34"/>
      <c r="L12" s="34"/>
    </row>
    <row r="13" spans="1:15" s="157" customFormat="1" ht="15" customHeight="1" x14ac:dyDescent="0.25">
      <c r="A13" s="1803" t="s">
        <v>1188</v>
      </c>
      <c r="B13" s="1803"/>
      <c r="C13" s="1803"/>
      <c r="D13" s="1803"/>
      <c r="E13" s="1803"/>
      <c r="F13" s="1803"/>
      <c r="G13" s="1803"/>
      <c r="H13" s="1803"/>
      <c r="I13" s="1803"/>
      <c r="J13" s="1803"/>
      <c r="K13" s="1803"/>
      <c r="L13" s="1803"/>
      <c r="M13" s="137"/>
      <c r="N13" s="137"/>
      <c r="O13" s="137"/>
    </row>
    <row r="14" spans="1:15" x14ac:dyDescent="0.25">
      <c r="A14" s="1803"/>
      <c r="B14" s="1803"/>
      <c r="C14" s="1803"/>
      <c r="D14" s="1803"/>
      <c r="E14" s="1803"/>
      <c r="F14" s="1803"/>
      <c r="G14" s="1803"/>
      <c r="H14" s="1803"/>
      <c r="I14" s="1803"/>
      <c r="J14" s="1803"/>
      <c r="K14" s="1803"/>
      <c r="L14" s="1803"/>
      <c r="M14" s="159"/>
      <c r="N14" s="159"/>
    </row>
    <row r="15" spans="1:15" x14ac:dyDescent="0.25">
      <c r="A15" s="1792"/>
      <c r="B15" s="1792"/>
      <c r="C15" s="1792"/>
      <c r="D15" s="1792"/>
      <c r="E15" s="1792"/>
      <c r="F15" s="1792"/>
      <c r="G15" s="1792"/>
      <c r="H15" s="1792"/>
      <c r="I15" s="1792"/>
      <c r="J15" s="1792"/>
      <c r="K15" s="1792"/>
      <c r="L15" s="1792"/>
      <c r="M15" s="159"/>
      <c r="N15" s="159"/>
    </row>
    <row r="16" spans="1:15" x14ac:dyDescent="0.25">
      <c r="A16" s="158"/>
      <c r="B16" s="158"/>
      <c r="C16" s="158"/>
      <c r="D16" s="158"/>
      <c r="E16" s="158"/>
      <c r="F16" s="158"/>
      <c r="G16" s="158"/>
      <c r="H16" s="158"/>
      <c r="I16" s="158"/>
      <c r="J16" s="158"/>
      <c r="K16" s="158"/>
      <c r="L16" s="158"/>
      <c r="M16" s="159"/>
      <c r="N16" s="159"/>
    </row>
    <row r="17" spans="1:10" ht="39" x14ac:dyDescent="0.25">
      <c r="A17" s="158"/>
      <c r="B17" s="160" t="s">
        <v>1189</v>
      </c>
      <c r="C17" s="160">
        <v>2012</v>
      </c>
      <c r="D17" s="160">
        <v>2013</v>
      </c>
      <c r="E17" s="160">
        <v>2014</v>
      </c>
      <c r="F17" s="160">
        <v>2015</v>
      </c>
      <c r="G17" s="160">
        <v>2016</v>
      </c>
      <c r="H17" s="160">
        <v>2017</v>
      </c>
      <c r="I17" s="160" t="s">
        <v>1190</v>
      </c>
      <c r="J17" s="159"/>
    </row>
    <row r="18" spans="1:10" ht="25.5" x14ac:dyDescent="0.25">
      <c r="A18" s="161" t="s">
        <v>93</v>
      </c>
      <c r="B18" s="162" t="s">
        <v>94</v>
      </c>
      <c r="C18" s="162" t="s">
        <v>94</v>
      </c>
      <c r="D18" s="162" t="s">
        <v>94</v>
      </c>
      <c r="E18" s="162" t="s">
        <v>94</v>
      </c>
      <c r="F18" s="163" t="s">
        <v>959</v>
      </c>
      <c r="G18" s="162" t="s">
        <v>95</v>
      </c>
      <c r="H18" s="162" t="s">
        <v>95</v>
      </c>
      <c r="I18" s="163" t="s">
        <v>95</v>
      </c>
      <c r="J18" s="159"/>
    </row>
    <row r="19" spans="1:10" x14ac:dyDescent="0.25">
      <c r="A19" s="161"/>
      <c r="B19" s="162" t="s">
        <v>80</v>
      </c>
      <c r="C19" s="162" t="s">
        <v>370</v>
      </c>
      <c r="D19" s="162" t="s">
        <v>370</v>
      </c>
      <c r="E19" s="162" t="s">
        <v>370</v>
      </c>
      <c r="F19" s="162" t="s">
        <v>370</v>
      </c>
      <c r="G19" s="162" t="s">
        <v>370</v>
      </c>
      <c r="H19" s="162" t="s">
        <v>80</v>
      </c>
      <c r="I19" s="162" t="s">
        <v>80</v>
      </c>
      <c r="J19" s="159"/>
    </row>
    <row r="20" spans="1:10" x14ac:dyDescent="0.25">
      <c r="A20" s="158"/>
      <c r="B20" s="185"/>
      <c r="C20" s="165" t="s">
        <v>152</v>
      </c>
      <c r="D20" s="165" t="s">
        <v>152</v>
      </c>
      <c r="E20" s="165" t="s">
        <v>152</v>
      </c>
      <c r="F20" s="165" t="s">
        <v>152</v>
      </c>
      <c r="G20" s="165" t="s">
        <v>152</v>
      </c>
      <c r="H20" s="165" t="s">
        <v>152</v>
      </c>
      <c r="I20" s="165"/>
      <c r="J20" s="159"/>
    </row>
    <row r="21" spans="1:10" x14ac:dyDescent="0.25">
      <c r="A21" s="161" t="s">
        <v>461</v>
      </c>
      <c r="B21" s="1804"/>
      <c r="C21" s="1788"/>
      <c r="D21" s="1788"/>
      <c r="E21" s="1788"/>
      <c r="F21" s="1788"/>
      <c r="G21" s="1788"/>
      <c r="H21" s="1788"/>
      <c r="I21" s="1789"/>
      <c r="J21" s="159"/>
    </row>
    <row r="22" spans="1:10" x14ac:dyDescent="0.25">
      <c r="A22" s="164" t="s">
        <v>372</v>
      </c>
      <c r="B22" s="186"/>
      <c r="C22" s="167"/>
      <c r="D22" s="169">
        <f>+C25</f>
        <v>0</v>
      </c>
      <c r="E22" s="169">
        <f>+D25</f>
        <v>0</v>
      </c>
      <c r="F22" s="169">
        <f>+E25</f>
        <v>0</v>
      </c>
      <c r="G22" s="169">
        <f>+F25</f>
        <v>0</v>
      </c>
      <c r="H22" s="169">
        <f>+G25</f>
        <v>0</v>
      </c>
      <c r="I22" s="166"/>
      <c r="J22" s="159"/>
    </row>
    <row r="23" spans="1:10" x14ac:dyDescent="0.25">
      <c r="A23" s="164" t="s">
        <v>670</v>
      </c>
      <c r="B23" s="186"/>
      <c r="C23" s="167"/>
      <c r="D23" s="167"/>
      <c r="E23" s="167"/>
      <c r="F23" s="167"/>
      <c r="G23" s="167"/>
      <c r="H23" s="167"/>
      <c r="I23" s="166"/>
      <c r="J23" s="159"/>
    </row>
    <row r="24" spans="1:10" x14ac:dyDescent="0.25">
      <c r="A24" s="164" t="s">
        <v>671</v>
      </c>
      <c r="B24" s="186"/>
      <c r="C24" s="167"/>
      <c r="D24" s="167"/>
      <c r="E24" s="167"/>
      <c r="F24" s="167"/>
      <c r="G24" s="167"/>
      <c r="H24" s="167"/>
      <c r="I24" s="166"/>
      <c r="J24" s="159"/>
    </row>
    <row r="25" spans="1:10" x14ac:dyDescent="0.25">
      <c r="A25" s="168" t="s">
        <v>373</v>
      </c>
      <c r="B25" s="186"/>
      <c r="C25" s="169">
        <f t="shared" ref="C25:H25" si="0">C22+C23+C24</f>
        <v>0</v>
      </c>
      <c r="D25" s="169">
        <f t="shared" si="0"/>
        <v>0</v>
      </c>
      <c r="E25" s="169">
        <f t="shared" si="0"/>
        <v>0</v>
      </c>
      <c r="F25" s="169">
        <f t="shared" si="0"/>
        <v>0</v>
      </c>
      <c r="G25" s="169">
        <f t="shared" si="0"/>
        <v>0</v>
      </c>
      <c r="H25" s="169">
        <f t="shared" si="0"/>
        <v>0</v>
      </c>
      <c r="I25" s="166"/>
      <c r="J25" s="159"/>
    </row>
    <row r="26" spans="1:10" x14ac:dyDescent="0.25">
      <c r="A26" s="158"/>
      <c r="B26" s="1805"/>
      <c r="C26" s="1795"/>
      <c r="D26" s="1795"/>
      <c r="E26" s="1795"/>
      <c r="F26" s="1795"/>
      <c r="G26" s="1795"/>
      <c r="H26" s="1795"/>
      <c r="I26" s="1796"/>
      <c r="J26" s="159"/>
    </row>
    <row r="27" spans="1:10" x14ac:dyDescent="0.25">
      <c r="A27" s="170" t="s">
        <v>462</v>
      </c>
      <c r="B27" s="1806"/>
      <c r="C27" s="1797"/>
      <c r="D27" s="1797"/>
      <c r="E27" s="1797"/>
      <c r="F27" s="1797"/>
      <c r="G27" s="1797"/>
      <c r="H27" s="1797"/>
      <c r="I27" s="1798"/>
      <c r="J27" s="159"/>
    </row>
    <row r="28" spans="1:10" x14ac:dyDescent="0.25">
      <c r="A28" s="164" t="s">
        <v>374</v>
      </c>
      <c r="B28" s="166"/>
      <c r="C28" s="171"/>
      <c r="D28" s="169">
        <f>+C31</f>
        <v>0</v>
      </c>
      <c r="E28" s="169">
        <f>+D31</f>
        <v>0</v>
      </c>
      <c r="F28" s="169">
        <f>+E31</f>
        <v>0</v>
      </c>
      <c r="G28" s="169">
        <f>+F31</f>
        <v>0</v>
      </c>
      <c r="H28" s="169">
        <f>+G31</f>
        <v>0</v>
      </c>
      <c r="I28" s="166"/>
      <c r="J28" s="159"/>
    </row>
    <row r="29" spans="1:10" x14ac:dyDescent="0.25">
      <c r="A29" s="164" t="s">
        <v>670</v>
      </c>
      <c r="B29" s="166"/>
      <c r="C29" s="171"/>
      <c r="D29" s="171"/>
      <c r="E29" s="171"/>
      <c r="F29" s="171"/>
      <c r="G29" s="171"/>
      <c r="H29" s="171"/>
      <c r="I29" s="166"/>
      <c r="J29" s="159"/>
    </row>
    <row r="30" spans="1:10" x14ac:dyDescent="0.25">
      <c r="A30" s="164" t="s">
        <v>671</v>
      </c>
      <c r="B30" s="166"/>
      <c r="C30" s="171"/>
      <c r="D30" s="171"/>
      <c r="E30" s="171"/>
      <c r="F30" s="171"/>
      <c r="G30" s="171"/>
      <c r="H30" s="171"/>
      <c r="I30" s="166"/>
      <c r="J30" s="159"/>
    </row>
    <row r="31" spans="1:10" x14ac:dyDescent="0.25">
      <c r="A31" s="168" t="s">
        <v>375</v>
      </c>
      <c r="B31" s="166"/>
      <c r="C31" s="169">
        <f t="shared" ref="C31:H31" si="1">SUM(C28:C30)</f>
        <v>0</v>
      </c>
      <c r="D31" s="169">
        <f t="shared" si="1"/>
        <v>0</v>
      </c>
      <c r="E31" s="169">
        <f t="shared" si="1"/>
        <v>0</v>
      </c>
      <c r="F31" s="169">
        <f t="shared" si="1"/>
        <v>0</v>
      </c>
      <c r="G31" s="169">
        <f t="shared" si="1"/>
        <v>0</v>
      </c>
      <c r="H31" s="169">
        <f t="shared" si="1"/>
        <v>0</v>
      </c>
      <c r="I31" s="166"/>
      <c r="J31" s="159"/>
    </row>
    <row r="32" spans="1:10" x14ac:dyDescent="0.25">
      <c r="A32" s="158"/>
      <c r="B32" s="1804"/>
      <c r="C32" s="1788"/>
      <c r="D32" s="1788"/>
      <c r="E32" s="1788"/>
      <c r="F32" s="1788"/>
      <c r="G32" s="1788"/>
      <c r="H32" s="1788"/>
      <c r="I32" s="1789"/>
      <c r="J32" s="159"/>
    </row>
    <row r="33" spans="1:14" ht="26.25" x14ac:dyDescent="0.25">
      <c r="A33" s="172" t="s">
        <v>677</v>
      </c>
      <c r="B33" s="166"/>
      <c r="C33" s="173">
        <f t="shared" ref="C33:H33" si="2">C25-C31</f>
        <v>0</v>
      </c>
      <c r="D33" s="173">
        <f t="shared" si="2"/>
        <v>0</v>
      </c>
      <c r="E33" s="173">
        <f t="shared" si="2"/>
        <v>0</v>
      </c>
      <c r="F33" s="173">
        <f t="shared" si="2"/>
        <v>0</v>
      </c>
      <c r="G33" s="173">
        <f t="shared" si="2"/>
        <v>0</v>
      </c>
      <c r="H33" s="173">
        <f t="shared" si="2"/>
        <v>0</v>
      </c>
      <c r="I33" s="166"/>
      <c r="J33" s="159"/>
    </row>
    <row r="34" spans="1:14" x14ac:dyDescent="0.25">
      <c r="A34" s="161"/>
      <c r="B34" s="158"/>
      <c r="C34" s="158"/>
      <c r="D34" s="174"/>
      <c r="E34" s="174"/>
      <c r="F34" s="174"/>
      <c r="G34" s="174"/>
      <c r="H34" s="174"/>
      <c r="I34" s="174"/>
      <c r="J34" s="174"/>
      <c r="K34" s="174"/>
      <c r="L34" s="158"/>
      <c r="M34" s="159"/>
      <c r="N34" s="159"/>
    </row>
    <row r="35" spans="1:14" x14ac:dyDescent="0.25">
      <c r="A35" s="161"/>
      <c r="B35" s="158"/>
      <c r="C35" s="158"/>
      <c r="D35" s="174"/>
      <c r="E35" s="174"/>
      <c r="F35" s="174"/>
      <c r="G35" s="174"/>
      <c r="H35" s="174"/>
      <c r="I35" s="174"/>
      <c r="J35" s="174"/>
      <c r="K35" s="174"/>
      <c r="L35" s="158"/>
      <c r="M35" s="159"/>
      <c r="N35" s="159"/>
    </row>
    <row r="36" spans="1:14" x14ac:dyDescent="0.25">
      <c r="A36" s="161" t="s">
        <v>672</v>
      </c>
      <c r="B36" s="158"/>
      <c r="C36" s="158"/>
      <c r="D36" s="174"/>
      <c r="E36" s="174"/>
      <c r="F36" s="174"/>
      <c r="G36" s="174"/>
      <c r="H36" s="174"/>
      <c r="I36" s="174"/>
      <c r="J36" s="174"/>
      <c r="K36" s="174"/>
      <c r="L36" s="158"/>
      <c r="M36" s="159"/>
      <c r="N36" s="159"/>
    </row>
    <row r="37" spans="1:14" s="180" customFormat="1" x14ac:dyDescent="0.25">
      <c r="A37" s="175" t="s">
        <v>678</v>
      </c>
      <c r="B37" s="176"/>
      <c r="C37" s="176"/>
      <c r="D37" s="176"/>
      <c r="E37" s="176"/>
      <c r="F37" s="176"/>
      <c r="G37" s="176"/>
      <c r="H37" s="176"/>
      <c r="I37" s="177">
        <f>IF(ISERROR(H33), 0, H33)</f>
        <v>0</v>
      </c>
      <c r="J37" s="158"/>
      <c r="K37" s="178" t="s">
        <v>377</v>
      </c>
      <c r="L37" s="179"/>
      <c r="M37" s="159"/>
      <c r="N37" s="159"/>
    </row>
    <row r="38" spans="1:14" s="180" customFormat="1" ht="26.25" customHeight="1" x14ac:dyDescent="0.25">
      <c r="A38" s="175" t="s">
        <v>679</v>
      </c>
      <c r="B38" s="176"/>
      <c r="C38" s="176"/>
      <c r="D38" s="176"/>
      <c r="E38" s="176"/>
      <c r="F38" s="176"/>
      <c r="G38" s="176"/>
      <c r="H38" s="176"/>
      <c r="I38" s="177">
        <f>H33*L37*L38</f>
        <v>0</v>
      </c>
      <c r="J38" s="1799" t="s">
        <v>673</v>
      </c>
      <c r="K38" s="1799"/>
      <c r="L38" s="1800"/>
      <c r="M38" s="181"/>
      <c r="N38" s="159"/>
    </row>
    <row r="39" spans="1:14" x14ac:dyDescent="0.25">
      <c r="A39" s="182" t="s">
        <v>674</v>
      </c>
      <c r="B39" s="183"/>
      <c r="C39" s="183"/>
      <c r="D39" s="183"/>
      <c r="E39" s="183"/>
      <c r="F39" s="183"/>
      <c r="G39" s="183"/>
      <c r="H39" s="183"/>
      <c r="I39" s="184">
        <f>I37+I38</f>
        <v>0</v>
      </c>
      <c r="J39" s="1799"/>
      <c r="K39" s="1799"/>
      <c r="L39" s="1801"/>
      <c r="M39" s="159"/>
      <c r="N39" s="159"/>
    </row>
    <row r="40" spans="1:14" x14ac:dyDescent="0.25">
      <c r="A40" s="161"/>
      <c r="B40" s="158"/>
      <c r="C40" s="158"/>
      <c r="D40" s="158"/>
      <c r="E40" s="158"/>
      <c r="F40" s="158"/>
      <c r="G40" s="158"/>
      <c r="H40" s="158"/>
      <c r="I40" s="187"/>
      <c r="J40" s="158"/>
      <c r="K40" s="158"/>
      <c r="L40" s="158"/>
      <c r="M40" s="159"/>
      <c r="N40" s="159"/>
    </row>
    <row r="41" spans="1:14" x14ac:dyDescent="0.25">
      <c r="A41" s="161" t="s">
        <v>6</v>
      </c>
      <c r="B41" s="158"/>
      <c r="C41" s="158"/>
      <c r="D41" s="158"/>
      <c r="E41" s="158"/>
      <c r="F41" s="158"/>
      <c r="G41" s="158"/>
      <c r="H41" s="158"/>
      <c r="I41" s="158"/>
      <c r="J41" s="158"/>
      <c r="K41" s="158"/>
      <c r="L41" s="158"/>
      <c r="M41" s="159"/>
      <c r="N41" s="159"/>
    </row>
    <row r="42" spans="1:14" ht="27.75" customHeight="1" x14ac:dyDescent="0.25">
      <c r="A42" s="1802" t="s">
        <v>463</v>
      </c>
      <c r="B42" s="1802"/>
      <c r="C42" s="1802"/>
      <c r="D42" s="1802"/>
      <c r="E42" s="1802"/>
      <c r="F42" s="1802"/>
      <c r="G42" s="1802"/>
      <c r="H42" s="1802"/>
      <c r="I42" s="1802"/>
      <c r="J42" s="1802"/>
      <c r="K42" s="1802"/>
      <c r="L42" s="1802"/>
      <c r="M42" s="1802"/>
      <c r="N42" s="159"/>
    </row>
    <row r="43" spans="1:14" x14ac:dyDescent="0.25">
      <c r="A43" s="158" t="s">
        <v>680</v>
      </c>
      <c r="B43" s="158"/>
      <c r="C43" s="158"/>
      <c r="D43" s="158"/>
      <c r="E43" s="158"/>
      <c r="F43" s="158"/>
      <c r="G43" s="158"/>
      <c r="H43" s="158"/>
      <c r="I43" s="158"/>
      <c r="J43" s="158"/>
      <c r="K43" s="158"/>
      <c r="L43" s="158"/>
      <c r="M43" s="159"/>
      <c r="N43" s="159"/>
    </row>
    <row r="44" spans="1:14" x14ac:dyDescent="0.25">
      <c r="A44" s="158" t="s">
        <v>1191</v>
      </c>
      <c r="B44" s="158"/>
      <c r="C44" s="158"/>
      <c r="D44" s="158"/>
      <c r="E44" s="158"/>
      <c r="F44" s="158"/>
      <c r="G44" s="158"/>
      <c r="H44" s="158"/>
      <c r="I44" s="158"/>
      <c r="J44" s="158"/>
      <c r="K44" s="158"/>
      <c r="L44" s="158"/>
      <c r="M44" s="159"/>
      <c r="N44" s="159"/>
    </row>
    <row r="45" spans="1:14" x14ac:dyDescent="0.25">
      <c r="A45" s="158" t="s">
        <v>378</v>
      </c>
      <c r="B45" s="158"/>
      <c r="C45" s="158"/>
      <c r="D45" s="158"/>
      <c r="E45" s="158"/>
      <c r="F45" s="158"/>
      <c r="G45" s="158"/>
      <c r="H45" s="158"/>
      <c r="I45" s="158"/>
      <c r="J45" s="158"/>
      <c r="K45" s="158"/>
      <c r="L45" s="158"/>
      <c r="M45" s="159"/>
      <c r="N45" s="159"/>
    </row>
    <row r="46" spans="1:14" ht="15" customHeight="1" x14ac:dyDescent="0.25">
      <c r="A46" s="1794" t="s">
        <v>681</v>
      </c>
      <c r="B46" s="1794"/>
      <c r="C46" s="1794"/>
      <c r="D46" s="1794"/>
      <c r="E46" s="1794"/>
      <c r="F46" s="1794"/>
      <c r="G46" s="1794"/>
      <c r="H46" s="1794"/>
      <c r="I46" s="1794"/>
      <c r="J46" s="1794"/>
      <c r="K46" s="1794"/>
      <c r="L46" s="158"/>
      <c r="M46" s="159"/>
      <c r="N46" s="159"/>
    </row>
    <row r="47" spans="1:14" x14ac:dyDescent="0.25">
      <c r="A47" s="158" t="s">
        <v>806</v>
      </c>
      <c r="B47" s="159"/>
      <c r="C47" s="159"/>
      <c r="D47" s="159"/>
      <c r="E47" s="159"/>
      <c r="F47" s="159"/>
      <c r="G47" s="159"/>
      <c r="H47" s="159"/>
      <c r="I47" s="159"/>
      <c r="J47" s="159"/>
      <c r="K47" s="159"/>
      <c r="L47" s="158"/>
      <c r="M47" s="159"/>
      <c r="N47" s="159"/>
    </row>
    <row r="48" spans="1:14" x14ac:dyDescent="0.25">
      <c r="A48" s="158" t="s">
        <v>961</v>
      </c>
      <c r="B48" s="158"/>
      <c r="C48" s="158"/>
      <c r="D48" s="158"/>
      <c r="E48" s="158"/>
      <c r="F48" s="158"/>
      <c r="G48" s="158"/>
      <c r="H48" s="158"/>
      <c r="I48" s="158"/>
      <c r="J48" s="158"/>
      <c r="K48" s="158"/>
      <c r="L48" s="158"/>
      <c r="M48" s="159"/>
      <c r="N48" s="159"/>
    </row>
    <row r="49" spans="1:14" x14ac:dyDescent="0.25">
      <c r="A49" s="158"/>
      <c r="B49" s="158"/>
      <c r="C49" s="158"/>
      <c r="D49" s="158"/>
      <c r="E49" s="158"/>
      <c r="F49" s="158"/>
      <c r="G49" s="158"/>
      <c r="H49" s="158"/>
      <c r="I49" s="158"/>
      <c r="J49" s="158"/>
      <c r="K49" s="158"/>
      <c r="L49" s="158"/>
      <c r="M49" s="159"/>
      <c r="N49" s="159"/>
    </row>
    <row r="50" spans="1:14" x14ac:dyDescent="0.25">
      <c r="A50" s="158"/>
      <c r="B50" s="158"/>
      <c r="C50" s="158"/>
      <c r="D50" s="158"/>
      <c r="E50" s="158"/>
      <c r="F50" s="158"/>
      <c r="G50" s="158"/>
      <c r="H50" s="158"/>
      <c r="I50" s="158"/>
      <c r="J50" s="158"/>
      <c r="K50" s="158"/>
      <c r="L50" s="158"/>
      <c r="M50" s="159"/>
      <c r="N50" s="159"/>
    </row>
    <row r="51" spans="1:14" x14ac:dyDescent="0.25">
      <c r="A51" s="158"/>
      <c r="B51" s="158"/>
      <c r="C51" s="158"/>
      <c r="D51" s="158"/>
      <c r="E51" s="158"/>
      <c r="F51" s="158"/>
      <c r="G51" s="158"/>
      <c r="H51" s="158"/>
      <c r="I51" s="158"/>
      <c r="J51" s="158"/>
      <c r="K51" s="158"/>
      <c r="L51" s="158"/>
      <c r="M51" s="159"/>
      <c r="N51" s="159"/>
    </row>
    <row r="52" spans="1:14" x14ac:dyDescent="0.25">
      <c r="A52" s="158"/>
      <c r="B52" s="158"/>
      <c r="C52" s="158"/>
      <c r="D52" s="158"/>
      <c r="E52" s="158"/>
      <c r="F52" s="158"/>
      <c r="G52" s="158"/>
      <c r="H52" s="158"/>
      <c r="I52" s="158"/>
      <c r="J52" s="158"/>
      <c r="K52" s="158"/>
      <c r="L52" s="158"/>
      <c r="M52" s="159"/>
      <c r="N52" s="159"/>
    </row>
    <row r="53" spans="1:14" x14ac:dyDescent="0.25">
      <c r="A53" s="158"/>
      <c r="B53" s="158"/>
      <c r="C53" s="158"/>
      <c r="D53" s="158"/>
      <c r="E53" s="158"/>
      <c r="F53" s="158"/>
      <c r="G53" s="158"/>
      <c r="H53" s="158"/>
      <c r="I53" s="158"/>
      <c r="J53" s="158"/>
      <c r="K53" s="158"/>
      <c r="L53" s="158"/>
      <c r="M53" s="159"/>
      <c r="N53" s="159"/>
    </row>
    <row r="54" spans="1:14" x14ac:dyDescent="0.25">
      <c r="A54" s="158"/>
      <c r="B54" s="158"/>
      <c r="C54" s="158"/>
      <c r="D54" s="158"/>
      <c r="E54" s="158"/>
      <c r="F54" s="158"/>
      <c r="G54" s="158"/>
      <c r="H54" s="158"/>
      <c r="I54" s="158"/>
      <c r="J54" s="158"/>
      <c r="K54" s="158"/>
      <c r="L54" s="158"/>
      <c r="M54" s="159"/>
      <c r="N54" s="159"/>
    </row>
    <row r="55" spans="1:14" x14ac:dyDescent="0.25">
      <c r="A55" s="158"/>
      <c r="B55" s="159"/>
      <c r="C55" s="159"/>
      <c r="D55" s="159"/>
      <c r="E55" s="159"/>
      <c r="F55" s="159"/>
      <c r="G55" s="159"/>
      <c r="H55" s="159"/>
      <c r="I55" s="159"/>
      <c r="J55" s="159"/>
      <c r="K55" s="159"/>
      <c r="L55" s="159"/>
      <c r="M55" s="159"/>
      <c r="N55" s="159"/>
    </row>
  </sheetData>
  <sheetProtection algorithmName="SHA-512" hashValue="CyjEMxmuUommaYbbCKYf9viTqyuciuUv9eaXt/mPRHAn/VYcY03y/LhMgRjoDszfvp6asTpauqVpyyk33pfQoQ==" saltValue="+Vk9motNQOcBfOq+can2EA==" spinCount="100000" sheet="1" objects="1" scenarios="1"/>
  <mergeCells count="12">
    <mergeCell ref="A42:M42"/>
    <mergeCell ref="A46:K46"/>
    <mergeCell ref="A9:L9"/>
    <mergeCell ref="A10:L10"/>
    <mergeCell ref="A11:L11"/>
    <mergeCell ref="A13:L14"/>
    <mergeCell ref="A15:L15"/>
    <mergeCell ref="B21:I21"/>
    <mergeCell ref="B26:I27"/>
    <mergeCell ref="B32:I32"/>
    <mergeCell ref="J38:K39"/>
    <mergeCell ref="L38:L39"/>
  </mergeCells>
  <dataValidations count="1">
    <dataValidation allowBlank="1" showInputMessage="1" showErrorMessage="1" promptTitle="Date Format" prompt="E.g:  &quot;August 1, 2011&quot;" sqref="WVP983044 JD7 SZ7 ACV7 AMR7 AWN7 BGJ7 BQF7 CAB7 CJX7 CTT7 DDP7 DNL7 DXH7 EHD7 EQZ7 FAV7 FKR7 FUN7 GEJ7 GOF7 GYB7 HHX7 HRT7 IBP7 ILL7 IVH7 JFD7 JOZ7 JYV7 KIR7 KSN7 LCJ7 LMF7 LWB7 MFX7 MPT7 MZP7 NJL7 NTH7 ODD7 OMZ7 OWV7 PGR7 PQN7 QAJ7 QKF7 QUB7 RDX7 RNT7 RXP7 SHL7 SRH7 TBD7 TKZ7 TUV7 UER7 UON7 UYJ7 VIF7 VSB7 WBX7 WLT7 WVP7 G65540:H65540 JD65540 SZ65540 ACV65540 AMR65540 AWN65540 BGJ65540 BQF65540 CAB65540 CJX65540 CTT65540 DDP65540 DNL65540 DXH65540 EHD65540 EQZ65540 FAV65540 FKR65540 FUN65540 GEJ65540 GOF65540 GYB65540 HHX65540 HRT65540 IBP65540 ILL65540 IVH65540 JFD65540 JOZ65540 JYV65540 KIR65540 KSN65540 LCJ65540 LMF65540 LWB65540 MFX65540 MPT65540 MZP65540 NJL65540 NTH65540 ODD65540 OMZ65540 OWV65540 PGR65540 PQN65540 QAJ65540 QKF65540 QUB65540 RDX65540 RNT65540 RXP65540 SHL65540 SRH65540 TBD65540 TKZ65540 TUV65540 UER65540 UON65540 UYJ65540 VIF65540 VSB65540 WBX65540 WLT65540 WVP65540 G131076:H131076 JD131076 SZ131076 ACV131076 AMR131076 AWN131076 BGJ131076 BQF131076 CAB131076 CJX131076 CTT131076 DDP131076 DNL131076 DXH131076 EHD131076 EQZ131076 FAV131076 FKR131076 FUN131076 GEJ131076 GOF131076 GYB131076 HHX131076 HRT131076 IBP131076 ILL131076 IVH131076 JFD131076 JOZ131076 JYV131076 KIR131076 KSN131076 LCJ131076 LMF131076 LWB131076 MFX131076 MPT131076 MZP131076 NJL131076 NTH131076 ODD131076 OMZ131076 OWV131076 PGR131076 PQN131076 QAJ131076 QKF131076 QUB131076 RDX131076 RNT131076 RXP131076 SHL131076 SRH131076 TBD131076 TKZ131076 TUV131076 UER131076 UON131076 UYJ131076 VIF131076 VSB131076 WBX131076 WLT131076 WVP131076 G196612:H196612 JD196612 SZ196612 ACV196612 AMR196612 AWN196612 BGJ196612 BQF196612 CAB196612 CJX196612 CTT196612 DDP196612 DNL196612 DXH196612 EHD196612 EQZ196612 FAV196612 FKR196612 FUN196612 GEJ196612 GOF196612 GYB196612 HHX196612 HRT196612 IBP196612 ILL196612 IVH196612 JFD196612 JOZ196612 JYV196612 KIR196612 KSN196612 LCJ196612 LMF196612 LWB196612 MFX196612 MPT196612 MZP196612 NJL196612 NTH196612 ODD196612 OMZ196612 OWV196612 PGR196612 PQN196612 QAJ196612 QKF196612 QUB196612 RDX196612 RNT196612 RXP196612 SHL196612 SRH196612 TBD196612 TKZ196612 TUV196612 UER196612 UON196612 UYJ196612 VIF196612 VSB196612 WBX196612 WLT196612 WVP196612 G262148:H262148 JD262148 SZ262148 ACV262148 AMR262148 AWN262148 BGJ262148 BQF262148 CAB262148 CJX262148 CTT262148 DDP262148 DNL262148 DXH262148 EHD262148 EQZ262148 FAV262148 FKR262148 FUN262148 GEJ262148 GOF262148 GYB262148 HHX262148 HRT262148 IBP262148 ILL262148 IVH262148 JFD262148 JOZ262148 JYV262148 KIR262148 KSN262148 LCJ262148 LMF262148 LWB262148 MFX262148 MPT262148 MZP262148 NJL262148 NTH262148 ODD262148 OMZ262148 OWV262148 PGR262148 PQN262148 QAJ262148 QKF262148 QUB262148 RDX262148 RNT262148 RXP262148 SHL262148 SRH262148 TBD262148 TKZ262148 TUV262148 UER262148 UON262148 UYJ262148 VIF262148 VSB262148 WBX262148 WLT262148 WVP262148 G327684:H327684 JD327684 SZ327684 ACV327684 AMR327684 AWN327684 BGJ327684 BQF327684 CAB327684 CJX327684 CTT327684 DDP327684 DNL327684 DXH327684 EHD327684 EQZ327684 FAV327684 FKR327684 FUN327684 GEJ327684 GOF327684 GYB327684 HHX327684 HRT327684 IBP327684 ILL327684 IVH327684 JFD327684 JOZ327684 JYV327684 KIR327684 KSN327684 LCJ327684 LMF327684 LWB327684 MFX327684 MPT327684 MZP327684 NJL327684 NTH327684 ODD327684 OMZ327684 OWV327684 PGR327684 PQN327684 QAJ327684 QKF327684 QUB327684 RDX327684 RNT327684 RXP327684 SHL327684 SRH327684 TBD327684 TKZ327684 TUV327684 UER327684 UON327684 UYJ327684 VIF327684 VSB327684 WBX327684 WLT327684 WVP327684 G393220:H393220 JD393220 SZ393220 ACV393220 AMR393220 AWN393220 BGJ393220 BQF393220 CAB393220 CJX393220 CTT393220 DDP393220 DNL393220 DXH393220 EHD393220 EQZ393220 FAV393220 FKR393220 FUN393220 GEJ393220 GOF393220 GYB393220 HHX393220 HRT393220 IBP393220 ILL393220 IVH393220 JFD393220 JOZ393220 JYV393220 KIR393220 KSN393220 LCJ393220 LMF393220 LWB393220 MFX393220 MPT393220 MZP393220 NJL393220 NTH393220 ODD393220 OMZ393220 OWV393220 PGR393220 PQN393220 QAJ393220 QKF393220 QUB393220 RDX393220 RNT393220 RXP393220 SHL393220 SRH393220 TBD393220 TKZ393220 TUV393220 UER393220 UON393220 UYJ393220 VIF393220 VSB393220 WBX393220 WLT393220 WVP393220 G458756:H458756 JD458756 SZ458756 ACV458756 AMR458756 AWN458756 BGJ458756 BQF458756 CAB458756 CJX458756 CTT458756 DDP458756 DNL458756 DXH458756 EHD458756 EQZ458756 FAV458756 FKR458756 FUN458756 GEJ458756 GOF458756 GYB458756 HHX458756 HRT458756 IBP458756 ILL458756 IVH458756 JFD458756 JOZ458756 JYV458756 KIR458756 KSN458756 LCJ458756 LMF458756 LWB458756 MFX458756 MPT458756 MZP458756 NJL458756 NTH458756 ODD458756 OMZ458756 OWV458756 PGR458756 PQN458756 QAJ458756 QKF458756 QUB458756 RDX458756 RNT458756 RXP458756 SHL458756 SRH458756 TBD458756 TKZ458756 TUV458756 UER458756 UON458756 UYJ458756 VIF458756 VSB458756 WBX458756 WLT458756 WVP458756 G524292:H524292 JD524292 SZ524292 ACV524292 AMR524292 AWN524292 BGJ524292 BQF524292 CAB524292 CJX524292 CTT524292 DDP524292 DNL524292 DXH524292 EHD524292 EQZ524292 FAV524292 FKR524292 FUN524292 GEJ524292 GOF524292 GYB524292 HHX524292 HRT524292 IBP524292 ILL524292 IVH524292 JFD524292 JOZ524292 JYV524292 KIR524292 KSN524292 LCJ524292 LMF524292 LWB524292 MFX524292 MPT524292 MZP524292 NJL524292 NTH524292 ODD524292 OMZ524292 OWV524292 PGR524292 PQN524292 QAJ524292 QKF524292 QUB524292 RDX524292 RNT524292 RXP524292 SHL524292 SRH524292 TBD524292 TKZ524292 TUV524292 UER524292 UON524292 UYJ524292 VIF524292 VSB524292 WBX524292 WLT524292 WVP524292 G589828:H589828 JD589828 SZ589828 ACV589828 AMR589828 AWN589828 BGJ589828 BQF589828 CAB589828 CJX589828 CTT589828 DDP589828 DNL589828 DXH589828 EHD589828 EQZ589828 FAV589828 FKR589828 FUN589828 GEJ589828 GOF589828 GYB589828 HHX589828 HRT589828 IBP589828 ILL589828 IVH589828 JFD589828 JOZ589828 JYV589828 KIR589828 KSN589828 LCJ589828 LMF589828 LWB589828 MFX589828 MPT589828 MZP589828 NJL589828 NTH589828 ODD589828 OMZ589828 OWV589828 PGR589828 PQN589828 QAJ589828 QKF589828 QUB589828 RDX589828 RNT589828 RXP589828 SHL589828 SRH589828 TBD589828 TKZ589828 TUV589828 UER589828 UON589828 UYJ589828 VIF589828 VSB589828 WBX589828 WLT589828 WVP589828 G655364:H655364 JD655364 SZ655364 ACV655364 AMR655364 AWN655364 BGJ655364 BQF655364 CAB655364 CJX655364 CTT655364 DDP655364 DNL655364 DXH655364 EHD655364 EQZ655364 FAV655364 FKR655364 FUN655364 GEJ655364 GOF655364 GYB655364 HHX655364 HRT655364 IBP655364 ILL655364 IVH655364 JFD655364 JOZ655364 JYV655364 KIR655364 KSN655364 LCJ655364 LMF655364 LWB655364 MFX655364 MPT655364 MZP655364 NJL655364 NTH655364 ODD655364 OMZ655364 OWV655364 PGR655364 PQN655364 QAJ655364 QKF655364 QUB655364 RDX655364 RNT655364 RXP655364 SHL655364 SRH655364 TBD655364 TKZ655364 TUV655364 UER655364 UON655364 UYJ655364 VIF655364 VSB655364 WBX655364 WLT655364 WVP655364 G720900:H720900 JD720900 SZ720900 ACV720900 AMR720900 AWN720900 BGJ720900 BQF720900 CAB720900 CJX720900 CTT720900 DDP720900 DNL720900 DXH720900 EHD720900 EQZ720900 FAV720900 FKR720900 FUN720900 GEJ720900 GOF720900 GYB720900 HHX720900 HRT720900 IBP720900 ILL720900 IVH720900 JFD720900 JOZ720900 JYV720900 KIR720900 KSN720900 LCJ720900 LMF720900 LWB720900 MFX720900 MPT720900 MZP720900 NJL720900 NTH720900 ODD720900 OMZ720900 OWV720900 PGR720900 PQN720900 QAJ720900 QKF720900 QUB720900 RDX720900 RNT720900 RXP720900 SHL720900 SRH720900 TBD720900 TKZ720900 TUV720900 UER720900 UON720900 UYJ720900 VIF720900 VSB720900 WBX720900 WLT720900 WVP720900 G786436:H786436 JD786436 SZ786436 ACV786436 AMR786436 AWN786436 BGJ786436 BQF786436 CAB786436 CJX786436 CTT786436 DDP786436 DNL786436 DXH786436 EHD786436 EQZ786436 FAV786436 FKR786436 FUN786436 GEJ786436 GOF786436 GYB786436 HHX786436 HRT786436 IBP786436 ILL786436 IVH786436 JFD786436 JOZ786436 JYV786436 KIR786436 KSN786436 LCJ786436 LMF786436 LWB786436 MFX786436 MPT786436 MZP786436 NJL786436 NTH786436 ODD786436 OMZ786436 OWV786436 PGR786436 PQN786436 QAJ786436 QKF786436 QUB786436 RDX786436 RNT786436 RXP786436 SHL786436 SRH786436 TBD786436 TKZ786436 TUV786436 UER786436 UON786436 UYJ786436 VIF786436 VSB786436 WBX786436 WLT786436 WVP786436 G851972:H851972 JD851972 SZ851972 ACV851972 AMR851972 AWN851972 BGJ851972 BQF851972 CAB851972 CJX851972 CTT851972 DDP851972 DNL851972 DXH851972 EHD851972 EQZ851972 FAV851972 FKR851972 FUN851972 GEJ851972 GOF851972 GYB851972 HHX851972 HRT851972 IBP851972 ILL851972 IVH851972 JFD851972 JOZ851972 JYV851972 KIR851972 KSN851972 LCJ851972 LMF851972 LWB851972 MFX851972 MPT851972 MZP851972 NJL851972 NTH851972 ODD851972 OMZ851972 OWV851972 PGR851972 PQN851972 QAJ851972 QKF851972 QUB851972 RDX851972 RNT851972 RXP851972 SHL851972 SRH851972 TBD851972 TKZ851972 TUV851972 UER851972 UON851972 UYJ851972 VIF851972 VSB851972 WBX851972 WLT851972 WVP851972 G917508:H917508 JD917508 SZ917508 ACV917508 AMR917508 AWN917508 BGJ917508 BQF917508 CAB917508 CJX917508 CTT917508 DDP917508 DNL917508 DXH917508 EHD917508 EQZ917508 FAV917508 FKR917508 FUN917508 GEJ917508 GOF917508 GYB917508 HHX917508 HRT917508 IBP917508 ILL917508 IVH917508 JFD917508 JOZ917508 JYV917508 KIR917508 KSN917508 LCJ917508 LMF917508 LWB917508 MFX917508 MPT917508 MZP917508 NJL917508 NTH917508 ODD917508 OMZ917508 OWV917508 PGR917508 PQN917508 QAJ917508 QKF917508 QUB917508 RDX917508 RNT917508 RXP917508 SHL917508 SRH917508 TBD917508 TKZ917508 TUV917508 UER917508 UON917508 UYJ917508 VIF917508 VSB917508 WBX917508 WLT917508 WVP917508 G983044:H983044 JD983044 SZ983044 ACV983044 AMR983044 AWN983044 BGJ983044 BQF983044 CAB983044 CJX983044 CTT983044 DDP983044 DNL983044 DXH983044 EHD983044 EQZ983044 FAV983044 FKR983044 FUN983044 GEJ983044 GOF983044 GYB983044 HHX983044 HRT983044 IBP983044 ILL983044 IVH983044 JFD983044 JOZ983044 JYV983044 KIR983044 KSN983044 LCJ983044 LMF983044 LWB983044 MFX983044 MPT983044 MZP983044 NJL983044 NTH983044 ODD983044 OMZ983044 OWV983044 PGR983044 PQN983044 QAJ983044 QKF983044 QUB983044 RDX983044 RNT983044 RXP983044 SHL983044 SRH983044 TBD983044 TKZ983044 TUV983044 UER983044 UON983044 UYJ983044 VIF983044 VSB983044 WBX983044 WLT983044" xr:uid="{00000000-0002-0000-0F00-000000000000}"/>
  </dataValidations>
  <pageMargins left="0.7" right="0.7" top="0.75" bottom="0.75" header="0.3" footer="0.3"/>
  <pageSetup scale="46" orientation="portrait" verticalDpi="20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3">
    <tabColor rgb="FFFFC000"/>
    <pageSetUpPr fitToPage="1"/>
  </sheetPr>
  <dimension ref="A1:N55"/>
  <sheetViews>
    <sheetView showGridLines="0" zoomScaleNormal="100" workbookViewId="0"/>
  </sheetViews>
  <sheetFormatPr defaultRowHeight="15" x14ac:dyDescent="0.25"/>
  <cols>
    <col min="1" max="1" width="51.7109375" style="156" customWidth="1"/>
    <col min="2" max="2" width="11" style="156" customWidth="1"/>
    <col min="3" max="7" width="13.7109375" style="156" customWidth="1"/>
    <col min="8" max="8" width="12.7109375" style="156" customWidth="1"/>
    <col min="9" max="9" width="9.42578125" style="156" customWidth="1"/>
    <col min="10" max="10" width="13.7109375" style="156" customWidth="1"/>
    <col min="11" max="11" width="12.42578125" style="156" customWidth="1"/>
    <col min="12" max="12" width="9.28515625" style="156" bestFit="1" customWidth="1"/>
    <col min="13" max="258" width="9.28515625" style="156"/>
    <col min="259" max="259" width="51.7109375" style="156" customWidth="1"/>
    <col min="260" max="265" width="9.28515625" style="156"/>
    <col min="266" max="266" width="11.28515625" style="156" customWidth="1"/>
    <col min="267" max="514" width="9.28515625" style="156"/>
    <col min="515" max="515" width="51.7109375" style="156" customWidth="1"/>
    <col min="516" max="521" width="9.28515625" style="156"/>
    <col min="522" max="522" width="11.28515625" style="156" customWidth="1"/>
    <col min="523" max="770" width="9.28515625" style="156"/>
    <col min="771" max="771" width="51.7109375" style="156" customWidth="1"/>
    <col min="772" max="777" width="9.28515625" style="156"/>
    <col min="778" max="778" width="11.28515625" style="156" customWidth="1"/>
    <col min="779" max="1026" width="9.28515625" style="156"/>
    <col min="1027" max="1027" width="51.7109375" style="156" customWidth="1"/>
    <col min="1028" max="1033" width="9.28515625" style="156"/>
    <col min="1034" max="1034" width="11.28515625" style="156" customWidth="1"/>
    <col min="1035" max="1282" width="9.28515625" style="156"/>
    <col min="1283" max="1283" width="51.7109375" style="156" customWidth="1"/>
    <col min="1284" max="1289" width="9.28515625" style="156"/>
    <col min="1290" max="1290" width="11.28515625" style="156" customWidth="1"/>
    <col min="1291" max="1538" width="9.28515625" style="156"/>
    <col min="1539" max="1539" width="51.7109375" style="156" customWidth="1"/>
    <col min="1540" max="1545" width="9.28515625" style="156"/>
    <col min="1546" max="1546" width="11.28515625" style="156" customWidth="1"/>
    <col min="1547" max="1794" width="9.28515625" style="156"/>
    <col min="1795" max="1795" width="51.7109375" style="156" customWidth="1"/>
    <col min="1796" max="1801" width="9.28515625" style="156"/>
    <col min="1802" max="1802" width="11.28515625" style="156" customWidth="1"/>
    <col min="1803" max="2050" width="9.28515625" style="156"/>
    <col min="2051" max="2051" width="51.7109375" style="156" customWidth="1"/>
    <col min="2052" max="2057" width="9.28515625" style="156"/>
    <col min="2058" max="2058" width="11.28515625" style="156" customWidth="1"/>
    <col min="2059" max="2306" width="9.28515625" style="156"/>
    <col min="2307" max="2307" width="51.7109375" style="156" customWidth="1"/>
    <col min="2308" max="2313" width="9.28515625" style="156"/>
    <col min="2314" max="2314" width="11.28515625" style="156" customWidth="1"/>
    <col min="2315" max="2562" width="9.28515625" style="156"/>
    <col min="2563" max="2563" width="51.7109375" style="156" customWidth="1"/>
    <col min="2564" max="2569" width="9.28515625" style="156"/>
    <col min="2570" max="2570" width="11.28515625" style="156" customWidth="1"/>
    <col min="2571" max="2818" width="9.28515625" style="156"/>
    <col min="2819" max="2819" width="51.7109375" style="156" customWidth="1"/>
    <col min="2820" max="2825" width="9.28515625" style="156"/>
    <col min="2826" max="2826" width="11.28515625" style="156" customWidth="1"/>
    <col min="2827" max="3074" width="9.28515625" style="156"/>
    <col min="3075" max="3075" width="51.7109375" style="156" customWidth="1"/>
    <col min="3076" max="3081" width="9.28515625" style="156"/>
    <col min="3082" max="3082" width="11.28515625" style="156" customWidth="1"/>
    <col min="3083" max="3330" width="9.28515625" style="156"/>
    <col min="3331" max="3331" width="51.7109375" style="156" customWidth="1"/>
    <col min="3332" max="3337" width="9.28515625" style="156"/>
    <col min="3338" max="3338" width="11.28515625" style="156" customWidth="1"/>
    <col min="3339" max="3586" width="9.28515625" style="156"/>
    <col min="3587" max="3587" width="51.7109375" style="156" customWidth="1"/>
    <col min="3588" max="3593" width="9.28515625" style="156"/>
    <col min="3594" max="3594" width="11.28515625" style="156" customWidth="1"/>
    <col min="3595" max="3842" width="9.28515625" style="156"/>
    <col min="3843" max="3843" width="51.7109375" style="156" customWidth="1"/>
    <col min="3844" max="3849" width="9.28515625" style="156"/>
    <col min="3850" max="3850" width="11.28515625" style="156" customWidth="1"/>
    <col min="3851" max="4098" width="9.28515625" style="156"/>
    <col min="4099" max="4099" width="51.7109375" style="156" customWidth="1"/>
    <col min="4100" max="4105" width="9.28515625" style="156"/>
    <col min="4106" max="4106" width="11.28515625" style="156" customWidth="1"/>
    <col min="4107" max="4354" width="9.28515625" style="156"/>
    <col min="4355" max="4355" width="51.7109375" style="156" customWidth="1"/>
    <col min="4356" max="4361" width="9.28515625" style="156"/>
    <col min="4362" max="4362" width="11.28515625" style="156" customWidth="1"/>
    <col min="4363" max="4610" width="9.28515625" style="156"/>
    <col min="4611" max="4611" width="51.7109375" style="156" customWidth="1"/>
    <col min="4612" max="4617" width="9.28515625" style="156"/>
    <col min="4618" max="4618" width="11.28515625" style="156" customWidth="1"/>
    <col min="4619" max="4866" width="9.28515625" style="156"/>
    <col min="4867" max="4867" width="51.7109375" style="156" customWidth="1"/>
    <col min="4868" max="4873" width="9.28515625" style="156"/>
    <col min="4874" max="4874" width="11.28515625" style="156" customWidth="1"/>
    <col min="4875" max="5122" width="9.28515625" style="156"/>
    <col min="5123" max="5123" width="51.7109375" style="156" customWidth="1"/>
    <col min="5124" max="5129" width="9.28515625" style="156"/>
    <col min="5130" max="5130" width="11.28515625" style="156" customWidth="1"/>
    <col min="5131" max="5378" width="9.28515625" style="156"/>
    <col min="5379" max="5379" width="51.7109375" style="156" customWidth="1"/>
    <col min="5380" max="5385" width="9.28515625" style="156"/>
    <col min="5386" max="5386" width="11.28515625" style="156" customWidth="1"/>
    <col min="5387" max="5634" width="9.28515625" style="156"/>
    <col min="5635" max="5635" width="51.7109375" style="156" customWidth="1"/>
    <col min="5636" max="5641" width="9.28515625" style="156"/>
    <col min="5642" max="5642" width="11.28515625" style="156" customWidth="1"/>
    <col min="5643" max="5890" width="9.28515625" style="156"/>
    <col min="5891" max="5891" width="51.7109375" style="156" customWidth="1"/>
    <col min="5892" max="5897" width="9.28515625" style="156"/>
    <col min="5898" max="5898" width="11.28515625" style="156" customWidth="1"/>
    <col min="5899" max="6146" width="9.28515625" style="156"/>
    <col min="6147" max="6147" width="51.7109375" style="156" customWidth="1"/>
    <col min="6148" max="6153" width="9.28515625" style="156"/>
    <col min="6154" max="6154" width="11.28515625" style="156" customWidth="1"/>
    <col min="6155" max="6402" width="9.28515625" style="156"/>
    <col min="6403" max="6403" width="51.7109375" style="156" customWidth="1"/>
    <col min="6404" max="6409" width="9.28515625" style="156"/>
    <col min="6410" max="6410" width="11.28515625" style="156" customWidth="1"/>
    <col min="6411" max="6658" width="9.28515625" style="156"/>
    <col min="6659" max="6659" width="51.7109375" style="156" customWidth="1"/>
    <col min="6660" max="6665" width="9.28515625" style="156"/>
    <col min="6666" max="6666" width="11.28515625" style="156" customWidth="1"/>
    <col min="6667" max="6914" width="9.28515625" style="156"/>
    <col min="6915" max="6915" width="51.7109375" style="156" customWidth="1"/>
    <col min="6916" max="6921" width="9.28515625" style="156"/>
    <col min="6922" max="6922" width="11.28515625" style="156" customWidth="1"/>
    <col min="6923" max="7170" width="9.28515625" style="156"/>
    <col min="7171" max="7171" width="51.7109375" style="156" customWidth="1"/>
    <col min="7172" max="7177" width="9.28515625" style="156"/>
    <col min="7178" max="7178" width="11.28515625" style="156" customWidth="1"/>
    <col min="7179" max="7426" width="9.28515625" style="156"/>
    <col min="7427" max="7427" width="51.7109375" style="156" customWidth="1"/>
    <col min="7428" max="7433" width="9.28515625" style="156"/>
    <col min="7434" max="7434" width="11.28515625" style="156" customWidth="1"/>
    <col min="7435" max="7682" width="9.28515625" style="156"/>
    <col min="7683" max="7683" width="51.7109375" style="156" customWidth="1"/>
    <col min="7684" max="7689" width="9.28515625" style="156"/>
    <col min="7690" max="7690" width="11.28515625" style="156" customWidth="1"/>
    <col min="7691" max="7938" width="9.28515625" style="156"/>
    <col min="7939" max="7939" width="51.7109375" style="156" customWidth="1"/>
    <col min="7940" max="7945" width="9.28515625" style="156"/>
    <col min="7946" max="7946" width="11.28515625" style="156" customWidth="1"/>
    <col min="7947" max="8194" width="9.28515625" style="156"/>
    <col min="8195" max="8195" width="51.7109375" style="156" customWidth="1"/>
    <col min="8196" max="8201" width="9.28515625" style="156"/>
    <col min="8202" max="8202" width="11.28515625" style="156" customWidth="1"/>
    <col min="8203" max="8450" width="9.28515625" style="156"/>
    <col min="8451" max="8451" width="51.7109375" style="156" customWidth="1"/>
    <col min="8452" max="8457" width="9.28515625" style="156"/>
    <col min="8458" max="8458" width="11.28515625" style="156" customWidth="1"/>
    <col min="8459" max="8706" width="9.28515625" style="156"/>
    <col min="8707" max="8707" width="51.7109375" style="156" customWidth="1"/>
    <col min="8708" max="8713" width="9.28515625" style="156"/>
    <col min="8714" max="8714" width="11.28515625" style="156" customWidth="1"/>
    <col min="8715" max="8962" width="9.28515625" style="156"/>
    <col min="8963" max="8963" width="51.7109375" style="156" customWidth="1"/>
    <col min="8964" max="8969" width="9.28515625" style="156"/>
    <col min="8970" max="8970" width="11.28515625" style="156" customWidth="1"/>
    <col min="8971" max="9218" width="9.28515625" style="156"/>
    <col min="9219" max="9219" width="51.7109375" style="156" customWidth="1"/>
    <col min="9220" max="9225" width="9.28515625" style="156"/>
    <col min="9226" max="9226" width="11.28515625" style="156" customWidth="1"/>
    <col min="9227" max="9474" width="9.28515625" style="156"/>
    <col min="9475" max="9475" width="51.7109375" style="156" customWidth="1"/>
    <col min="9476" max="9481" width="9.28515625" style="156"/>
    <col min="9482" max="9482" width="11.28515625" style="156" customWidth="1"/>
    <col min="9483" max="9730" width="9.28515625" style="156"/>
    <col min="9731" max="9731" width="51.7109375" style="156" customWidth="1"/>
    <col min="9732" max="9737" width="9.28515625" style="156"/>
    <col min="9738" max="9738" width="11.28515625" style="156" customWidth="1"/>
    <col min="9739" max="9986" width="9.28515625" style="156"/>
    <col min="9987" max="9987" width="51.7109375" style="156" customWidth="1"/>
    <col min="9988" max="9993" width="9.28515625" style="156"/>
    <col min="9994" max="9994" width="11.28515625" style="156" customWidth="1"/>
    <col min="9995" max="10242" width="9.28515625" style="156"/>
    <col min="10243" max="10243" width="51.7109375" style="156" customWidth="1"/>
    <col min="10244" max="10249" width="9.28515625" style="156"/>
    <col min="10250" max="10250" width="11.28515625" style="156" customWidth="1"/>
    <col min="10251" max="10498" width="9.28515625" style="156"/>
    <col min="10499" max="10499" width="51.7109375" style="156" customWidth="1"/>
    <col min="10500" max="10505" width="9.28515625" style="156"/>
    <col min="10506" max="10506" width="11.28515625" style="156" customWidth="1"/>
    <col min="10507" max="10754" width="9.28515625" style="156"/>
    <col min="10755" max="10755" width="51.7109375" style="156" customWidth="1"/>
    <col min="10756" max="10761" width="9.28515625" style="156"/>
    <col min="10762" max="10762" width="11.28515625" style="156" customWidth="1"/>
    <col min="10763" max="11010" width="9.28515625" style="156"/>
    <col min="11011" max="11011" width="51.7109375" style="156" customWidth="1"/>
    <col min="11012" max="11017" width="9.28515625" style="156"/>
    <col min="11018" max="11018" width="11.28515625" style="156" customWidth="1"/>
    <col min="11019" max="11266" width="9.28515625" style="156"/>
    <col min="11267" max="11267" width="51.7109375" style="156" customWidth="1"/>
    <col min="11268" max="11273" width="9.28515625" style="156"/>
    <col min="11274" max="11274" width="11.28515625" style="156" customWidth="1"/>
    <col min="11275" max="11522" width="9.28515625" style="156"/>
    <col min="11523" max="11523" width="51.7109375" style="156" customWidth="1"/>
    <col min="11524" max="11529" width="9.28515625" style="156"/>
    <col min="11530" max="11530" width="11.28515625" style="156" customWidth="1"/>
    <col min="11531" max="11778" width="9.28515625" style="156"/>
    <col min="11779" max="11779" width="51.7109375" style="156" customWidth="1"/>
    <col min="11780" max="11785" width="9.28515625" style="156"/>
    <col min="11786" max="11786" width="11.28515625" style="156" customWidth="1"/>
    <col min="11787" max="12034" width="9.28515625" style="156"/>
    <col min="12035" max="12035" width="51.7109375" style="156" customWidth="1"/>
    <col min="12036" max="12041" width="9.28515625" style="156"/>
    <col min="12042" max="12042" width="11.28515625" style="156" customWidth="1"/>
    <col min="12043" max="12290" width="9.28515625" style="156"/>
    <col min="12291" max="12291" width="51.7109375" style="156" customWidth="1"/>
    <col min="12292" max="12297" width="9.28515625" style="156"/>
    <col min="12298" max="12298" width="11.28515625" style="156" customWidth="1"/>
    <col min="12299" max="12546" width="9.28515625" style="156"/>
    <col min="12547" max="12547" width="51.7109375" style="156" customWidth="1"/>
    <col min="12548" max="12553" width="9.28515625" style="156"/>
    <col min="12554" max="12554" width="11.28515625" style="156" customWidth="1"/>
    <col min="12555" max="12802" width="9.28515625" style="156"/>
    <col min="12803" max="12803" width="51.7109375" style="156" customWidth="1"/>
    <col min="12804" max="12809" width="9.28515625" style="156"/>
    <col min="12810" max="12810" width="11.28515625" style="156" customWidth="1"/>
    <col min="12811" max="13058" width="9.28515625" style="156"/>
    <col min="13059" max="13059" width="51.7109375" style="156" customWidth="1"/>
    <col min="13060" max="13065" width="9.28515625" style="156"/>
    <col min="13066" max="13066" width="11.28515625" style="156" customWidth="1"/>
    <col min="13067" max="13314" width="9.28515625" style="156"/>
    <col min="13315" max="13315" width="51.7109375" style="156" customWidth="1"/>
    <col min="13316" max="13321" width="9.28515625" style="156"/>
    <col min="13322" max="13322" width="11.28515625" style="156" customWidth="1"/>
    <col min="13323" max="13570" width="9.28515625" style="156"/>
    <col min="13571" max="13571" width="51.7109375" style="156" customWidth="1"/>
    <col min="13572" max="13577" width="9.28515625" style="156"/>
    <col min="13578" max="13578" width="11.28515625" style="156" customWidth="1"/>
    <col min="13579" max="13826" width="9.28515625" style="156"/>
    <col min="13827" max="13827" width="51.7109375" style="156" customWidth="1"/>
    <col min="13828" max="13833" width="9.28515625" style="156"/>
    <col min="13834" max="13834" width="11.28515625" style="156" customWidth="1"/>
    <col min="13835" max="14082" width="9.28515625" style="156"/>
    <col min="14083" max="14083" width="51.7109375" style="156" customWidth="1"/>
    <col min="14084" max="14089" width="9.28515625" style="156"/>
    <col min="14090" max="14090" width="11.28515625" style="156" customWidth="1"/>
    <col min="14091" max="14338" width="9.28515625" style="156"/>
    <col min="14339" max="14339" width="51.7109375" style="156" customWidth="1"/>
    <col min="14340" max="14345" width="9.28515625" style="156"/>
    <col min="14346" max="14346" width="11.28515625" style="156" customWidth="1"/>
    <col min="14347" max="14594" width="9.28515625" style="156"/>
    <col min="14595" max="14595" width="51.7109375" style="156" customWidth="1"/>
    <col min="14596" max="14601" width="9.28515625" style="156"/>
    <col min="14602" max="14602" width="11.28515625" style="156" customWidth="1"/>
    <col min="14603" max="14850" width="9.28515625" style="156"/>
    <col min="14851" max="14851" width="51.7109375" style="156" customWidth="1"/>
    <col min="14852" max="14857" width="9.28515625" style="156"/>
    <col min="14858" max="14858" width="11.28515625" style="156" customWidth="1"/>
    <col min="14859" max="15106" width="9.28515625" style="156"/>
    <col min="15107" max="15107" width="51.7109375" style="156" customWidth="1"/>
    <col min="15108" max="15113" width="9.28515625" style="156"/>
    <col min="15114" max="15114" width="11.28515625" style="156" customWidth="1"/>
    <col min="15115" max="15362" width="9.28515625" style="156"/>
    <col min="15363" max="15363" width="51.7109375" style="156" customWidth="1"/>
    <col min="15364" max="15369" width="9.28515625" style="156"/>
    <col min="15370" max="15370" width="11.28515625" style="156" customWidth="1"/>
    <col min="15371" max="15618" width="9.28515625" style="156"/>
    <col min="15619" max="15619" width="51.7109375" style="156" customWidth="1"/>
    <col min="15620" max="15625" width="9.28515625" style="156"/>
    <col min="15626" max="15626" width="11.28515625" style="156" customWidth="1"/>
    <col min="15627" max="15874" width="9.28515625" style="156"/>
    <col min="15875" max="15875" width="51.7109375" style="156" customWidth="1"/>
    <col min="15876" max="15881" width="9.28515625" style="156"/>
    <col min="15882" max="15882" width="11.28515625" style="156" customWidth="1"/>
    <col min="15883" max="16130" width="9.28515625" style="156"/>
    <col min="16131" max="16131" width="51.7109375" style="156" customWidth="1"/>
    <col min="16132" max="16137" width="9.28515625" style="156"/>
    <col min="16138" max="16138" width="11.28515625" style="156" customWidth="1"/>
    <col min="16139" max="16384" width="9.28515625" style="156"/>
  </cols>
  <sheetData>
    <row r="1" spans="1:14" x14ac:dyDescent="0.25">
      <c r="A1" s="34"/>
      <c r="B1" s="79"/>
      <c r="C1" s="79"/>
      <c r="D1" s="79"/>
      <c r="E1" s="79"/>
      <c r="F1" s="79"/>
      <c r="G1" s="79"/>
      <c r="H1" s="79"/>
      <c r="I1" s="34"/>
      <c r="J1" s="77" t="s">
        <v>277</v>
      </c>
      <c r="K1" s="620" t="str">
        <f>EBNUMBER</f>
        <v>EB-2018-0056</v>
      </c>
    </row>
    <row r="2" spans="1:14" x14ac:dyDescent="0.25">
      <c r="A2" s="34"/>
      <c r="B2" s="79"/>
      <c r="C2" s="79"/>
      <c r="D2" s="79"/>
      <c r="E2" s="79"/>
      <c r="F2" s="79"/>
      <c r="G2" s="79"/>
      <c r="H2" s="79"/>
      <c r="I2" s="34"/>
      <c r="J2" s="77" t="s">
        <v>278</v>
      </c>
      <c r="K2" s="33"/>
    </row>
    <row r="3" spans="1:14" x14ac:dyDescent="0.25">
      <c r="A3" s="34"/>
      <c r="B3" s="79"/>
      <c r="C3" s="79"/>
      <c r="D3" s="79"/>
      <c r="E3" s="79"/>
      <c r="F3" s="79"/>
      <c r="G3" s="79"/>
      <c r="H3" s="79"/>
      <c r="I3" s="34"/>
      <c r="J3" s="77" t="s">
        <v>279</v>
      </c>
      <c r="K3" s="33"/>
    </row>
    <row r="4" spans="1:14" x14ac:dyDescent="0.25">
      <c r="A4" s="34"/>
      <c r="B4" s="79"/>
      <c r="C4" s="79"/>
      <c r="D4" s="79"/>
      <c r="E4" s="79"/>
      <c r="F4" s="79"/>
      <c r="G4" s="79"/>
      <c r="H4" s="79"/>
      <c r="I4" s="34"/>
      <c r="J4" s="77" t="s">
        <v>280</v>
      </c>
      <c r="K4" s="33"/>
    </row>
    <row r="5" spans="1:14" x14ac:dyDescent="0.25">
      <c r="A5" s="34"/>
      <c r="B5" s="79"/>
      <c r="C5" s="79"/>
      <c r="D5" s="79"/>
      <c r="E5" s="79"/>
      <c r="F5" s="79"/>
      <c r="G5" s="79"/>
      <c r="H5" s="79"/>
      <c r="I5" s="34"/>
      <c r="J5" s="77" t="s">
        <v>281</v>
      </c>
      <c r="K5" s="469"/>
    </row>
    <row r="6" spans="1:14" x14ac:dyDescent="0.25">
      <c r="A6" s="34"/>
      <c r="B6" s="79"/>
      <c r="C6" s="79"/>
      <c r="D6" s="79"/>
      <c r="E6" s="79"/>
      <c r="F6" s="79"/>
      <c r="G6" s="79"/>
      <c r="H6" s="79"/>
      <c r="I6" s="34"/>
      <c r="J6" s="77"/>
      <c r="K6" s="620"/>
    </row>
    <row r="7" spans="1:14" x14ac:dyDescent="0.25">
      <c r="A7" s="34"/>
      <c r="B7" s="79"/>
      <c r="C7" s="79"/>
      <c r="D7" s="79"/>
      <c r="E7" s="79"/>
      <c r="F7" s="79"/>
      <c r="G7" s="79"/>
      <c r="H7" s="79"/>
      <c r="I7" s="34"/>
      <c r="J7" s="77" t="s">
        <v>282</v>
      </c>
      <c r="K7" s="469"/>
    </row>
    <row r="8" spans="1:14" x14ac:dyDescent="0.25">
      <c r="A8" s="34"/>
      <c r="B8" s="34"/>
      <c r="C8" s="34"/>
      <c r="D8" s="34"/>
      <c r="E8" s="34"/>
      <c r="F8" s="34"/>
      <c r="G8" s="34"/>
      <c r="H8" s="34"/>
      <c r="I8" s="34"/>
      <c r="J8" s="34"/>
      <c r="K8" s="34"/>
    </row>
    <row r="9" spans="1:14" ht="18" x14ac:dyDescent="0.25">
      <c r="A9" s="1760" t="s">
        <v>457</v>
      </c>
      <c r="B9" s="1790"/>
      <c r="C9" s="1790"/>
      <c r="D9" s="1790"/>
      <c r="E9" s="1790"/>
      <c r="F9" s="1790"/>
      <c r="G9" s="1790"/>
      <c r="H9" s="1790"/>
      <c r="I9" s="1790"/>
      <c r="J9" s="1790"/>
      <c r="K9" s="1790"/>
    </row>
    <row r="10" spans="1:14" ht="18" x14ac:dyDescent="0.25">
      <c r="A10" s="1760" t="s">
        <v>459</v>
      </c>
      <c r="B10" s="1791"/>
      <c r="C10" s="1791"/>
      <c r="D10" s="1791"/>
      <c r="E10" s="1791"/>
      <c r="F10" s="1791"/>
      <c r="G10" s="1791"/>
      <c r="H10" s="1791"/>
      <c r="I10" s="1791"/>
      <c r="J10" s="1791"/>
      <c r="K10" s="1791"/>
    </row>
    <row r="11" spans="1:14" ht="18" x14ac:dyDescent="0.25">
      <c r="A11" s="1760" t="s">
        <v>464</v>
      </c>
      <c r="B11" s="1791"/>
      <c r="C11" s="1791"/>
      <c r="D11" s="1791"/>
      <c r="E11" s="1791"/>
      <c r="F11" s="1791"/>
      <c r="G11" s="1791"/>
      <c r="H11" s="1791"/>
      <c r="I11" s="1791"/>
      <c r="J11" s="1791"/>
      <c r="K11" s="1791"/>
    </row>
    <row r="12" spans="1:14" x14ac:dyDescent="0.25">
      <c r="A12" s="34"/>
      <c r="B12" s="34"/>
      <c r="C12" s="34"/>
      <c r="D12" s="34"/>
      <c r="E12" s="34"/>
      <c r="F12" s="34"/>
      <c r="G12" s="34"/>
      <c r="H12" s="34"/>
      <c r="I12" s="34"/>
      <c r="J12" s="34"/>
      <c r="K12" s="34"/>
    </row>
    <row r="13" spans="1:14" s="157" customFormat="1" ht="36" customHeight="1" x14ac:dyDescent="0.25">
      <c r="A13" s="1803" t="s">
        <v>1192</v>
      </c>
      <c r="B13" s="1803"/>
      <c r="C13" s="1803"/>
      <c r="D13" s="1803"/>
      <c r="E13" s="1803"/>
      <c r="F13" s="1803"/>
      <c r="G13" s="1803"/>
      <c r="H13" s="1803"/>
      <c r="I13" s="1803"/>
      <c r="J13" s="1803"/>
      <c r="K13" s="1803"/>
      <c r="L13" s="137"/>
      <c r="M13" s="137"/>
      <c r="N13" s="137"/>
    </row>
    <row r="14" spans="1:14" x14ac:dyDescent="0.25">
      <c r="A14" s="158"/>
      <c r="B14" s="158"/>
      <c r="C14" s="158"/>
      <c r="D14" s="158"/>
      <c r="E14" s="158"/>
      <c r="F14" s="158"/>
      <c r="G14" s="158"/>
      <c r="H14" s="158"/>
      <c r="I14" s="158"/>
      <c r="J14" s="158"/>
      <c r="K14" s="158"/>
      <c r="L14" s="159"/>
      <c r="M14" s="159"/>
    </row>
    <row r="15" spans="1:14" x14ac:dyDescent="0.25">
      <c r="A15" s="1792"/>
      <c r="B15" s="1792"/>
      <c r="C15" s="1792"/>
      <c r="D15" s="1792"/>
      <c r="E15" s="1792"/>
      <c r="F15" s="1792"/>
      <c r="G15" s="1792"/>
      <c r="H15" s="1792"/>
      <c r="I15" s="1792"/>
      <c r="J15" s="1792"/>
      <c r="K15" s="1792"/>
      <c r="L15" s="159"/>
      <c r="M15" s="159"/>
    </row>
    <row r="16" spans="1:14" x14ac:dyDescent="0.25">
      <c r="A16" s="158"/>
      <c r="B16" s="158"/>
      <c r="C16" s="158"/>
      <c r="D16" s="158"/>
      <c r="E16" s="158"/>
      <c r="F16" s="158"/>
      <c r="G16" s="158"/>
      <c r="H16" s="158"/>
      <c r="I16" s="158"/>
      <c r="J16" s="158"/>
      <c r="K16" s="158"/>
      <c r="L16" s="159"/>
      <c r="M16" s="159"/>
    </row>
    <row r="17" spans="1:9" ht="39" x14ac:dyDescent="0.25">
      <c r="A17" s="158"/>
      <c r="B17" s="160" t="s">
        <v>1189</v>
      </c>
      <c r="C17" s="160">
        <v>2013</v>
      </c>
      <c r="D17" s="160">
        <v>2014</v>
      </c>
      <c r="E17" s="160">
        <v>2015</v>
      </c>
      <c r="F17" s="160">
        <v>2016</v>
      </c>
      <c r="G17" s="160">
        <v>2017</v>
      </c>
      <c r="H17" s="160" t="s">
        <v>1190</v>
      </c>
      <c r="I17" s="159"/>
    </row>
    <row r="18" spans="1:9" ht="25.5" x14ac:dyDescent="0.25">
      <c r="A18" s="161" t="s">
        <v>93</v>
      </c>
      <c r="B18" s="162" t="s">
        <v>94</v>
      </c>
      <c r="C18" s="162" t="s">
        <v>94</v>
      </c>
      <c r="D18" s="162" t="s">
        <v>94</v>
      </c>
      <c r="E18" s="163" t="s">
        <v>960</v>
      </c>
      <c r="F18" s="162" t="s">
        <v>95</v>
      </c>
      <c r="G18" s="162" t="s">
        <v>95</v>
      </c>
      <c r="H18" s="163" t="s">
        <v>95</v>
      </c>
      <c r="I18" s="159"/>
    </row>
    <row r="19" spans="1:9" x14ac:dyDescent="0.25">
      <c r="A19" s="161"/>
      <c r="B19" s="162" t="s">
        <v>370</v>
      </c>
      <c r="C19" s="162" t="s">
        <v>370</v>
      </c>
      <c r="D19" s="162" t="s">
        <v>370</v>
      </c>
      <c r="E19" s="162" t="s">
        <v>370</v>
      </c>
      <c r="F19" s="162" t="s">
        <v>370</v>
      </c>
      <c r="G19" s="162" t="s">
        <v>80</v>
      </c>
      <c r="H19" s="162" t="s">
        <v>80</v>
      </c>
      <c r="I19" s="159"/>
    </row>
    <row r="20" spans="1:9" x14ac:dyDescent="0.25">
      <c r="A20" s="158"/>
      <c r="B20" s="777"/>
      <c r="C20" s="165" t="s">
        <v>152</v>
      </c>
      <c r="D20" s="165" t="s">
        <v>152</v>
      </c>
      <c r="E20" s="165"/>
      <c r="F20" s="165" t="s">
        <v>152</v>
      </c>
      <c r="G20" s="165"/>
      <c r="H20" s="165"/>
      <c r="I20" s="159"/>
    </row>
    <row r="21" spans="1:9" x14ac:dyDescent="0.25">
      <c r="A21" s="161" t="s">
        <v>461</v>
      </c>
      <c r="B21" s="1788"/>
      <c r="C21" s="1788"/>
      <c r="D21" s="1788"/>
      <c r="E21" s="1788"/>
      <c r="F21" s="1788"/>
      <c r="G21" s="1788"/>
      <c r="H21" s="1789"/>
      <c r="I21" s="159"/>
    </row>
    <row r="22" spans="1:9" x14ac:dyDescent="0.25">
      <c r="A22" s="164" t="s">
        <v>372</v>
      </c>
      <c r="B22" s="186"/>
      <c r="C22" s="167"/>
      <c r="D22" s="169">
        <f>+C25</f>
        <v>0</v>
      </c>
      <c r="E22" s="169">
        <f>+D25</f>
        <v>0</v>
      </c>
      <c r="F22" s="169">
        <f>+E25</f>
        <v>0</v>
      </c>
      <c r="G22" s="169">
        <f>+F25</f>
        <v>0</v>
      </c>
      <c r="H22" s="166"/>
      <c r="I22" s="159"/>
    </row>
    <row r="23" spans="1:9" x14ac:dyDescent="0.25">
      <c r="A23" s="164" t="s">
        <v>670</v>
      </c>
      <c r="B23" s="186"/>
      <c r="C23" s="167"/>
      <c r="D23" s="167"/>
      <c r="E23" s="167"/>
      <c r="F23" s="167"/>
      <c r="G23" s="167"/>
      <c r="H23" s="166"/>
      <c r="I23" s="159"/>
    </row>
    <row r="24" spans="1:9" x14ac:dyDescent="0.25">
      <c r="A24" s="164" t="s">
        <v>671</v>
      </c>
      <c r="B24" s="186"/>
      <c r="C24" s="167"/>
      <c r="D24" s="167"/>
      <c r="E24" s="167"/>
      <c r="F24" s="167"/>
      <c r="G24" s="167"/>
      <c r="H24" s="166"/>
      <c r="I24" s="159"/>
    </row>
    <row r="25" spans="1:9" x14ac:dyDescent="0.25">
      <c r="A25" s="168" t="s">
        <v>373</v>
      </c>
      <c r="B25" s="186"/>
      <c r="C25" s="169">
        <f>C22+C23+C24</f>
        <v>0</v>
      </c>
      <c r="D25" s="169">
        <f>D22+D23+D24</f>
        <v>0</v>
      </c>
      <c r="E25" s="169">
        <f>E22+E23+E24</f>
        <v>0</v>
      </c>
      <c r="F25" s="169">
        <f>F22+F23+F24</f>
        <v>0</v>
      </c>
      <c r="G25" s="169">
        <f>G22+G23+G24</f>
        <v>0</v>
      </c>
      <c r="H25" s="166"/>
      <c r="I25" s="159"/>
    </row>
    <row r="26" spans="1:9" x14ac:dyDescent="0.25">
      <c r="A26" s="158"/>
      <c r="B26" s="1795"/>
      <c r="C26" s="1795"/>
      <c r="D26" s="1795"/>
      <c r="E26" s="1795"/>
      <c r="F26" s="1795"/>
      <c r="G26" s="1795"/>
      <c r="H26" s="1796"/>
      <c r="I26" s="159"/>
    </row>
    <row r="27" spans="1:9" x14ac:dyDescent="0.25">
      <c r="A27" s="170" t="s">
        <v>462</v>
      </c>
      <c r="B27" s="1797"/>
      <c r="C27" s="1797"/>
      <c r="D27" s="1797"/>
      <c r="E27" s="1797"/>
      <c r="F27" s="1797"/>
      <c r="G27" s="1797"/>
      <c r="H27" s="1798"/>
      <c r="I27" s="159"/>
    </row>
    <row r="28" spans="1:9" x14ac:dyDescent="0.25">
      <c r="A28" s="164" t="s">
        <v>374</v>
      </c>
      <c r="B28" s="166"/>
      <c r="C28" s="171"/>
      <c r="D28" s="169">
        <f>+C31</f>
        <v>0</v>
      </c>
      <c r="E28" s="169">
        <f>+D31</f>
        <v>0</v>
      </c>
      <c r="F28" s="169">
        <f>+E31</f>
        <v>0</v>
      </c>
      <c r="G28" s="169">
        <f>+F31</f>
        <v>0</v>
      </c>
      <c r="H28" s="166"/>
      <c r="I28" s="159"/>
    </row>
    <row r="29" spans="1:9" x14ac:dyDescent="0.25">
      <c r="A29" s="164" t="s">
        <v>670</v>
      </c>
      <c r="B29" s="166"/>
      <c r="C29" s="167"/>
      <c r="D29" s="167"/>
      <c r="E29" s="167"/>
      <c r="F29" s="167"/>
      <c r="G29" s="167"/>
      <c r="H29" s="166"/>
      <c r="I29" s="159"/>
    </row>
    <row r="30" spans="1:9" x14ac:dyDescent="0.25">
      <c r="A30" s="164" t="s">
        <v>671</v>
      </c>
      <c r="B30" s="166"/>
      <c r="C30" s="167"/>
      <c r="D30" s="167"/>
      <c r="E30" s="167"/>
      <c r="F30" s="167"/>
      <c r="G30" s="167"/>
      <c r="H30" s="166"/>
      <c r="I30" s="159"/>
    </row>
    <row r="31" spans="1:9" x14ac:dyDescent="0.25">
      <c r="A31" s="168" t="s">
        <v>375</v>
      </c>
      <c r="B31" s="166"/>
      <c r="C31" s="169">
        <f>SUM(C28:C30)</f>
        <v>0</v>
      </c>
      <c r="D31" s="169">
        <f>SUM(D28:D30)</f>
        <v>0</v>
      </c>
      <c r="E31" s="169">
        <f>SUM(E28:E30)</f>
        <v>0</v>
      </c>
      <c r="F31" s="169">
        <f>SUM(F28:F30)</f>
        <v>0</v>
      </c>
      <c r="G31" s="169">
        <f>SUM(G28:G30)</f>
        <v>0</v>
      </c>
      <c r="H31" s="166"/>
      <c r="I31" s="159"/>
    </row>
    <row r="32" spans="1:9" x14ac:dyDescent="0.25">
      <c r="A32" s="158"/>
      <c r="B32" s="1788"/>
      <c r="C32" s="1788"/>
      <c r="D32" s="1788"/>
      <c r="E32" s="1788"/>
      <c r="F32" s="1788"/>
      <c r="G32" s="1788"/>
      <c r="H32" s="1789"/>
      <c r="I32" s="159"/>
    </row>
    <row r="33" spans="1:13" ht="26.25" x14ac:dyDescent="0.25">
      <c r="A33" s="172" t="s">
        <v>677</v>
      </c>
      <c r="B33" s="166"/>
      <c r="C33" s="173">
        <f>C25-C31</f>
        <v>0</v>
      </c>
      <c r="D33" s="173">
        <f>D25-D31</f>
        <v>0</v>
      </c>
      <c r="E33" s="173">
        <f>E25-E31</f>
        <v>0</v>
      </c>
      <c r="F33" s="173">
        <f>F25-F31</f>
        <v>0</v>
      </c>
      <c r="G33" s="173">
        <f>G25-G31</f>
        <v>0</v>
      </c>
      <c r="H33" s="166"/>
      <c r="I33" s="159"/>
    </row>
    <row r="34" spans="1:13" x14ac:dyDescent="0.25">
      <c r="A34" s="161"/>
      <c r="B34" s="158"/>
      <c r="C34" s="174"/>
      <c r="D34" s="174"/>
      <c r="E34" s="174"/>
      <c r="F34" s="174"/>
      <c r="G34" s="174"/>
      <c r="H34" s="174"/>
      <c r="I34" s="174"/>
      <c r="J34" s="174"/>
      <c r="K34" s="158"/>
      <c r="L34" s="159"/>
      <c r="M34" s="159"/>
    </row>
    <row r="35" spans="1:13" x14ac:dyDescent="0.25">
      <c r="A35" s="161"/>
      <c r="B35" s="158"/>
      <c r="C35" s="174"/>
      <c r="D35" s="174"/>
      <c r="E35" s="174"/>
      <c r="F35" s="174"/>
      <c r="G35" s="174"/>
      <c r="H35" s="174"/>
      <c r="I35" s="174"/>
      <c r="J35" s="174"/>
      <c r="K35" s="158"/>
      <c r="L35" s="159"/>
      <c r="M35" s="159"/>
    </row>
    <row r="36" spans="1:13" x14ac:dyDescent="0.25">
      <c r="A36" s="161" t="s">
        <v>672</v>
      </c>
      <c r="B36" s="158"/>
      <c r="C36" s="174"/>
      <c r="D36" s="174"/>
      <c r="E36" s="174"/>
      <c r="F36" s="174"/>
      <c r="G36" s="174"/>
      <c r="H36" s="174"/>
      <c r="I36" s="174"/>
      <c r="J36" s="174"/>
      <c r="K36" s="158"/>
      <c r="L36" s="159"/>
      <c r="M36" s="159"/>
    </row>
    <row r="37" spans="1:13" s="180" customFormat="1" x14ac:dyDescent="0.25">
      <c r="A37" s="175" t="s">
        <v>678</v>
      </c>
      <c r="B37" s="176"/>
      <c r="C37" s="176"/>
      <c r="D37" s="176"/>
      <c r="E37" s="176"/>
      <c r="F37" s="176"/>
      <c r="G37" s="176"/>
      <c r="H37" s="177">
        <f>IF(ISERROR(G33), 0, G33)</f>
        <v>0</v>
      </c>
      <c r="I37" s="158"/>
      <c r="J37" s="178" t="s">
        <v>377</v>
      </c>
      <c r="K37" s="179"/>
      <c r="L37" s="159"/>
      <c r="M37" s="159"/>
    </row>
    <row r="38" spans="1:13" s="180" customFormat="1" ht="26.25" customHeight="1" x14ac:dyDescent="0.25">
      <c r="A38" s="175" t="s">
        <v>679</v>
      </c>
      <c r="B38" s="176"/>
      <c r="C38" s="176"/>
      <c r="D38" s="176"/>
      <c r="E38" s="176"/>
      <c r="F38" s="176"/>
      <c r="G38" s="176"/>
      <c r="H38" s="177">
        <f>G33*K37*K38</f>
        <v>0</v>
      </c>
      <c r="I38" s="1799" t="s">
        <v>673</v>
      </c>
      <c r="J38" s="1799"/>
      <c r="K38" s="1800"/>
      <c r="L38" s="181"/>
      <c r="M38" s="159"/>
    </row>
    <row r="39" spans="1:13" x14ac:dyDescent="0.25">
      <c r="A39" s="182" t="s">
        <v>674</v>
      </c>
      <c r="B39" s="183"/>
      <c r="C39" s="183"/>
      <c r="D39" s="183"/>
      <c r="E39" s="183"/>
      <c r="F39" s="183"/>
      <c r="G39" s="183"/>
      <c r="H39" s="184">
        <f>H37+H38</f>
        <v>0</v>
      </c>
      <c r="I39" s="1799"/>
      <c r="J39" s="1799"/>
      <c r="K39" s="1801"/>
      <c r="L39" s="159"/>
      <c r="M39" s="159"/>
    </row>
    <row r="40" spans="1:13" x14ac:dyDescent="0.25">
      <c r="A40" s="161"/>
      <c r="B40" s="158"/>
      <c r="C40" s="158"/>
      <c r="D40" s="158"/>
      <c r="E40" s="158"/>
      <c r="F40" s="158"/>
      <c r="G40" s="158"/>
      <c r="H40" s="187"/>
      <c r="I40" s="158"/>
      <c r="J40" s="158"/>
      <c r="K40" s="158"/>
      <c r="L40" s="159"/>
      <c r="M40" s="159"/>
    </row>
    <row r="41" spans="1:13" x14ac:dyDescent="0.25">
      <c r="A41" s="161" t="s">
        <v>6</v>
      </c>
      <c r="B41" s="158"/>
      <c r="C41" s="158"/>
      <c r="D41" s="158"/>
      <c r="E41" s="158"/>
      <c r="F41" s="158"/>
      <c r="G41" s="158"/>
      <c r="H41" s="158"/>
      <c r="I41" s="158"/>
      <c r="J41" s="158"/>
      <c r="K41" s="158"/>
      <c r="L41" s="159"/>
      <c r="M41" s="159"/>
    </row>
    <row r="42" spans="1:13" ht="27.75" customHeight="1" x14ac:dyDescent="0.25">
      <c r="A42" s="1802" t="s">
        <v>465</v>
      </c>
      <c r="B42" s="1802"/>
      <c r="C42" s="1802"/>
      <c r="D42" s="1802"/>
      <c r="E42" s="1802"/>
      <c r="F42" s="1802"/>
      <c r="G42" s="1802"/>
      <c r="H42" s="1802"/>
      <c r="I42" s="1802"/>
      <c r="J42" s="1802"/>
      <c r="K42" s="1802"/>
      <c r="L42" s="1802"/>
      <c r="M42" s="159"/>
    </row>
    <row r="43" spans="1:13" x14ac:dyDescent="0.25">
      <c r="A43" s="158" t="s">
        <v>680</v>
      </c>
      <c r="B43" s="158"/>
      <c r="C43" s="158"/>
      <c r="D43" s="158"/>
      <c r="E43" s="158"/>
      <c r="F43" s="158"/>
      <c r="G43" s="158"/>
      <c r="H43" s="158"/>
      <c r="I43" s="158"/>
      <c r="J43" s="158"/>
      <c r="K43" s="158"/>
      <c r="L43" s="159"/>
      <c r="M43" s="159"/>
    </row>
    <row r="44" spans="1:13" x14ac:dyDescent="0.25">
      <c r="A44" s="158" t="s">
        <v>1191</v>
      </c>
      <c r="B44" s="158"/>
      <c r="C44" s="158"/>
      <c r="D44" s="158"/>
      <c r="E44" s="158"/>
      <c r="F44" s="158"/>
      <c r="G44" s="158"/>
      <c r="H44" s="158"/>
      <c r="I44" s="158"/>
      <c r="J44" s="158"/>
      <c r="K44" s="158"/>
      <c r="L44" s="159"/>
      <c r="M44" s="159"/>
    </row>
    <row r="45" spans="1:13" x14ac:dyDescent="0.25">
      <c r="A45" s="158" t="s">
        <v>378</v>
      </c>
      <c r="B45" s="158"/>
      <c r="C45" s="158"/>
      <c r="D45" s="158"/>
      <c r="E45" s="158"/>
      <c r="F45" s="158"/>
      <c r="G45" s="158"/>
      <c r="H45" s="158"/>
      <c r="I45" s="158"/>
      <c r="J45" s="158"/>
      <c r="K45" s="158"/>
      <c r="L45" s="159"/>
      <c r="M45" s="159"/>
    </row>
    <row r="46" spans="1:13" ht="15" customHeight="1" x14ac:dyDescent="0.25">
      <c r="A46" s="1794" t="s">
        <v>681</v>
      </c>
      <c r="B46" s="1794"/>
      <c r="C46" s="1794"/>
      <c r="D46" s="1794"/>
      <c r="E46" s="1794"/>
      <c r="F46" s="1794"/>
      <c r="G46" s="1794"/>
      <c r="H46" s="1794"/>
      <c r="I46" s="1794"/>
      <c r="J46" s="1794"/>
      <c r="K46" s="158"/>
      <c r="L46" s="159"/>
      <c r="M46" s="159"/>
    </row>
    <row r="47" spans="1:13" x14ac:dyDescent="0.25">
      <c r="A47" s="158" t="s">
        <v>806</v>
      </c>
      <c r="B47" s="159"/>
      <c r="C47" s="159"/>
      <c r="D47" s="159"/>
      <c r="E47" s="159"/>
      <c r="F47" s="159"/>
      <c r="G47" s="159"/>
      <c r="H47" s="159"/>
      <c r="I47" s="159"/>
      <c r="J47" s="159"/>
      <c r="K47" s="158"/>
      <c r="L47" s="159"/>
      <c r="M47" s="159"/>
    </row>
    <row r="48" spans="1:13" x14ac:dyDescent="0.25">
      <c r="A48" s="158" t="s">
        <v>961</v>
      </c>
      <c r="B48" s="158"/>
      <c r="C48" s="158"/>
      <c r="D48" s="158"/>
      <c r="E48" s="158"/>
      <c r="F48" s="158"/>
      <c r="G48" s="158"/>
      <c r="H48" s="158"/>
      <c r="I48" s="158"/>
      <c r="J48" s="158"/>
      <c r="K48" s="158"/>
      <c r="L48" s="159"/>
      <c r="M48" s="159"/>
    </row>
    <row r="49" spans="1:13" x14ac:dyDescent="0.25">
      <c r="A49" s="158"/>
      <c r="B49" s="158"/>
      <c r="C49" s="158"/>
      <c r="D49" s="158"/>
      <c r="E49" s="158"/>
      <c r="F49" s="158"/>
      <c r="G49" s="158"/>
      <c r="H49" s="158"/>
      <c r="I49" s="158"/>
      <c r="J49" s="158"/>
      <c r="K49" s="158"/>
      <c r="L49" s="159"/>
      <c r="M49" s="159"/>
    </row>
    <row r="50" spans="1:13" x14ac:dyDescent="0.25">
      <c r="A50" s="158"/>
      <c r="B50" s="158"/>
      <c r="C50" s="158"/>
      <c r="D50" s="158"/>
      <c r="E50" s="158"/>
      <c r="F50" s="158"/>
      <c r="G50" s="158"/>
      <c r="H50" s="158"/>
      <c r="I50" s="158"/>
      <c r="J50" s="158"/>
      <c r="K50" s="158"/>
      <c r="L50" s="159"/>
      <c r="M50" s="159"/>
    </row>
    <row r="51" spans="1:13" x14ac:dyDescent="0.25">
      <c r="A51" s="158"/>
      <c r="B51" s="158"/>
      <c r="C51" s="158"/>
      <c r="D51" s="158"/>
      <c r="E51" s="158"/>
      <c r="F51" s="158"/>
      <c r="G51" s="158"/>
      <c r="H51" s="158"/>
      <c r="I51" s="158"/>
      <c r="J51" s="158"/>
      <c r="K51" s="158"/>
      <c r="L51" s="159"/>
      <c r="M51" s="159"/>
    </row>
    <row r="52" spans="1:13" x14ac:dyDescent="0.25">
      <c r="A52" s="158"/>
      <c r="B52" s="158"/>
      <c r="C52" s="158"/>
      <c r="D52" s="158"/>
      <c r="E52" s="158"/>
      <c r="F52" s="158"/>
      <c r="G52" s="158"/>
      <c r="H52" s="158"/>
      <c r="I52" s="158"/>
      <c r="J52" s="158"/>
      <c r="K52" s="158"/>
      <c r="L52" s="159"/>
      <c r="M52" s="159"/>
    </row>
    <row r="53" spans="1:13" x14ac:dyDescent="0.25">
      <c r="A53" s="158"/>
      <c r="B53" s="158"/>
      <c r="C53" s="158"/>
      <c r="D53" s="158"/>
      <c r="E53" s="158"/>
      <c r="F53" s="158"/>
      <c r="G53" s="158"/>
      <c r="H53" s="158"/>
      <c r="I53" s="158"/>
      <c r="J53" s="158"/>
      <c r="K53" s="158"/>
      <c r="L53" s="159"/>
      <c r="M53" s="159"/>
    </row>
    <row r="54" spans="1:13" x14ac:dyDescent="0.25">
      <c r="A54" s="158"/>
      <c r="B54" s="158"/>
      <c r="C54" s="158"/>
      <c r="D54" s="158"/>
      <c r="E54" s="158"/>
      <c r="F54" s="158"/>
      <c r="G54" s="158"/>
      <c r="H54" s="158"/>
      <c r="I54" s="158"/>
      <c r="J54" s="158"/>
      <c r="K54" s="158"/>
      <c r="L54" s="159"/>
      <c r="M54" s="159"/>
    </row>
    <row r="55" spans="1:13" x14ac:dyDescent="0.25">
      <c r="A55" s="158"/>
      <c r="B55" s="159"/>
      <c r="C55" s="159"/>
      <c r="D55" s="159"/>
      <c r="E55" s="159"/>
      <c r="F55" s="159"/>
      <c r="G55" s="159"/>
      <c r="H55" s="159"/>
      <c r="I55" s="159"/>
      <c r="J55" s="159"/>
      <c r="K55" s="159"/>
      <c r="L55" s="159"/>
      <c r="M55" s="159"/>
    </row>
  </sheetData>
  <sheetProtection algorithmName="SHA-512" hashValue="qPCx5x6iHE1jr2k3pbqDgBJuSNsMrsWWIhgis3M/Eql5szGGimDgjkDYyJQ+XjDFz2huAepxhSteSQ75koG9Tw==" saltValue="mMmk5kL9z0fS3jh8/d8LIg==" spinCount="100000" sheet="1" objects="1" scenarios="1"/>
  <mergeCells count="12">
    <mergeCell ref="A46:J46"/>
    <mergeCell ref="A9:K9"/>
    <mergeCell ref="A10:K10"/>
    <mergeCell ref="A11:K11"/>
    <mergeCell ref="A13:K13"/>
    <mergeCell ref="A15:K15"/>
    <mergeCell ref="K38:K39"/>
    <mergeCell ref="B21:H21"/>
    <mergeCell ref="B26:H27"/>
    <mergeCell ref="B32:H32"/>
    <mergeCell ref="I38:J39"/>
    <mergeCell ref="A42:L42"/>
  </mergeCells>
  <dataValidations count="1">
    <dataValidation allowBlank="1" showInputMessage="1" showErrorMessage="1" promptTitle="Date Format" prompt="E.g:  &quot;August 1, 2011&quot;" sqref="WVO983044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F65540:G65540 JC65540 SY65540 ACU65540 AMQ65540 AWM65540 BGI65540 BQE65540 CAA65540 CJW65540 CTS65540 DDO65540 DNK65540 DXG65540 EHC65540 EQY65540 FAU65540 FKQ65540 FUM65540 GEI65540 GOE65540 GYA65540 HHW65540 HRS65540 IBO65540 ILK65540 IVG65540 JFC65540 JOY65540 JYU65540 KIQ65540 KSM65540 LCI65540 LME65540 LWA65540 MFW65540 MPS65540 MZO65540 NJK65540 NTG65540 ODC65540 OMY65540 OWU65540 PGQ65540 PQM65540 QAI65540 QKE65540 QUA65540 RDW65540 RNS65540 RXO65540 SHK65540 SRG65540 TBC65540 TKY65540 TUU65540 UEQ65540 UOM65540 UYI65540 VIE65540 VSA65540 WBW65540 WLS65540 WVO65540 F131076:G131076 JC131076 SY131076 ACU131076 AMQ131076 AWM131076 BGI131076 BQE131076 CAA131076 CJW131076 CTS131076 DDO131076 DNK131076 DXG131076 EHC131076 EQY131076 FAU131076 FKQ131076 FUM131076 GEI131076 GOE131076 GYA131076 HHW131076 HRS131076 IBO131076 ILK131076 IVG131076 JFC131076 JOY131076 JYU131076 KIQ131076 KSM131076 LCI131076 LME131076 LWA131076 MFW131076 MPS131076 MZO131076 NJK131076 NTG131076 ODC131076 OMY131076 OWU131076 PGQ131076 PQM131076 QAI131076 QKE131076 QUA131076 RDW131076 RNS131076 RXO131076 SHK131076 SRG131076 TBC131076 TKY131076 TUU131076 UEQ131076 UOM131076 UYI131076 VIE131076 VSA131076 WBW131076 WLS131076 WVO131076 F196612:G196612 JC196612 SY196612 ACU196612 AMQ196612 AWM196612 BGI196612 BQE196612 CAA196612 CJW196612 CTS196612 DDO196612 DNK196612 DXG196612 EHC196612 EQY196612 FAU196612 FKQ196612 FUM196612 GEI196612 GOE196612 GYA196612 HHW196612 HRS196612 IBO196612 ILK196612 IVG196612 JFC196612 JOY196612 JYU196612 KIQ196612 KSM196612 LCI196612 LME196612 LWA196612 MFW196612 MPS196612 MZO196612 NJK196612 NTG196612 ODC196612 OMY196612 OWU196612 PGQ196612 PQM196612 QAI196612 QKE196612 QUA196612 RDW196612 RNS196612 RXO196612 SHK196612 SRG196612 TBC196612 TKY196612 TUU196612 UEQ196612 UOM196612 UYI196612 VIE196612 VSA196612 WBW196612 WLS196612 WVO196612 F262148:G262148 JC262148 SY262148 ACU262148 AMQ262148 AWM262148 BGI262148 BQE262148 CAA262148 CJW262148 CTS262148 DDO262148 DNK262148 DXG262148 EHC262148 EQY262148 FAU262148 FKQ262148 FUM262148 GEI262148 GOE262148 GYA262148 HHW262148 HRS262148 IBO262148 ILK262148 IVG262148 JFC262148 JOY262148 JYU262148 KIQ262148 KSM262148 LCI262148 LME262148 LWA262148 MFW262148 MPS262148 MZO262148 NJK262148 NTG262148 ODC262148 OMY262148 OWU262148 PGQ262148 PQM262148 QAI262148 QKE262148 QUA262148 RDW262148 RNS262148 RXO262148 SHK262148 SRG262148 TBC262148 TKY262148 TUU262148 UEQ262148 UOM262148 UYI262148 VIE262148 VSA262148 WBW262148 WLS262148 WVO262148 F327684:G327684 JC327684 SY327684 ACU327684 AMQ327684 AWM327684 BGI327684 BQE327684 CAA327684 CJW327684 CTS327684 DDO327684 DNK327684 DXG327684 EHC327684 EQY327684 FAU327684 FKQ327684 FUM327684 GEI327684 GOE327684 GYA327684 HHW327684 HRS327684 IBO327684 ILK327684 IVG327684 JFC327684 JOY327684 JYU327684 KIQ327684 KSM327684 LCI327684 LME327684 LWA327684 MFW327684 MPS327684 MZO327684 NJK327684 NTG327684 ODC327684 OMY327684 OWU327684 PGQ327684 PQM327684 QAI327684 QKE327684 QUA327684 RDW327684 RNS327684 RXO327684 SHK327684 SRG327684 TBC327684 TKY327684 TUU327684 UEQ327684 UOM327684 UYI327684 VIE327684 VSA327684 WBW327684 WLS327684 WVO327684 F393220:G393220 JC393220 SY393220 ACU393220 AMQ393220 AWM393220 BGI393220 BQE393220 CAA393220 CJW393220 CTS393220 DDO393220 DNK393220 DXG393220 EHC393220 EQY393220 FAU393220 FKQ393220 FUM393220 GEI393220 GOE393220 GYA393220 HHW393220 HRS393220 IBO393220 ILK393220 IVG393220 JFC393220 JOY393220 JYU393220 KIQ393220 KSM393220 LCI393220 LME393220 LWA393220 MFW393220 MPS393220 MZO393220 NJK393220 NTG393220 ODC393220 OMY393220 OWU393220 PGQ393220 PQM393220 QAI393220 QKE393220 QUA393220 RDW393220 RNS393220 RXO393220 SHK393220 SRG393220 TBC393220 TKY393220 TUU393220 UEQ393220 UOM393220 UYI393220 VIE393220 VSA393220 WBW393220 WLS393220 WVO393220 F458756:G458756 JC458756 SY458756 ACU458756 AMQ458756 AWM458756 BGI458756 BQE458756 CAA458756 CJW458756 CTS458756 DDO458756 DNK458756 DXG458756 EHC458756 EQY458756 FAU458756 FKQ458756 FUM458756 GEI458756 GOE458756 GYA458756 HHW458756 HRS458756 IBO458756 ILK458756 IVG458756 JFC458756 JOY458756 JYU458756 KIQ458756 KSM458756 LCI458756 LME458756 LWA458756 MFW458756 MPS458756 MZO458756 NJK458756 NTG458756 ODC458756 OMY458756 OWU458756 PGQ458756 PQM458756 QAI458756 QKE458756 QUA458756 RDW458756 RNS458756 RXO458756 SHK458756 SRG458756 TBC458756 TKY458756 TUU458756 UEQ458756 UOM458756 UYI458756 VIE458756 VSA458756 WBW458756 WLS458756 WVO458756 F524292:G524292 JC524292 SY524292 ACU524292 AMQ524292 AWM524292 BGI524292 BQE524292 CAA524292 CJW524292 CTS524292 DDO524292 DNK524292 DXG524292 EHC524292 EQY524292 FAU524292 FKQ524292 FUM524292 GEI524292 GOE524292 GYA524292 HHW524292 HRS524292 IBO524292 ILK524292 IVG524292 JFC524292 JOY524292 JYU524292 KIQ524292 KSM524292 LCI524292 LME524292 LWA524292 MFW524292 MPS524292 MZO524292 NJK524292 NTG524292 ODC524292 OMY524292 OWU524292 PGQ524292 PQM524292 QAI524292 QKE524292 QUA524292 RDW524292 RNS524292 RXO524292 SHK524292 SRG524292 TBC524292 TKY524292 TUU524292 UEQ524292 UOM524292 UYI524292 VIE524292 VSA524292 WBW524292 WLS524292 WVO524292 F589828:G589828 JC589828 SY589828 ACU589828 AMQ589828 AWM589828 BGI589828 BQE589828 CAA589828 CJW589828 CTS589828 DDO589828 DNK589828 DXG589828 EHC589828 EQY589828 FAU589828 FKQ589828 FUM589828 GEI589828 GOE589828 GYA589828 HHW589828 HRS589828 IBO589828 ILK589828 IVG589828 JFC589828 JOY589828 JYU589828 KIQ589828 KSM589828 LCI589828 LME589828 LWA589828 MFW589828 MPS589828 MZO589828 NJK589828 NTG589828 ODC589828 OMY589828 OWU589828 PGQ589828 PQM589828 QAI589828 QKE589828 QUA589828 RDW589828 RNS589828 RXO589828 SHK589828 SRG589828 TBC589828 TKY589828 TUU589828 UEQ589828 UOM589828 UYI589828 VIE589828 VSA589828 WBW589828 WLS589828 WVO589828 F655364:G655364 JC655364 SY655364 ACU655364 AMQ655364 AWM655364 BGI655364 BQE655364 CAA655364 CJW655364 CTS655364 DDO655364 DNK655364 DXG655364 EHC655364 EQY655364 FAU655364 FKQ655364 FUM655364 GEI655364 GOE655364 GYA655364 HHW655364 HRS655364 IBO655364 ILK655364 IVG655364 JFC655364 JOY655364 JYU655364 KIQ655364 KSM655364 LCI655364 LME655364 LWA655364 MFW655364 MPS655364 MZO655364 NJK655364 NTG655364 ODC655364 OMY655364 OWU655364 PGQ655364 PQM655364 QAI655364 QKE655364 QUA655364 RDW655364 RNS655364 RXO655364 SHK655364 SRG655364 TBC655364 TKY655364 TUU655364 UEQ655364 UOM655364 UYI655364 VIE655364 VSA655364 WBW655364 WLS655364 WVO655364 F720900:G720900 JC720900 SY720900 ACU720900 AMQ720900 AWM720900 BGI720900 BQE720900 CAA720900 CJW720900 CTS720900 DDO720900 DNK720900 DXG720900 EHC720900 EQY720900 FAU720900 FKQ720900 FUM720900 GEI720900 GOE720900 GYA720900 HHW720900 HRS720900 IBO720900 ILK720900 IVG720900 JFC720900 JOY720900 JYU720900 KIQ720900 KSM720900 LCI720900 LME720900 LWA720900 MFW720900 MPS720900 MZO720900 NJK720900 NTG720900 ODC720900 OMY720900 OWU720900 PGQ720900 PQM720900 QAI720900 QKE720900 QUA720900 RDW720900 RNS720900 RXO720900 SHK720900 SRG720900 TBC720900 TKY720900 TUU720900 UEQ720900 UOM720900 UYI720900 VIE720900 VSA720900 WBW720900 WLS720900 WVO720900 F786436:G786436 JC786436 SY786436 ACU786436 AMQ786436 AWM786436 BGI786436 BQE786436 CAA786436 CJW786436 CTS786436 DDO786436 DNK786436 DXG786436 EHC786436 EQY786436 FAU786436 FKQ786436 FUM786436 GEI786436 GOE786436 GYA786436 HHW786436 HRS786436 IBO786436 ILK786436 IVG786436 JFC786436 JOY786436 JYU786436 KIQ786436 KSM786436 LCI786436 LME786436 LWA786436 MFW786436 MPS786436 MZO786436 NJK786436 NTG786436 ODC786436 OMY786436 OWU786436 PGQ786436 PQM786436 QAI786436 QKE786436 QUA786436 RDW786436 RNS786436 RXO786436 SHK786436 SRG786436 TBC786436 TKY786436 TUU786436 UEQ786436 UOM786436 UYI786436 VIE786436 VSA786436 WBW786436 WLS786436 WVO786436 F851972:G851972 JC851972 SY851972 ACU851972 AMQ851972 AWM851972 BGI851972 BQE851972 CAA851972 CJW851972 CTS851972 DDO851972 DNK851972 DXG851972 EHC851972 EQY851972 FAU851972 FKQ851972 FUM851972 GEI851972 GOE851972 GYA851972 HHW851972 HRS851972 IBO851972 ILK851972 IVG851972 JFC851972 JOY851972 JYU851972 KIQ851972 KSM851972 LCI851972 LME851972 LWA851972 MFW851972 MPS851972 MZO851972 NJK851972 NTG851972 ODC851972 OMY851972 OWU851972 PGQ851972 PQM851972 QAI851972 QKE851972 QUA851972 RDW851972 RNS851972 RXO851972 SHK851972 SRG851972 TBC851972 TKY851972 TUU851972 UEQ851972 UOM851972 UYI851972 VIE851972 VSA851972 WBW851972 WLS851972 WVO851972 F917508:G917508 JC917508 SY917508 ACU917508 AMQ917508 AWM917508 BGI917508 BQE917508 CAA917508 CJW917508 CTS917508 DDO917508 DNK917508 DXG917508 EHC917508 EQY917508 FAU917508 FKQ917508 FUM917508 GEI917508 GOE917508 GYA917508 HHW917508 HRS917508 IBO917508 ILK917508 IVG917508 JFC917508 JOY917508 JYU917508 KIQ917508 KSM917508 LCI917508 LME917508 LWA917508 MFW917508 MPS917508 MZO917508 NJK917508 NTG917508 ODC917508 OMY917508 OWU917508 PGQ917508 PQM917508 QAI917508 QKE917508 QUA917508 RDW917508 RNS917508 RXO917508 SHK917508 SRG917508 TBC917508 TKY917508 TUU917508 UEQ917508 UOM917508 UYI917508 VIE917508 VSA917508 WBW917508 WLS917508 WVO917508 F983044:G983044 JC983044 SY983044 ACU983044 AMQ983044 AWM983044 BGI983044 BQE983044 CAA983044 CJW983044 CTS983044 DDO983044 DNK983044 DXG983044 EHC983044 EQY983044 FAU983044 FKQ983044 FUM983044 GEI983044 GOE983044 GYA983044 HHW983044 HRS983044 IBO983044 ILK983044 IVG983044 JFC983044 JOY983044 JYU983044 KIQ983044 KSM983044 LCI983044 LME983044 LWA983044 MFW983044 MPS983044 MZO983044 NJK983044 NTG983044 ODC983044 OMY983044 OWU983044 PGQ983044 PQM983044 QAI983044 QKE983044 QUA983044 RDW983044 RNS983044 RXO983044 SHK983044 SRG983044 TBC983044 TKY983044 TUU983044 UEQ983044 UOM983044 UYI983044 VIE983044 VSA983044 WBW983044 WLS983044" xr:uid="{00000000-0002-0000-1000-000000000000}"/>
  </dataValidations>
  <pageMargins left="0.7" right="0.7" top="0.75" bottom="0.75" header="0.3" footer="0.3"/>
  <pageSetup scale="48" orientation="portrait" verticalDpi="20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57">
    <tabColor rgb="FF00B0F0"/>
    <pageSetUpPr fitToPage="1"/>
  </sheetPr>
  <dimension ref="A1:O102"/>
  <sheetViews>
    <sheetView showGridLines="0" zoomScaleNormal="100" workbookViewId="0"/>
  </sheetViews>
  <sheetFormatPr defaultColWidth="8.7109375" defaultRowHeight="15" x14ac:dyDescent="0.25"/>
  <cols>
    <col min="1" max="1" width="30.42578125" style="1030" customWidth="1"/>
    <col min="2" max="2" width="11.7109375" style="1030" customWidth="1"/>
    <col min="3" max="12" width="16.7109375" style="1030" customWidth="1"/>
    <col min="13" max="16384" width="8.7109375" style="1030"/>
  </cols>
  <sheetData>
    <row r="1" spans="1:15" s="1025" customFormat="1" x14ac:dyDescent="0.25">
      <c r="A1" s="988"/>
      <c r="B1" s="988"/>
      <c r="C1" s="988"/>
      <c r="D1" s="988"/>
      <c r="E1" s="988"/>
      <c r="K1" s="967" t="s">
        <v>277</v>
      </c>
      <c r="L1" s="1026" t="str">
        <f>EBNUMBER</f>
        <v>EB-2018-0056</v>
      </c>
    </row>
    <row r="2" spans="1:15" s="1025" customFormat="1" x14ac:dyDescent="0.25">
      <c r="A2" s="988"/>
      <c r="B2" s="988"/>
      <c r="C2" s="988"/>
      <c r="D2" s="988"/>
      <c r="E2" s="988"/>
      <c r="K2" s="967" t="s">
        <v>278</v>
      </c>
      <c r="L2" s="41"/>
    </row>
    <row r="3" spans="1:15" s="1025" customFormat="1" x14ac:dyDescent="0.25">
      <c r="A3" s="988"/>
      <c r="B3" s="988"/>
      <c r="C3" s="988"/>
      <c r="D3" s="988"/>
      <c r="E3" s="988"/>
      <c r="K3" s="967" t="s">
        <v>279</v>
      </c>
      <c r="L3" s="41"/>
    </row>
    <row r="4" spans="1:15" s="1025" customFormat="1" x14ac:dyDescent="0.25">
      <c r="A4" s="1027" t="s">
        <v>1311</v>
      </c>
      <c r="B4" s="988"/>
      <c r="C4" s="988"/>
      <c r="D4" s="988"/>
      <c r="E4" s="988"/>
      <c r="K4" s="967" t="s">
        <v>280</v>
      </c>
      <c r="L4" s="41"/>
    </row>
    <row r="5" spans="1:15" s="1025" customFormat="1" x14ac:dyDescent="0.25">
      <c r="A5" s="988"/>
      <c r="B5" s="988"/>
      <c r="C5" s="988"/>
      <c r="D5" s="988"/>
      <c r="E5" s="988"/>
      <c r="K5" s="967" t="s">
        <v>281</v>
      </c>
      <c r="L5" s="42"/>
    </row>
    <row r="6" spans="1:15" s="1025" customFormat="1" x14ac:dyDescent="0.25">
      <c r="A6" s="988"/>
      <c r="B6" s="988"/>
      <c r="C6" s="988"/>
      <c r="D6" s="988"/>
      <c r="E6" s="988"/>
      <c r="K6" s="967"/>
      <c r="L6" s="968"/>
    </row>
    <row r="7" spans="1:15" s="1025" customFormat="1" x14ac:dyDescent="0.25">
      <c r="A7" s="988"/>
      <c r="B7" s="988"/>
      <c r="C7" s="988"/>
      <c r="D7" s="988"/>
      <c r="E7" s="988"/>
      <c r="K7" s="967" t="s">
        <v>282</v>
      </c>
      <c r="L7" s="42"/>
    </row>
    <row r="8" spans="1:15" s="1025" customFormat="1" x14ac:dyDescent="0.25">
      <c r="A8" s="989"/>
      <c r="B8" s="989"/>
      <c r="C8" s="989"/>
      <c r="D8" s="989"/>
      <c r="E8" s="989"/>
      <c r="F8" s="989"/>
      <c r="G8" s="989"/>
      <c r="H8" s="989"/>
      <c r="I8" s="989"/>
      <c r="J8" s="989"/>
      <c r="M8" s="1028"/>
      <c r="N8" s="1028"/>
      <c r="O8" s="1028"/>
    </row>
    <row r="9" spans="1:15" s="1025" customFormat="1" ht="18" x14ac:dyDescent="0.25">
      <c r="A9" s="1667" t="s">
        <v>458</v>
      </c>
      <c r="B9" s="1667"/>
      <c r="C9" s="1667"/>
      <c r="D9" s="1667"/>
      <c r="E9" s="1667"/>
      <c r="F9" s="1667"/>
      <c r="G9" s="1667"/>
      <c r="H9" s="1667"/>
      <c r="I9" s="1667"/>
      <c r="J9" s="1667"/>
      <c r="K9" s="1667"/>
      <c r="L9" s="1667"/>
      <c r="M9" s="1028"/>
      <c r="N9" s="1028"/>
      <c r="O9" s="1028"/>
    </row>
    <row r="10" spans="1:15" s="1025" customFormat="1" ht="18" x14ac:dyDescent="0.25">
      <c r="A10" s="1667" t="s">
        <v>902</v>
      </c>
      <c r="B10" s="1667"/>
      <c r="C10" s="1667"/>
      <c r="D10" s="1667"/>
      <c r="E10" s="1667"/>
      <c r="F10" s="1667"/>
      <c r="G10" s="1667"/>
      <c r="H10" s="1667"/>
      <c r="I10" s="1667"/>
      <c r="J10" s="1667"/>
      <c r="K10" s="1667"/>
      <c r="L10" s="1667"/>
      <c r="M10" s="1028"/>
      <c r="N10" s="1028"/>
      <c r="O10" s="1028"/>
    </row>
    <row r="11" spans="1:15" s="1025" customFormat="1" ht="18" x14ac:dyDescent="0.25">
      <c r="A11" s="1029"/>
      <c r="B11" s="1029"/>
      <c r="C11" s="1029"/>
      <c r="D11" s="1029"/>
      <c r="E11" s="1029"/>
      <c r="F11" s="1029"/>
      <c r="G11" s="1029"/>
      <c r="H11" s="1029"/>
      <c r="I11" s="1029"/>
      <c r="J11" s="1029"/>
      <c r="K11" s="1029"/>
      <c r="L11" s="1029"/>
      <c r="M11" s="1028"/>
      <c r="N11" s="1028"/>
      <c r="O11" s="1028"/>
    </row>
    <row r="12" spans="1:15" x14ac:dyDescent="0.25">
      <c r="A12" s="1807" t="s">
        <v>903</v>
      </c>
      <c r="B12" s="1807"/>
      <c r="C12" s="1807"/>
      <c r="D12" s="1807"/>
      <c r="E12" s="1807"/>
      <c r="F12" s="1807"/>
      <c r="G12" s="1807"/>
      <c r="H12" s="1807"/>
      <c r="I12" s="1"/>
      <c r="J12" s="1"/>
    </row>
    <row r="13" spans="1:15" x14ac:dyDescent="0.25">
      <c r="A13" s="1807" t="s">
        <v>575</v>
      </c>
      <c r="B13" s="1807"/>
      <c r="C13" s="1807"/>
      <c r="D13" s="1807"/>
      <c r="E13" s="1807"/>
      <c r="F13" s="1807"/>
      <c r="G13" s="1807"/>
      <c r="H13" s="1807"/>
      <c r="I13" s="1"/>
      <c r="J13" s="1"/>
    </row>
    <row r="14" spans="1:15" x14ac:dyDescent="0.25">
      <c r="A14" s="1808" t="s">
        <v>588</v>
      </c>
      <c r="B14" s="1808"/>
      <c r="C14" s="1808"/>
      <c r="D14" s="1808"/>
      <c r="E14" s="1808"/>
      <c r="F14" s="1808"/>
      <c r="G14" s="1808"/>
      <c r="H14" s="1"/>
      <c r="I14" s="1"/>
      <c r="J14" s="1"/>
    </row>
    <row r="15" spans="1:15" x14ac:dyDescent="0.25">
      <c r="A15" s="1808" t="s">
        <v>589</v>
      </c>
      <c r="B15" s="1808"/>
      <c r="C15" s="1808"/>
      <c r="D15" s="1808"/>
      <c r="E15" s="1808"/>
      <c r="F15" s="1808"/>
      <c r="G15" s="1808"/>
      <c r="H15" s="1"/>
      <c r="I15" s="1"/>
      <c r="J15" s="1"/>
    </row>
    <row r="16" spans="1:15" ht="15.75" x14ac:dyDescent="0.25">
      <c r="A16" s="964"/>
      <c r="B16" s="1"/>
      <c r="C16" s="1"/>
      <c r="D16" s="1"/>
      <c r="E16" s="1"/>
      <c r="F16" s="1"/>
      <c r="G16" s="1"/>
      <c r="H16" s="1"/>
      <c r="I16" s="1"/>
      <c r="J16" s="1"/>
    </row>
    <row r="17" spans="1:12" ht="15" customHeight="1" x14ac:dyDescent="0.25">
      <c r="A17" s="1660" t="s">
        <v>817</v>
      </c>
      <c r="B17" s="1660"/>
      <c r="C17" s="1660"/>
      <c r="D17" s="1660"/>
      <c r="E17" s="1660"/>
      <c r="F17" s="1660"/>
      <c r="G17" s="1660"/>
      <c r="H17" s="1660"/>
      <c r="I17" s="1660"/>
      <c r="J17" s="1660"/>
      <c r="K17" s="1660"/>
    </row>
    <row r="18" spans="1:12" ht="15.75" customHeight="1" x14ac:dyDescent="0.25">
      <c r="A18" s="1660" t="s">
        <v>940</v>
      </c>
      <c r="B18" s="1660"/>
      <c r="C18" s="1660"/>
      <c r="D18" s="1660"/>
      <c r="E18" s="1660"/>
      <c r="F18" s="1660"/>
      <c r="G18" s="1660"/>
      <c r="H18" s="1660"/>
      <c r="I18" s="1660"/>
      <c r="J18" s="1660"/>
    </row>
    <row r="19" spans="1:12" ht="15.75" customHeight="1" x14ac:dyDescent="0.25">
      <c r="A19" s="1031"/>
      <c r="B19" s="1031"/>
      <c r="C19" s="1031"/>
      <c r="D19" s="1031"/>
      <c r="E19" s="1031"/>
      <c r="F19" s="1031"/>
      <c r="G19" s="1031"/>
      <c r="H19" s="1031"/>
      <c r="I19" s="1031"/>
      <c r="J19" s="1031"/>
    </row>
    <row r="20" spans="1:12" ht="15.75" customHeight="1" x14ac:dyDescent="0.25">
      <c r="A20" s="1032" t="s">
        <v>904</v>
      </c>
      <c r="B20" s="1031"/>
      <c r="C20" s="1031"/>
      <c r="D20" s="1031"/>
      <c r="E20" s="1031"/>
      <c r="F20" s="1031"/>
      <c r="G20" s="1031"/>
      <c r="H20" s="1031"/>
      <c r="I20" s="1031"/>
      <c r="J20" s="1031"/>
    </row>
    <row r="21" spans="1:12" x14ac:dyDescent="0.25">
      <c r="A21" s="1033" t="s">
        <v>905</v>
      </c>
      <c r="H21" s="1"/>
      <c r="I21" s="1"/>
      <c r="J21" s="1"/>
    </row>
    <row r="22" spans="1:12" x14ac:dyDescent="0.25">
      <c r="A22" s="1034" t="s">
        <v>906</v>
      </c>
      <c r="H22" s="1"/>
      <c r="I22" s="1"/>
      <c r="J22" s="1"/>
    </row>
    <row r="23" spans="1:12" x14ac:dyDescent="0.25">
      <c r="A23" s="1033" t="s">
        <v>907</v>
      </c>
      <c r="H23" s="1"/>
      <c r="I23" s="1"/>
      <c r="J23" s="1"/>
    </row>
    <row r="24" spans="1:12" x14ac:dyDescent="0.25">
      <c r="A24" s="1035" t="s">
        <v>908</v>
      </c>
      <c r="H24" s="1"/>
      <c r="I24" s="1"/>
      <c r="J24" s="1"/>
    </row>
    <row r="25" spans="1:12" ht="12.75" customHeight="1" x14ac:dyDescent="0.25">
      <c r="A25" s="1035" t="s">
        <v>909</v>
      </c>
      <c r="H25" s="1"/>
      <c r="I25" s="1"/>
      <c r="J25" s="1"/>
    </row>
    <row r="26" spans="1:12" ht="12.75" customHeight="1" x14ac:dyDescent="0.25">
      <c r="A26" s="1035"/>
      <c r="H26" s="1"/>
      <c r="I26" s="1"/>
      <c r="J26" s="1"/>
    </row>
    <row r="27" spans="1:12" x14ac:dyDescent="0.25">
      <c r="A27" s="1036" t="s">
        <v>986</v>
      </c>
      <c r="H27" s="1"/>
      <c r="I27" s="1"/>
      <c r="J27" s="1"/>
    </row>
    <row r="28" spans="1:12" x14ac:dyDescent="0.25">
      <c r="A28" s="1033" t="s">
        <v>910</v>
      </c>
      <c r="H28" s="1"/>
      <c r="I28" s="1"/>
      <c r="J28" s="1"/>
    </row>
    <row r="29" spans="1:12" x14ac:dyDescent="0.25">
      <c r="A29" s="1037"/>
      <c r="H29" s="1"/>
      <c r="I29" s="1"/>
      <c r="J29" s="1"/>
    </row>
    <row r="30" spans="1:12" ht="18" x14ac:dyDescent="0.25">
      <c r="A30" s="1038" t="s">
        <v>576</v>
      </c>
      <c r="B30" s="951"/>
      <c r="C30" s="951"/>
      <c r="D30" s="951"/>
      <c r="E30" s="951"/>
      <c r="F30" s="951"/>
      <c r="H30" s="1039" t="s">
        <v>290</v>
      </c>
      <c r="J30" s="951"/>
    </row>
    <row r="31" spans="1:12" x14ac:dyDescent="0.25">
      <c r="A31" s="958" t="s">
        <v>577</v>
      </c>
      <c r="B31" s="951"/>
      <c r="C31" s="1040">
        <f>D31-1</f>
        <v>2014</v>
      </c>
      <c r="D31" s="1040">
        <f>E31-1</f>
        <v>2015</v>
      </c>
      <c r="E31" s="1040">
        <f>F31-1</f>
        <v>2016</v>
      </c>
      <c r="F31" s="1040">
        <f>G31-1</f>
        <v>2017</v>
      </c>
      <c r="G31" s="1040">
        <f>H31-1</f>
        <v>2018</v>
      </c>
      <c r="H31" s="1040">
        <f>TestYear</f>
        <v>2019</v>
      </c>
      <c r="I31" s="1040">
        <f>H31+1</f>
        <v>2020</v>
      </c>
      <c r="J31" s="1040">
        <f>I31+1</f>
        <v>2021</v>
      </c>
      <c r="K31" s="1040">
        <f>J31+1</f>
        <v>2022</v>
      </c>
      <c r="L31" s="1040">
        <f>K31+1</f>
        <v>2023</v>
      </c>
    </row>
    <row r="32" spans="1:12" x14ac:dyDescent="0.25">
      <c r="A32" s="967" t="s">
        <v>578</v>
      </c>
      <c r="B32" s="951"/>
      <c r="C32" s="951"/>
      <c r="D32" s="951"/>
      <c r="E32" s="951"/>
      <c r="F32" s="951"/>
      <c r="G32" s="951"/>
      <c r="H32" s="951"/>
      <c r="I32" s="951"/>
      <c r="J32" s="951"/>
      <c r="K32" s="951"/>
      <c r="L32" s="951"/>
    </row>
    <row r="33" spans="1:12" x14ac:dyDescent="0.25">
      <c r="A33" s="1041" t="s">
        <v>816</v>
      </c>
      <c r="B33" s="951"/>
      <c r="C33" s="951"/>
      <c r="D33" s="951"/>
      <c r="E33" s="951"/>
      <c r="F33" s="951"/>
      <c r="G33" s="951"/>
      <c r="H33" s="951"/>
      <c r="I33" s="951"/>
      <c r="J33" s="951"/>
      <c r="K33" s="951"/>
      <c r="L33" s="951"/>
    </row>
    <row r="34" spans="1:12" x14ac:dyDescent="0.25">
      <c r="A34" s="951" t="s">
        <v>579</v>
      </c>
      <c r="B34" s="951"/>
      <c r="C34" s="191">
        <v>0</v>
      </c>
      <c r="D34" s="191">
        <v>0</v>
      </c>
      <c r="E34" s="191">
        <v>0</v>
      </c>
      <c r="F34" s="191">
        <v>0</v>
      </c>
      <c r="G34" s="191">
        <v>0</v>
      </c>
      <c r="H34" s="191">
        <v>0</v>
      </c>
      <c r="I34" s="191">
        <v>0</v>
      </c>
      <c r="J34" s="191">
        <v>0</v>
      </c>
      <c r="K34" s="191">
        <v>0</v>
      </c>
      <c r="L34" s="191">
        <v>0</v>
      </c>
    </row>
    <row r="35" spans="1:12" x14ac:dyDescent="0.25">
      <c r="A35" s="951" t="s">
        <v>580</v>
      </c>
      <c r="B35" s="951"/>
      <c r="C35" s="191">
        <v>0</v>
      </c>
      <c r="D35" s="191">
        <v>0</v>
      </c>
      <c r="E35" s="191">
        <v>0</v>
      </c>
      <c r="F35" s="191">
        <v>0</v>
      </c>
      <c r="G35" s="191">
        <v>0</v>
      </c>
      <c r="H35" s="191">
        <v>0</v>
      </c>
      <c r="I35" s="191">
        <v>0</v>
      </c>
      <c r="J35" s="191">
        <v>0</v>
      </c>
      <c r="K35" s="191">
        <v>0</v>
      </c>
      <c r="L35" s="191">
        <v>0</v>
      </c>
    </row>
    <row r="36" spans="1:12" x14ac:dyDescent="0.25">
      <c r="A36" s="951" t="s">
        <v>581</v>
      </c>
      <c r="B36" s="951"/>
      <c r="C36" s="191">
        <v>0</v>
      </c>
      <c r="D36" s="191">
        <v>0</v>
      </c>
      <c r="E36" s="191">
        <v>0</v>
      </c>
      <c r="F36" s="191">
        <v>0</v>
      </c>
      <c r="G36" s="191">
        <v>0</v>
      </c>
      <c r="H36" s="191">
        <v>0</v>
      </c>
      <c r="I36" s="191">
        <v>0</v>
      </c>
      <c r="J36" s="191">
        <v>0</v>
      </c>
      <c r="K36" s="191">
        <v>0</v>
      </c>
      <c r="L36" s="191">
        <v>0</v>
      </c>
    </row>
    <row r="37" spans="1:12" x14ac:dyDescent="0.25">
      <c r="A37" s="951"/>
      <c r="B37" s="951"/>
      <c r="C37" s="951"/>
      <c r="D37" s="951"/>
      <c r="E37" s="951"/>
      <c r="F37" s="951"/>
      <c r="G37" s="951"/>
      <c r="H37" s="951"/>
      <c r="I37" s="951"/>
      <c r="J37" s="951"/>
      <c r="K37" s="951"/>
      <c r="L37" s="951"/>
    </row>
    <row r="38" spans="1:12" x14ac:dyDescent="0.25">
      <c r="A38" s="967" t="s">
        <v>582</v>
      </c>
      <c r="B38" s="951"/>
      <c r="C38" s="951"/>
      <c r="D38" s="951"/>
      <c r="E38" s="951"/>
      <c r="F38" s="951"/>
      <c r="G38" s="951"/>
      <c r="H38" s="951"/>
      <c r="I38" s="951"/>
      <c r="J38" s="951"/>
      <c r="K38" s="951"/>
      <c r="L38" s="951"/>
    </row>
    <row r="39" spans="1:12" x14ac:dyDescent="0.25">
      <c r="A39" s="1041" t="s">
        <v>816</v>
      </c>
      <c r="B39" s="951"/>
      <c r="C39" s="951"/>
      <c r="D39" s="951"/>
      <c r="E39" s="951"/>
      <c r="F39" s="951"/>
      <c r="G39" s="951"/>
      <c r="H39" s="951"/>
      <c r="I39" s="951"/>
      <c r="J39" s="951"/>
      <c r="K39" s="951"/>
      <c r="L39" s="951"/>
    </row>
    <row r="40" spans="1:12" x14ac:dyDescent="0.25">
      <c r="A40" s="951" t="s">
        <v>579</v>
      </c>
      <c r="B40" s="951"/>
      <c r="C40" s="191">
        <v>0</v>
      </c>
      <c r="D40" s="191">
        <v>0</v>
      </c>
      <c r="E40" s="191">
        <v>0</v>
      </c>
      <c r="F40" s="191">
        <v>0</v>
      </c>
      <c r="G40" s="191">
        <v>0</v>
      </c>
      <c r="H40" s="191">
        <v>0</v>
      </c>
      <c r="I40" s="191">
        <v>0</v>
      </c>
      <c r="J40" s="191">
        <v>0</v>
      </c>
      <c r="K40" s="191">
        <v>0</v>
      </c>
      <c r="L40" s="191">
        <v>0</v>
      </c>
    </row>
    <row r="41" spans="1:12" x14ac:dyDescent="0.25">
      <c r="A41" s="951" t="s">
        <v>580</v>
      </c>
      <c r="B41" s="951"/>
      <c r="C41" s="191">
        <v>0</v>
      </c>
      <c r="D41" s="191">
        <v>0</v>
      </c>
      <c r="E41" s="191">
        <v>0</v>
      </c>
      <c r="F41" s="191">
        <v>0</v>
      </c>
      <c r="G41" s="191">
        <v>0</v>
      </c>
      <c r="H41" s="191">
        <v>0</v>
      </c>
      <c r="I41" s="191">
        <v>0</v>
      </c>
      <c r="J41" s="191">
        <v>0</v>
      </c>
      <c r="K41" s="191">
        <v>0</v>
      </c>
      <c r="L41" s="191">
        <v>0</v>
      </c>
    </row>
    <row r="42" spans="1:12" x14ac:dyDescent="0.25">
      <c r="A42" s="951" t="s">
        <v>581</v>
      </c>
      <c r="B42" s="951"/>
      <c r="C42" s="191">
        <v>0</v>
      </c>
      <c r="D42" s="191">
        <v>0</v>
      </c>
      <c r="E42" s="191">
        <v>0</v>
      </c>
      <c r="F42" s="191">
        <v>0</v>
      </c>
      <c r="G42" s="191">
        <v>0</v>
      </c>
      <c r="H42" s="191">
        <v>0</v>
      </c>
      <c r="I42" s="191">
        <v>0</v>
      </c>
      <c r="J42" s="191">
        <v>0</v>
      </c>
      <c r="K42" s="191">
        <v>0</v>
      </c>
      <c r="L42" s="191">
        <v>0</v>
      </c>
    </row>
    <row r="43" spans="1:12" x14ac:dyDescent="0.25">
      <c r="A43" s="951"/>
      <c r="B43" s="951"/>
      <c r="C43" s="951"/>
      <c r="D43" s="951"/>
      <c r="E43" s="951"/>
      <c r="F43" s="951"/>
      <c r="G43" s="951"/>
      <c r="H43" s="951"/>
      <c r="I43" s="951"/>
      <c r="J43" s="951"/>
      <c r="K43" s="951"/>
      <c r="L43" s="951"/>
    </row>
    <row r="44" spans="1:12" x14ac:dyDescent="0.25">
      <c r="A44" s="967" t="s">
        <v>583</v>
      </c>
      <c r="B44" s="951"/>
      <c r="C44" s="951"/>
      <c r="D44" s="951"/>
      <c r="E44" s="951"/>
      <c r="F44" s="951"/>
      <c r="G44" s="951"/>
      <c r="H44" s="951"/>
      <c r="I44" s="951"/>
      <c r="J44" s="951"/>
      <c r="K44" s="951"/>
      <c r="L44" s="951"/>
    </row>
    <row r="45" spans="1:12" x14ac:dyDescent="0.25">
      <c r="A45" s="1041" t="s">
        <v>816</v>
      </c>
      <c r="B45" s="951"/>
      <c r="C45" s="951"/>
      <c r="D45" s="951"/>
      <c r="E45" s="951"/>
      <c r="F45" s="951"/>
      <c r="G45" s="951"/>
      <c r="H45" s="951"/>
      <c r="I45" s="951"/>
      <c r="J45" s="951"/>
      <c r="K45" s="951"/>
      <c r="L45" s="951"/>
    </row>
    <row r="46" spans="1:12" x14ac:dyDescent="0.25">
      <c r="A46" s="951" t="s">
        <v>579</v>
      </c>
      <c r="B46" s="951"/>
      <c r="C46" s="191">
        <v>0</v>
      </c>
      <c r="D46" s="191">
        <v>0</v>
      </c>
      <c r="E46" s="191">
        <v>0</v>
      </c>
      <c r="F46" s="191">
        <v>0</v>
      </c>
      <c r="G46" s="191">
        <v>0</v>
      </c>
      <c r="H46" s="191">
        <v>0</v>
      </c>
      <c r="I46" s="191">
        <v>0</v>
      </c>
      <c r="J46" s="191">
        <v>0</v>
      </c>
      <c r="K46" s="191">
        <v>0</v>
      </c>
      <c r="L46" s="191">
        <v>0</v>
      </c>
    </row>
    <row r="47" spans="1:12" x14ac:dyDescent="0.25">
      <c r="A47" s="951" t="s">
        <v>580</v>
      </c>
      <c r="B47" s="951"/>
      <c r="C47" s="191">
        <v>0</v>
      </c>
      <c r="D47" s="191">
        <v>0</v>
      </c>
      <c r="E47" s="191">
        <v>0</v>
      </c>
      <c r="F47" s="191">
        <v>0</v>
      </c>
      <c r="G47" s="191">
        <v>0</v>
      </c>
      <c r="H47" s="191">
        <v>0</v>
      </c>
      <c r="I47" s="191">
        <v>0</v>
      </c>
      <c r="J47" s="191">
        <v>0</v>
      </c>
      <c r="K47" s="191">
        <v>0</v>
      </c>
      <c r="L47" s="191">
        <v>0</v>
      </c>
    </row>
    <row r="48" spans="1:12" x14ac:dyDescent="0.25">
      <c r="A48" s="951" t="s">
        <v>581</v>
      </c>
      <c r="B48" s="951"/>
      <c r="C48" s="191">
        <v>0</v>
      </c>
      <c r="D48" s="191">
        <v>0</v>
      </c>
      <c r="E48" s="191">
        <v>0</v>
      </c>
      <c r="F48" s="191">
        <v>0</v>
      </c>
      <c r="G48" s="191">
        <v>0</v>
      </c>
      <c r="H48" s="191">
        <v>0</v>
      </c>
      <c r="I48" s="191">
        <v>0</v>
      </c>
      <c r="J48" s="191">
        <v>0</v>
      </c>
      <c r="K48" s="191">
        <v>0</v>
      </c>
      <c r="L48" s="191">
        <v>0</v>
      </c>
    </row>
    <row r="49" spans="1:13" x14ac:dyDescent="0.25">
      <c r="A49" s="951"/>
      <c r="B49" s="951"/>
      <c r="C49" s="951"/>
      <c r="D49" s="951"/>
      <c r="E49" s="951"/>
      <c r="F49" s="951"/>
      <c r="G49" s="951"/>
      <c r="H49" s="951"/>
      <c r="I49" s="951"/>
      <c r="J49" s="951"/>
      <c r="K49" s="951"/>
      <c r="L49" s="951"/>
    </row>
    <row r="50" spans="1:13" x14ac:dyDescent="0.25">
      <c r="A50" s="967" t="s">
        <v>584</v>
      </c>
      <c r="B50" s="951"/>
      <c r="C50" s="951"/>
      <c r="D50" s="951"/>
      <c r="E50" s="951"/>
      <c r="F50" s="951"/>
      <c r="G50" s="951"/>
      <c r="H50" s="951"/>
      <c r="I50" s="951"/>
      <c r="J50" s="951"/>
      <c r="K50" s="951"/>
      <c r="L50" s="951"/>
    </row>
    <row r="51" spans="1:13" x14ac:dyDescent="0.25">
      <c r="A51" s="1041" t="s">
        <v>816</v>
      </c>
      <c r="B51" s="951"/>
      <c r="C51" s="951"/>
      <c r="D51" s="951"/>
      <c r="E51" s="951"/>
      <c r="F51" s="951"/>
      <c r="G51" s="951"/>
      <c r="H51" s="951"/>
      <c r="I51" s="951"/>
      <c r="J51" s="951"/>
      <c r="K51" s="951"/>
      <c r="L51" s="951"/>
    </row>
    <row r="52" spans="1:13" x14ac:dyDescent="0.25">
      <c r="A52" s="951" t="s">
        <v>579</v>
      </c>
      <c r="B52" s="951"/>
      <c r="C52" s="191">
        <v>0</v>
      </c>
      <c r="D52" s="191">
        <v>0</v>
      </c>
      <c r="E52" s="191">
        <v>0</v>
      </c>
      <c r="F52" s="191">
        <v>0</v>
      </c>
      <c r="G52" s="191">
        <v>0</v>
      </c>
      <c r="H52" s="191">
        <v>0</v>
      </c>
      <c r="I52" s="191">
        <v>0</v>
      </c>
      <c r="J52" s="191">
        <v>0</v>
      </c>
      <c r="K52" s="191">
        <v>0</v>
      </c>
      <c r="L52" s="191">
        <v>0</v>
      </c>
    </row>
    <row r="53" spans="1:13" x14ac:dyDescent="0.25">
      <c r="A53" s="951" t="s">
        <v>580</v>
      </c>
      <c r="B53" s="951"/>
      <c r="C53" s="191">
        <v>0</v>
      </c>
      <c r="D53" s="191">
        <v>0</v>
      </c>
      <c r="E53" s="191">
        <v>0</v>
      </c>
      <c r="F53" s="191">
        <v>0</v>
      </c>
      <c r="G53" s="191">
        <v>0</v>
      </c>
      <c r="H53" s="191">
        <v>0</v>
      </c>
      <c r="I53" s="191">
        <v>0</v>
      </c>
      <c r="J53" s="191">
        <v>0</v>
      </c>
      <c r="K53" s="191">
        <v>0</v>
      </c>
      <c r="L53" s="191">
        <v>0</v>
      </c>
    </row>
    <row r="54" spans="1:13" x14ac:dyDescent="0.25">
      <c r="A54" s="951" t="s">
        <v>581</v>
      </c>
      <c r="B54" s="951"/>
      <c r="C54" s="191">
        <v>0</v>
      </c>
      <c r="D54" s="191">
        <v>0</v>
      </c>
      <c r="E54" s="191">
        <v>0</v>
      </c>
      <c r="F54" s="191">
        <v>0</v>
      </c>
      <c r="G54" s="191">
        <v>0</v>
      </c>
      <c r="H54" s="191">
        <v>0</v>
      </c>
      <c r="I54" s="191">
        <v>0</v>
      </c>
      <c r="J54" s="191">
        <v>0</v>
      </c>
      <c r="K54" s="191">
        <v>0</v>
      </c>
      <c r="L54" s="191">
        <v>0</v>
      </c>
    </row>
    <row r="55" spans="1:13" x14ac:dyDescent="0.25">
      <c r="A55" s="951"/>
      <c r="B55" s="951"/>
      <c r="C55" s="951"/>
      <c r="D55" s="951"/>
      <c r="E55" s="951"/>
      <c r="F55" s="951"/>
      <c r="G55" s="951"/>
      <c r="H55" s="951"/>
      <c r="I55" s="951"/>
      <c r="J55" s="951"/>
      <c r="K55" s="951"/>
      <c r="L55" s="951"/>
    </row>
    <row r="56" spans="1:13" x14ac:dyDescent="0.25">
      <c r="A56" s="967" t="s">
        <v>585</v>
      </c>
      <c r="B56" s="951"/>
      <c r="C56" s="951"/>
      <c r="D56" s="951"/>
      <c r="E56" s="951"/>
      <c r="F56" s="951"/>
      <c r="G56" s="951"/>
      <c r="H56" s="951"/>
      <c r="I56" s="951"/>
      <c r="J56" s="951"/>
      <c r="K56" s="951"/>
      <c r="L56" s="951"/>
    </row>
    <row r="57" spans="1:13" x14ac:dyDescent="0.25">
      <c r="A57" s="1041" t="s">
        <v>816</v>
      </c>
      <c r="B57" s="951"/>
      <c r="C57" s="951"/>
      <c r="D57" s="951"/>
      <c r="E57" s="951"/>
      <c r="F57" s="951"/>
      <c r="G57" s="951"/>
      <c r="H57" s="951"/>
      <c r="I57" s="951"/>
      <c r="J57" s="951"/>
      <c r="K57" s="951"/>
      <c r="L57" s="951"/>
    </row>
    <row r="58" spans="1:13" x14ac:dyDescent="0.25">
      <c r="A58" s="951" t="s">
        <v>579</v>
      </c>
      <c r="B58" s="951"/>
      <c r="C58" s="191">
        <v>0</v>
      </c>
      <c r="D58" s="191">
        <v>0</v>
      </c>
      <c r="E58" s="191">
        <v>0</v>
      </c>
      <c r="F58" s="191">
        <v>0</v>
      </c>
      <c r="G58" s="191">
        <v>0</v>
      </c>
      <c r="H58" s="191">
        <v>0</v>
      </c>
      <c r="I58" s="191">
        <v>0</v>
      </c>
      <c r="J58" s="191">
        <v>0</v>
      </c>
      <c r="K58" s="191">
        <v>0</v>
      </c>
      <c r="L58" s="191">
        <v>0</v>
      </c>
    </row>
    <row r="59" spans="1:13" x14ac:dyDescent="0.25">
      <c r="A59" s="951" t="s">
        <v>580</v>
      </c>
      <c r="B59" s="951"/>
      <c r="C59" s="191">
        <v>0</v>
      </c>
      <c r="D59" s="191">
        <v>0</v>
      </c>
      <c r="E59" s="191">
        <v>0</v>
      </c>
      <c r="F59" s="191">
        <v>0</v>
      </c>
      <c r="G59" s="191">
        <v>0</v>
      </c>
      <c r="H59" s="191">
        <v>0</v>
      </c>
      <c r="I59" s="191">
        <v>0</v>
      </c>
      <c r="J59" s="191">
        <v>0</v>
      </c>
      <c r="K59" s="191">
        <v>0</v>
      </c>
      <c r="L59" s="191">
        <v>0</v>
      </c>
    </row>
    <row r="60" spans="1:13" x14ac:dyDescent="0.25">
      <c r="A60" s="951" t="s">
        <v>581</v>
      </c>
      <c r="B60" s="951"/>
      <c r="C60" s="191">
        <v>0</v>
      </c>
      <c r="D60" s="191">
        <v>0</v>
      </c>
      <c r="E60" s="191">
        <v>0</v>
      </c>
      <c r="F60" s="191">
        <v>0</v>
      </c>
      <c r="G60" s="191">
        <v>0</v>
      </c>
      <c r="H60" s="191">
        <v>0</v>
      </c>
      <c r="I60" s="191">
        <v>0</v>
      </c>
      <c r="J60" s="191">
        <v>0</v>
      </c>
      <c r="K60" s="191">
        <v>0</v>
      </c>
      <c r="L60" s="191">
        <v>0</v>
      </c>
    </row>
    <row r="61" spans="1:13" x14ac:dyDescent="0.25">
      <c r="A61" s="951"/>
      <c r="B61" s="951"/>
      <c r="C61" s="1042"/>
      <c r="D61" s="1042"/>
      <c r="E61" s="1042"/>
      <c r="F61" s="1042"/>
      <c r="G61" s="1042"/>
      <c r="H61" s="1042"/>
      <c r="I61" s="1042"/>
      <c r="J61" s="1042"/>
      <c r="K61" s="1042"/>
      <c r="L61" s="1042"/>
      <c r="M61" s="1042"/>
    </row>
    <row r="62" spans="1:13" x14ac:dyDescent="0.25">
      <c r="A62" s="967" t="s">
        <v>812</v>
      </c>
      <c r="B62" s="967"/>
      <c r="C62" s="1043">
        <f t="shared" ref="C62" si="0">SUM(C58,C52,C46,C40,C34)</f>
        <v>0</v>
      </c>
      <c r="D62" s="1043">
        <f t="shared" ref="D62:G64" si="1">SUM(D58,D52,D46,D40,D34)</f>
        <v>0</v>
      </c>
      <c r="E62" s="1043">
        <f t="shared" si="1"/>
        <v>0</v>
      </c>
      <c r="F62" s="1043">
        <f t="shared" si="1"/>
        <v>0</v>
      </c>
      <c r="G62" s="1043">
        <f t="shared" si="1"/>
        <v>0</v>
      </c>
      <c r="H62" s="1043">
        <f>SUM(H58,H52,H46,H40,H34)</f>
        <v>0</v>
      </c>
      <c r="I62" s="1043">
        <f t="shared" ref="I62:L64" si="2">SUM(I58,I52,I46,I40,I34)</f>
        <v>0</v>
      </c>
      <c r="J62" s="1043">
        <f t="shared" si="2"/>
        <v>0</v>
      </c>
      <c r="K62" s="1043">
        <f t="shared" si="2"/>
        <v>0</v>
      </c>
      <c r="L62" s="1043">
        <f t="shared" si="2"/>
        <v>0</v>
      </c>
      <c r="M62" s="1042"/>
    </row>
    <row r="63" spans="1:13" x14ac:dyDescent="0.25">
      <c r="A63" s="967" t="s">
        <v>813</v>
      </c>
      <c r="B63" s="967"/>
      <c r="C63" s="1043">
        <f t="shared" ref="C63" si="3">SUM(C59,C53,C47,C41,C35)</f>
        <v>0</v>
      </c>
      <c r="D63" s="1043">
        <f t="shared" si="1"/>
        <v>0</v>
      </c>
      <c r="E63" s="1043">
        <f t="shared" si="1"/>
        <v>0</v>
      </c>
      <c r="F63" s="1043">
        <f t="shared" si="1"/>
        <v>0</v>
      </c>
      <c r="G63" s="1043">
        <f t="shared" si="1"/>
        <v>0</v>
      </c>
      <c r="H63" s="1043">
        <f>SUM(H59,H53,H47,H41,H35)</f>
        <v>0</v>
      </c>
      <c r="I63" s="1043">
        <f t="shared" si="2"/>
        <v>0</v>
      </c>
      <c r="J63" s="1043">
        <f t="shared" si="2"/>
        <v>0</v>
      </c>
      <c r="K63" s="1043">
        <f t="shared" si="2"/>
        <v>0</v>
      </c>
      <c r="L63" s="1043">
        <f t="shared" si="2"/>
        <v>0</v>
      </c>
      <c r="M63" s="1042"/>
    </row>
    <row r="64" spans="1:13" x14ac:dyDescent="0.25">
      <c r="A64" s="967" t="s">
        <v>814</v>
      </c>
      <c r="B64" s="1044"/>
      <c r="C64" s="1045">
        <f t="shared" ref="C64" si="4">SUM(C60,C54,C48,C42,C36)</f>
        <v>0</v>
      </c>
      <c r="D64" s="1045">
        <f t="shared" si="1"/>
        <v>0</v>
      </c>
      <c r="E64" s="1045">
        <f t="shared" si="1"/>
        <v>0</v>
      </c>
      <c r="F64" s="1045">
        <f t="shared" si="1"/>
        <v>0</v>
      </c>
      <c r="G64" s="1045">
        <f t="shared" si="1"/>
        <v>0</v>
      </c>
      <c r="H64" s="1045">
        <f>SUM(H60,H54,H48,H42,H36)</f>
        <v>0</v>
      </c>
      <c r="I64" s="1045">
        <f t="shared" si="2"/>
        <v>0</v>
      </c>
      <c r="J64" s="1045">
        <f t="shared" si="2"/>
        <v>0</v>
      </c>
      <c r="K64" s="1045">
        <f t="shared" si="2"/>
        <v>0</v>
      </c>
      <c r="L64" s="1045">
        <f t="shared" si="2"/>
        <v>0</v>
      </c>
    </row>
    <row r="65" spans="1:12" ht="6" customHeight="1" x14ac:dyDescent="0.25">
      <c r="A65" s="1046"/>
      <c r="B65" s="1047"/>
      <c r="C65" s="1047"/>
      <c r="D65" s="1048"/>
      <c r="E65" s="1048"/>
      <c r="F65" s="1048"/>
      <c r="G65" s="1048"/>
      <c r="H65" s="1048"/>
      <c r="I65" s="1048"/>
      <c r="J65" s="1046"/>
      <c r="K65" s="1049"/>
      <c r="L65" s="1048"/>
    </row>
    <row r="66" spans="1:12" x14ac:dyDescent="0.25">
      <c r="A66" s="1050"/>
      <c r="B66" s="1051"/>
      <c r="C66" s="1051"/>
      <c r="D66" s="1052"/>
      <c r="E66" s="1052"/>
      <c r="F66" s="1052"/>
      <c r="G66" s="1052"/>
      <c r="H66" s="1052"/>
      <c r="I66" s="1052"/>
      <c r="J66" s="1050"/>
      <c r="K66" s="1051"/>
      <c r="L66" s="1052"/>
    </row>
    <row r="67" spans="1:12" ht="18" x14ac:dyDescent="0.25">
      <c r="A67" s="1038" t="s">
        <v>586</v>
      </c>
      <c r="B67" s="951"/>
      <c r="C67" s="951"/>
      <c r="D67" s="951"/>
      <c r="E67" s="951"/>
      <c r="F67" s="951"/>
      <c r="G67" s="951"/>
      <c r="H67" s="1039" t="s">
        <v>290</v>
      </c>
      <c r="I67" s="951"/>
      <c r="J67" s="951"/>
      <c r="K67" s="951"/>
      <c r="L67" s="951"/>
    </row>
    <row r="68" spans="1:12" x14ac:dyDescent="0.25">
      <c r="A68" s="958" t="s">
        <v>587</v>
      </c>
      <c r="B68" s="951"/>
      <c r="C68" s="1040">
        <f>D68-1</f>
        <v>2014</v>
      </c>
      <c r="D68" s="1040">
        <f>E68-1</f>
        <v>2015</v>
      </c>
      <c r="E68" s="1040">
        <f>F68-1</f>
        <v>2016</v>
      </c>
      <c r="F68" s="1040">
        <f>G68-1</f>
        <v>2017</v>
      </c>
      <c r="G68" s="1040">
        <f>H68-1</f>
        <v>2018</v>
      </c>
      <c r="H68" s="1040">
        <f>TestYear</f>
        <v>2019</v>
      </c>
      <c r="I68" s="1040">
        <f>H68+1</f>
        <v>2020</v>
      </c>
      <c r="J68" s="1040">
        <f>I68+1</f>
        <v>2021</v>
      </c>
      <c r="K68" s="1040">
        <f>J68+1</f>
        <v>2022</v>
      </c>
      <c r="L68" s="1040">
        <f>K68+1</f>
        <v>2023</v>
      </c>
    </row>
    <row r="69" spans="1:12" x14ac:dyDescent="0.25">
      <c r="A69" s="967" t="s">
        <v>578</v>
      </c>
      <c r="B69" s="951"/>
      <c r="C69" s="951"/>
      <c r="D69" s="951"/>
      <c r="E69" s="951"/>
      <c r="F69" s="951"/>
      <c r="G69" s="951"/>
      <c r="H69" s="951"/>
      <c r="I69" s="951"/>
      <c r="J69" s="951"/>
      <c r="K69" s="951"/>
      <c r="L69" s="951"/>
    </row>
    <row r="70" spans="1:12" x14ac:dyDescent="0.25">
      <c r="A70" s="1041" t="s">
        <v>815</v>
      </c>
      <c r="B70" s="951"/>
      <c r="C70" s="951"/>
      <c r="D70" s="951"/>
      <c r="E70" s="951"/>
      <c r="F70" s="951"/>
      <c r="G70" s="951"/>
      <c r="H70" s="951"/>
      <c r="I70" s="951"/>
      <c r="J70" s="951"/>
      <c r="K70" s="951"/>
      <c r="L70" s="951"/>
    </row>
    <row r="71" spans="1:12" x14ac:dyDescent="0.25">
      <c r="A71" s="951" t="s">
        <v>579</v>
      </c>
      <c r="B71" s="951"/>
      <c r="C71" s="191">
        <v>0</v>
      </c>
      <c r="D71" s="191">
        <v>0</v>
      </c>
      <c r="E71" s="191">
        <v>0</v>
      </c>
      <c r="F71" s="191">
        <v>0</v>
      </c>
      <c r="G71" s="191">
        <v>0</v>
      </c>
      <c r="H71" s="191">
        <v>0</v>
      </c>
      <c r="I71" s="191">
        <v>0</v>
      </c>
      <c r="J71" s="191">
        <v>0</v>
      </c>
      <c r="K71" s="191">
        <v>0</v>
      </c>
      <c r="L71" s="191">
        <v>0</v>
      </c>
    </row>
    <row r="72" spans="1:12" x14ac:dyDescent="0.25">
      <c r="A72" s="951" t="s">
        <v>580</v>
      </c>
      <c r="B72" s="951"/>
      <c r="C72" s="191">
        <v>0</v>
      </c>
      <c r="D72" s="191">
        <v>0</v>
      </c>
      <c r="E72" s="191">
        <v>0</v>
      </c>
      <c r="F72" s="191">
        <v>0</v>
      </c>
      <c r="G72" s="191">
        <v>0</v>
      </c>
      <c r="H72" s="191">
        <v>0</v>
      </c>
      <c r="I72" s="191">
        <v>0</v>
      </c>
      <c r="J72" s="191">
        <v>0</v>
      </c>
      <c r="K72" s="191">
        <v>0</v>
      </c>
      <c r="L72" s="191">
        <v>0</v>
      </c>
    </row>
    <row r="73" spans="1:12" x14ac:dyDescent="0.25">
      <c r="A73" s="951" t="s">
        <v>581</v>
      </c>
      <c r="B73" s="951"/>
      <c r="C73" s="191">
        <v>0</v>
      </c>
      <c r="D73" s="191">
        <v>0</v>
      </c>
      <c r="E73" s="191">
        <v>0</v>
      </c>
      <c r="F73" s="191">
        <v>0</v>
      </c>
      <c r="G73" s="191">
        <v>0</v>
      </c>
      <c r="H73" s="191">
        <v>0</v>
      </c>
      <c r="I73" s="191">
        <v>0</v>
      </c>
      <c r="J73" s="191">
        <v>0</v>
      </c>
      <c r="K73" s="191">
        <v>0</v>
      </c>
      <c r="L73" s="191">
        <v>0</v>
      </c>
    </row>
    <row r="74" spans="1:12" x14ac:dyDescent="0.25">
      <c r="A74" s="951"/>
      <c r="B74" s="951"/>
      <c r="C74" s="951"/>
      <c r="D74" s="951"/>
      <c r="E74" s="951"/>
      <c r="F74" s="951"/>
      <c r="G74" s="951"/>
      <c r="H74" s="951"/>
      <c r="I74" s="951"/>
      <c r="J74" s="951"/>
      <c r="K74" s="951"/>
      <c r="L74" s="951"/>
    </row>
    <row r="75" spans="1:12" x14ac:dyDescent="0.25">
      <c r="A75" s="967" t="s">
        <v>582</v>
      </c>
      <c r="B75" s="951"/>
      <c r="C75" s="951"/>
      <c r="D75" s="951"/>
      <c r="E75" s="951"/>
      <c r="F75" s="951"/>
      <c r="G75" s="951"/>
      <c r="H75" s="951"/>
      <c r="I75" s="951"/>
      <c r="J75" s="951"/>
      <c r="K75" s="951"/>
      <c r="L75" s="951"/>
    </row>
    <row r="76" spans="1:12" x14ac:dyDescent="0.25">
      <c r="A76" s="1041" t="s">
        <v>815</v>
      </c>
      <c r="B76" s="951"/>
      <c r="C76" s="951"/>
      <c r="D76" s="951"/>
      <c r="E76" s="951"/>
      <c r="F76" s="951"/>
      <c r="G76" s="951"/>
      <c r="H76" s="951"/>
      <c r="I76" s="951"/>
      <c r="J76" s="951"/>
      <c r="K76" s="951"/>
      <c r="L76" s="951"/>
    </row>
    <row r="77" spans="1:12" x14ac:dyDescent="0.25">
      <c r="A77" s="951" t="s">
        <v>579</v>
      </c>
      <c r="B77" s="951"/>
      <c r="C77" s="191">
        <v>0</v>
      </c>
      <c r="D77" s="191">
        <v>0</v>
      </c>
      <c r="E77" s="191">
        <v>0</v>
      </c>
      <c r="F77" s="191">
        <v>0</v>
      </c>
      <c r="G77" s="191">
        <v>0</v>
      </c>
      <c r="H77" s="191">
        <v>0</v>
      </c>
      <c r="I77" s="191">
        <v>0</v>
      </c>
      <c r="J77" s="191">
        <v>0</v>
      </c>
      <c r="K77" s="191">
        <v>0</v>
      </c>
      <c r="L77" s="191">
        <v>0</v>
      </c>
    </row>
    <row r="78" spans="1:12" x14ac:dyDescent="0.25">
      <c r="A78" s="951" t="s">
        <v>580</v>
      </c>
      <c r="B78" s="951"/>
      <c r="C78" s="191">
        <v>0</v>
      </c>
      <c r="D78" s="191">
        <v>0</v>
      </c>
      <c r="E78" s="191">
        <v>0</v>
      </c>
      <c r="F78" s="191">
        <v>0</v>
      </c>
      <c r="G78" s="191">
        <v>0</v>
      </c>
      <c r="H78" s="191">
        <v>0</v>
      </c>
      <c r="I78" s="191">
        <v>0</v>
      </c>
      <c r="J78" s="191">
        <v>0</v>
      </c>
      <c r="K78" s="191">
        <v>0</v>
      </c>
      <c r="L78" s="191">
        <v>0</v>
      </c>
    </row>
    <row r="79" spans="1:12" x14ac:dyDescent="0.25">
      <c r="A79" s="951" t="s">
        <v>581</v>
      </c>
      <c r="B79" s="951"/>
      <c r="C79" s="191">
        <v>0</v>
      </c>
      <c r="D79" s="191">
        <v>0</v>
      </c>
      <c r="E79" s="191">
        <v>0</v>
      </c>
      <c r="F79" s="191">
        <v>0</v>
      </c>
      <c r="G79" s="191">
        <v>0</v>
      </c>
      <c r="H79" s="191">
        <v>0</v>
      </c>
      <c r="I79" s="191">
        <v>0</v>
      </c>
      <c r="J79" s="191">
        <v>0</v>
      </c>
      <c r="K79" s="191">
        <v>0</v>
      </c>
      <c r="L79" s="191">
        <v>0</v>
      </c>
    </row>
    <row r="80" spans="1:12" x14ac:dyDescent="0.25">
      <c r="A80" s="951"/>
      <c r="B80" s="951"/>
      <c r="C80" s="951"/>
      <c r="D80" s="951"/>
      <c r="E80" s="951"/>
      <c r="F80" s="951"/>
      <c r="G80" s="951"/>
      <c r="H80" s="951"/>
      <c r="I80" s="951"/>
      <c r="J80" s="951"/>
      <c r="K80" s="951"/>
      <c r="L80" s="951"/>
    </row>
    <row r="81" spans="1:12" x14ac:dyDescent="0.25">
      <c r="A81" s="967" t="s">
        <v>583</v>
      </c>
      <c r="B81" s="951"/>
      <c r="C81" s="951"/>
      <c r="D81" s="951"/>
      <c r="E81" s="951"/>
      <c r="F81" s="951"/>
      <c r="G81" s="951"/>
      <c r="H81" s="951"/>
      <c r="I81" s="951"/>
      <c r="J81" s="951"/>
      <c r="K81" s="951"/>
      <c r="L81" s="951"/>
    </row>
    <row r="82" spans="1:12" x14ac:dyDescent="0.25">
      <c r="A82" s="1041" t="s">
        <v>815</v>
      </c>
      <c r="B82" s="951"/>
      <c r="C82" s="951"/>
      <c r="D82" s="951"/>
      <c r="E82" s="951"/>
      <c r="F82" s="951"/>
      <c r="G82" s="951"/>
      <c r="H82" s="951"/>
      <c r="I82" s="951"/>
      <c r="J82" s="951"/>
      <c r="K82" s="951"/>
      <c r="L82" s="951"/>
    </row>
    <row r="83" spans="1:12" x14ac:dyDescent="0.25">
      <c r="A83" s="951" t="s">
        <v>579</v>
      </c>
      <c r="B83" s="951"/>
      <c r="C83" s="191">
        <v>0</v>
      </c>
      <c r="D83" s="191">
        <v>0</v>
      </c>
      <c r="E83" s="191">
        <v>0</v>
      </c>
      <c r="F83" s="191">
        <v>0</v>
      </c>
      <c r="G83" s="191">
        <v>0</v>
      </c>
      <c r="H83" s="191">
        <v>0</v>
      </c>
      <c r="I83" s="191">
        <v>0</v>
      </c>
      <c r="J83" s="191">
        <v>0</v>
      </c>
      <c r="K83" s="191">
        <v>0</v>
      </c>
      <c r="L83" s="191">
        <v>0</v>
      </c>
    </row>
    <row r="84" spans="1:12" x14ac:dyDescent="0.25">
      <c r="A84" s="951" t="s">
        <v>580</v>
      </c>
      <c r="B84" s="951"/>
      <c r="C84" s="191">
        <v>0</v>
      </c>
      <c r="D84" s="191">
        <v>0</v>
      </c>
      <c r="E84" s="191">
        <v>0</v>
      </c>
      <c r="F84" s="191">
        <v>0</v>
      </c>
      <c r="G84" s="191">
        <v>0</v>
      </c>
      <c r="H84" s="191">
        <v>0</v>
      </c>
      <c r="I84" s="191">
        <v>0</v>
      </c>
      <c r="J84" s="191">
        <v>0</v>
      </c>
      <c r="K84" s="191">
        <v>0</v>
      </c>
      <c r="L84" s="191">
        <v>0</v>
      </c>
    </row>
    <row r="85" spans="1:12" x14ac:dyDescent="0.25">
      <c r="A85" s="951" t="s">
        <v>581</v>
      </c>
      <c r="B85" s="951"/>
      <c r="C85" s="191">
        <v>0</v>
      </c>
      <c r="D85" s="191">
        <v>0</v>
      </c>
      <c r="E85" s="191">
        <v>0</v>
      </c>
      <c r="F85" s="191">
        <v>0</v>
      </c>
      <c r="G85" s="191">
        <v>0</v>
      </c>
      <c r="H85" s="191">
        <v>0</v>
      </c>
      <c r="I85" s="191">
        <v>0</v>
      </c>
      <c r="J85" s="191">
        <v>0</v>
      </c>
      <c r="K85" s="191">
        <v>0</v>
      </c>
      <c r="L85" s="191">
        <v>0</v>
      </c>
    </row>
    <row r="86" spans="1:12" x14ac:dyDescent="0.25">
      <c r="A86" s="1053"/>
      <c r="B86" s="1054"/>
      <c r="C86" s="1055"/>
      <c r="D86" s="1055"/>
      <c r="E86" s="1055"/>
      <c r="F86" s="1055"/>
      <c r="G86" s="1055"/>
      <c r="H86" s="1055"/>
      <c r="I86" s="1056"/>
      <c r="J86" s="1056"/>
      <c r="K86" s="1055"/>
      <c r="L86" s="1055"/>
    </row>
    <row r="87" spans="1:12" x14ac:dyDescent="0.25">
      <c r="A87" s="967" t="s">
        <v>584</v>
      </c>
      <c r="B87" s="951"/>
      <c r="C87" s="951"/>
      <c r="D87" s="951"/>
      <c r="E87" s="951"/>
      <c r="F87" s="951"/>
      <c r="G87" s="951"/>
      <c r="H87" s="951"/>
      <c r="I87" s="951"/>
      <c r="J87" s="951"/>
      <c r="K87" s="951"/>
      <c r="L87" s="951"/>
    </row>
    <row r="88" spans="1:12" x14ac:dyDescent="0.25">
      <c r="A88" s="1041" t="s">
        <v>815</v>
      </c>
      <c r="B88" s="951"/>
      <c r="C88" s="951"/>
      <c r="D88" s="951"/>
      <c r="E88" s="951"/>
      <c r="F88" s="951"/>
      <c r="G88" s="951"/>
      <c r="H88" s="951"/>
      <c r="I88" s="951"/>
      <c r="J88" s="951"/>
      <c r="K88" s="951"/>
      <c r="L88" s="951"/>
    </row>
    <row r="89" spans="1:12" x14ac:dyDescent="0.25">
      <c r="A89" s="951" t="s">
        <v>579</v>
      </c>
      <c r="B89" s="951"/>
      <c r="C89" s="191">
        <v>0</v>
      </c>
      <c r="D89" s="191">
        <v>0</v>
      </c>
      <c r="E89" s="191">
        <v>0</v>
      </c>
      <c r="F89" s="191">
        <v>0</v>
      </c>
      <c r="G89" s="191">
        <v>0</v>
      </c>
      <c r="H89" s="191">
        <v>0</v>
      </c>
      <c r="I89" s="191">
        <v>0</v>
      </c>
      <c r="J89" s="191">
        <v>0</v>
      </c>
      <c r="K89" s="191">
        <v>0</v>
      </c>
      <c r="L89" s="191">
        <v>0</v>
      </c>
    </row>
    <row r="90" spans="1:12" x14ac:dyDescent="0.25">
      <c r="A90" s="951" t="s">
        <v>580</v>
      </c>
      <c r="B90" s="951"/>
      <c r="C90" s="191">
        <v>0</v>
      </c>
      <c r="D90" s="191">
        <v>0</v>
      </c>
      <c r="E90" s="191">
        <v>0</v>
      </c>
      <c r="F90" s="191">
        <v>0</v>
      </c>
      <c r="G90" s="191">
        <v>0</v>
      </c>
      <c r="H90" s="191">
        <v>0</v>
      </c>
      <c r="I90" s="191">
        <v>0</v>
      </c>
      <c r="J90" s="191">
        <v>0</v>
      </c>
      <c r="K90" s="191">
        <v>0</v>
      </c>
      <c r="L90" s="191">
        <v>0</v>
      </c>
    </row>
    <row r="91" spans="1:12" x14ac:dyDescent="0.25">
      <c r="A91" s="951" t="s">
        <v>581</v>
      </c>
      <c r="B91" s="951"/>
      <c r="C91" s="191">
        <v>0</v>
      </c>
      <c r="D91" s="191">
        <v>0</v>
      </c>
      <c r="E91" s="191">
        <v>0</v>
      </c>
      <c r="F91" s="191">
        <v>0</v>
      </c>
      <c r="G91" s="191">
        <v>0</v>
      </c>
      <c r="H91" s="191">
        <v>0</v>
      </c>
      <c r="I91" s="191">
        <v>0</v>
      </c>
      <c r="J91" s="191">
        <v>0</v>
      </c>
      <c r="K91" s="191">
        <v>0</v>
      </c>
      <c r="L91" s="191">
        <v>0</v>
      </c>
    </row>
    <row r="92" spans="1:12" x14ac:dyDescent="0.25">
      <c r="A92" s="1053"/>
      <c r="B92" s="1057"/>
      <c r="C92" s="1058"/>
      <c r="D92" s="1058"/>
      <c r="E92" s="1058"/>
      <c r="F92" s="1058"/>
      <c r="G92" s="1058"/>
      <c r="H92" s="1058"/>
      <c r="I92" s="1058"/>
      <c r="J92" s="1059"/>
      <c r="K92" s="1059"/>
      <c r="L92" s="1058"/>
    </row>
    <row r="93" spans="1:12" x14ac:dyDescent="0.25">
      <c r="A93" s="967" t="s">
        <v>585</v>
      </c>
      <c r="B93" s="951"/>
      <c r="C93" s="951"/>
      <c r="D93" s="951"/>
      <c r="E93" s="951"/>
      <c r="F93" s="951"/>
      <c r="G93" s="951"/>
      <c r="H93" s="951"/>
      <c r="I93" s="951"/>
      <c r="J93" s="951"/>
      <c r="K93" s="951"/>
      <c r="L93" s="951"/>
    </row>
    <row r="94" spans="1:12" x14ac:dyDescent="0.25">
      <c r="A94" s="1041" t="s">
        <v>815</v>
      </c>
      <c r="B94" s="951"/>
      <c r="C94" s="951"/>
      <c r="D94" s="951"/>
      <c r="E94" s="951"/>
      <c r="F94" s="951"/>
      <c r="G94" s="951"/>
      <c r="H94" s="951"/>
      <c r="I94" s="951"/>
      <c r="J94" s="951"/>
      <c r="K94" s="951"/>
      <c r="L94" s="951"/>
    </row>
    <row r="95" spans="1:12" x14ac:dyDescent="0.25">
      <c r="A95" s="951" t="s">
        <v>579</v>
      </c>
      <c r="B95" s="951"/>
      <c r="C95" s="191">
        <v>0</v>
      </c>
      <c r="D95" s="191">
        <v>0</v>
      </c>
      <c r="E95" s="191">
        <v>0</v>
      </c>
      <c r="F95" s="191">
        <v>0</v>
      </c>
      <c r="G95" s="191">
        <v>0</v>
      </c>
      <c r="H95" s="191">
        <v>0</v>
      </c>
      <c r="I95" s="191">
        <v>0</v>
      </c>
      <c r="J95" s="191">
        <v>0</v>
      </c>
      <c r="K95" s="191">
        <v>0</v>
      </c>
      <c r="L95" s="191">
        <v>0</v>
      </c>
    </row>
    <row r="96" spans="1:12" x14ac:dyDescent="0.25">
      <c r="A96" s="951" t="s">
        <v>580</v>
      </c>
      <c r="B96" s="951"/>
      <c r="C96" s="191">
        <v>0</v>
      </c>
      <c r="D96" s="191">
        <v>0</v>
      </c>
      <c r="E96" s="191">
        <v>0</v>
      </c>
      <c r="F96" s="191">
        <v>0</v>
      </c>
      <c r="G96" s="191">
        <v>0</v>
      </c>
      <c r="H96" s="191">
        <v>0</v>
      </c>
      <c r="I96" s="191">
        <v>0</v>
      </c>
      <c r="J96" s="191">
        <v>0</v>
      </c>
      <c r="K96" s="191">
        <v>0</v>
      </c>
      <c r="L96" s="191">
        <v>0</v>
      </c>
    </row>
    <row r="97" spans="1:13" x14ac:dyDescent="0.25">
      <c r="A97" s="951" t="s">
        <v>581</v>
      </c>
      <c r="B97" s="951"/>
      <c r="C97" s="191">
        <v>0</v>
      </c>
      <c r="D97" s="191">
        <v>0</v>
      </c>
      <c r="E97" s="191">
        <v>0</v>
      </c>
      <c r="F97" s="191">
        <v>0</v>
      </c>
      <c r="G97" s="191">
        <v>0</v>
      </c>
      <c r="H97" s="191">
        <v>0</v>
      </c>
      <c r="I97" s="191">
        <v>0</v>
      </c>
      <c r="J97" s="191">
        <v>0</v>
      </c>
      <c r="K97" s="191">
        <v>0</v>
      </c>
      <c r="L97" s="191">
        <v>0</v>
      </c>
    </row>
    <row r="98" spans="1:13" x14ac:dyDescent="0.25">
      <c r="A98" s="1053"/>
      <c r="B98" s="1060"/>
      <c r="C98" s="1058"/>
      <c r="D98" s="1058"/>
      <c r="E98" s="1058"/>
      <c r="F98" s="1058"/>
      <c r="G98" s="1058"/>
      <c r="H98" s="1058"/>
      <c r="I98" s="1058"/>
      <c r="J98" s="1053"/>
      <c r="K98" s="1061"/>
      <c r="L98" s="1058"/>
    </row>
    <row r="99" spans="1:13" x14ac:dyDescent="0.25">
      <c r="A99" s="967" t="s">
        <v>812</v>
      </c>
      <c r="B99" s="967"/>
      <c r="C99" s="1043">
        <f t="shared" ref="C99" si="5">SUM(C95,C89,C83,C77,C71)</f>
        <v>0</v>
      </c>
      <c r="D99" s="1043">
        <f t="shared" ref="D99:G101" si="6">SUM(D95,D89,D83,D77,D71)</f>
        <v>0</v>
      </c>
      <c r="E99" s="1043">
        <f t="shared" si="6"/>
        <v>0</v>
      </c>
      <c r="F99" s="1043">
        <f t="shared" si="6"/>
        <v>0</v>
      </c>
      <c r="G99" s="1043">
        <f t="shared" si="6"/>
        <v>0</v>
      </c>
      <c r="H99" s="1043">
        <f>SUM(H95,H89,H83,H77,H71)</f>
        <v>0</v>
      </c>
      <c r="I99" s="1043">
        <f t="shared" ref="I99:L101" si="7">SUM(I95,I89,I83,I77,I71)</f>
        <v>0</v>
      </c>
      <c r="J99" s="1043">
        <f t="shared" si="7"/>
        <v>0</v>
      </c>
      <c r="K99" s="1043">
        <f t="shared" si="7"/>
        <v>0</v>
      </c>
      <c r="L99" s="1043">
        <f t="shared" si="7"/>
        <v>0</v>
      </c>
      <c r="M99" s="1042"/>
    </row>
    <row r="100" spans="1:13" x14ac:dyDescent="0.25">
      <c r="A100" s="967" t="s">
        <v>813</v>
      </c>
      <c r="B100" s="967"/>
      <c r="C100" s="1043">
        <f t="shared" ref="C100" si="8">SUM(C96,C90,C84,C78,C72)</f>
        <v>0</v>
      </c>
      <c r="D100" s="1043">
        <f t="shared" si="6"/>
        <v>0</v>
      </c>
      <c r="E100" s="1043">
        <f t="shared" si="6"/>
        <v>0</v>
      </c>
      <c r="F100" s="1043">
        <f t="shared" si="6"/>
        <v>0</v>
      </c>
      <c r="G100" s="1043">
        <f t="shared" si="6"/>
        <v>0</v>
      </c>
      <c r="H100" s="1043">
        <f>SUM(H96,H90,H84,H78,H72)</f>
        <v>0</v>
      </c>
      <c r="I100" s="1043">
        <f t="shared" si="7"/>
        <v>0</v>
      </c>
      <c r="J100" s="1043">
        <f t="shared" si="7"/>
        <v>0</v>
      </c>
      <c r="K100" s="1043">
        <f t="shared" si="7"/>
        <v>0</v>
      </c>
      <c r="L100" s="1043">
        <f t="shared" si="7"/>
        <v>0</v>
      </c>
      <c r="M100" s="1042"/>
    </row>
    <row r="101" spans="1:13" x14ac:dyDescent="0.25">
      <c r="A101" s="967" t="s">
        <v>814</v>
      </c>
      <c r="B101" s="1044"/>
      <c r="C101" s="1045">
        <f t="shared" ref="C101" si="9">SUM(C97,C91,C85,C79,C73)</f>
        <v>0</v>
      </c>
      <c r="D101" s="1045">
        <f t="shared" si="6"/>
        <v>0</v>
      </c>
      <c r="E101" s="1045">
        <f t="shared" si="6"/>
        <v>0</v>
      </c>
      <c r="F101" s="1045">
        <f t="shared" si="6"/>
        <v>0</v>
      </c>
      <c r="G101" s="1045">
        <f t="shared" si="6"/>
        <v>0</v>
      </c>
      <c r="H101" s="1045">
        <f>SUM(H97,H91,H85,H79,H73)</f>
        <v>0</v>
      </c>
      <c r="I101" s="1045">
        <f t="shared" si="7"/>
        <v>0</v>
      </c>
      <c r="J101" s="1045">
        <f t="shared" si="7"/>
        <v>0</v>
      </c>
      <c r="K101" s="1045">
        <f t="shared" si="7"/>
        <v>0</v>
      </c>
      <c r="L101" s="1045">
        <f t="shared" si="7"/>
        <v>0</v>
      </c>
    </row>
    <row r="102" spans="1:13" x14ac:dyDescent="0.25">
      <c r="A102" s="1062"/>
      <c r="B102" s="1063"/>
      <c r="C102" s="1063"/>
      <c r="D102" s="1063"/>
      <c r="E102" s="1063"/>
      <c r="F102" s="1063"/>
      <c r="G102" s="1063"/>
      <c r="H102" s="1064"/>
      <c r="I102" s="1064"/>
      <c r="J102" s="1062"/>
      <c r="K102" s="1065"/>
      <c r="L102" s="1064"/>
    </row>
  </sheetData>
  <sheetProtection algorithmName="SHA-512" hashValue="/RT+9F+I92kp00vMhzSGqfepOWcTtNAjIF2zTGXBfNhHo27Vqg40WtcQtwSrC+5R8kGlnjJn6E2x2i8TNvPTvw==" saltValue="k4F24MzpQaRc8si55mTDDg==" spinCount="100000" sheet="1" objects="1" scenarios="1"/>
  <mergeCells count="8">
    <mergeCell ref="A9:L9"/>
    <mergeCell ref="A18:J18"/>
    <mergeCell ref="A17:K17"/>
    <mergeCell ref="A13:H13"/>
    <mergeCell ref="A14:G14"/>
    <mergeCell ref="A15:G15"/>
    <mergeCell ref="A12:H12"/>
    <mergeCell ref="A10:L10"/>
  </mergeCells>
  <dataValidations disablePrompts="1" count="1">
    <dataValidation allowBlank="1" showInputMessage="1" showErrorMessage="1" promptTitle="Date Format" prompt="E.g:  &quot;August 1, 2011&quot;" sqref="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xr:uid="{00000000-0002-0000-1100-000000000000}"/>
  </dataValidations>
  <pageMargins left="0.70866141732283472" right="0.70866141732283472" top="0.74803149606299213" bottom="0.74803149606299213" header="0.31496062992125984" footer="0.31496062992125984"/>
  <pageSetup scale="44" orientation="portrait"/>
  <rowBreaks count="1" manualBreakCount="1">
    <brk id="66"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0">
    <tabColor rgb="FF00B0F0"/>
  </sheetPr>
  <dimension ref="A1:H61"/>
  <sheetViews>
    <sheetView workbookViewId="0">
      <selection activeCell="E35" sqref="E35"/>
    </sheetView>
  </sheetViews>
  <sheetFormatPr defaultRowHeight="12.75" x14ac:dyDescent="0.2"/>
  <cols>
    <col min="1" max="1" width="10.5703125" bestFit="1" customWidth="1"/>
    <col min="2" max="2" width="10.28515625" bestFit="1" customWidth="1"/>
    <col min="4" max="4" width="10.7109375" bestFit="1" customWidth="1"/>
    <col min="5" max="5" width="17" bestFit="1" customWidth="1"/>
    <col min="6" max="6" width="47.42578125" bestFit="1" customWidth="1"/>
  </cols>
  <sheetData>
    <row r="1" spans="1:8" x14ac:dyDescent="0.2">
      <c r="A1" t="s">
        <v>1208</v>
      </c>
      <c r="B1" t="s">
        <v>1209</v>
      </c>
      <c r="C1" t="s">
        <v>290</v>
      </c>
      <c r="D1" t="s">
        <v>289</v>
      </c>
      <c r="E1" t="s">
        <v>288</v>
      </c>
      <c r="F1" t="s">
        <v>1210</v>
      </c>
      <c r="G1" t="s">
        <v>10</v>
      </c>
      <c r="H1" t="s">
        <v>1211</v>
      </c>
    </row>
    <row r="2" spans="1:8" x14ac:dyDescent="0.2">
      <c r="A2" t="str">
        <f>'LDC Info'!$E$14</f>
        <v>Niagara-on-the-Lake Hydro Inc.</v>
      </c>
      <c r="B2" t="str">
        <f t="shared" ref="B2:B61" si="0">EBNUMBER</f>
        <v>EB-2018-0056</v>
      </c>
      <c r="C2">
        <f t="shared" ref="C2:C61" si="1">TestYear</f>
        <v>2019</v>
      </c>
      <c r="D2">
        <f t="shared" ref="D2:D61" si="2">BridgeYear</f>
        <v>2018</v>
      </c>
      <c r="E2">
        <f t="shared" ref="E2:E61" si="3">RebaseYear</f>
        <v>2014</v>
      </c>
      <c r="F2" t="s">
        <v>1212</v>
      </c>
      <c r="G2">
        <v>2014</v>
      </c>
      <c r="H2">
        <f>'App.2-FA Proposed REG Invest.'!C62</f>
        <v>0</v>
      </c>
    </row>
    <row r="3" spans="1:8" x14ac:dyDescent="0.2">
      <c r="A3" t="str">
        <f>'LDC Info'!$E$14</f>
        <v>Niagara-on-the-Lake Hydro Inc.</v>
      </c>
      <c r="B3" t="str">
        <f t="shared" si="0"/>
        <v>EB-2018-0056</v>
      </c>
      <c r="C3">
        <f t="shared" si="1"/>
        <v>2019</v>
      </c>
      <c r="D3">
        <f t="shared" si="2"/>
        <v>2018</v>
      </c>
      <c r="E3">
        <f t="shared" si="3"/>
        <v>2014</v>
      </c>
      <c r="F3" t="s">
        <v>1214</v>
      </c>
      <c r="G3">
        <v>2014</v>
      </c>
      <c r="H3">
        <f>'App.2-FA Proposed REG Invest.'!C63</f>
        <v>0</v>
      </c>
    </row>
    <row r="4" spans="1:8" x14ac:dyDescent="0.2">
      <c r="A4" t="str">
        <f>'LDC Info'!$E$14</f>
        <v>Niagara-on-the-Lake Hydro Inc.</v>
      </c>
      <c r="B4" t="str">
        <f t="shared" si="0"/>
        <v>EB-2018-0056</v>
      </c>
      <c r="C4">
        <f t="shared" si="1"/>
        <v>2019</v>
      </c>
      <c r="D4">
        <f t="shared" si="2"/>
        <v>2018</v>
      </c>
      <c r="E4">
        <f t="shared" si="3"/>
        <v>2014</v>
      </c>
      <c r="F4" t="s">
        <v>1213</v>
      </c>
      <c r="G4">
        <v>2014</v>
      </c>
      <c r="H4">
        <f>'App.2-FA Proposed REG Invest.'!C64</f>
        <v>0</v>
      </c>
    </row>
    <row r="5" spans="1:8" x14ac:dyDescent="0.2">
      <c r="A5" t="str">
        <f>'LDC Info'!$E$14</f>
        <v>Niagara-on-the-Lake Hydro Inc.</v>
      </c>
      <c r="B5" t="str">
        <f t="shared" si="0"/>
        <v>EB-2018-0056</v>
      </c>
      <c r="C5">
        <f t="shared" si="1"/>
        <v>2019</v>
      </c>
      <c r="D5">
        <f t="shared" si="2"/>
        <v>2018</v>
      </c>
      <c r="E5">
        <f t="shared" si="3"/>
        <v>2014</v>
      </c>
      <c r="F5" t="s">
        <v>1212</v>
      </c>
      <c r="G5">
        <v>2015</v>
      </c>
      <c r="H5">
        <f>'App.2-FA Proposed REG Invest.'!D62</f>
        <v>0</v>
      </c>
    </row>
    <row r="6" spans="1:8" x14ac:dyDescent="0.2">
      <c r="A6" t="str">
        <f>'LDC Info'!$E$14</f>
        <v>Niagara-on-the-Lake Hydro Inc.</v>
      </c>
      <c r="B6" t="str">
        <f t="shared" si="0"/>
        <v>EB-2018-0056</v>
      </c>
      <c r="C6">
        <f t="shared" si="1"/>
        <v>2019</v>
      </c>
      <c r="D6">
        <f t="shared" si="2"/>
        <v>2018</v>
      </c>
      <c r="E6">
        <f t="shared" si="3"/>
        <v>2014</v>
      </c>
      <c r="F6" t="s">
        <v>1214</v>
      </c>
      <c r="G6">
        <v>2015</v>
      </c>
      <c r="H6">
        <f>'App.2-FA Proposed REG Invest.'!D63</f>
        <v>0</v>
      </c>
    </row>
    <row r="7" spans="1:8" x14ac:dyDescent="0.2">
      <c r="A7" t="str">
        <f>'LDC Info'!$E$14</f>
        <v>Niagara-on-the-Lake Hydro Inc.</v>
      </c>
      <c r="B7" t="str">
        <f t="shared" si="0"/>
        <v>EB-2018-0056</v>
      </c>
      <c r="C7">
        <f t="shared" si="1"/>
        <v>2019</v>
      </c>
      <c r="D7">
        <f t="shared" si="2"/>
        <v>2018</v>
      </c>
      <c r="E7">
        <f t="shared" si="3"/>
        <v>2014</v>
      </c>
      <c r="F7" t="s">
        <v>1213</v>
      </c>
      <c r="G7">
        <v>2015</v>
      </c>
      <c r="H7">
        <f>'App.2-FA Proposed REG Invest.'!D64</f>
        <v>0</v>
      </c>
    </row>
    <row r="8" spans="1:8" x14ac:dyDescent="0.2">
      <c r="A8" t="str">
        <f>'LDC Info'!$E$14</f>
        <v>Niagara-on-the-Lake Hydro Inc.</v>
      </c>
      <c r="B8" t="str">
        <f t="shared" si="0"/>
        <v>EB-2018-0056</v>
      </c>
      <c r="C8">
        <f t="shared" si="1"/>
        <v>2019</v>
      </c>
      <c r="D8">
        <f t="shared" si="2"/>
        <v>2018</v>
      </c>
      <c r="E8">
        <f t="shared" si="3"/>
        <v>2014</v>
      </c>
      <c r="F8" t="s">
        <v>1212</v>
      </c>
      <c r="G8">
        <v>2016</v>
      </c>
      <c r="H8">
        <f>'App.2-FA Proposed REG Invest.'!E62</f>
        <v>0</v>
      </c>
    </row>
    <row r="9" spans="1:8" x14ac:dyDescent="0.2">
      <c r="A9" t="str">
        <f>'LDC Info'!$E$14</f>
        <v>Niagara-on-the-Lake Hydro Inc.</v>
      </c>
      <c r="B9" t="str">
        <f t="shared" si="0"/>
        <v>EB-2018-0056</v>
      </c>
      <c r="C9">
        <f t="shared" si="1"/>
        <v>2019</v>
      </c>
      <c r="D9">
        <f t="shared" si="2"/>
        <v>2018</v>
      </c>
      <c r="E9">
        <f t="shared" si="3"/>
        <v>2014</v>
      </c>
      <c r="F9" t="s">
        <v>1214</v>
      </c>
      <c r="G9">
        <v>2016</v>
      </c>
      <c r="H9">
        <f>'App.2-FA Proposed REG Invest.'!E63</f>
        <v>0</v>
      </c>
    </row>
    <row r="10" spans="1:8" x14ac:dyDescent="0.2">
      <c r="A10" t="str">
        <f>'LDC Info'!$E$14</f>
        <v>Niagara-on-the-Lake Hydro Inc.</v>
      </c>
      <c r="B10" t="str">
        <f t="shared" si="0"/>
        <v>EB-2018-0056</v>
      </c>
      <c r="C10">
        <f t="shared" si="1"/>
        <v>2019</v>
      </c>
      <c r="D10">
        <f t="shared" si="2"/>
        <v>2018</v>
      </c>
      <c r="E10">
        <f t="shared" si="3"/>
        <v>2014</v>
      </c>
      <c r="F10" t="s">
        <v>1213</v>
      </c>
      <c r="G10">
        <v>2016</v>
      </c>
      <c r="H10">
        <f>'App.2-FA Proposed REG Invest.'!E64</f>
        <v>0</v>
      </c>
    </row>
    <row r="11" spans="1:8" x14ac:dyDescent="0.2">
      <c r="A11" t="str">
        <f>'LDC Info'!$E$14</f>
        <v>Niagara-on-the-Lake Hydro Inc.</v>
      </c>
      <c r="B11" t="str">
        <f t="shared" si="0"/>
        <v>EB-2018-0056</v>
      </c>
      <c r="C11">
        <f t="shared" si="1"/>
        <v>2019</v>
      </c>
      <c r="D11">
        <f t="shared" si="2"/>
        <v>2018</v>
      </c>
      <c r="E11">
        <f t="shared" si="3"/>
        <v>2014</v>
      </c>
      <c r="F11" t="s">
        <v>1212</v>
      </c>
      <c r="G11">
        <v>2017</v>
      </c>
      <c r="H11">
        <f>'App.2-FA Proposed REG Invest.'!F62</f>
        <v>0</v>
      </c>
    </row>
    <row r="12" spans="1:8" x14ac:dyDescent="0.2">
      <c r="A12" t="str">
        <f>'LDC Info'!$E$14</f>
        <v>Niagara-on-the-Lake Hydro Inc.</v>
      </c>
      <c r="B12" t="str">
        <f t="shared" si="0"/>
        <v>EB-2018-0056</v>
      </c>
      <c r="C12">
        <f t="shared" si="1"/>
        <v>2019</v>
      </c>
      <c r="D12">
        <f t="shared" si="2"/>
        <v>2018</v>
      </c>
      <c r="E12">
        <f t="shared" si="3"/>
        <v>2014</v>
      </c>
      <c r="F12" t="s">
        <v>1214</v>
      </c>
      <c r="G12">
        <v>2017</v>
      </c>
      <c r="H12">
        <f>'App.2-FA Proposed REG Invest.'!F63</f>
        <v>0</v>
      </c>
    </row>
    <row r="13" spans="1:8" x14ac:dyDescent="0.2">
      <c r="A13" t="str">
        <f>'LDC Info'!$E$14</f>
        <v>Niagara-on-the-Lake Hydro Inc.</v>
      </c>
      <c r="B13" t="str">
        <f t="shared" si="0"/>
        <v>EB-2018-0056</v>
      </c>
      <c r="C13">
        <f t="shared" si="1"/>
        <v>2019</v>
      </c>
      <c r="D13">
        <f t="shared" si="2"/>
        <v>2018</v>
      </c>
      <c r="E13">
        <f t="shared" si="3"/>
        <v>2014</v>
      </c>
      <c r="F13" t="s">
        <v>1213</v>
      </c>
      <c r="G13">
        <v>2017</v>
      </c>
      <c r="H13">
        <f>'App.2-FA Proposed REG Invest.'!F64</f>
        <v>0</v>
      </c>
    </row>
    <row r="14" spans="1:8" x14ac:dyDescent="0.2">
      <c r="A14" t="str">
        <f>'LDC Info'!$E$14</f>
        <v>Niagara-on-the-Lake Hydro Inc.</v>
      </c>
      <c r="B14" t="str">
        <f t="shared" si="0"/>
        <v>EB-2018-0056</v>
      </c>
      <c r="C14">
        <f t="shared" si="1"/>
        <v>2019</v>
      </c>
      <c r="D14">
        <f t="shared" si="2"/>
        <v>2018</v>
      </c>
      <c r="E14">
        <f t="shared" si="3"/>
        <v>2014</v>
      </c>
      <c r="F14" t="s">
        <v>1212</v>
      </c>
      <c r="G14">
        <v>2018</v>
      </c>
      <c r="H14">
        <f>'App.2-FA Proposed REG Invest.'!G62</f>
        <v>0</v>
      </c>
    </row>
    <row r="15" spans="1:8" x14ac:dyDescent="0.2">
      <c r="A15" t="str">
        <f>'LDC Info'!$E$14</f>
        <v>Niagara-on-the-Lake Hydro Inc.</v>
      </c>
      <c r="B15" t="str">
        <f t="shared" si="0"/>
        <v>EB-2018-0056</v>
      </c>
      <c r="C15">
        <f t="shared" si="1"/>
        <v>2019</v>
      </c>
      <c r="D15">
        <f t="shared" si="2"/>
        <v>2018</v>
      </c>
      <c r="E15">
        <f t="shared" si="3"/>
        <v>2014</v>
      </c>
      <c r="F15" t="s">
        <v>1214</v>
      </c>
      <c r="G15">
        <v>2018</v>
      </c>
      <c r="H15">
        <f>'App.2-FA Proposed REG Invest.'!G63</f>
        <v>0</v>
      </c>
    </row>
    <row r="16" spans="1:8" x14ac:dyDescent="0.2">
      <c r="A16" t="str">
        <f>'LDC Info'!$E$14</f>
        <v>Niagara-on-the-Lake Hydro Inc.</v>
      </c>
      <c r="B16" t="str">
        <f t="shared" si="0"/>
        <v>EB-2018-0056</v>
      </c>
      <c r="C16">
        <f t="shared" si="1"/>
        <v>2019</v>
      </c>
      <c r="D16">
        <f t="shared" si="2"/>
        <v>2018</v>
      </c>
      <c r="E16">
        <f t="shared" si="3"/>
        <v>2014</v>
      </c>
      <c r="F16" t="s">
        <v>1213</v>
      </c>
      <c r="G16">
        <v>2018</v>
      </c>
      <c r="H16">
        <f>'App.2-FA Proposed REG Invest.'!G64</f>
        <v>0</v>
      </c>
    </row>
    <row r="17" spans="1:8" x14ac:dyDescent="0.2">
      <c r="A17" t="str">
        <f>'LDC Info'!$E$14</f>
        <v>Niagara-on-the-Lake Hydro Inc.</v>
      </c>
      <c r="B17" t="str">
        <f t="shared" si="0"/>
        <v>EB-2018-0056</v>
      </c>
      <c r="C17">
        <f t="shared" si="1"/>
        <v>2019</v>
      </c>
      <c r="D17">
        <f t="shared" si="2"/>
        <v>2018</v>
      </c>
      <c r="E17">
        <f t="shared" si="3"/>
        <v>2014</v>
      </c>
      <c r="F17" t="s">
        <v>1212</v>
      </c>
      <c r="G17">
        <v>2019</v>
      </c>
      <c r="H17">
        <f>'App.2-FA Proposed REG Invest.'!H62</f>
        <v>0</v>
      </c>
    </row>
    <row r="18" spans="1:8" x14ac:dyDescent="0.2">
      <c r="A18" t="str">
        <f>'LDC Info'!$E$14</f>
        <v>Niagara-on-the-Lake Hydro Inc.</v>
      </c>
      <c r="B18" t="str">
        <f t="shared" si="0"/>
        <v>EB-2018-0056</v>
      </c>
      <c r="C18">
        <f t="shared" si="1"/>
        <v>2019</v>
      </c>
      <c r="D18">
        <f t="shared" si="2"/>
        <v>2018</v>
      </c>
      <c r="E18">
        <f t="shared" si="3"/>
        <v>2014</v>
      </c>
      <c r="F18" t="s">
        <v>1214</v>
      </c>
      <c r="G18">
        <v>2019</v>
      </c>
      <c r="H18">
        <f>'App.2-FA Proposed REG Invest.'!H63</f>
        <v>0</v>
      </c>
    </row>
    <row r="19" spans="1:8" x14ac:dyDescent="0.2">
      <c r="A19" t="str">
        <f>'LDC Info'!$E$14</f>
        <v>Niagara-on-the-Lake Hydro Inc.</v>
      </c>
      <c r="B19" t="str">
        <f t="shared" si="0"/>
        <v>EB-2018-0056</v>
      </c>
      <c r="C19">
        <f t="shared" si="1"/>
        <v>2019</v>
      </c>
      <c r="D19">
        <f t="shared" si="2"/>
        <v>2018</v>
      </c>
      <c r="E19">
        <f t="shared" si="3"/>
        <v>2014</v>
      </c>
      <c r="F19" t="s">
        <v>1213</v>
      </c>
      <c r="G19">
        <v>2019</v>
      </c>
      <c r="H19">
        <f>'App.2-FA Proposed REG Invest.'!H64</f>
        <v>0</v>
      </c>
    </row>
    <row r="20" spans="1:8" x14ac:dyDescent="0.2">
      <c r="A20" t="str">
        <f>'LDC Info'!$E$14</f>
        <v>Niagara-on-the-Lake Hydro Inc.</v>
      </c>
      <c r="B20" t="str">
        <f t="shared" si="0"/>
        <v>EB-2018-0056</v>
      </c>
      <c r="C20">
        <f t="shared" si="1"/>
        <v>2019</v>
      </c>
      <c r="D20">
        <f t="shared" si="2"/>
        <v>2018</v>
      </c>
      <c r="E20">
        <f t="shared" si="3"/>
        <v>2014</v>
      </c>
      <c r="F20" t="s">
        <v>1212</v>
      </c>
      <c r="G20">
        <v>2020</v>
      </c>
      <c r="H20">
        <f>'App.2-FA Proposed REG Invest.'!I62</f>
        <v>0</v>
      </c>
    </row>
    <row r="21" spans="1:8" x14ac:dyDescent="0.2">
      <c r="A21" t="str">
        <f>'LDC Info'!$E$14</f>
        <v>Niagara-on-the-Lake Hydro Inc.</v>
      </c>
      <c r="B21" t="str">
        <f t="shared" si="0"/>
        <v>EB-2018-0056</v>
      </c>
      <c r="C21">
        <f t="shared" si="1"/>
        <v>2019</v>
      </c>
      <c r="D21">
        <f t="shared" si="2"/>
        <v>2018</v>
      </c>
      <c r="E21">
        <f t="shared" si="3"/>
        <v>2014</v>
      </c>
      <c r="F21" t="s">
        <v>1214</v>
      </c>
      <c r="G21">
        <v>2020</v>
      </c>
      <c r="H21">
        <f>'App.2-FA Proposed REG Invest.'!I63</f>
        <v>0</v>
      </c>
    </row>
    <row r="22" spans="1:8" x14ac:dyDescent="0.2">
      <c r="A22" t="str">
        <f>'LDC Info'!$E$14</f>
        <v>Niagara-on-the-Lake Hydro Inc.</v>
      </c>
      <c r="B22" t="str">
        <f t="shared" si="0"/>
        <v>EB-2018-0056</v>
      </c>
      <c r="C22">
        <f t="shared" si="1"/>
        <v>2019</v>
      </c>
      <c r="D22">
        <f t="shared" si="2"/>
        <v>2018</v>
      </c>
      <c r="E22">
        <f t="shared" si="3"/>
        <v>2014</v>
      </c>
      <c r="F22" t="s">
        <v>1213</v>
      </c>
      <c r="G22">
        <v>2020</v>
      </c>
      <c r="H22">
        <f>'App.2-FA Proposed REG Invest.'!I64</f>
        <v>0</v>
      </c>
    </row>
    <row r="23" spans="1:8" x14ac:dyDescent="0.2">
      <c r="A23" t="str">
        <f>'LDC Info'!$E$14</f>
        <v>Niagara-on-the-Lake Hydro Inc.</v>
      </c>
      <c r="B23" t="str">
        <f t="shared" si="0"/>
        <v>EB-2018-0056</v>
      </c>
      <c r="C23">
        <f t="shared" si="1"/>
        <v>2019</v>
      </c>
      <c r="D23">
        <f t="shared" si="2"/>
        <v>2018</v>
      </c>
      <c r="E23">
        <f t="shared" si="3"/>
        <v>2014</v>
      </c>
      <c r="F23" t="s">
        <v>1212</v>
      </c>
      <c r="G23">
        <v>2021</v>
      </c>
      <c r="H23">
        <f>'App.2-FA Proposed REG Invest.'!J62</f>
        <v>0</v>
      </c>
    </row>
    <row r="24" spans="1:8" x14ac:dyDescent="0.2">
      <c r="A24" t="str">
        <f>'LDC Info'!$E$14</f>
        <v>Niagara-on-the-Lake Hydro Inc.</v>
      </c>
      <c r="B24" t="str">
        <f t="shared" si="0"/>
        <v>EB-2018-0056</v>
      </c>
      <c r="C24">
        <f t="shared" si="1"/>
        <v>2019</v>
      </c>
      <c r="D24">
        <f t="shared" si="2"/>
        <v>2018</v>
      </c>
      <c r="E24">
        <f t="shared" si="3"/>
        <v>2014</v>
      </c>
      <c r="F24" t="s">
        <v>1214</v>
      </c>
      <c r="G24">
        <v>2021</v>
      </c>
      <c r="H24">
        <f>'App.2-FA Proposed REG Invest.'!J63</f>
        <v>0</v>
      </c>
    </row>
    <row r="25" spans="1:8" x14ac:dyDescent="0.2">
      <c r="A25" t="str">
        <f>'LDC Info'!$E$14</f>
        <v>Niagara-on-the-Lake Hydro Inc.</v>
      </c>
      <c r="B25" t="str">
        <f t="shared" si="0"/>
        <v>EB-2018-0056</v>
      </c>
      <c r="C25">
        <f t="shared" si="1"/>
        <v>2019</v>
      </c>
      <c r="D25">
        <f t="shared" si="2"/>
        <v>2018</v>
      </c>
      <c r="E25">
        <f t="shared" si="3"/>
        <v>2014</v>
      </c>
      <c r="F25" t="s">
        <v>1213</v>
      </c>
      <c r="G25">
        <v>2021</v>
      </c>
      <c r="H25">
        <f>'App.2-FA Proposed REG Invest.'!J64</f>
        <v>0</v>
      </c>
    </row>
    <row r="26" spans="1:8" x14ac:dyDescent="0.2">
      <c r="A26" t="str">
        <f>'LDC Info'!$E$14</f>
        <v>Niagara-on-the-Lake Hydro Inc.</v>
      </c>
      <c r="B26" t="str">
        <f t="shared" si="0"/>
        <v>EB-2018-0056</v>
      </c>
      <c r="C26">
        <f t="shared" si="1"/>
        <v>2019</v>
      </c>
      <c r="D26">
        <f t="shared" si="2"/>
        <v>2018</v>
      </c>
      <c r="E26">
        <f t="shared" si="3"/>
        <v>2014</v>
      </c>
      <c r="F26" t="s">
        <v>1212</v>
      </c>
      <c r="G26">
        <v>2022</v>
      </c>
      <c r="H26">
        <f>'App.2-FA Proposed REG Invest.'!K62</f>
        <v>0</v>
      </c>
    </row>
    <row r="27" spans="1:8" x14ac:dyDescent="0.2">
      <c r="A27" t="str">
        <f>'LDC Info'!$E$14</f>
        <v>Niagara-on-the-Lake Hydro Inc.</v>
      </c>
      <c r="B27" t="str">
        <f t="shared" si="0"/>
        <v>EB-2018-0056</v>
      </c>
      <c r="C27">
        <f t="shared" si="1"/>
        <v>2019</v>
      </c>
      <c r="D27">
        <f t="shared" si="2"/>
        <v>2018</v>
      </c>
      <c r="E27">
        <f t="shared" si="3"/>
        <v>2014</v>
      </c>
      <c r="F27" t="s">
        <v>1214</v>
      </c>
      <c r="G27">
        <v>2022</v>
      </c>
      <c r="H27">
        <f>'App.2-FA Proposed REG Invest.'!K63</f>
        <v>0</v>
      </c>
    </row>
    <row r="28" spans="1:8" x14ac:dyDescent="0.2">
      <c r="A28" t="str">
        <f>'LDC Info'!$E$14</f>
        <v>Niagara-on-the-Lake Hydro Inc.</v>
      </c>
      <c r="B28" t="str">
        <f t="shared" si="0"/>
        <v>EB-2018-0056</v>
      </c>
      <c r="C28">
        <f t="shared" si="1"/>
        <v>2019</v>
      </c>
      <c r="D28">
        <f t="shared" si="2"/>
        <v>2018</v>
      </c>
      <c r="E28">
        <f t="shared" si="3"/>
        <v>2014</v>
      </c>
      <c r="F28" t="s">
        <v>1213</v>
      </c>
      <c r="G28">
        <v>2022</v>
      </c>
      <c r="H28">
        <f>'App.2-FA Proposed REG Invest.'!K64</f>
        <v>0</v>
      </c>
    </row>
    <row r="29" spans="1:8" x14ac:dyDescent="0.2">
      <c r="A29" t="str">
        <f>'LDC Info'!$E$14</f>
        <v>Niagara-on-the-Lake Hydro Inc.</v>
      </c>
      <c r="B29" t="str">
        <f t="shared" si="0"/>
        <v>EB-2018-0056</v>
      </c>
      <c r="C29">
        <f t="shared" si="1"/>
        <v>2019</v>
      </c>
      <c r="D29">
        <f t="shared" si="2"/>
        <v>2018</v>
      </c>
      <c r="E29">
        <f t="shared" si="3"/>
        <v>2014</v>
      </c>
      <c r="F29" t="s">
        <v>1212</v>
      </c>
      <c r="G29">
        <v>2023</v>
      </c>
      <c r="H29">
        <f>'App.2-FA Proposed REG Invest.'!L62</f>
        <v>0</v>
      </c>
    </row>
    <row r="30" spans="1:8" x14ac:dyDescent="0.2">
      <c r="A30" t="str">
        <f>'LDC Info'!$E$14</f>
        <v>Niagara-on-the-Lake Hydro Inc.</v>
      </c>
      <c r="B30" t="str">
        <f t="shared" si="0"/>
        <v>EB-2018-0056</v>
      </c>
      <c r="C30">
        <f t="shared" si="1"/>
        <v>2019</v>
      </c>
      <c r="D30">
        <f t="shared" si="2"/>
        <v>2018</v>
      </c>
      <c r="E30">
        <f t="shared" si="3"/>
        <v>2014</v>
      </c>
      <c r="F30" t="s">
        <v>1214</v>
      </c>
      <c r="G30">
        <v>2023</v>
      </c>
      <c r="H30">
        <f>'App.2-FA Proposed REG Invest.'!L63</f>
        <v>0</v>
      </c>
    </row>
    <row r="31" spans="1:8" x14ac:dyDescent="0.2">
      <c r="A31" t="str">
        <f>'LDC Info'!$E$14</f>
        <v>Niagara-on-the-Lake Hydro Inc.</v>
      </c>
      <c r="B31" t="str">
        <f t="shared" si="0"/>
        <v>EB-2018-0056</v>
      </c>
      <c r="C31">
        <f t="shared" si="1"/>
        <v>2019</v>
      </c>
      <c r="D31">
        <f t="shared" si="2"/>
        <v>2018</v>
      </c>
      <c r="E31">
        <f t="shared" si="3"/>
        <v>2014</v>
      </c>
      <c r="F31" t="s">
        <v>1213</v>
      </c>
      <c r="G31">
        <v>2023</v>
      </c>
      <c r="H31">
        <f>'App.2-FA Proposed REG Invest.'!L64</f>
        <v>0</v>
      </c>
    </row>
    <row r="32" spans="1:8" x14ac:dyDescent="0.2">
      <c r="A32" t="str">
        <f>'LDC Info'!$E$14</f>
        <v>Niagara-on-the-Lake Hydro Inc.</v>
      </c>
      <c r="B32" t="str">
        <f t="shared" si="0"/>
        <v>EB-2018-0056</v>
      </c>
      <c r="C32">
        <f t="shared" si="1"/>
        <v>2019</v>
      </c>
      <c r="D32">
        <f t="shared" si="2"/>
        <v>2018</v>
      </c>
      <c r="E32">
        <f t="shared" si="3"/>
        <v>2014</v>
      </c>
      <c r="F32" t="s">
        <v>1215</v>
      </c>
      <c r="G32">
        <v>2014</v>
      </c>
      <c r="H32">
        <f>'App.2-FA Proposed REG Invest.'!C99</f>
        <v>0</v>
      </c>
    </row>
    <row r="33" spans="1:8" x14ac:dyDescent="0.2">
      <c r="A33" t="str">
        <f>'LDC Info'!$E$14</f>
        <v>Niagara-on-the-Lake Hydro Inc.</v>
      </c>
      <c r="B33" t="str">
        <f t="shared" si="0"/>
        <v>EB-2018-0056</v>
      </c>
      <c r="C33">
        <f t="shared" si="1"/>
        <v>2019</v>
      </c>
      <c r="D33">
        <f t="shared" si="2"/>
        <v>2018</v>
      </c>
      <c r="E33">
        <f t="shared" si="3"/>
        <v>2014</v>
      </c>
      <c r="F33" t="s">
        <v>1216</v>
      </c>
      <c r="G33">
        <v>2014</v>
      </c>
      <c r="H33">
        <f>'App.2-FA Proposed REG Invest.'!C100</f>
        <v>0</v>
      </c>
    </row>
    <row r="34" spans="1:8" x14ac:dyDescent="0.2">
      <c r="A34" t="str">
        <f>'LDC Info'!$E$14</f>
        <v>Niagara-on-the-Lake Hydro Inc.</v>
      </c>
      <c r="B34" t="str">
        <f t="shared" si="0"/>
        <v>EB-2018-0056</v>
      </c>
      <c r="C34">
        <f t="shared" si="1"/>
        <v>2019</v>
      </c>
      <c r="D34">
        <f t="shared" si="2"/>
        <v>2018</v>
      </c>
      <c r="E34">
        <f t="shared" si="3"/>
        <v>2014</v>
      </c>
      <c r="F34" t="s">
        <v>1217</v>
      </c>
      <c r="G34">
        <v>2014</v>
      </c>
      <c r="H34">
        <f>'App.2-FA Proposed REG Invest.'!C101</f>
        <v>0</v>
      </c>
    </row>
    <row r="35" spans="1:8" x14ac:dyDescent="0.2">
      <c r="A35" t="str">
        <f>'LDC Info'!$E$14</f>
        <v>Niagara-on-the-Lake Hydro Inc.</v>
      </c>
      <c r="B35" t="str">
        <f t="shared" si="0"/>
        <v>EB-2018-0056</v>
      </c>
      <c r="C35">
        <f t="shared" si="1"/>
        <v>2019</v>
      </c>
      <c r="D35">
        <f t="shared" si="2"/>
        <v>2018</v>
      </c>
      <c r="E35">
        <f t="shared" si="3"/>
        <v>2014</v>
      </c>
      <c r="F35" t="s">
        <v>1215</v>
      </c>
      <c r="G35">
        <v>2015</v>
      </c>
      <c r="H35">
        <f>'App.2-FA Proposed REG Invest.'!D99</f>
        <v>0</v>
      </c>
    </row>
    <row r="36" spans="1:8" x14ac:dyDescent="0.2">
      <c r="A36" t="str">
        <f>'LDC Info'!$E$14</f>
        <v>Niagara-on-the-Lake Hydro Inc.</v>
      </c>
      <c r="B36" t="str">
        <f t="shared" si="0"/>
        <v>EB-2018-0056</v>
      </c>
      <c r="C36">
        <f t="shared" si="1"/>
        <v>2019</v>
      </c>
      <c r="D36">
        <f t="shared" si="2"/>
        <v>2018</v>
      </c>
      <c r="E36">
        <f t="shared" si="3"/>
        <v>2014</v>
      </c>
      <c r="F36" t="s">
        <v>1216</v>
      </c>
      <c r="G36">
        <v>2015</v>
      </c>
      <c r="H36">
        <f>'App.2-FA Proposed REG Invest.'!D100</f>
        <v>0</v>
      </c>
    </row>
    <row r="37" spans="1:8" x14ac:dyDescent="0.2">
      <c r="A37" t="str">
        <f>'LDC Info'!$E$14</f>
        <v>Niagara-on-the-Lake Hydro Inc.</v>
      </c>
      <c r="B37" t="str">
        <f t="shared" si="0"/>
        <v>EB-2018-0056</v>
      </c>
      <c r="C37">
        <f t="shared" si="1"/>
        <v>2019</v>
      </c>
      <c r="D37">
        <f t="shared" si="2"/>
        <v>2018</v>
      </c>
      <c r="E37">
        <f t="shared" si="3"/>
        <v>2014</v>
      </c>
      <c r="F37" t="s">
        <v>1217</v>
      </c>
      <c r="G37">
        <v>2015</v>
      </c>
      <c r="H37">
        <f>'App.2-FA Proposed REG Invest.'!D101</f>
        <v>0</v>
      </c>
    </row>
    <row r="38" spans="1:8" x14ac:dyDescent="0.2">
      <c r="A38" t="str">
        <f>'LDC Info'!$E$14</f>
        <v>Niagara-on-the-Lake Hydro Inc.</v>
      </c>
      <c r="B38" t="str">
        <f t="shared" si="0"/>
        <v>EB-2018-0056</v>
      </c>
      <c r="C38">
        <f t="shared" si="1"/>
        <v>2019</v>
      </c>
      <c r="D38">
        <f t="shared" si="2"/>
        <v>2018</v>
      </c>
      <c r="E38">
        <f t="shared" si="3"/>
        <v>2014</v>
      </c>
      <c r="F38" t="s">
        <v>1215</v>
      </c>
      <c r="G38">
        <v>2016</v>
      </c>
      <c r="H38">
        <f>'App.2-FA Proposed REG Invest.'!E99</f>
        <v>0</v>
      </c>
    </row>
    <row r="39" spans="1:8" x14ac:dyDescent="0.2">
      <c r="A39" t="str">
        <f>'LDC Info'!$E$14</f>
        <v>Niagara-on-the-Lake Hydro Inc.</v>
      </c>
      <c r="B39" t="str">
        <f t="shared" si="0"/>
        <v>EB-2018-0056</v>
      </c>
      <c r="C39">
        <f t="shared" si="1"/>
        <v>2019</v>
      </c>
      <c r="D39">
        <f t="shared" si="2"/>
        <v>2018</v>
      </c>
      <c r="E39">
        <f t="shared" si="3"/>
        <v>2014</v>
      </c>
      <c r="F39" t="s">
        <v>1216</v>
      </c>
      <c r="G39">
        <v>2016</v>
      </c>
      <c r="H39">
        <f>'App.2-FA Proposed REG Invest.'!E100</f>
        <v>0</v>
      </c>
    </row>
    <row r="40" spans="1:8" x14ac:dyDescent="0.2">
      <c r="A40" t="str">
        <f>'LDC Info'!$E$14</f>
        <v>Niagara-on-the-Lake Hydro Inc.</v>
      </c>
      <c r="B40" t="str">
        <f t="shared" si="0"/>
        <v>EB-2018-0056</v>
      </c>
      <c r="C40">
        <f t="shared" si="1"/>
        <v>2019</v>
      </c>
      <c r="D40">
        <f t="shared" si="2"/>
        <v>2018</v>
      </c>
      <c r="E40">
        <f t="shared" si="3"/>
        <v>2014</v>
      </c>
      <c r="F40" t="s">
        <v>1217</v>
      </c>
      <c r="G40">
        <v>2016</v>
      </c>
      <c r="H40">
        <f>'App.2-FA Proposed REG Invest.'!E101</f>
        <v>0</v>
      </c>
    </row>
    <row r="41" spans="1:8" x14ac:dyDescent="0.2">
      <c r="A41" t="str">
        <f>'LDC Info'!$E$14</f>
        <v>Niagara-on-the-Lake Hydro Inc.</v>
      </c>
      <c r="B41" t="str">
        <f t="shared" si="0"/>
        <v>EB-2018-0056</v>
      </c>
      <c r="C41">
        <f t="shared" si="1"/>
        <v>2019</v>
      </c>
      <c r="D41">
        <f t="shared" si="2"/>
        <v>2018</v>
      </c>
      <c r="E41">
        <f t="shared" si="3"/>
        <v>2014</v>
      </c>
      <c r="F41" t="s">
        <v>1215</v>
      </c>
      <c r="G41">
        <v>2017</v>
      </c>
      <c r="H41">
        <f>'App.2-FA Proposed REG Invest.'!F99</f>
        <v>0</v>
      </c>
    </row>
    <row r="42" spans="1:8" x14ac:dyDescent="0.2">
      <c r="A42" t="str">
        <f>'LDC Info'!$E$14</f>
        <v>Niagara-on-the-Lake Hydro Inc.</v>
      </c>
      <c r="B42" t="str">
        <f t="shared" si="0"/>
        <v>EB-2018-0056</v>
      </c>
      <c r="C42">
        <f t="shared" si="1"/>
        <v>2019</v>
      </c>
      <c r="D42">
        <f t="shared" si="2"/>
        <v>2018</v>
      </c>
      <c r="E42">
        <f t="shared" si="3"/>
        <v>2014</v>
      </c>
      <c r="F42" t="s">
        <v>1216</v>
      </c>
      <c r="G42">
        <v>2017</v>
      </c>
      <c r="H42">
        <f>'App.2-FA Proposed REG Invest.'!F100</f>
        <v>0</v>
      </c>
    </row>
    <row r="43" spans="1:8" x14ac:dyDescent="0.2">
      <c r="A43" t="str">
        <f>'LDC Info'!$E$14</f>
        <v>Niagara-on-the-Lake Hydro Inc.</v>
      </c>
      <c r="B43" t="str">
        <f t="shared" si="0"/>
        <v>EB-2018-0056</v>
      </c>
      <c r="C43">
        <f t="shared" si="1"/>
        <v>2019</v>
      </c>
      <c r="D43">
        <f t="shared" si="2"/>
        <v>2018</v>
      </c>
      <c r="E43">
        <f t="shared" si="3"/>
        <v>2014</v>
      </c>
      <c r="F43" t="s">
        <v>1217</v>
      </c>
      <c r="G43">
        <v>2017</v>
      </c>
      <c r="H43">
        <f>'App.2-FA Proposed REG Invest.'!F101</f>
        <v>0</v>
      </c>
    </row>
    <row r="44" spans="1:8" x14ac:dyDescent="0.2">
      <c r="A44" t="str">
        <f>'LDC Info'!$E$14</f>
        <v>Niagara-on-the-Lake Hydro Inc.</v>
      </c>
      <c r="B44" t="str">
        <f t="shared" si="0"/>
        <v>EB-2018-0056</v>
      </c>
      <c r="C44">
        <f t="shared" si="1"/>
        <v>2019</v>
      </c>
      <c r="D44">
        <f t="shared" si="2"/>
        <v>2018</v>
      </c>
      <c r="E44">
        <f t="shared" si="3"/>
        <v>2014</v>
      </c>
      <c r="F44" t="s">
        <v>1215</v>
      </c>
      <c r="G44">
        <v>2018</v>
      </c>
      <c r="H44">
        <f>'App.2-FA Proposed REG Invest.'!G99</f>
        <v>0</v>
      </c>
    </row>
    <row r="45" spans="1:8" x14ac:dyDescent="0.2">
      <c r="A45" t="str">
        <f>'LDC Info'!$E$14</f>
        <v>Niagara-on-the-Lake Hydro Inc.</v>
      </c>
      <c r="B45" t="str">
        <f t="shared" si="0"/>
        <v>EB-2018-0056</v>
      </c>
      <c r="C45">
        <f t="shared" si="1"/>
        <v>2019</v>
      </c>
      <c r="D45">
        <f t="shared" si="2"/>
        <v>2018</v>
      </c>
      <c r="E45">
        <f t="shared" si="3"/>
        <v>2014</v>
      </c>
      <c r="F45" t="s">
        <v>1216</v>
      </c>
      <c r="G45">
        <v>2018</v>
      </c>
      <c r="H45">
        <f>'App.2-FA Proposed REG Invest.'!G100</f>
        <v>0</v>
      </c>
    </row>
    <row r="46" spans="1:8" x14ac:dyDescent="0.2">
      <c r="A46" t="str">
        <f>'LDC Info'!$E$14</f>
        <v>Niagara-on-the-Lake Hydro Inc.</v>
      </c>
      <c r="B46" t="str">
        <f t="shared" si="0"/>
        <v>EB-2018-0056</v>
      </c>
      <c r="C46">
        <f t="shared" si="1"/>
        <v>2019</v>
      </c>
      <c r="D46">
        <f t="shared" si="2"/>
        <v>2018</v>
      </c>
      <c r="E46">
        <f t="shared" si="3"/>
        <v>2014</v>
      </c>
      <c r="F46" t="s">
        <v>1217</v>
      </c>
      <c r="G46">
        <v>2018</v>
      </c>
      <c r="H46">
        <f>'App.2-FA Proposed REG Invest.'!G101</f>
        <v>0</v>
      </c>
    </row>
    <row r="47" spans="1:8" x14ac:dyDescent="0.2">
      <c r="A47" t="str">
        <f>'LDC Info'!$E$14</f>
        <v>Niagara-on-the-Lake Hydro Inc.</v>
      </c>
      <c r="B47" t="str">
        <f t="shared" si="0"/>
        <v>EB-2018-0056</v>
      </c>
      <c r="C47">
        <f t="shared" si="1"/>
        <v>2019</v>
      </c>
      <c r="D47">
        <f t="shared" si="2"/>
        <v>2018</v>
      </c>
      <c r="E47">
        <f t="shared" si="3"/>
        <v>2014</v>
      </c>
      <c r="F47" t="s">
        <v>1215</v>
      </c>
      <c r="G47">
        <v>2019</v>
      </c>
      <c r="H47">
        <f>'App.2-FA Proposed REG Invest.'!H99</f>
        <v>0</v>
      </c>
    </row>
    <row r="48" spans="1:8" x14ac:dyDescent="0.2">
      <c r="A48" t="str">
        <f>'LDC Info'!$E$14</f>
        <v>Niagara-on-the-Lake Hydro Inc.</v>
      </c>
      <c r="B48" t="str">
        <f t="shared" si="0"/>
        <v>EB-2018-0056</v>
      </c>
      <c r="C48">
        <f t="shared" si="1"/>
        <v>2019</v>
      </c>
      <c r="D48">
        <f t="shared" si="2"/>
        <v>2018</v>
      </c>
      <c r="E48">
        <f t="shared" si="3"/>
        <v>2014</v>
      </c>
      <c r="F48" t="s">
        <v>1216</v>
      </c>
      <c r="G48">
        <v>2019</v>
      </c>
      <c r="H48">
        <f>'App.2-FA Proposed REG Invest.'!H100</f>
        <v>0</v>
      </c>
    </row>
    <row r="49" spans="1:8" x14ac:dyDescent="0.2">
      <c r="A49" t="str">
        <f>'LDC Info'!$E$14</f>
        <v>Niagara-on-the-Lake Hydro Inc.</v>
      </c>
      <c r="B49" t="str">
        <f t="shared" si="0"/>
        <v>EB-2018-0056</v>
      </c>
      <c r="C49">
        <f t="shared" si="1"/>
        <v>2019</v>
      </c>
      <c r="D49">
        <f t="shared" si="2"/>
        <v>2018</v>
      </c>
      <c r="E49">
        <f t="shared" si="3"/>
        <v>2014</v>
      </c>
      <c r="F49" t="s">
        <v>1217</v>
      </c>
      <c r="G49">
        <v>2019</v>
      </c>
      <c r="H49">
        <f>'App.2-FA Proposed REG Invest.'!H101</f>
        <v>0</v>
      </c>
    </row>
    <row r="50" spans="1:8" x14ac:dyDescent="0.2">
      <c r="A50" t="str">
        <f>'LDC Info'!$E$14</f>
        <v>Niagara-on-the-Lake Hydro Inc.</v>
      </c>
      <c r="B50" t="str">
        <f t="shared" si="0"/>
        <v>EB-2018-0056</v>
      </c>
      <c r="C50">
        <f t="shared" si="1"/>
        <v>2019</v>
      </c>
      <c r="D50">
        <f t="shared" si="2"/>
        <v>2018</v>
      </c>
      <c r="E50">
        <f t="shared" si="3"/>
        <v>2014</v>
      </c>
      <c r="F50" t="s">
        <v>1215</v>
      </c>
      <c r="G50">
        <v>2020</v>
      </c>
      <c r="H50">
        <f>'App.2-FA Proposed REG Invest.'!I99</f>
        <v>0</v>
      </c>
    </row>
    <row r="51" spans="1:8" x14ac:dyDescent="0.2">
      <c r="A51" t="str">
        <f>'LDC Info'!$E$14</f>
        <v>Niagara-on-the-Lake Hydro Inc.</v>
      </c>
      <c r="B51" t="str">
        <f t="shared" si="0"/>
        <v>EB-2018-0056</v>
      </c>
      <c r="C51">
        <f t="shared" si="1"/>
        <v>2019</v>
      </c>
      <c r="D51">
        <f t="shared" si="2"/>
        <v>2018</v>
      </c>
      <c r="E51">
        <f t="shared" si="3"/>
        <v>2014</v>
      </c>
      <c r="F51" t="s">
        <v>1216</v>
      </c>
      <c r="G51">
        <v>2020</v>
      </c>
      <c r="H51">
        <f>'App.2-FA Proposed REG Invest.'!I100</f>
        <v>0</v>
      </c>
    </row>
    <row r="52" spans="1:8" x14ac:dyDescent="0.2">
      <c r="A52" t="str">
        <f>'LDC Info'!$E$14</f>
        <v>Niagara-on-the-Lake Hydro Inc.</v>
      </c>
      <c r="B52" t="str">
        <f t="shared" si="0"/>
        <v>EB-2018-0056</v>
      </c>
      <c r="C52">
        <f t="shared" si="1"/>
        <v>2019</v>
      </c>
      <c r="D52">
        <f t="shared" si="2"/>
        <v>2018</v>
      </c>
      <c r="E52">
        <f t="shared" si="3"/>
        <v>2014</v>
      </c>
      <c r="F52" t="s">
        <v>1217</v>
      </c>
      <c r="G52">
        <v>2020</v>
      </c>
      <c r="H52">
        <f>'App.2-FA Proposed REG Invest.'!I101</f>
        <v>0</v>
      </c>
    </row>
    <row r="53" spans="1:8" x14ac:dyDescent="0.2">
      <c r="A53" t="str">
        <f>'LDC Info'!$E$14</f>
        <v>Niagara-on-the-Lake Hydro Inc.</v>
      </c>
      <c r="B53" t="str">
        <f t="shared" si="0"/>
        <v>EB-2018-0056</v>
      </c>
      <c r="C53">
        <f t="shared" si="1"/>
        <v>2019</v>
      </c>
      <c r="D53">
        <f t="shared" si="2"/>
        <v>2018</v>
      </c>
      <c r="E53">
        <f t="shared" si="3"/>
        <v>2014</v>
      </c>
      <c r="F53" t="s">
        <v>1215</v>
      </c>
      <c r="G53">
        <v>2021</v>
      </c>
      <c r="H53">
        <f>'App.2-FA Proposed REG Invest.'!J99</f>
        <v>0</v>
      </c>
    </row>
    <row r="54" spans="1:8" x14ac:dyDescent="0.2">
      <c r="A54" t="str">
        <f>'LDC Info'!$E$14</f>
        <v>Niagara-on-the-Lake Hydro Inc.</v>
      </c>
      <c r="B54" t="str">
        <f t="shared" si="0"/>
        <v>EB-2018-0056</v>
      </c>
      <c r="C54">
        <f t="shared" si="1"/>
        <v>2019</v>
      </c>
      <c r="D54">
        <f t="shared" si="2"/>
        <v>2018</v>
      </c>
      <c r="E54">
        <f t="shared" si="3"/>
        <v>2014</v>
      </c>
      <c r="F54" t="s">
        <v>1216</v>
      </c>
      <c r="G54">
        <v>2021</v>
      </c>
      <c r="H54">
        <f>'App.2-FA Proposed REG Invest.'!J100</f>
        <v>0</v>
      </c>
    </row>
    <row r="55" spans="1:8" x14ac:dyDescent="0.2">
      <c r="A55" t="str">
        <f>'LDC Info'!$E$14</f>
        <v>Niagara-on-the-Lake Hydro Inc.</v>
      </c>
      <c r="B55" t="str">
        <f t="shared" si="0"/>
        <v>EB-2018-0056</v>
      </c>
      <c r="C55">
        <f t="shared" si="1"/>
        <v>2019</v>
      </c>
      <c r="D55">
        <f t="shared" si="2"/>
        <v>2018</v>
      </c>
      <c r="E55">
        <f t="shared" si="3"/>
        <v>2014</v>
      </c>
      <c r="F55" t="s">
        <v>1217</v>
      </c>
      <c r="G55">
        <v>2021</v>
      </c>
      <c r="H55">
        <f>'App.2-FA Proposed REG Invest.'!J101</f>
        <v>0</v>
      </c>
    </row>
    <row r="56" spans="1:8" x14ac:dyDescent="0.2">
      <c r="A56" t="str">
        <f>'LDC Info'!$E$14</f>
        <v>Niagara-on-the-Lake Hydro Inc.</v>
      </c>
      <c r="B56" t="str">
        <f t="shared" si="0"/>
        <v>EB-2018-0056</v>
      </c>
      <c r="C56">
        <f t="shared" si="1"/>
        <v>2019</v>
      </c>
      <c r="D56">
        <f t="shared" si="2"/>
        <v>2018</v>
      </c>
      <c r="E56">
        <f t="shared" si="3"/>
        <v>2014</v>
      </c>
      <c r="F56" t="s">
        <v>1215</v>
      </c>
      <c r="G56">
        <v>2022</v>
      </c>
      <c r="H56">
        <f>'App.2-FA Proposed REG Invest.'!K99</f>
        <v>0</v>
      </c>
    </row>
    <row r="57" spans="1:8" x14ac:dyDescent="0.2">
      <c r="A57" t="str">
        <f>'LDC Info'!$E$14</f>
        <v>Niagara-on-the-Lake Hydro Inc.</v>
      </c>
      <c r="B57" t="str">
        <f t="shared" si="0"/>
        <v>EB-2018-0056</v>
      </c>
      <c r="C57">
        <f t="shared" si="1"/>
        <v>2019</v>
      </c>
      <c r="D57">
        <f t="shared" si="2"/>
        <v>2018</v>
      </c>
      <c r="E57">
        <f t="shared" si="3"/>
        <v>2014</v>
      </c>
      <c r="F57" t="s">
        <v>1216</v>
      </c>
      <c r="G57">
        <v>2022</v>
      </c>
      <c r="H57">
        <f>'App.2-FA Proposed REG Invest.'!K100</f>
        <v>0</v>
      </c>
    </row>
    <row r="58" spans="1:8" x14ac:dyDescent="0.2">
      <c r="A58" t="str">
        <f>'LDC Info'!$E$14</f>
        <v>Niagara-on-the-Lake Hydro Inc.</v>
      </c>
      <c r="B58" t="str">
        <f t="shared" si="0"/>
        <v>EB-2018-0056</v>
      </c>
      <c r="C58">
        <f t="shared" si="1"/>
        <v>2019</v>
      </c>
      <c r="D58">
        <f t="shared" si="2"/>
        <v>2018</v>
      </c>
      <c r="E58">
        <f t="shared" si="3"/>
        <v>2014</v>
      </c>
      <c r="F58" t="s">
        <v>1217</v>
      </c>
      <c r="G58">
        <v>2022</v>
      </c>
      <c r="H58">
        <f>'App.2-FA Proposed REG Invest.'!K101</f>
        <v>0</v>
      </c>
    </row>
    <row r="59" spans="1:8" x14ac:dyDescent="0.2">
      <c r="A59" t="str">
        <f>'LDC Info'!$E$14</f>
        <v>Niagara-on-the-Lake Hydro Inc.</v>
      </c>
      <c r="B59" t="str">
        <f t="shared" si="0"/>
        <v>EB-2018-0056</v>
      </c>
      <c r="C59">
        <f t="shared" si="1"/>
        <v>2019</v>
      </c>
      <c r="D59">
        <f t="shared" si="2"/>
        <v>2018</v>
      </c>
      <c r="E59">
        <f t="shared" si="3"/>
        <v>2014</v>
      </c>
      <c r="F59" t="s">
        <v>1215</v>
      </c>
      <c r="G59">
        <v>2023</v>
      </c>
      <c r="H59">
        <f>'App.2-FA Proposed REG Invest.'!L99</f>
        <v>0</v>
      </c>
    </row>
    <row r="60" spans="1:8" x14ac:dyDescent="0.2">
      <c r="A60" t="str">
        <f>'LDC Info'!$E$14</f>
        <v>Niagara-on-the-Lake Hydro Inc.</v>
      </c>
      <c r="B60" t="str">
        <f t="shared" si="0"/>
        <v>EB-2018-0056</v>
      </c>
      <c r="C60">
        <f t="shared" si="1"/>
        <v>2019</v>
      </c>
      <c r="D60">
        <f t="shared" si="2"/>
        <v>2018</v>
      </c>
      <c r="E60">
        <f t="shared" si="3"/>
        <v>2014</v>
      </c>
      <c r="F60" t="s">
        <v>1216</v>
      </c>
      <c r="G60">
        <v>2023</v>
      </c>
      <c r="H60">
        <f>'App.2-FA Proposed REG Invest.'!L100</f>
        <v>0</v>
      </c>
    </row>
    <row r="61" spans="1:8" x14ac:dyDescent="0.2">
      <c r="A61" t="str">
        <f>'LDC Info'!$E$14</f>
        <v>Niagara-on-the-Lake Hydro Inc.</v>
      </c>
      <c r="B61" t="str">
        <f t="shared" si="0"/>
        <v>EB-2018-0056</v>
      </c>
      <c r="C61">
        <f t="shared" si="1"/>
        <v>2019</v>
      </c>
      <c r="D61">
        <f t="shared" si="2"/>
        <v>2018</v>
      </c>
      <c r="E61">
        <f t="shared" si="3"/>
        <v>2014</v>
      </c>
      <c r="F61" t="s">
        <v>1217</v>
      </c>
      <c r="G61">
        <v>2023</v>
      </c>
      <c r="H61">
        <f>'App.2-FA Proposed REG Invest.'!L101</f>
        <v>0</v>
      </c>
    </row>
  </sheetData>
  <sheetProtection algorithmName="SHA-512" hashValue="+ZkrDO1LyIAehO202xlllCydUksrisfnYMjitOeP5BRGBuPNaS4lKecAb8tTuwL1B/g5pmgcMY12Zwv/K8WbmQ==" saltValue="LbraJdOgyxyk3e0zOCSSi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1:U56"/>
  <sheetViews>
    <sheetView showGridLines="0" zoomScaleNormal="100" workbookViewId="0"/>
  </sheetViews>
  <sheetFormatPr defaultRowHeight="12.75" x14ac:dyDescent="0.2"/>
  <cols>
    <col min="2" max="2" width="97.28515625" customWidth="1"/>
    <col min="3" max="3" width="65.140625" customWidth="1"/>
    <col min="4" max="5" width="3" customWidth="1"/>
    <col min="6" max="6" width="53" customWidth="1"/>
    <col min="13" max="13" width="33.42578125" bestFit="1" customWidth="1"/>
    <col min="15" max="15" width="121.42578125" bestFit="1" customWidth="1"/>
  </cols>
  <sheetData>
    <row r="1" spans="1:21" x14ac:dyDescent="0.2">
      <c r="M1" s="20"/>
      <c r="O1" s="36"/>
      <c r="U1" s="20"/>
    </row>
    <row r="2" spans="1:21" x14ac:dyDescent="0.2">
      <c r="M2" s="36"/>
      <c r="O2" s="36"/>
    </row>
    <row r="3" spans="1:21" x14ac:dyDescent="0.2">
      <c r="M3" s="20"/>
      <c r="O3" s="36"/>
    </row>
    <row r="4" spans="1:21" x14ac:dyDescent="0.2">
      <c r="M4" s="20"/>
      <c r="O4" s="36"/>
    </row>
    <row r="5" spans="1:21" x14ac:dyDescent="0.2">
      <c r="M5" s="20"/>
      <c r="O5" s="36"/>
    </row>
    <row r="6" spans="1:21" x14ac:dyDescent="0.2">
      <c r="M6" s="20"/>
      <c r="O6" s="36"/>
    </row>
    <row r="7" spans="1:21" ht="18" x14ac:dyDescent="0.25">
      <c r="C7" s="11"/>
      <c r="M7" s="20"/>
      <c r="O7" s="36"/>
    </row>
    <row r="8" spans="1:21" x14ac:dyDescent="0.2">
      <c r="C8" s="7"/>
      <c r="M8" s="20"/>
      <c r="O8" s="36"/>
    </row>
    <row r="9" spans="1:21" x14ac:dyDescent="0.2">
      <c r="C9" s="8"/>
      <c r="M9" s="20"/>
      <c r="O9" s="36"/>
    </row>
    <row r="10" spans="1:21" x14ac:dyDescent="0.2">
      <c r="C10" s="8"/>
      <c r="M10" s="20"/>
      <c r="O10" s="36"/>
    </row>
    <row r="11" spans="1:21" x14ac:dyDescent="0.2">
      <c r="C11" s="8"/>
      <c r="M11" s="20"/>
      <c r="O11" s="37"/>
    </row>
    <row r="12" spans="1:21" x14ac:dyDescent="0.2">
      <c r="C12" s="8"/>
      <c r="M12" s="20"/>
      <c r="O12" s="37"/>
    </row>
    <row r="13" spans="1:21" ht="15" customHeight="1" x14ac:dyDescent="0.2">
      <c r="A13" s="16"/>
      <c r="C13" s="8"/>
      <c r="M13" s="20"/>
      <c r="O13" s="37"/>
    </row>
    <row r="14" spans="1:21" x14ac:dyDescent="0.2">
      <c r="C14" s="3"/>
      <c r="M14" s="20"/>
      <c r="O14" s="37"/>
    </row>
    <row r="15" spans="1:21" x14ac:dyDescent="0.2">
      <c r="A15" s="19">
        <v>1</v>
      </c>
      <c r="B15" s="36" t="s">
        <v>399</v>
      </c>
      <c r="C15" s="31"/>
      <c r="D15" s="32"/>
      <c r="E15" s="3">
        <v>20</v>
      </c>
      <c r="F15" s="20" t="s">
        <v>898</v>
      </c>
      <c r="G15" s="31"/>
      <c r="M15" s="20"/>
      <c r="O15" s="37"/>
    </row>
    <row r="16" spans="1:21" x14ac:dyDescent="0.2">
      <c r="A16" s="3">
        <v>2</v>
      </c>
      <c r="B16" s="36" t="s">
        <v>398</v>
      </c>
      <c r="C16" s="9"/>
      <c r="E16" s="3">
        <v>21</v>
      </c>
      <c r="F16" s="20" t="s">
        <v>1306</v>
      </c>
      <c r="G16" s="9"/>
      <c r="M16" s="20"/>
      <c r="O16" s="37"/>
    </row>
    <row r="17" spans="1:15" x14ac:dyDescent="0.2">
      <c r="A17" s="3">
        <v>3</v>
      </c>
      <c r="B17" s="36" t="s">
        <v>570</v>
      </c>
      <c r="C17" s="9"/>
      <c r="E17" s="3">
        <v>22</v>
      </c>
      <c r="F17" s="20" t="s">
        <v>899</v>
      </c>
      <c r="G17" s="9"/>
      <c r="M17" s="20"/>
      <c r="O17" s="37"/>
    </row>
    <row r="18" spans="1:15" x14ac:dyDescent="0.2">
      <c r="A18" s="3">
        <v>4</v>
      </c>
      <c r="B18" s="36" t="s">
        <v>560</v>
      </c>
      <c r="C18" s="9"/>
      <c r="E18" s="3">
        <v>23</v>
      </c>
      <c r="F18" s="20" t="s">
        <v>1020</v>
      </c>
      <c r="G18" s="9"/>
      <c r="M18" s="20"/>
      <c r="O18" s="37"/>
    </row>
    <row r="19" spans="1:15" x14ac:dyDescent="0.2">
      <c r="A19" s="3">
        <v>5</v>
      </c>
      <c r="B19" s="36" t="s">
        <v>1047</v>
      </c>
      <c r="C19" s="9"/>
      <c r="E19" s="3">
        <v>24</v>
      </c>
      <c r="F19" s="20" t="s">
        <v>1021</v>
      </c>
      <c r="G19" s="9"/>
      <c r="M19" s="20"/>
      <c r="O19" s="37"/>
    </row>
    <row r="20" spans="1:15" x14ac:dyDescent="0.2">
      <c r="A20" s="3">
        <v>6</v>
      </c>
      <c r="B20" s="36" t="s">
        <v>893</v>
      </c>
      <c r="C20" s="9"/>
      <c r="E20" s="3">
        <v>25</v>
      </c>
      <c r="F20" s="20" t="s">
        <v>1305</v>
      </c>
      <c r="G20" s="9"/>
      <c r="M20" s="20"/>
      <c r="O20" s="37"/>
    </row>
    <row r="21" spans="1:15" x14ac:dyDescent="0.2">
      <c r="A21" s="3">
        <v>7</v>
      </c>
      <c r="B21" s="36" t="s">
        <v>1382</v>
      </c>
      <c r="C21" s="9"/>
      <c r="E21" s="3">
        <v>26</v>
      </c>
      <c r="F21" s="20" t="s">
        <v>900</v>
      </c>
      <c r="G21" s="9"/>
      <c r="M21" s="20"/>
      <c r="O21" s="37"/>
    </row>
    <row r="22" spans="1:15" x14ac:dyDescent="0.2">
      <c r="A22" s="3">
        <v>8</v>
      </c>
      <c r="B22" s="36" t="s">
        <v>894</v>
      </c>
      <c r="C22" s="9"/>
      <c r="E22" s="3">
        <v>27</v>
      </c>
      <c r="F22" s="20" t="s">
        <v>944</v>
      </c>
      <c r="G22" s="9"/>
      <c r="M22" s="20"/>
      <c r="O22" s="37"/>
    </row>
    <row r="23" spans="1:15" x14ac:dyDescent="0.2">
      <c r="A23" s="3">
        <v>9</v>
      </c>
      <c r="B23" s="36" t="s">
        <v>895</v>
      </c>
      <c r="C23" s="9"/>
      <c r="E23" s="3">
        <v>28</v>
      </c>
      <c r="F23" s="20" t="s">
        <v>1304</v>
      </c>
      <c r="G23" s="9"/>
      <c r="L23" s="28"/>
      <c r="M23" s="20"/>
      <c r="O23" s="37"/>
    </row>
    <row r="24" spans="1:15" x14ac:dyDescent="0.2">
      <c r="A24" s="3">
        <v>10</v>
      </c>
      <c r="B24" s="36" t="s">
        <v>896</v>
      </c>
      <c r="C24" s="9"/>
      <c r="E24" s="3">
        <v>29</v>
      </c>
      <c r="F24" s="20" t="s">
        <v>901</v>
      </c>
      <c r="G24" s="9"/>
      <c r="L24" s="28"/>
      <c r="M24" s="20"/>
      <c r="O24" s="36"/>
    </row>
    <row r="25" spans="1:15" x14ac:dyDescent="0.2">
      <c r="A25" s="3">
        <v>11</v>
      </c>
      <c r="B25" s="36" t="s">
        <v>571</v>
      </c>
      <c r="C25" s="9"/>
      <c r="E25" s="3">
        <v>30</v>
      </c>
      <c r="F25" s="20" t="s">
        <v>1303</v>
      </c>
      <c r="G25" s="9"/>
      <c r="L25" s="28"/>
      <c r="M25" s="20"/>
      <c r="O25" s="36"/>
    </row>
    <row r="26" spans="1:15" x14ac:dyDescent="0.2">
      <c r="A26" s="3">
        <v>12</v>
      </c>
      <c r="B26" s="37" t="s">
        <v>1199</v>
      </c>
      <c r="C26" s="9"/>
      <c r="E26" s="3">
        <v>31</v>
      </c>
      <c r="F26" s="20" t="s">
        <v>1042</v>
      </c>
      <c r="G26" s="9"/>
      <c r="L26" s="28"/>
      <c r="M26" s="20"/>
      <c r="O26" s="36"/>
    </row>
    <row r="27" spans="1:15" x14ac:dyDescent="0.2">
      <c r="A27" s="3">
        <v>13</v>
      </c>
      <c r="B27" s="37" t="s">
        <v>897</v>
      </c>
      <c r="C27" s="9"/>
      <c r="E27" s="3">
        <v>32</v>
      </c>
      <c r="F27" s="20" t="s">
        <v>892</v>
      </c>
      <c r="G27" s="9"/>
      <c r="L27" s="28"/>
      <c r="M27" s="20"/>
      <c r="O27" s="36"/>
    </row>
    <row r="28" spans="1:15" x14ac:dyDescent="0.2">
      <c r="A28" s="3">
        <v>14</v>
      </c>
      <c r="B28" s="37" t="s">
        <v>1381</v>
      </c>
      <c r="C28" s="9"/>
      <c r="E28" s="3">
        <v>33</v>
      </c>
      <c r="F28" s="20" t="s">
        <v>891</v>
      </c>
      <c r="G28" s="17"/>
      <c r="L28" s="28"/>
      <c r="M28" s="20"/>
      <c r="O28" s="36"/>
    </row>
    <row r="29" spans="1:15" x14ac:dyDescent="0.2">
      <c r="A29" s="3">
        <v>15</v>
      </c>
      <c r="B29" s="36" t="s">
        <v>1383</v>
      </c>
      <c r="C29" s="9"/>
      <c r="E29" s="3">
        <v>34</v>
      </c>
      <c r="F29" s="20" t="s">
        <v>890</v>
      </c>
      <c r="G29" s="17"/>
      <c r="L29" s="28"/>
      <c r="M29" s="20"/>
      <c r="O29" s="20"/>
    </row>
    <row r="30" spans="1:15" x14ac:dyDescent="0.2">
      <c r="A30" s="3">
        <v>16</v>
      </c>
      <c r="B30" s="36" t="s">
        <v>1384</v>
      </c>
      <c r="C30" s="9"/>
      <c r="E30" s="3">
        <v>35</v>
      </c>
      <c r="F30" s="20" t="s">
        <v>889</v>
      </c>
      <c r="G30" s="17"/>
      <c r="L30" s="28"/>
      <c r="M30" s="20"/>
      <c r="O30" s="20"/>
    </row>
    <row r="31" spans="1:15" x14ac:dyDescent="0.2">
      <c r="A31" s="3">
        <v>17</v>
      </c>
      <c r="B31" s="36" t="s">
        <v>1309</v>
      </c>
      <c r="C31" s="9"/>
      <c r="E31" s="3">
        <v>36</v>
      </c>
      <c r="F31" s="20" t="s">
        <v>888</v>
      </c>
      <c r="G31" s="9"/>
      <c r="L31" s="28"/>
      <c r="M31" s="20"/>
      <c r="O31" s="20"/>
    </row>
    <row r="32" spans="1:15" x14ac:dyDescent="0.2">
      <c r="A32" s="3">
        <v>18</v>
      </c>
      <c r="B32" s="36" t="s">
        <v>1308</v>
      </c>
      <c r="C32" s="9"/>
      <c r="E32" s="3">
        <v>37</v>
      </c>
      <c r="F32" s="20" t="s">
        <v>1385</v>
      </c>
      <c r="G32" s="9"/>
      <c r="L32" s="28"/>
      <c r="M32" s="20"/>
      <c r="O32" s="20"/>
    </row>
    <row r="33" spans="1:15" x14ac:dyDescent="0.2">
      <c r="A33" s="3">
        <v>19</v>
      </c>
      <c r="B33" s="36" t="s">
        <v>1307</v>
      </c>
      <c r="C33" s="18"/>
      <c r="E33" s="3">
        <v>38</v>
      </c>
      <c r="F33" s="20" t="s">
        <v>1386</v>
      </c>
      <c r="G33" s="9"/>
      <c r="M33" s="20"/>
      <c r="O33" s="20"/>
    </row>
    <row r="34" spans="1:15" x14ac:dyDescent="0.2">
      <c r="A34" s="3"/>
      <c r="C34" s="2"/>
      <c r="E34" s="3">
        <v>39</v>
      </c>
      <c r="F34" s="20" t="s">
        <v>1380</v>
      </c>
      <c r="I34" s="2"/>
      <c r="M34" s="20"/>
      <c r="O34" s="20"/>
    </row>
    <row r="35" spans="1:15" x14ac:dyDescent="0.2">
      <c r="A35" s="3"/>
      <c r="C35" s="2"/>
      <c r="I35" s="2"/>
      <c r="M35" s="20"/>
      <c r="O35" s="20"/>
    </row>
    <row r="36" spans="1:15" x14ac:dyDescent="0.2">
      <c r="A36" s="3"/>
      <c r="C36" s="2"/>
      <c r="E36" s="3"/>
      <c r="F36" s="20"/>
      <c r="M36" s="20"/>
      <c r="O36" s="20"/>
    </row>
    <row r="37" spans="1:15" x14ac:dyDescent="0.2">
      <c r="A37" s="3"/>
      <c r="C37" s="12"/>
      <c r="E37" s="3"/>
      <c r="F37" s="3"/>
      <c r="I37" s="2"/>
      <c r="M37" s="20"/>
      <c r="O37" s="20"/>
    </row>
    <row r="38" spans="1:15" ht="12.75" customHeight="1" x14ac:dyDescent="0.2">
      <c r="A38" s="3"/>
      <c r="C38" s="2"/>
      <c r="E38" s="3"/>
      <c r="F38" s="3"/>
      <c r="I38" s="2"/>
      <c r="M38" s="20"/>
      <c r="O38" s="20"/>
    </row>
    <row r="39" spans="1:15" x14ac:dyDescent="0.2">
      <c r="A39" s="3"/>
      <c r="C39" s="3"/>
      <c r="D39" s="20"/>
      <c r="E39" s="3"/>
      <c r="F39" s="20"/>
      <c r="I39" s="2"/>
      <c r="M39" s="20"/>
      <c r="O39" s="20"/>
    </row>
    <row r="40" spans="1:15" x14ac:dyDescent="0.2">
      <c r="A40" s="3"/>
      <c r="C40" s="3"/>
      <c r="D40" s="20"/>
      <c r="E40" s="3"/>
      <c r="F40" s="21"/>
      <c r="I40" s="12"/>
      <c r="M40" s="20"/>
      <c r="O40" s="20"/>
    </row>
    <row r="41" spans="1:15" ht="12.75" customHeight="1" x14ac:dyDescent="0.2">
      <c r="A41" s="3"/>
      <c r="C41" s="3"/>
      <c r="D41" s="20"/>
      <c r="E41" s="3"/>
      <c r="G41" s="3"/>
      <c r="H41" s="3"/>
      <c r="M41" s="20"/>
      <c r="O41" s="20"/>
    </row>
    <row r="42" spans="1:15" ht="27.75" customHeight="1" x14ac:dyDescent="0.2">
      <c r="A42" s="623" t="s">
        <v>105</v>
      </c>
      <c r="B42" s="1610" t="s">
        <v>1057</v>
      </c>
      <c r="C42" s="1610"/>
      <c r="D42" s="1610"/>
      <c r="E42" s="1610"/>
      <c r="F42" s="1610"/>
      <c r="G42" s="3"/>
      <c r="H42" s="3"/>
      <c r="M42" s="20"/>
      <c r="O42" s="20"/>
    </row>
    <row r="43" spans="1:15" x14ac:dyDescent="0.2">
      <c r="A43" s="6"/>
      <c r="C43" s="3"/>
      <c r="D43" s="3"/>
      <c r="E43" s="3"/>
      <c r="G43" s="3"/>
      <c r="H43" s="3"/>
      <c r="M43" s="20"/>
      <c r="O43" s="20"/>
    </row>
    <row r="44" spans="1:15" x14ac:dyDescent="0.2">
      <c r="A44" s="3"/>
      <c r="C44" s="3"/>
      <c r="D44" s="3"/>
      <c r="E44" s="3"/>
      <c r="G44" s="3"/>
      <c r="H44" s="3"/>
      <c r="M44" s="20"/>
      <c r="O44" s="20"/>
    </row>
    <row r="45" spans="1:15" x14ac:dyDescent="0.2">
      <c r="A45" s="3"/>
      <c r="D45" s="3"/>
      <c r="G45" s="3"/>
      <c r="H45" s="3"/>
      <c r="M45" s="20"/>
      <c r="O45" s="20"/>
    </row>
    <row r="46" spans="1:15" x14ac:dyDescent="0.2">
      <c r="A46" s="3"/>
      <c r="D46" s="3"/>
      <c r="G46" s="3"/>
      <c r="H46" s="3"/>
      <c r="M46" s="20"/>
      <c r="O46" s="20"/>
    </row>
    <row r="47" spans="1:15" x14ac:dyDescent="0.2">
      <c r="A47" s="3"/>
      <c r="D47" s="3"/>
      <c r="M47" s="20"/>
      <c r="O47" s="20"/>
    </row>
    <row r="48" spans="1:15" x14ac:dyDescent="0.2">
      <c r="A48" s="3"/>
      <c r="D48" s="20"/>
      <c r="M48" s="20"/>
      <c r="O48" s="20"/>
    </row>
    <row r="49" spans="1:15" x14ac:dyDescent="0.2">
      <c r="A49" s="3"/>
      <c r="D49" s="20"/>
      <c r="M49" s="20"/>
      <c r="O49" s="20"/>
    </row>
    <row r="50" spans="1:15" x14ac:dyDescent="0.2">
      <c r="D50" s="20"/>
      <c r="M50" s="20"/>
      <c r="O50" s="20"/>
    </row>
    <row r="51" spans="1:15" x14ac:dyDescent="0.2">
      <c r="D51" s="20"/>
      <c r="G51" s="9"/>
      <c r="M51" s="20"/>
      <c r="O51" s="20"/>
    </row>
    <row r="52" spans="1:15" x14ac:dyDescent="0.2">
      <c r="D52" s="20"/>
      <c r="F52" s="9"/>
      <c r="M52" s="20"/>
      <c r="O52" s="20"/>
    </row>
    <row r="53" spans="1:15" x14ac:dyDescent="0.2">
      <c r="D53" s="20"/>
      <c r="F53" s="9"/>
      <c r="M53" s="20"/>
      <c r="O53" s="3"/>
    </row>
    <row r="54" spans="1:15" x14ac:dyDescent="0.2">
      <c r="F54" s="9"/>
      <c r="M54" s="20"/>
    </row>
    <row r="55" spans="1:15" x14ac:dyDescent="0.2">
      <c r="M55" s="20"/>
    </row>
    <row r="56" spans="1:15" x14ac:dyDescent="0.2">
      <c r="M56" s="20"/>
    </row>
  </sheetData>
  <sheetProtection algorithmName="SHA-512" hashValue="Qq6Q0lFmtaogSosMuuMJG+fobUdR14Mb6OVqoY/GeJTzNjoRtWFcmouzn2LeB0jeNCMvbJr3fn4EaDfMFLOG+g==" saltValue="GDN+jk0+HqltKj2fPbEpqw==" spinCount="100000" sheet="1" objects="1" scenarios="1"/>
  <mergeCells count="1">
    <mergeCell ref="B42:F42"/>
  </mergeCells>
  <phoneticPr fontId="16" type="noConversion"/>
  <hyperlinks>
    <hyperlink ref="B15" location="'LDC Info'!A1" display="LDC Information Sheet" xr:uid="{00000000-0004-0000-0100-000000000000}"/>
    <hyperlink ref="B32:B33" display="App.2-FB: Calculation of Renewable Generation Connection Direct Benefits/Provincial Amount: Renewable Enabling Improvement Investments" xr:uid="{00000000-0004-0000-0100-000001000000}"/>
    <hyperlink ref="B16" location="Index!A1" display="Index" xr:uid="{00000000-0004-0000-0100-000002000000}"/>
    <hyperlink ref="B17" location="'COS Flowchart'!A1" display="Cost of Service Application Flowchart" xr:uid="{00000000-0004-0000-0100-000003000000}"/>
    <hyperlink ref="B18" location="'List of Key References'!A1" display="List of Key References" xr:uid="{00000000-0004-0000-0100-000004000000}"/>
    <hyperlink ref="B20" location="'App.2-AA_Capital Projects'!A1" display="App.2-AA: Capital Projects Table" xr:uid="{00000000-0004-0000-0100-000005000000}"/>
    <hyperlink ref="B21" location="'App.2-AB_Capital Expenditures'!A1" display="App.2-AB: Capital Expenditures" xr:uid="{00000000-0004-0000-0100-000006000000}"/>
    <hyperlink ref="B22" location="'App.2-AC_Customer Engagement'!A1" display="App. 2-AC: Customer Engagement Worksheet" xr:uid="{00000000-0004-0000-0100-000007000000}"/>
    <hyperlink ref="B23" location="'App.2-B_Acctg Instructions'!A1" display="App.2-B: General Accounting Instructions" xr:uid="{00000000-0004-0000-0100-000008000000}"/>
    <hyperlink ref="B24" location="'App.2-BA_Fixed Asset Cont'!A1" display="App.2-BA: Fixed Asset Continuity Schedule" xr:uid="{00000000-0004-0000-0100-000009000000}"/>
    <hyperlink ref="B25" location="'Appendix 2-BB Service Life  '!A1" display="Appendix 2-BB: Service Life Comparison" xr:uid="{00000000-0004-0000-0100-00000A000000}"/>
    <hyperlink ref="B26" location="'App.2-C_DepExp'!A1" display="App.2-C_DepExp: Depreciation and Amortization Expense" xr:uid="{00000000-0004-0000-0100-00000B000000}"/>
    <hyperlink ref="B27" location="'App.2-D_Overhead'!A1" display="App.2-D: Overhead Expenses" xr:uid="{00000000-0004-0000-0100-00000C000000}"/>
    <hyperlink ref="B28" location="'App.2-EA_Account 1575 (2015)'!A1" display="App.2-EA: Account 1575 PP&amp;E Deferral Account (2015 IFRS Adopters)" xr:uid="{00000000-0004-0000-0100-00000D000000}"/>
    <hyperlink ref="B29" location="'App.2-EB_Account 1576 (2012)'!A1" display="App.2-EB: Account 1576 - Accounting Changes Under CGAAP (2012 Changes)" xr:uid="{00000000-0004-0000-0100-00000E000000}"/>
    <hyperlink ref="B30" location="'App.2-EC_Account 1576 (2013)'!A1" display="App.2-EC: Account 1576 - Accounting Changes Under CGAAP (2013 Changes)" xr:uid="{00000000-0004-0000-0100-00000F000000}"/>
    <hyperlink ref="B31" location="'App.2-FA Proposed REG Invest.'!A1" display="App.2-FA: Renewable Generation Connection Investment Summary" xr:uid="{00000000-0004-0000-0100-000010000000}"/>
    <hyperlink ref="B32" location="'App.2-FB Calc of REG Improvemnt'!A1" display="App.2-FB: Calculation of Renewable Generation Connection Direct Benefits/Provincial Amount: Renewable Enabling Improvement Investments" xr:uid="{00000000-0004-0000-0100-000011000000}"/>
    <hyperlink ref="B33" location="'App.2-FC Calc of REG Expansion'!A1" display="App.2-FC: Calculation of Renewable Generation Connection Direct Benefits/Provincial Amount: Renewable Expansion Investments" xr:uid="{00000000-0004-0000-0100-000012000000}"/>
    <hyperlink ref="F15" location="'App.2-G SQI'!A1" display="App.2-G: Service Reliability Indicators" xr:uid="{00000000-0004-0000-0100-000013000000}"/>
    <hyperlink ref="F16" location="'App.2-H_Other_Oper_Rev'!A1" display="App.2-H: Other Operating Revenue" xr:uid="{00000000-0004-0000-0100-000014000000}"/>
    <hyperlink ref="F17" location="'App_2-I LF_CDM'!A1" display="App.2-I: Load Forecast CDM Adjustment Workform" xr:uid="{00000000-0004-0000-0100-000015000000}"/>
    <hyperlink ref="F19" location="'App.2-IB_Load_Forecast_Analysis'!A1" display="App.2-IB:  Actual and Forecast Load and Customer Data" xr:uid="{00000000-0004-0000-0100-000016000000}"/>
    <hyperlink ref="F20" location="'App.2-JA_OM&amp;A_Summary_Analys'!A1" display="App.2-JA: OM&amp;A Summary Analysis" xr:uid="{00000000-0004-0000-0100-000017000000}"/>
    <hyperlink ref="F21" location="'App.2-JB_OM&amp;A_Cost _Drivers'!A1" display="App.2-JB: Recoverable OM&amp;A Cost Driver Table" xr:uid="{00000000-0004-0000-0100-000018000000}"/>
    <hyperlink ref="F22" location="'App.2-JC_OMA Programs'!A1" display="App.2-JC: OM&amp;A Programs Table" xr:uid="{00000000-0004-0000-0100-000019000000}"/>
    <hyperlink ref="F23" location="'App.2-K_Employee Costs'!A1" display="App.2-K: Employee Costs" xr:uid="{00000000-0004-0000-0100-00001A000000}"/>
    <hyperlink ref="F24" location="'App.2-L_OM&amp;A_per_Cust_FTE'!A1" display="App.2-L: Recoverable OM&amp;A Cost per Customer and per FTE" xr:uid="{00000000-0004-0000-0100-00001B000000}"/>
    <hyperlink ref="F25" location="'App.2-M_Regulatory_Costs'!A1" display="App.2-M: Regulatory Costs Schedule" xr:uid="{00000000-0004-0000-0100-00001C000000}"/>
    <hyperlink ref="F26" location="'App.2-N_Corp_Cost_Allocation'!A1" display="App.2-N: Shared Servcies and Corporate Cost Allocation" xr:uid="{00000000-0004-0000-0100-00001D000000}"/>
    <hyperlink ref="F27" location="'App.2-OA Capital Structure'!A1" display="App.2-OA: Capital Structure and Cost of Capital" xr:uid="{00000000-0004-0000-0100-00001E000000}"/>
    <hyperlink ref="F28" location="'App.2-OB_Debt Instruments'!A1" display="App.2-OB: Debt Instruments" xr:uid="{00000000-0004-0000-0100-00001F000000}"/>
    <hyperlink ref="F29" location="'App.2-Q_Cost of Serv. Emb. Dx'!A1" display="App.2-Q: Cost of Serving Embedded Distributor(s)" xr:uid="{00000000-0004-0000-0100-000020000000}"/>
    <hyperlink ref="F30" location="'App.2-R_Loss Factors'!A1" display="App.2-R: Loss Factors" xr:uid="{00000000-0004-0000-0100-000021000000}"/>
    <hyperlink ref="F31" location="'App.2-S_Stranded Meters'!A1" display="App.2-S: Stranded Meter Treatment" xr:uid="{00000000-0004-0000-0100-000022000000}"/>
    <hyperlink ref="F32" location="'App.2-Y_MIFRS Summary Impacts'!A1" display="App.2-Y: Transition to MIFRS Summary Impact" xr:uid="{00000000-0004-0000-0100-000023000000}"/>
    <hyperlink ref="F18" location="'App.2-IA_Load_Forecast_Instrct'!A1" display="App.2-IA: Load Forecast Data Instructions" xr:uid="{00000000-0004-0000-0100-000024000000}"/>
    <hyperlink ref="F33" location="'App.2-YA_IFRS Transition Costs'!A1" display="App.2-YA: One-Time Incremental IFRS Transition Costs" xr:uid="{00000000-0004-0000-0100-000025000000}"/>
    <hyperlink ref="B19" location="'App.2-A_Requested_Approvals'!A1" display="App.2-A: List of Requested Approvals" xr:uid="{00000000-0004-0000-0100-000026000000}"/>
    <hyperlink ref="F34" location="'App.2-Z_Commodity Expense'!A1" display="App.2-Z: Commodity Expense" xr:uid="{00000000-0004-0000-0100-000027000000}"/>
  </hyperlinks>
  <pageMargins left="0.75" right="0.75" top="1" bottom="1" header="0.5" footer="0.5"/>
  <pageSetup scale="51" orientation="landscape"/>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58">
    <tabColor rgb="FF00B0F0"/>
    <pageSetUpPr fitToPage="1"/>
  </sheetPr>
  <dimension ref="A1:AG95"/>
  <sheetViews>
    <sheetView showGridLines="0" zoomScale="80" zoomScaleNormal="80" workbookViewId="0"/>
  </sheetViews>
  <sheetFormatPr defaultColWidth="8.7109375" defaultRowHeight="15" x14ac:dyDescent="0.25"/>
  <cols>
    <col min="1" max="1" width="34.7109375" style="1030" customWidth="1"/>
    <col min="2" max="2" width="18" style="1030" customWidth="1"/>
    <col min="3" max="16" width="14.7109375" style="1030" customWidth="1"/>
    <col min="17" max="17" width="12.7109375" style="1030" customWidth="1"/>
    <col min="18" max="32" width="14.7109375" style="1030" customWidth="1"/>
    <col min="33" max="16384" width="8.7109375" style="1030"/>
  </cols>
  <sheetData>
    <row r="1" spans="1:27" s="1025" customFormat="1" x14ac:dyDescent="0.25">
      <c r="A1" s="988"/>
      <c r="B1" s="988"/>
      <c r="C1" s="988"/>
      <c r="D1" s="988"/>
      <c r="E1" s="988"/>
      <c r="F1" s="988"/>
      <c r="G1" s="988"/>
      <c r="H1" s="988"/>
      <c r="I1" s="988"/>
      <c r="J1" s="988"/>
      <c r="K1" s="988"/>
      <c r="L1" s="988"/>
      <c r="M1" s="988"/>
      <c r="N1" s="988"/>
      <c r="O1" s="988"/>
      <c r="P1" s="988"/>
      <c r="Q1" s="967" t="s">
        <v>277</v>
      </c>
      <c r="R1" s="1026" t="str">
        <f>EBNUMBER</f>
        <v>EB-2018-0056</v>
      </c>
    </row>
    <row r="2" spans="1:27" s="1025" customFormat="1" x14ac:dyDescent="0.25">
      <c r="A2" s="988"/>
      <c r="B2" s="988"/>
      <c r="C2" s="988"/>
      <c r="D2" s="988"/>
      <c r="E2" s="988"/>
      <c r="F2" s="988"/>
      <c r="G2" s="988"/>
      <c r="H2" s="988"/>
      <c r="I2" s="988"/>
      <c r="J2" s="988"/>
      <c r="K2" s="988"/>
      <c r="L2" s="988"/>
      <c r="M2" s="988"/>
      <c r="N2" s="988"/>
      <c r="O2" s="988"/>
      <c r="P2" s="988"/>
      <c r="Q2" s="967" t="s">
        <v>278</v>
      </c>
      <c r="R2" s="41"/>
    </row>
    <row r="3" spans="1:27" s="1025" customFormat="1" x14ac:dyDescent="0.25">
      <c r="A3" s="988"/>
      <c r="B3" s="988"/>
      <c r="C3" s="988"/>
      <c r="D3" s="988"/>
      <c r="E3" s="988"/>
      <c r="F3" s="988"/>
      <c r="G3" s="988"/>
      <c r="H3" s="988"/>
      <c r="I3" s="988"/>
      <c r="J3" s="988"/>
      <c r="K3" s="988"/>
      <c r="L3" s="988"/>
      <c r="M3" s="988"/>
      <c r="N3" s="988"/>
      <c r="O3" s="988"/>
      <c r="P3" s="988"/>
      <c r="Q3" s="967" t="s">
        <v>279</v>
      </c>
      <c r="R3" s="41"/>
    </row>
    <row r="4" spans="1:27" s="1025" customFormat="1" ht="15.75" x14ac:dyDescent="0.25">
      <c r="A4" s="1066" t="s">
        <v>1311</v>
      </c>
      <c r="B4" s="988"/>
      <c r="C4" s="988"/>
      <c r="D4" s="988"/>
      <c r="E4" s="988"/>
      <c r="F4" s="988"/>
      <c r="G4" s="988"/>
      <c r="H4" s="988"/>
      <c r="I4" s="988"/>
      <c r="J4" s="988"/>
      <c r="K4" s="988"/>
      <c r="L4" s="988"/>
      <c r="M4" s="988"/>
      <c r="N4" s="988"/>
      <c r="O4" s="988"/>
      <c r="P4" s="988"/>
      <c r="Q4" s="967" t="s">
        <v>280</v>
      </c>
      <c r="R4" s="41"/>
    </row>
    <row r="5" spans="1:27" s="1025" customFormat="1" x14ac:dyDescent="0.25">
      <c r="A5" s="988"/>
      <c r="B5" s="988"/>
      <c r="C5" s="988"/>
      <c r="D5" s="988"/>
      <c r="E5" s="988"/>
      <c r="F5" s="988"/>
      <c r="G5" s="988"/>
      <c r="H5" s="988"/>
      <c r="I5" s="988"/>
      <c r="J5" s="988"/>
      <c r="K5" s="988"/>
      <c r="L5" s="988"/>
      <c r="M5" s="988"/>
      <c r="N5" s="988"/>
      <c r="O5" s="988"/>
      <c r="P5" s="988"/>
      <c r="Q5" s="967" t="s">
        <v>281</v>
      </c>
      <c r="R5" s="42"/>
    </row>
    <row r="6" spans="1:27" s="1025" customFormat="1" x14ac:dyDescent="0.25">
      <c r="A6" s="988"/>
      <c r="B6" s="988"/>
      <c r="C6" s="988"/>
      <c r="D6" s="988"/>
      <c r="E6" s="988"/>
      <c r="F6" s="988"/>
      <c r="G6" s="988"/>
      <c r="H6" s="988"/>
      <c r="I6" s="988"/>
      <c r="J6" s="988"/>
      <c r="K6" s="988"/>
      <c r="L6" s="988"/>
      <c r="M6" s="988"/>
      <c r="N6" s="988"/>
      <c r="O6" s="988"/>
      <c r="P6" s="988"/>
      <c r="Q6" s="967"/>
      <c r="R6" s="968"/>
    </row>
    <row r="7" spans="1:27" s="1025" customFormat="1" x14ac:dyDescent="0.25">
      <c r="A7" s="988"/>
      <c r="B7" s="988"/>
      <c r="C7" s="988"/>
      <c r="D7" s="988"/>
      <c r="E7" s="988"/>
      <c r="F7" s="988"/>
      <c r="G7" s="988"/>
      <c r="H7" s="988"/>
      <c r="I7" s="988"/>
      <c r="J7" s="988"/>
      <c r="K7" s="988"/>
      <c r="L7" s="988"/>
      <c r="M7" s="988"/>
      <c r="N7" s="988"/>
      <c r="O7" s="988"/>
      <c r="P7" s="988"/>
      <c r="Q7" s="967" t="s">
        <v>282</v>
      </c>
      <c r="R7" s="42"/>
    </row>
    <row r="8" spans="1:27" s="1025" customFormat="1" x14ac:dyDescent="0.25">
      <c r="A8" s="989"/>
      <c r="B8" s="989"/>
      <c r="C8" s="989"/>
      <c r="D8" s="989"/>
      <c r="E8" s="989"/>
      <c r="F8" s="989"/>
      <c r="G8" s="989"/>
      <c r="H8" s="989"/>
      <c r="I8" s="989"/>
      <c r="J8" s="989"/>
      <c r="K8" s="989"/>
      <c r="L8" s="989"/>
      <c r="M8" s="989"/>
      <c r="N8" s="989"/>
      <c r="O8" s="989"/>
      <c r="P8" s="989"/>
      <c r="Q8" s="989"/>
      <c r="R8" s="989"/>
      <c r="S8" s="989"/>
      <c r="T8" s="989"/>
      <c r="U8" s="989"/>
      <c r="V8" s="989"/>
      <c r="W8" s="989"/>
      <c r="X8" s="1028"/>
      <c r="Y8" s="1028"/>
      <c r="Z8" s="1028"/>
      <c r="AA8" s="1028"/>
    </row>
    <row r="9" spans="1:27" s="1025" customFormat="1" ht="18" x14ac:dyDescent="0.25">
      <c r="A9" s="1667" t="s">
        <v>590</v>
      </c>
      <c r="B9" s="1667"/>
      <c r="C9" s="1667"/>
      <c r="D9" s="1667"/>
      <c r="E9" s="1667"/>
      <c r="F9" s="1667"/>
      <c r="G9" s="1667"/>
      <c r="H9" s="1667"/>
      <c r="I9" s="1667"/>
      <c r="J9" s="1667"/>
      <c r="K9" s="1667"/>
      <c r="L9" s="1667"/>
      <c r="M9" s="1667"/>
      <c r="N9" s="1667"/>
      <c r="O9" s="1667"/>
      <c r="P9" s="1667"/>
      <c r="Q9" s="1667"/>
      <c r="R9" s="1667"/>
      <c r="S9" s="1667"/>
      <c r="T9" s="1667"/>
      <c r="U9" s="1667"/>
      <c r="V9" s="1029"/>
      <c r="W9" s="1029"/>
      <c r="X9" s="1029"/>
      <c r="Y9" s="1028"/>
      <c r="Z9" s="1028"/>
      <c r="AA9" s="1028"/>
    </row>
    <row r="10" spans="1:27" s="1025" customFormat="1" ht="39.75" customHeight="1" x14ac:dyDescent="0.25">
      <c r="A10" s="1817" t="s">
        <v>591</v>
      </c>
      <c r="B10" s="1817"/>
      <c r="C10" s="1817"/>
      <c r="D10" s="1817"/>
      <c r="E10" s="1817"/>
      <c r="F10" s="1817"/>
      <c r="G10" s="1817"/>
      <c r="H10" s="1817"/>
      <c r="I10" s="1817"/>
      <c r="J10" s="1817"/>
      <c r="K10" s="1817"/>
      <c r="L10" s="1817"/>
      <c r="M10" s="1817"/>
      <c r="N10" s="1817"/>
      <c r="O10" s="1817"/>
      <c r="P10" s="1817"/>
      <c r="Q10" s="1817"/>
      <c r="R10" s="1817"/>
      <c r="S10" s="1817"/>
      <c r="T10" s="1817"/>
      <c r="U10" s="1817"/>
      <c r="V10" s="1029"/>
      <c r="W10" s="1029"/>
      <c r="X10" s="1029"/>
      <c r="Y10" s="1028"/>
      <c r="Z10" s="1028"/>
      <c r="AA10" s="1028"/>
    </row>
    <row r="11" spans="1:27" s="1025" customFormat="1" ht="18" x14ac:dyDescent="0.25">
      <c r="A11" s="1029"/>
      <c r="B11" s="1029"/>
      <c r="C11" s="1029"/>
      <c r="D11" s="1029"/>
      <c r="E11" s="1029"/>
      <c r="F11" s="1029"/>
      <c r="G11" s="1029"/>
      <c r="H11" s="1029"/>
      <c r="I11" s="1029"/>
      <c r="J11" s="1029"/>
      <c r="K11" s="1029"/>
      <c r="L11" s="1029"/>
      <c r="M11" s="1029"/>
      <c r="N11" s="1029"/>
      <c r="O11" s="1029"/>
      <c r="P11" s="1029"/>
      <c r="Q11" s="1029"/>
      <c r="R11" s="1029"/>
      <c r="S11" s="1029"/>
      <c r="T11" s="1029"/>
      <c r="U11" s="1029"/>
      <c r="V11" s="1029"/>
      <c r="W11" s="1029"/>
      <c r="X11" s="1029"/>
      <c r="Y11" s="1028"/>
      <c r="Z11" s="1028"/>
      <c r="AA11" s="1028"/>
    </row>
    <row r="12" spans="1:27" x14ac:dyDescent="0.25">
      <c r="A12" s="1818" t="s">
        <v>592</v>
      </c>
      <c r="B12" s="1818"/>
      <c r="C12" s="1818"/>
      <c r="D12" s="1818"/>
      <c r="E12" s="1818"/>
      <c r="F12" s="1818"/>
      <c r="G12" s="1818"/>
      <c r="H12" s="1818"/>
      <c r="I12" s="1818"/>
      <c r="J12" s="1818"/>
      <c r="K12" s="1818"/>
      <c r="L12" s="1818"/>
      <c r="M12" s="1818"/>
      <c r="N12" s="1818"/>
      <c r="O12" s="1818"/>
      <c r="P12" s="1818"/>
      <c r="Q12" s="1818"/>
      <c r="R12" s="1818"/>
      <c r="S12" s="1818"/>
      <c r="T12" s="1818"/>
      <c r="U12" s="1818"/>
    </row>
    <row r="13" spans="1:27" x14ac:dyDescent="0.25">
      <c r="A13" s="1818" t="s">
        <v>593</v>
      </c>
      <c r="B13" s="1818"/>
      <c r="C13" s="1818"/>
      <c r="D13" s="1818"/>
      <c r="E13" s="1818"/>
      <c r="F13" s="1818"/>
      <c r="G13" s="1818"/>
      <c r="H13" s="1818"/>
      <c r="I13" s="1818"/>
      <c r="J13" s="1818"/>
      <c r="K13" s="1818"/>
      <c r="L13" s="1818"/>
      <c r="M13" s="1818"/>
      <c r="N13" s="1818"/>
      <c r="O13" s="1818"/>
      <c r="P13" s="1818"/>
      <c r="Q13" s="1818"/>
      <c r="R13" s="1818"/>
      <c r="S13" s="1818"/>
      <c r="T13" s="1818"/>
      <c r="U13" s="1818"/>
    </row>
    <row r="14" spans="1:27" x14ac:dyDescent="0.25">
      <c r="A14" s="1067" t="s">
        <v>987</v>
      </c>
    </row>
    <row r="15" spans="1:27" x14ac:dyDescent="0.25">
      <c r="A15" s="1818" t="s">
        <v>989</v>
      </c>
      <c r="B15" s="1818"/>
      <c r="C15" s="1818"/>
      <c r="D15" s="1818"/>
      <c r="E15" s="1818"/>
      <c r="F15" s="1818"/>
      <c r="G15" s="1818"/>
      <c r="H15" s="1818"/>
      <c r="I15" s="1818"/>
      <c r="J15" s="1818"/>
      <c r="K15" s="1818"/>
      <c r="L15" s="1818"/>
      <c r="M15" s="1818"/>
      <c r="N15" s="1818"/>
      <c r="O15" s="1818"/>
      <c r="P15" s="1818"/>
      <c r="Q15" s="1818"/>
      <c r="R15" s="1818"/>
      <c r="S15" s="1818"/>
      <c r="T15" s="1818"/>
      <c r="U15" s="1818"/>
    </row>
    <row r="16" spans="1:27" ht="15.75" thickBot="1" x14ac:dyDescent="0.3"/>
    <row r="17" spans="1:33" s="1070" customFormat="1" ht="15.75" thickBot="1" x14ac:dyDescent="0.3">
      <c r="A17" s="1068"/>
      <c r="B17" s="1068"/>
      <c r="C17" s="1809">
        <f>F17-1</f>
        <v>2014</v>
      </c>
      <c r="D17" s="1816"/>
      <c r="E17" s="1810"/>
      <c r="F17" s="1813">
        <f>I17-1</f>
        <v>2015</v>
      </c>
      <c r="G17" s="1814"/>
      <c r="H17" s="1815"/>
      <c r="I17" s="1813">
        <f>L17-1</f>
        <v>2016</v>
      </c>
      <c r="J17" s="1814"/>
      <c r="K17" s="1815"/>
      <c r="L17" s="1813">
        <f>O17-1</f>
        <v>2017</v>
      </c>
      <c r="M17" s="1814"/>
      <c r="N17" s="1815"/>
      <c r="O17" s="1813">
        <f>BridgeYear</f>
        <v>2018</v>
      </c>
      <c r="P17" s="1814"/>
      <c r="Q17" s="1815"/>
      <c r="R17" s="1813" t="str">
        <f>CONCATENATE(TestYear," Test Year")</f>
        <v>2019 Test Year</v>
      </c>
      <c r="S17" s="1814"/>
      <c r="T17" s="1815"/>
      <c r="U17" s="1813">
        <f>TestYear+1</f>
        <v>2020</v>
      </c>
      <c r="V17" s="1814"/>
      <c r="W17" s="1815"/>
      <c r="X17" s="1813">
        <f>U17+1</f>
        <v>2021</v>
      </c>
      <c r="Y17" s="1814">
        <v>2016</v>
      </c>
      <c r="Z17" s="1815"/>
      <c r="AA17" s="1813">
        <f>X17+1</f>
        <v>2022</v>
      </c>
      <c r="AB17" s="1814"/>
      <c r="AC17" s="1815"/>
      <c r="AD17" s="1813">
        <f>AA17+1</f>
        <v>2023</v>
      </c>
      <c r="AE17" s="1814"/>
      <c r="AF17" s="1815"/>
      <c r="AG17" s="1069"/>
    </row>
    <row r="18" spans="1:33" x14ac:dyDescent="0.25">
      <c r="A18" s="951"/>
      <c r="B18" s="951"/>
      <c r="C18" s="951"/>
      <c r="D18" s="967" t="s">
        <v>594</v>
      </c>
      <c r="E18" s="1039" t="s">
        <v>595</v>
      </c>
      <c r="F18" s="951"/>
      <c r="G18" s="967" t="s">
        <v>594</v>
      </c>
      <c r="H18" s="1039" t="s">
        <v>595</v>
      </c>
      <c r="I18" s="951"/>
      <c r="J18" s="967" t="s">
        <v>594</v>
      </c>
      <c r="K18" s="1039" t="s">
        <v>595</v>
      </c>
      <c r="L18" s="951"/>
      <c r="M18" s="967" t="s">
        <v>594</v>
      </c>
      <c r="N18" s="1039" t="s">
        <v>595</v>
      </c>
      <c r="O18" s="951"/>
      <c r="P18" s="967" t="s">
        <v>594</v>
      </c>
      <c r="Q18" s="1039" t="s">
        <v>595</v>
      </c>
      <c r="R18" s="951"/>
      <c r="S18" s="967" t="s">
        <v>594</v>
      </c>
      <c r="T18" s="1039" t="s">
        <v>595</v>
      </c>
      <c r="U18" s="951"/>
      <c r="V18" s="967" t="s">
        <v>594</v>
      </c>
      <c r="W18" s="1039" t="s">
        <v>595</v>
      </c>
      <c r="X18" s="951"/>
      <c r="Y18" s="967" t="s">
        <v>594</v>
      </c>
      <c r="Z18" s="1039" t="s">
        <v>595</v>
      </c>
      <c r="AA18" s="951"/>
      <c r="AB18" s="967" t="s">
        <v>594</v>
      </c>
      <c r="AC18" s="1039" t="s">
        <v>595</v>
      </c>
      <c r="AD18" s="951"/>
      <c r="AE18" s="967" t="s">
        <v>594</v>
      </c>
      <c r="AF18" s="1039" t="s">
        <v>595</v>
      </c>
      <c r="AG18" s="951"/>
    </row>
    <row r="19" spans="1:33" x14ac:dyDescent="0.25">
      <c r="A19" s="1071"/>
      <c r="B19" s="1072"/>
      <c r="C19" s="1072" t="s">
        <v>272</v>
      </c>
      <c r="D19" s="1073">
        <v>0.06</v>
      </c>
      <c r="E19" s="1073">
        <v>0.94</v>
      </c>
      <c r="F19" s="1072" t="s">
        <v>272</v>
      </c>
      <c r="G19" s="1073">
        <v>0.06</v>
      </c>
      <c r="H19" s="1073">
        <v>0.94</v>
      </c>
      <c r="I19" s="1072" t="s">
        <v>272</v>
      </c>
      <c r="J19" s="1073">
        <v>0.06</v>
      </c>
      <c r="K19" s="1073">
        <v>0.94</v>
      </c>
      <c r="L19" s="1072" t="s">
        <v>272</v>
      </c>
      <c r="M19" s="1073">
        <v>0.06</v>
      </c>
      <c r="N19" s="1073">
        <v>0.94</v>
      </c>
      <c r="O19" s="1072" t="s">
        <v>272</v>
      </c>
      <c r="P19" s="1073">
        <v>0.06</v>
      </c>
      <c r="Q19" s="1073">
        <v>0.94</v>
      </c>
      <c r="R19" s="1072" t="s">
        <v>272</v>
      </c>
      <c r="S19" s="1073">
        <v>0.06</v>
      </c>
      <c r="T19" s="1073">
        <v>0.94</v>
      </c>
      <c r="U19" s="1072" t="s">
        <v>272</v>
      </c>
      <c r="V19" s="1073">
        <v>0.06</v>
      </c>
      <c r="W19" s="1073">
        <v>0.94</v>
      </c>
      <c r="X19" s="1072" t="s">
        <v>272</v>
      </c>
      <c r="Y19" s="1073">
        <v>0.06</v>
      </c>
      <c r="Z19" s="1073">
        <v>0.94</v>
      </c>
      <c r="AA19" s="1072" t="s">
        <v>272</v>
      </c>
      <c r="AB19" s="1073">
        <v>0.06</v>
      </c>
      <c r="AC19" s="1073">
        <v>0.94</v>
      </c>
      <c r="AD19" s="1072" t="s">
        <v>272</v>
      </c>
      <c r="AE19" s="1073">
        <v>0.06</v>
      </c>
      <c r="AF19" s="1073">
        <v>0.94</v>
      </c>
      <c r="AG19" s="951"/>
    </row>
    <row r="20" spans="1:33" x14ac:dyDescent="0.25">
      <c r="A20" s="967" t="s">
        <v>596</v>
      </c>
      <c r="B20" s="1074"/>
      <c r="C20" s="1075">
        <f>F82</f>
        <v>0</v>
      </c>
      <c r="D20" s="1042">
        <f>C20*D19</f>
        <v>0</v>
      </c>
      <c r="E20" s="1076">
        <f>C20*E19</f>
        <v>0</v>
      </c>
      <c r="F20" s="1075">
        <f>G82</f>
        <v>0</v>
      </c>
      <c r="G20" s="1042">
        <f>F20*G19</f>
        <v>0</v>
      </c>
      <c r="H20" s="1076">
        <f>F20*H19</f>
        <v>0</v>
      </c>
      <c r="I20" s="1075">
        <f>H82</f>
        <v>0</v>
      </c>
      <c r="J20" s="1042">
        <f>I20*J19</f>
        <v>0</v>
      </c>
      <c r="K20" s="1076">
        <f>I20*K19</f>
        <v>0</v>
      </c>
      <c r="L20" s="1075">
        <f>I82</f>
        <v>0</v>
      </c>
      <c r="M20" s="1042">
        <f>L20*M19</f>
        <v>0</v>
      </c>
      <c r="N20" s="1076">
        <f>L20*N19</f>
        <v>0</v>
      </c>
      <c r="O20" s="1075">
        <f>J82</f>
        <v>0</v>
      </c>
      <c r="P20" s="1042">
        <f>O20*P19</f>
        <v>0</v>
      </c>
      <c r="Q20" s="1076">
        <f>O20*Q19</f>
        <v>0</v>
      </c>
      <c r="R20" s="1075">
        <f>K82</f>
        <v>0</v>
      </c>
      <c r="S20" s="1042">
        <f>R20*S19</f>
        <v>0</v>
      </c>
      <c r="T20" s="1076">
        <f>R20*T19</f>
        <v>0</v>
      </c>
      <c r="U20" s="1075">
        <f>L82</f>
        <v>0</v>
      </c>
      <c r="V20" s="1042">
        <f>U20*V19</f>
        <v>0</v>
      </c>
      <c r="W20" s="1076">
        <f>U20*W19</f>
        <v>0</v>
      </c>
      <c r="X20" s="1077">
        <f>M82</f>
        <v>0</v>
      </c>
      <c r="Y20" s="1042">
        <f>X20*Y19</f>
        <v>0</v>
      </c>
      <c r="Z20" s="1076">
        <f>X20*Z19</f>
        <v>0</v>
      </c>
      <c r="AA20" s="1077">
        <f>N82</f>
        <v>0</v>
      </c>
      <c r="AB20" s="1042">
        <f>AA20*AB19</f>
        <v>0</v>
      </c>
      <c r="AC20" s="1076">
        <f>AA20*AC19</f>
        <v>0</v>
      </c>
      <c r="AD20" s="1077">
        <f>O82</f>
        <v>0</v>
      </c>
      <c r="AE20" s="1042">
        <f>AD20*AE19</f>
        <v>0</v>
      </c>
      <c r="AF20" s="1076">
        <f>AD20*AF19</f>
        <v>0</v>
      </c>
      <c r="AG20" s="951"/>
    </row>
    <row r="21" spans="1:33" x14ac:dyDescent="0.25">
      <c r="A21" s="951" t="s">
        <v>642</v>
      </c>
      <c r="B21" s="1078"/>
      <c r="C21" s="1079">
        <f>'App.2-FA Proposed REG Invest.'!C64</f>
        <v>0</v>
      </c>
      <c r="D21" s="1080">
        <f>C21</f>
        <v>0</v>
      </c>
      <c r="E21" s="1081"/>
      <c r="F21" s="1079">
        <f>'App.2-FA Proposed REG Invest.'!D64</f>
        <v>0</v>
      </c>
      <c r="G21" s="1080">
        <f>F21</f>
        <v>0</v>
      </c>
      <c r="H21" s="1081"/>
      <c r="I21" s="1079">
        <f>'App.2-FA Proposed REG Invest.'!E64</f>
        <v>0</v>
      </c>
      <c r="J21" s="1080">
        <f>I21</f>
        <v>0</v>
      </c>
      <c r="K21" s="1081"/>
      <c r="L21" s="1079">
        <f>'App.2-FA Proposed REG Invest.'!F64</f>
        <v>0</v>
      </c>
      <c r="M21" s="1080">
        <f>L21</f>
        <v>0</v>
      </c>
      <c r="N21" s="1081"/>
      <c r="O21" s="1079">
        <f>'App.2-FA Proposed REG Invest.'!G64</f>
        <v>0</v>
      </c>
      <c r="P21" s="1080">
        <f>O21</f>
        <v>0</v>
      </c>
      <c r="Q21" s="1081"/>
      <c r="R21" s="1079">
        <f>'App.2-FA Proposed REG Invest.'!H64</f>
        <v>0</v>
      </c>
      <c r="S21" s="1080">
        <f>R21</f>
        <v>0</v>
      </c>
      <c r="T21" s="1081"/>
      <c r="U21" s="1079">
        <f>'App.2-FA Proposed REG Invest.'!I64</f>
        <v>0</v>
      </c>
      <c r="V21" s="1080">
        <f>U21</f>
        <v>0</v>
      </c>
      <c r="W21" s="1081"/>
      <c r="X21" s="1079">
        <f>'App.2-FA Proposed REG Invest.'!J64</f>
        <v>0</v>
      </c>
      <c r="Y21" s="1080">
        <f>X21</f>
        <v>0</v>
      </c>
      <c r="Z21" s="1081"/>
      <c r="AA21" s="1079">
        <f>'App.2-FA Proposed REG Invest.'!K64</f>
        <v>0</v>
      </c>
      <c r="AB21" s="1080">
        <f>AA21</f>
        <v>0</v>
      </c>
      <c r="AC21" s="1081"/>
      <c r="AD21" s="1079">
        <f>'App.2-FA Proposed REG Invest.'!L64</f>
        <v>0</v>
      </c>
      <c r="AE21" s="1080">
        <f>AD21</f>
        <v>0</v>
      </c>
      <c r="AF21" s="1081"/>
      <c r="AG21" s="951"/>
    </row>
    <row r="22" spans="1:33" x14ac:dyDescent="0.25">
      <c r="A22" s="951" t="s">
        <v>597</v>
      </c>
      <c r="B22" s="1078"/>
      <c r="C22" s="1079">
        <f>'App.2-FA Proposed REG Invest.'!C63</f>
        <v>0</v>
      </c>
      <c r="D22" s="1080">
        <f>C22*D19</f>
        <v>0</v>
      </c>
      <c r="E22" s="1080">
        <f>C22*E19</f>
        <v>0</v>
      </c>
      <c r="F22" s="1079">
        <f>'App.2-FA Proposed REG Invest.'!D63</f>
        <v>0</v>
      </c>
      <c r="G22" s="1080">
        <f>F22*G19</f>
        <v>0</v>
      </c>
      <c r="H22" s="1080">
        <f>F22*H19</f>
        <v>0</v>
      </c>
      <c r="I22" s="1079">
        <f>'App.2-FA Proposed REG Invest.'!E63</f>
        <v>0</v>
      </c>
      <c r="J22" s="1080">
        <f>I22*J19</f>
        <v>0</v>
      </c>
      <c r="K22" s="1080">
        <f>I22*K19</f>
        <v>0</v>
      </c>
      <c r="L22" s="1079">
        <f>'App.2-FA Proposed REG Invest.'!F63</f>
        <v>0</v>
      </c>
      <c r="M22" s="1080">
        <f>L22*M19</f>
        <v>0</v>
      </c>
      <c r="N22" s="1080">
        <f>L22*N19</f>
        <v>0</v>
      </c>
      <c r="O22" s="1079">
        <f>'App.2-FA Proposed REG Invest.'!G63</f>
        <v>0</v>
      </c>
      <c r="P22" s="1080">
        <f>O22*P19</f>
        <v>0</v>
      </c>
      <c r="Q22" s="1080">
        <f>O22*Q19</f>
        <v>0</v>
      </c>
      <c r="R22" s="1079">
        <f>'App.2-FA Proposed REG Invest.'!H63</f>
        <v>0</v>
      </c>
      <c r="S22" s="1080">
        <f>R22*S19</f>
        <v>0</v>
      </c>
      <c r="T22" s="1080">
        <f>R22*T19</f>
        <v>0</v>
      </c>
      <c r="U22" s="1079">
        <f>'App.2-FA Proposed REG Invest.'!I63</f>
        <v>0</v>
      </c>
      <c r="V22" s="1080">
        <f>U22*V19</f>
        <v>0</v>
      </c>
      <c r="W22" s="1080">
        <f>U22*W19</f>
        <v>0</v>
      </c>
      <c r="X22" s="1079">
        <f>'App.2-FA Proposed REG Invest.'!J63</f>
        <v>0</v>
      </c>
      <c r="Y22" s="1080">
        <f>X22*Y19</f>
        <v>0</v>
      </c>
      <c r="Z22" s="1080">
        <f>X22*Z19</f>
        <v>0</v>
      </c>
      <c r="AA22" s="1079">
        <f>'App.2-FA Proposed REG Invest.'!K63</f>
        <v>0</v>
      </c>
      <c r="AB22" s="1080">
        <f>AA22*AB19</f>
        <v>0</v>
      </c>
      <c r="AC22" s="1080">
        <f>AA22*AC19</f>
        <v>0</v>
      </c>
      <c r="AD22" s="1079">
        <f>'App.2-FA Proposed REG Invest.'!L63</f>
        <v>0</v>
      </c>
      <c r="AE22" s="1080">
        <f>AD22*AE19</f>
        <v>0</v>
      </c>
      <c r="AF22" s="1080">
        <f>AD22*AF19</f>
        <v>0</v>
      </c>
      <c r="AG22" s="951"/>
    </row>
    <row r="23" spans="1:33" x14ac:dyDescent="0.25">
      <c r="A23" s="951" t="s">
        <v>598</v>
      </c>
      <c r="B23" s="195"/>
      <c r="C23" s="1082"/>
      <c r="D23" s="1083">
        <f>(D21+D22)*$B$23</f>
        <v>0</v>
      </c>
      <c r="E23" s="1084">
        <f>E22*$B$23</f>
        <v>0</v>
      </c>
      <c r="F23" s="1082"/>
      <c r="G23" s="1083">
        <f>(G21+G22)*$B$23</f>
        <v>0</v>
      </c>
      <c r="H23" s="1084">
        <f>H22*$B$23</f>
        <v>0</v>
      </c>
      <c r="I23" s="1082"/>
      <c r="J23" s="1083">
        <f>(J21+J22)*$B$23</f>
        <v>0</v>
      </c>
      <c r="K23" s="1084">
        <f>K22*$B$23</f>
        <v>0</v>
      </c>
      <c r="L23" s="1082"/>
      <c r="M23" s="1083">
        <f>(M21+M22)*$B$23</f>
        <v>0</v>
      </c>
      <c r="N23" s="1084">
        <f>N22*$B$23</f>
        <v>0</v>
      </c>
      <c r="O23" s="1082"/>
      <c r="P23" s="1083">
        <f>(P21+P22)*$B$23</f>
        <v>0</v>
      </c>
      <c r="Q23" s="1084">
        <f>Q22*$B$23</f>
        <v>0</v>
      </c>
      <c r="R23" s="1082"/>
      <c r="S23" s="1083">
        <f>(S21+S22)*$B$23</f>
        <v>0</v>
      </c>
      <c r="T23" s="1084">
        <f>T22*$B$23</f>
        <v>0</v>
      </c>
      <c r="U23" s="1082"/>
      <c r="V23" s="1083">
        <f>(V21+V22)*$B$23</f>
        <v>0</v>
      </c>
      <c r="W23" s="1084">
        <f>W22*$B$23</f>
        <v>0</v>
      </c>
      <c r="X23" s="1082"/>
      <c r="Y23" s="1083">
        <f>(Y21+Y22)*$B$23</f>
        <v>0</v>
      </c>
      <c r="Z23" s="1084">
        <f>Z22*$B$23</f>
        <v>0</v>
      </c>
      <c r="AA23" s="1082"/>
      <c r="AB23" s="1083">
        <f>(AB21+AB22)*$B$23</f>
        <v>0</v>
      </c>
      <c r="AC23" s="1084">
        <f>AC22*$B$23</f>
        <v>0</v>
      </c>
      <c r="AD23" s="1082"/>
      <c r="AE23" s="1083">
        <f>(AE21+AE22)*$B$23</f>
        <v>0</v>
      </c>
      <c r="AF23" s="1084">
        <f>AF22*$B$23</f>
        <v>0</v>
      </c>
      <c r="AG23" s="951"/>
    </row>
    <row r="24" spans="1:33" x14ac:dyDescent="0.25">
      <c r="A24" s="967" t="s">
        <v>475</v>
      </c>
      <c r="B24" s="974"/>
      <c r="C24" s="951"/>
      <c r="D24" s="1085">
        <f>SUM(D20+D23)</f>
        <v>0</v>
      </c>
      <c r="E24" s="1085">
        <f>SUM(E20+E23)</f>
        <v>0</v>
      </c>
      <c r="F24" s="951"/>
      <c r="G24" s="1085">
        <f>SUM(G20+G23)</f>
        <v>0</v>
      </c>
      <c r="H24" s="1085">
        <f>SUM(H20+H23)</f>
        <v>0</v>
      </c>
      <c r="I24" s="951"/>
      <c r="J24" s="1085">
        <f>SUM(J20+J23)</f>
        <v>0</v>
      </c>
      <c r="K24" s="1085">
        <f>SUM(K20+K23)</f>
        <v>0</v>
      </c>
      <c r="L24" s="951"/>
      <c r="M24" s="1085">
        <f>SUM(M20+M23)</f>
        <v>0</v>
      </c>
      <c r="N24" s="1085">
        <f>SUM(N20+N23)</f>
        <v>0</v>
      </c>
      <c r="O24" s="951"/>
      <c r="P24" s="1085">
        <f>SUM(P20+P23)</f>
        <v>0</v>
      </c>
      <c r="Q24" s="1085">
        <f>SUM(Q20+Q23)</f>
        <v>0</v>
      </c>
      <c r="R24" s="951"/>
      <c r="S24" s="1085">
        <f>SUM(S20+S23)</f>
        <v>0</v>
      </c>
      <c r="T24" s="1085">
        <f>SUM(T20+T23)</f>
        <v>0</v>
      </c>
      <c r="U24" s="951"/>
      <c r="V24" s="1085">
        <f>SUM(V20+V23)</f>
        <v>0</v>
      </c>
      <c r="W24" s="1085">
        <f>SUM(W20+W23)</f>
        <v>0</v>
      </c>
      <c r="X24" s="951"/>
      <c r="Y24" s="1085">
        <f>SUM(Y20+Y23)</f>
        <v>0</v>
      </c>
      <c r="Z24" s="1085">
        <f>SUM(Z20+Z23)</f>
        <v>0</v>
      </c>
      <c r="AA24" s="951"/>
      <c r="AB24" s="1085">
        <f>SUM(AB20+AB23)</f>
        <v>0</v>
      </c>
      <c r="AC24" s="1085">
        <f>SUM(AC20+AC23)</f>
        <v>0</v>
      </c>
      <c r="AD24" s="951"/>
      <c r="AE24" s="1085">
        <f>SUM(AE20+AE23)</f>
        <v>0</v>
      </c>
      <c r="AF24" s="1085">
        <f>SUM(AF20+AF23)</f>
        <v>0</v>
      </c>
      <c r="AG24" s="951"/>
    </row>
    <row r="25" spans="1:33" x14ac:dyDescent="0.25">
      <c r="A25" s="951"/>
      <c r="B25" s="951"/>
      <c r="C25" s="951"/>
      <c r="D25" s="951"/>
      <c r="E25" s="951"/>
      <c r="F25" s="951"/>
      <c r="G25" s="951"/>
      <c r="H25" s="951"/>
      <c r="I25" s="951"/>
      <c r="J25" s="951"/>
      <c r="K25" s="951"/>
      <c r="L25" s="951"/>
      <c r="M25" s="951"/>
      <c r="N25" s="951"/>
      <c r="O25" s="951"/>
      <c r="P25" s="951"/>
      <c r="Q25" s="951"/>
      <c r="R25" s="951"/>
      <c r="S25" s="951"/>
      <c r="T25" s="951"/>
      <c r="U25" s="951"/>
      <c r="V25" s="951"/>
      <c r="W25" s="951"/>
      <c r="X25" s="951"/>
      <c r="Y25" s="951"/>
      <c r="Z25" s="951"/>
      <c r="AA25" s="951"/>
      <c r="AB25" s="951"/>
      <c r="AC25" s="951"/>
      <c r="AD25" s="951"/>
      <c r="AE25" s="951"/>
      <c r="AF25" s="951"/>
      <c r="AG25" s="951"/>
    </row>
    <row r="26" spans="1:33" x14ac:dyDescent="0.25">
      <c r="A26" s="951"/>
      <c r="B26" s="951"/>
      <c r="C26" s="951"/>
      <c r="D26" s="951"/>
      <c r="E26" s="951"/>
      <c r="F26" s="951"/>
      <c r="G26" s="951"/>
      <c r="H26" s="951"/>
      <c r="I26" s="951"/>
      <c r="J26" s="951"/>
      <c r="K26" s="951"/>
      <c r="L26" s="951"/>
      <c r="M26" s="951"/>
      <c r="N26" s="951"/>
      <c r="O26" s="951"/>
      <c r="P26" s="951"/>
      <c r="Q26" s="951"/>
      <c r="R26" s="951"/>
      <c r="S26" s="951"/>
      <c r="T26" s="951"/>
      <c r="U26" s="951"/>
      <c r="V26" s="951"/>
      <c r="W26" s="951"/>
      <c r="X26" s="951"/>
      <c r="Y26" s="951"/>
      <c r="Z26" s="951"/>
      <c r="AA26" s="951"/>
      <c r="AB26" s="951"/>
      <c r="AC26" s="951"/>
      <c r="AD26" s="951"/>
      <c r="AE26" s="951"/>
      <c r="AF26" s="951"/>
      <c r="AG26" s="951"/>
    </row>
    <row r="27" spans="1:33" x14ac:dyDescent="0.25">
      <c r="A27" s="951" t="s">
        <v>599</v>
      </c>
      <c r="B27" s="195"/>
      <c r="C27" s="1074"/>
      <c r="D27" s="1085">
        <f>D24*$B$27</f>
        <v>0</v>
      </c>
      <c r="E27" s="1085">
        <f>E24*$B$27</f>
        <v>0</v>
      </c>
      <c r="F27" s="1074"/>
      <c r="G27" s="1085">
        <f>G24*$B$27</f>
        <v>0</v>
      </c>
      <c r="H27" s="1085">
        <f>H24*$B$27</f>
        <v>0</v>
      </c>
      <c r="I27" s="1074"/>
      <c r="J27" s="1085">
        <f>J24*$B$27</f>
        <v>0</v>
      </c>
      <c r="K27" s="1085">
        <f>K24*$B$27</f>
        <v>0</v>
      </c>
      <c r="L27" s="1074"/>
      <c r="M27" s="1085">
        <f>M24*$B$27</f>
        <v>0</v>
      </c>
      <c r="N27" s="1085">
        <f>N24*$B$27</f>
        <v>0</v>
      </c>
      <c r="O27" s="1074"/>
      <c r="P27" s="1085">
        <f>P24*$B$27</f>
        <v>0</v>
      </c>
      <c r="Q27" s="1085">
        <f>Q24*$B$27</f>
        <v>0</v>
      </c>
      <c r="R27" s="1074"/>
      <c r="S27" s="1085">
        <f>S24*$B$27</f>
        <v>0</v>
      </c>
      <c r="T27" s="1085">
        <f>T24*$B$27</f>
        <v>0</v>
      </c>
      <c r="U27" s="1074"/>
      <c r="V27" s="1085">
        <f>V24*$B$27</f>
        <v>0</v>
      </c>
      <c r="W27" s="1085">
        <f>W24*$B$27</f>
        <v>0</v>
      </c>
      <c r="X27" s="1074"/>
      <c r="Y27" s="1085">
        <f>Y24*$B$27</f>
        <v>0</v>
      </c>
      <c r="Z27" s="1085">
        <f>Z24*$B$27</f>
        <v>0</v>
      </c>
      <c r="AA27" s="1074"/>
      <c r="AB27" s="1085">
        <f>AB24*$B$27</f>
        <v>0</v>
      </c>
      <c r="AC27" s="1085">
        <f>AC24*$B$27</f>
        <v>0</v>
      </c>
      <c r="AD27" s="1074"/>
      <c r="AE27" s="1085">
        <f>AE24*$B$27</f>
        <v>0</v>
      </c>
      <c r="AF27" s="1085">
        <f>AF24*$B$27</f>
        <v>0</v>
      </c>
      <c r="AG27" s="951"/>
    </row>
    <row r="28" spans="1:33" x14ac:dyDescent="0.25">
      <c r="A28" s="951" t="s">
        <v>600</v>
      </c>
      <c r="B28" s="195"/>
      <c r="C28" s="1086"/>
      <c r="D28" s="1085">
        <f>D24*$B$28</f>
        <v>0</v>
      </c>
      <c r="E28" s="1085">
        <f>E24*$B$28</f>
        <v>0</v>
      </c>
      <c r="F28" s="1086"/>
      <c r="G28" s="1085">
        <f>G24*$B$28</f>
        <v>0</v>
      </c>
      <c r="H28" s="1085">
        <f>H24*$B$28</f>
        <v>0</v>
      </c>
      <c r="I28" s="1086"/>
      <c r="J28" s="1085">
        <f>J24*$B$28</f>
        <v>0</v>
      </c>
      <c r="K28" s="1085">
        <f>K24*$B$28</f>
        <v>0</v>
      </c>
      <c r="L28" s="1086"/>
      <c r="M28" s="1085">
        <f>M24*$B$28</f>
        <v>0</v>
      </c>
      <c r="N28" s="1085">
        <f>N24*$B$28</f>
        <v>0</v>
      </c>
      <c r="O28" s="1086"/>
      <c r="P28" s="1085">
        <f>P24*$B$28</f>
        <v>0</v>
      </c>
      <c r="Q28" s="1085">
        <f>Q24*$B$28</f>
        <v>0</v>
      </c>
      <c r="R28" s="1086"/>
      <c r="S28" s="1085">
        <f>S24*$B$28</f>
        <v>0</v>
      </c>
      <c r="T28" s="1085">
        <f>T24*$B$28</f>
        <v>0</v>
      </c>
      <c r="U28" s="1086"/>
      <c r="V28" s="1085">
        <f>V24*$B$28</f>
        <v>0</v>
      </c>
      <c r="W28" s="1085">
        <f>W24*$B$28</f>
        <v>0</v>
      </c>
      <c r="X28" s="1086"/>
      <c r="Y28" s="1085">
        <f>Y24*$B$28</f>
        <v>0</v>
      </c>
      <c r="Z28" s="1085">
        <f>Z24*$B$28</f>
        <v>0</v>
      </c>
      <c r="AA28" s="1086"/>
      <c r="AB28" s="1085">
        <f>AB24*$B$28</f>
        <v>0</v>
      </c>
      <c r="AC28" s="1085">
        <f>AC24*$B$28</f>
        <v>0</v>
      </c>
      <c r="AD28" s="1086"/>
      <c r="AE28" s="1085">
        <f>AE24*$B$28</f>
        <v>0</v>
      </c>
      <c r="AF28" s="1085">
        <f>AF24*$B$28</f>
        <v>0</v>
      </c>
      <c r="AG28" s="951"/>
    </row>
    <row r="29" spans="1:33" x14ac:dyDescent="0.25">
      <c r="A29" s="951" t="s">
        <v>601</v>
      </c>
      <c r="B29" s="195"/>
      <c r="C29" s="1087"/>
      <c r="D29" s="1085">
        <f>D24*$B$29</f>
        <v>0</v>
      </c>
      <c r="E29" s="1085">
        <f>E24*$B$29</f>
        <v>0</v>
      </c>
      <c r="F29" s="1087"/>
      <c r="G29" s="1085">
        <f>G24*$B$29</f>
        <v>0</v>
      </c>
      <c r="H29" s="1085">
        <f>H24*$B$29</f>
        <v>0</v>
      </c>
      <c r="I29" s="1087"/>
      <c r="J29" s="1085">
        <f>J24*$B$29</f>
        <v>0</v>
      </c>
      <c r="K29" s="1085">
        <f>K24*$B$29</f>
        <v>0</v>
      </c>
      <c r="L29" s="1087"/>
      <c r="M29" s="1085">
        <f>M24*$B$29</f>
        <v>0</v>
      </c>
      <c r="N29" s="1085">
        <f>N24*$B$29</f>
        <v>0</v>
      </c>
      <c r="O29" s="1087"/>
      <c r="P29" s="1085">
        <f>P24*$B$29</f>
        <v>0</v>
      </c>
      <c r="Q29" s="1085">
        <f>Q24*$B$29</f>
        <v>0</v>
      </c>
      <c r="R29" s="1087"/>
      <c r="S29" s="1085">
        <f>S24*$B$29</f>
        <v>0</v>
      </c>
      <c r="T29" s="1085">
        <f>T24*$B$29</f>
        <v>0</v>
      </c>
      <c r="U29" s="1087"/>
      <c r="V29" s="1085">
        <f>V24*$B$29</f>
        <v>0</v>
      </c>
      <c r="W29" s="1085">
        <f>W24*$B$29</f>
        <v>0</v>
      </c>
      <c r="X29" s="1087"/>
      <c r="Y29" s="1085">
        <f>Y24*$B$29</f>
        <v>0</v>
      </c>
      <c r="Z29" s="1085">
        <f>Z24*$B$29</f>
        <v>0</v>
      </c>
      <c r="AA29" s="1087"/>
      <c r="AB29" s="1085">
        <f>AB24*$B$29</f>
        <v>0</v>
      </c>
      <c r="AC29" s="1085">
        <f>AC24*$B$29</f>
        <v>0</v>
      </c>
      <c r="AD29" s="1087"/>
      <c r="AE29" s="1085">
        <f>AE24*$B$29</f>
        <v>0</v>
      </c>
      <c r="AF29" s="1085">
        <f>AF24*$B$29</f>
        <v>0</v>
      </c>
      <c r="AG29" s="951"/>
    </row>
    <row r="30" spans="1:33" x14ac:dyDescent="0.25">
      <c r="A30" s="951"/>
      <c r="B30" s="951"/>
      <c r="C30" s="951"/>
      <c r="D30" s="1088"/>
      <c r="E30" s="951"/>
      <c r="F30" s="951"/>
      <c r="G30" s="1088"/>
      <c r="H30" s="951"/>
      <c r="I30" s="951"/>
      <c r="J30" s="1088"/>
      <c r="K30" s="951"/>
      <c r="L30" s="951"/>
      <c r="M30" s="1088"/>
      <c r="N30" s="951"/>
      <c r="O30" s="951"/>
      <c r="P30" s="1088"/>
      <c r="Q30" s="951"/>
      <c r="R30" s="951"/>
      <c r="S30" s="1088"/>
      <c r="T30" s="951"/>
      <c r="U30" s="951"/>
      <c r="V30" s="1088"/>
      <c r="W30" s="951"/>
      <c r="X30" s="951"/>
      <c r="Y30" s="1088"/>
      <c r="Z30" s="951"/>
      <c r="AA30" s="951"/>
      <c r="AB30" s="1088"/>
      <c r="AC30" s="951"/>
      <c r="AD30" s="951"/>
      <c r="AE30" s="1088"/>
      <c r="AF30" s="951"/>
      <c r="AG30" s="951"/>
    </row>
    <row r="31" spans="1:33" x14ac:dyDescent="0.25">
      <c r="A31" s="951" t="s">
        <v>602</v>
      </c>
      <c r="B31" s="195"/>
      <c r="C31" s="1089"/>
      <c r="D31" s="1085">
        <f t="shared" ref="D31:E31" si="0">D27*$B31</f>
        <v>0</v>
      </c>
      <c r="E31" s="1085">
        <f t="shared" si="0"/>
        <v>0</v>
      </c>
      <c r="F31" s="1089"/>
      <c r="G31" s="1085">
        <f t="shared" ref="G31:H33" si="1">G27*$B31</f>
        <v>0</v>
      </c>
      <c r="H31" s="1085">
        <f t="shared" si="1"/>
        <v>0</v>
      </c>
      <c r="I31" s="1089"/>
      <c r="J31" s="1085">
        <f t="shared" ref="J31:K33" si="2">J27*$B31</f>
        <v>0</v>
      </c>
      <c r="K31" s="1085">
        <f t="shared" si="2"/>
        <v>0</v>
      </c>
      <c r="L31" s="1089"/>
      <c r="M31" s="1085">
        <f t="shared" ref="M31:N33" si="3">M27*$B31</f>
        <v>0</v>
      </c>
      <c r="N31" s="1085">
        <f t="shared" si="3"/>
        <v>0</v>
      </c>
      <c r="O31" s="1089"/>
      <c r="P31" s="1085">
        <f t="shared" ref="P31:Q33" si="4">P27*$B31</f>
        <v>0</v>
      </c>
      <c r="Q31" s="1085">
        <f t="shared" si="4"/>
        <v>0</v>
      </c>
      <c r="R31" s="1089"/>
      <c r="S31" s="1085">
        <f t="shared" ref="S31:T33" si="5">S27*$B31</f>
        <v>0</v>
      </c>
      <c r="T31" s="1085">
        <f t="shared" si="5"/>
        <v>0</v>
      </c>
      <c r="U31" s="1089"/>
      <c r="V31" s="1085">
        <f t="shared" ref="V31:W33" si="6">V27*$B31</f>
        <v>0</v>
      </c>
      <c r="W31" s="1085">
        <f t="shared" si="6"/>
        <v>0</v>
      </c>
      <c r="X31" s="1089"/>
      <c r="Y31" s="1085">
        <f t="shared" ref="Y31:Z33" si="7">Y27*$B31</f>
        <v>0</v>
      </c>
      <c r="Z31" s="1085">
        <f t="shared" si="7"/>
        <v>0</v>
      </c>
      <c r="AA31" s="1089"/>
      <c r="AB31" s="1085">
        <f t="shared" ref="AB31:AC33" si="8">AB27*$B31</f>
        <v>0</v>
      </c>
      <c r="AC31" s="1085">
        <f t="shared" si="8"/>
        <v>0</v>
      </c>
      <c r="AD31" s="1089"/>
      <c r="AE31" s="1085">
        <f t="shared" ref="AE31:AF33" si="9">AE27*$B31</f>
        <v>0</v>
      </c>
      <c r="AF31" s="1085">
        <f t="shared" si="9"/>
        <v>0</v>
      </c>
      <c r="AG31" s="951"/>
    </row>
    <row r="32" spans="1:33" x14ac:dyDescent="0.25">
      <c r="A32" s="951" t="s">
        <v>603</v>
      </c>
      <c r="B32" s="195"/>
      <c r="C32" s="1089"/>
      <c r="D32" s="1085">
        <f t="shared" ref="D32:E32" si="10">D28*$B32</f>
        <v>0</v>
      </c>
      <c r="E32" s="1085">
        <f t="shared" si="10"/>
        <v>0</v>
      </c>
      <c r="F32" s="1089"/>
      <c r="G32" s="1085">
        <f t="shared" si="1"/>
        <v>0</v>
      </c>
      <c r="H32" s="1085">
        <f t="shared" si="1"/>
        <v>0</v>
      </c>
      <c r="I32" s="1089"/>
      <c r="J32" s="1085">
        <f t="shared" si="2"/>
        <v>0</v>
      </c>
      <c r="K32" s="1085">
        <f t="shared" si="2"/>
        <v>0</v>
      </c>
      <c r="L32" s="1089"/>
      <c r="M32" s="1085">
        <f t="shared" si="3"/>
        <v>0</v>
      </c>
      <c r="N32" s="1085">
        <f t="shared" si="3"/>
        <v>0</v>
      </c>
      <c r="O32" s="1089"/>
      <c r="P32" s="1085">
        <f t="shared" si="4"/>
        <v>0</v>
      </c>
      <c r="Q32" s="1085">
        <f t="shared" si="4"/>
        <v>0</v>
      </c>
      <c r="R32" s="1089"/>
      <c r="S32" s="1085">
        <f t="shared" si="5"/>
        <v>0</v>
      </c>
      <c r="T32" s="1085">
        <f t="shared" si="5"/>
        <v>0</v>
      </c>
      <c r="U32" s="1089"/>
      <c r="V32" s="1085">
        <f t="shared" si="6"/>
        <v>0</v>
      </c>
      <c r="W32" s="1085">
        <f t="shared" si="6"/>
        <v>0</v>
      </c>
      <c r="X32" s="1089"/>
      <c r="Y32" s="1085">
        <f t="shared" si="7"/>
        <v>0</v>
      </c>
      <c r="Z32" s="1085">
        <f t="shared" si="7"/>
        <v>0</v>
      </c>
      <c r="AA32" s="1089"/>
      <c r="AB32" s="1085">
        <f t="shared" si="8"/>
        <v>0</v>
      </c>
      <c r="AC32" s="1085">
        <f t="shared" si="8"/>
        <v>0</v>
      </c>
      <c r="AD32" s="1089"/>
      <c r="AE32" s="1085">
        <f t="shared" si="9"/>
        <v>0</v>
      </c>
      <c r="AF32" s="1085">
        <f t="shared" si="9"/>
        <v>0</v>
      </c>
      <c r="AG32" s="951"/>
    </row>
    <row r="33" spans="1:33" x14ac:dyDescent="0.25">
      <c r="A33" s="951" t="s">
        <v>604</v>
      </c>
      <c r="B33" s="195"/>
      <c r="C33" s="1089"/>
      <c r="D33" s="1085">
        <f t="shared" ref="D33:E33" si="11">D29*$B33</f>
        <v>0</v>
      </c>
      <c r="E33" s="1085">
        <f t="shared" si="11"/>
        <v>0</v>
      </c>
      <c r="F33" s="1089"/>
      <c r="G33" s="1085">
        <f t="shared" si="1"/>
        <v>0</v>
      </c>
      <c r="H33" s="1085">
        <f t="shared" si="1"/>
        <v>0</v>
      </c>
      <c r="I33" s="1089"/>
      <c r="J33" s="1085">
        <f t="shared" si="2"/>
        <v>0</v>
      </c>
      <c r="K33" s="1085">
        <f t="shared" si="2"/>
        <v>0</v>
      </c>
      <c r="L33" s="1089"/>
      <c r="M33" s="1085">
        <f t="shared" si="3"/>
        <v>0</v>
      </c>
      <c r="N33" s="1085">
        <f t="shared" si="3"/>
        <v>0</v>
      </c>
      <c r="O33" s="1089"/>
      <c r="P33" s="1085">
        <f t="shared" si="4"/>
        <v>0</v>
      </c>
      <c r="Q33" s="1085">
        <f t="shared" si="4"/>
        <v>0</v>
      </c>
      <c r="R33" s="1089"/>
      <c r="S33" s="1085">
        <f t="shared" si="5"/>
        <v>0</v>
      </c>
      <c r="T33" s="1085">
        <f t="shared" si="5"/>
        <v>0</v>
      </c>
      <c r="U33" s="1089"/>
      <c r="V33" s="1085">
        <f t="shared" si="6"/>
        <v>0</v>
      </c>
      <c r="W33" s="1085">
        <f t="shared" si="6"/>
        <v>0</v>
      </c>
      <c r="X33" s="1089"/>
      <c r="Y33" s="1085">
        <f t="shared" si="7"/>
        <v>0</v>
      </c>
      <c r="Z33" s="1085">
        <f t="shared" si="7"/>
        <v>0</v>
      </c>
      <c r="AA33" s="1089"/>
      <c r="AB33" s="1085">
        <f t="shared" si="8"/>
        <v>0</v>
      </c>
      <c r="AC33" s="1085">
        <f t="shared" si="8"/>
        <v>0</v>
      </c>
      <c r="AD33" s="1089"/>
      <c r="AE33" s="1085">
        <f t="shared" si="9"/>
        <v>0</v>
      </c>
      <c r="AF33" s="1085">
        <f t="shared" si="9"/>
        <v>0</v>
      </c>
      <c r="AG33" s="951"/>
    </row>
    <row r="34" spans="1:33" x14ac:dyDescent="0.25">
      <c r="A34" s="1090" t="s">
        <v>605</v>
      </c>
      <c r="B34" s="951"/>
      <c r="C34" s="951"/>
      <c r="D34" s="1091">
        <f>SUM(D31:D33)</f>
        <v>0</v>
      </c>
      <c r="E34" s="1091">
        <f>SUM(E31:E33)</f>
        <v>0</v>
      </c>
      <c r="F34" s="951"/>
      <c r="G34" s="1091">
        <f>SUM(G31:G33)</f>
        <v>0</v>
      </c>
      <c r="H34" s="1091">
        <f>SUM(H31:H33)</f>
        <v>0</v>
      </c>
      <c r="I34" s="951"/>
      <c r="J34" s="1091">
        <f>SUM(J31:J33)</f>
        <v>0</v>
      </c>
      <c r="K34" s="1091">
        <f>SUM(K31:K33)</f>
        <v>0</v>
      </c>
      <c r="L34" s="951"/>
      <c r="M34" s="1091">
        <f>SUM(M31:M33)</f>
        <v>0</v>
      </c>
      <c r="N34" s="1091">
        <f>SUM(N31:N33)</f>
        <v>0</v>
      </c>
      <c r="O34" s="951"/>
      <c r="P34" s="1091">
        <f>SUM(P31:P33)</f>
        <v>0</v>
      </c>
      <c r="Q34" s="1091">
        <f>SUM(Q31:Q33)</f>
        <v>0</v>
      </c>
      <c r="R34" s="951"/>
      <c r="S34" s="1091">
        <f>SUM(S31:S33)</f>
        <v>0</v>
      </c>
      <c r="T34" s="1091">
        <f>SUM(T31:T33)</f>
        <v>0</v>
      </c>
      <c r="U34" s="951"/>
      <c r="V34" s="1091">
        <f>SUM(V31:V33)</f>
        <v>0</v>
      </c>
      <c r="W34" s="1091">
        <f>SUM(W31:W33)</f>
        <v>0</v>
      </c>
      <c r="X34" s="951"/>
      <c r="Y34" s="1091">
        <f>SUM(Y31:Y33)</f>
        <v>0</v>
      </c>
      <c r="Z34" s="1091">
        <f>SUM(Z31:Z33)</f>
        <v>0</v>
      </c>
      <c r="AA34" s="951"/>
      <c r="AB34" s="1091">
        <f>SUM(AB31:AB33)</f>
        <v>0</v>
      </c>
      <c r="AC34" s="1091">
        <f>SUM(AC31:AC33)</f>
        <v>0</v>
      </c>
      <c r="AD34" s="951"/>
      <c r="AE34" s="1091">
        <f>SUM(AE31:AE33)</f>
        <v>0</v>
      </c>
      <c r="AF34" s="1091">
        <f>SUM(AF31:AF33)</f>
        <v>0</v>
      </c>
      <c r="AG34" s="951"/>
    </row>
    <row r="35" spans="1:33" x14ac:dyDescent="0.25">
      <c r="A35" s="951"/>
      <c r="B35" s="951"/>
      <c r="C35" s="951"/>
      <c r="D35" s="951"/>
      <c r="E35" s="951"/>
      <c r="F35" s="951"/>
      <c r="G35" s="951"/>
      <c r="H35" s="951"/>
      <c r="I35" s="951"/>
      <c r="J35" s="951"/>
      <c r="K35" s="951"/>
      <c r="L35" s="951"/>
      <c r="M35" s="951"/>
      <c r="N35" s="951"/>
      <c r="O35" s="951"/>
      <c r="P35" s="951"/>
      <c r="Q35" s="951"/>
      <c r="R35" s="951"/>
      <c r="S35" s="951"/>
      <c r="T35" s="951"/>
      <c r="U35" s="951"/>
      <c r="V35" s="951"/>
      <c r="W35" s="951"/>
      <c r="X35" s="951"/>
      <c r="Y35" s="951"/>
      <c r="Z35" s="951"/>
      <c r="AA35" s="951"/>
      <c r="AB35" s="951"/>
      <c r="AC35" s="951"/>
      <c r="AD35" s="951"/>
      <c r="AE35" s="951"/>
      <c r="AF35" s="951"/>
      <c r="AG35" s="951"/>
    </row>
    <row r="36" spans="1:33" x14ac:dyDescent="0.25">
      <c r="A36" s="951" t="s">
        <v>107</v>
      </c>
      <c r="B36" s="951"/>
      <c r="C36" s="951"/>
      <c r="D36" s="1092">
        <f>D21+D22</f>
        <v>0</v>
      </c>
      <c r="E36" s="1085">
        <f>E22</f>
        <v>0</v>
      </c>
      <c r="F36" s="951"/>
      <c r="G36" s="1092">
        <f>G21+G22</f>
        <v>0</v>
      </c>
      <c r="H36" s="1085">
        <f>H22</f>
        <v>0</v>
      </c>
      <c r="I36" s="951"/>
      <c r="J36" s="1092">
        <f>J21+J22</f>
        <v>0</v>
      </c>
      <c r="K36" s="1085">
        <f>K22</f>
        <v>0</v>
      </c>
      <c r="L36" s="951"/>
      <c r="M36" s="1092">
        <f>M21+M22</f>
        <v>0</v>
      </c>
      <c r="N36" s="1085">
        <f>N22</f>
        <v>0</v>
      </c>
      <c r="O36" s="951"/>
      <c r="P36" s="1092">
        <f>P21+P22</f>
        <v>0</v>
      </c>
      <c r="Q36" s="1085">
        <f>Q22</f>
        <v>0</v>
      </c>
      <c r="R36" s="951"/>
      <c r="S36" s="1092">
        <f>S21+S22</f>
        <v>0</v>
      </c>
      <c r="T36" s="1085">
        <f>T22</f>
        <v>0</v>
      </c>
      <c r="U36" s="951"/>
      <c r="V36" s="1092">
        <f>V21+V22</f>
        <v>0</v>
      </c>
      <c r="W36" s="1085">
        <f>W22</f>
        <v>0</v>
      </c>
      <c r="X36" s="951"/>
      <c r="Y36" s="1092">
        <f>Y21+Y22</f>
        <v>0</v>
      </c>
      <c r="Z36" s="1085">
        <f>Z22</f>
        <v>0</v>
      </c>
      <c r="AA36" s="974"/>
      <c r="AB36" s="1092">
        <f>AB21+AB22</f>
        <v>0</v>
      </c>
      <c r="AC36" s="1085">
        <f>AC22</f>
        <v>0</v>
      </c>
      <c r="AD36" s="951"/>
      <c r="AE36" s="1092">
        <f>AE21+AE22</f>
        <v>0</v>
      </c>
      <c r="AF36" s="1085">
        <f>AF22</f>
        <v>0</v>
      </c>
      <c r="AG36" s="951"/>
    </row>
    <row r="37" spans="1:33" x14ac:dyDescent="0.25">
      <c r="A37" s="951" t="s">
        <v>606</v>
      </c>
      <c r="B37" s="1093"/>
      <c r="C37" s="1042">
        <f>D77</f>
        <v>0</v>
      </c>
      <c r="D37" s="1085">
        <f>C37*D$19</f>
        <v>0</v>
      </c>
      <c r="E37" s="1085">
        <f>C37*E$19</f>
        <v>0</v>
      </c>
      <c r="F37" s="1042">
        <f>G77</f>
        <v>0</v>
      </c>
      <c r="G37" s="1085">
        <f>F37*G$19</f>
        <v>0</v>
      </c>
      <c r="H37" s="1085">
        <f>F37*H$19</f>
        <v>0</v>
      </c>
      <c r="I37" s="1042">
        <f>H77</f>
        <v>0</v>
      </c>
      <c r="J37" s="1085">
        <f>I37*J$19</f>
        <v>0</v>
      </c>
      <c r="K37" s="1085">
        <f>I37*K$19</f>
        <v>0</v>
      </c>
      <c r="L37" s="1042">
        <f>I77</f>
        <v>0</v>
      </c>
      <c r="M37" s="1085">
        <f>L37*M$19</f>
        <v>0</v>
      </c>
      <c r="N37" s="1085">
        <f>L37*N$19</f>
        <v>0</v>
      </c>
      <c r="O37" s="1042">
        <f>J77</f>
        <v>0</v>
      </c>
      <c r="P37" s="1085">
        <f>O37*P$19</f>
        <v>0</v>
      </c>
      <c r="Q37" s="1085">
        <f>O37*Q$19</f>
        <v>0</v>
      </c>
      <c r="R37" s="1042">
        <f>K77</f>
        <v>0</v>
      </c>
      <c r="S37" s="1085">
        <f>R37*S$19</f>
        <v>0</v>
      </c>
      <c r="T37" s="1085">
        <f>R37*T$19</f>
        <v>0</v>
      </c>
      <c r="U37" s="1094">
        <f>L76+L77</f>
        <v>0</v>
      </c>
      <c r="V37" s="1085">
        <f>U37*V$19</f>
        <v>0</v>
      </c>
      <c r="W37" s="1085">
        <f>U37*W$19</f>
        <v>0</v>
      </c>
      <c r="X37" s="1094">
        <f>M76+M77</f>
        <v>0</v>
      </c>
      <c r="Y37" s="1085">
        <f>X37*Y$19</f>
        <v>0</v>
      </c>
      <c r="Z37" s="1085">
        <f>X37*Z$19</f>
        <v>0</v>
      </c>
      <c r="AA37" s="1094">
        <f>N76+N77</f>
        <v>0</v>
      </c>
      <c r="AB37" s="1085">
        <f>AA37*AB$19</f>
        <v>0</v>
      </c>
      <c r="AC37" s="1085">
        <f>AA37*AC$19</f>
        <v>0</v>
      </c>
      <c r="AD37" s="1094">
        <f>O76+O77</f>
        <v>0</v>
      </c>
      <c r="AE37" s="1085">
        <f>AD37*AE$19</f>
        <v>0</v>
      </c>
      <c r="AF37" s="1085">
        <f>AD37*AF$19</f>
        <v>0</v>
      </c>
      <c r="AG37" s="951"/>
    </row>
    <row r="38" spans="1:33" x14ac:dyDescent="0.25">
      <c r="A38" s="951" t="s">
        <v>607</v>
      </c>
      <c r="B38" s="1093"/>
      <c r="C38" s="951"/>
      <c r="D38" s="1042">
        <f>D65</f>
        <v>0</v>
      </c>
      <c r="E38" s="1042">
        <f>E65</f>
        <v>0</v>
      </c>
      <c r="F38" s="951"/>
      <c r="G38" s="1042">
        <f>G65</f>
        <v>0</v>
      </c>
      <c r="H38" s="1042">
        <f>H65</f>
        <v>0</v>
      </c>
      <c r="I38" s="951"/>
      <c r="J38" s="1042">
        <f>J65</f>
        <v>0</v>
      </c>
      <c r="K38" s="1042">
        <f>K65</f>
        <v>0</v>
      </c>
      <c r="L38" s="951"/>
      <c r="M38" s="1042">
        <f>M65</f>
        <v>0</v>
      </c>
      <c r="N38" s="1042">
        <f>N65</f>
        <v>0</v>
      </c>
      <c r="O38" s="951"/>
      <c r="P38" s="1042">
        <f>P65</f>
        <v>0</v>
      </c>
      <c r="Q38" s="1042">
        <f>Q65</f>
        <v>0</v>
      </c>
      <c r="R38" s="951"/>
      <c r="S38" s="1042">
        <f>S65</f>
        <v>0</v>
      </c>
      <c r="T38" s="1042">
        <f>T65</f>
        <v>0</v>
      </c>
      <c r="U38" s="1093"/>
      <c r="V38" s="1042">
        <f>V65</f>
        <v>0</v>
      </c>
      <c r="W38" s="1042">
        <f>W65</f>
        <v>0</v>
      </c>
      <c r="X38" s="1093"/>
      <c r="Y38" s="1042">
        <f>Y65</f>
        <v>0</v>
      </c>
      <c r="Z38" s="1042">
        <f>Z65</f>
        <v>0</v>
      </c>
      <c r="AA38" s="1093"/>
      <c r="AB38" s="1042">
        <f>AB65</f>
        <v>0</v>
      </c>
      <c r="AC38" s="1042">
        <f>AC65</f>
        <v>0</v>
      </c>
      <c r="AD38" s="1093"/>
      <c r="AE38" s="1042">
        <f>AE65</f>
        <v>0</v>
      </c>
      <c r="AF38" s="1042">
        <f>AF65</f>
        <v>0</v>
      </c>
      <c r="AG38" s="951"/>
    </row>
    <row r="39" spans="1:33" x14ac:dyDescent="0.25">
      <c r="A39" s="951"/>
      <c r="B39" s="951"/>
      <c r="C39" s="951"/>
      <c r="D39" s="951"/>
      <c r="E39" s="951"/>
      <c r="F39" s="951"/>
      <c r="G39" s="951"/>
      <c r="H39" s="951"/>
      <c r="I39" s="951"/>
      <c r="J39" s="951"/>
      <c r="K39" s="951"/>
      <c r="L39" s="951"/>
      <c r="M39" s="951"/>
      <c r="N39" s="951"/>
      <c r="O39" s="951"/>
      <c r="P39" s="951"/>
      <c r="Q39" s="951"/>
      <c r="R39" s="951"/>
      <c r="S39" s="951"/>
      <c r="T39" s="951"/>
      <c r="U39" s="951"/>
      <c r="V39" s="951"/>
      <c r="W39" s="951"/>
      <c r="X39" s="951"/>
      <c r="Y39" s="951"/>
      <c r="Z39" s="951"/>
      <c r="AA39" s="951"/>
      <c r="AB39" s="951"/>
      <c r="AC39" s="951"/>
      <c r="AD39" s="951"/>
      <c r="AE39" s="951"/>
      <c r="AF39" s="951"/>
      <c r="AG39" s="951"/>
    </row>
    <row r="40" spans="1:33" ht="15.75" thickBot="1" x14ac:dyDescent="0.3">
      <c r="A40" s="967" t="s">
        <v>608</v>
      </c>
      <c r="B40" s="951"/>
      <c r="C40" s="951"/>
      <c r="D40" s="1095">
        <f>SUM(D34:D38)</f>
        <v>0</v>
      </c>
      <c r="E40" s="1095">
        <f>SUM(E34:E38)</f>
        <v>0</v>
      </c>
      <c r="F40" s="951"/>
      <c r="G40" s="1095">
        <f>SUM(G34:G38)</f>
        <v>0</v>
      </c>
      <c r="H40" s="1095">
        <f>SUM(H34:H38)</f>
        <v>0</v>
      </c>
      <c r="I40" s="951"/>
      <c r="J40" s="1095">
        <f>SUM(J34:J38)</f>
        <v>0</v>
      </c>
      <c r="K40" s="1095">
        <f>SUM(K34:K38)</f>
        <v>0</v>
      </c>
      <c r="L40" s="951"/>
      <c r="M40" s="1095">
        <f>SUM(M34:M38)</f>
        <v>0</v>
      </c>
      <c r="N40" s="1095">
        <f>SUM(N34:N38)</f>
        <v>0</v>
      </c>
      <c r="O40" s="951"/>
      <c r="P40" s="1095">
        <f>SUM(P34:P38)</f>
        <v>0</v>
      </c>
      <c r="Q40" s="1095">
        <f>SUM(Q34:Q38)</f>
        <v>0</v>
      </c>
      <c r="R40" s="951"/>
      <c r="S40" s="1095">
        <f>SUM(S34:S38)</f>
        <v>0</v>
      </c>
      <c r="T40" s="1095">
        <f>SUM(T34:T38)</f>
        <v>0</v>
      </c>
      <c r="U40" s="951"/>
      <c r="V40" s="1095">
        <f>SUM(V34:V38)</f>
        <v>0</v>
      </c>
      <c r="W40" s="1095">
        <f>SUM(W34:W38)</f>
        <v>0</v>
      </c>
      <c r="X40" s="951"/>
      <c r="Y40" s="1095">
        <f>SUM(Y34:Y38)</f>
        <v>0</v>
      </c>
      <c r="Z40" s="1095">
        <f>SUM(Z34:Z38)</f>
        <v>0</v>
      </c>
      <c r="AA40" s="951"/>
      <c r="AB40" s="1095">
        <f>SUM(AB34:AB38)</f>
        <v>0</v>
      </c>
      <c r="AC40" s="1095">
        <f>SUM(AC34:AC38)</f>
        <v>0</v>
      </c>
      <c r="AD40" s="951"/>
      <c r="AE40" s="1095">
        <f>SUM(AE34:AE38)</f>
        <v>0</v>
      </c>
      <c r="AF40" s="1095">
        <f>SUM(AF34:AF38)</f>
        <v>0</v>
      </c>
      <c r="AG40" s="951"/>
    </row>
    <row r="41" spans="1:33" x14ac:dyDescent="0.25">
      <c r="A41" s="951"/>
      <c r="B41" s="1096"/>
      <c r="C41" s="951"/>
      <c r="D41" s="1097"/>
      <c r="E41" s="1097"/>
      <c r="F41" s="951"/>
      <c r="G41" s="1097"/>
      <c r="H41" s="1097"/>
      <c r="I41" s="951"/>
      <c r="J41" s="1097"/>
      <c r="K41" s="1097"/>
      <c r="L41" s="951"/>
      <c r="M41" s="1097"/>
      <c r="N41" s="1097"/>
      <c r="O41" s="951"/>
      <c r="P41" s="1097"/>
      <c r="Q41" s="1097"/>
      <c r="R41" s="951"/>
      <c r="S41" s="1097"/>
      <c r="T41" s="1097"/>
      <c r="U41" s="951"/>
      <c r="V41" s="1097"/>
      <c r="W41" s="1097"/>
      <c r="X41" s="951"/>
      <c r="Y41" s="1097"/>
      <c r="Z41" s="1097"/>
      <c r="AA41" s="951"/>
      <c r="AB41" s="1097"/>
      <c r="AC41" s="1097"/>
      <c r="AD41" s="951"/>
      <c r="AE41" s="1097"/>
      <c r="AF41" s="1097"/>
      <c r="AG41" s="951"/>
    </row>
    <row r="42" spans="1:33" x14ac:dyDescent="0.25">
      <c r="A42" s="951"/>
      <c r="B42" s="1098"/>
      <c r="C42" s="951"/>
      <c r="D42" s="1085"/>
      <c r="E42" s="1053"/>
      <c r="F42" s="951"/>
      <c r="G42" s="1085"/>
      <c r="H42" s="1053"/>
      <c r="I42" s="951"/>
      <c r="J42" s="1085"/>
      <c r="K42" s="1053"/>
      <c r="L42" s="951"/>
      <c r="M42" s="1085"/>
      <c r="N42" s="1053"/>
      <c r="O42" s="951"/>
      <c r="P42" s="1085"/>
      <c r="Q42" s="1053"/>
      <c r="R42" s="951"/>
      <c r="S42" s="1085"/>
      <c r="T42" s="1053"/>
      <c r="U42" s="1085"/>
      <c r="V42" s="951"/>
      <c r="W42" s="1085"/>
      <c r="X42" s="1085"/>
      <c r="Y42" s="951"/>
      <c r="Z42" s="1085"/>
      <c r="AA42" s="1085"/>
      <c r="AB42" s="951"/>
      <c r="AC42" s="1085"/>
      <c r="AD42" s="1085"/>
      <c r="AE42" s="951"/>
      <c r="AF42" s="1085"/>
      <c r="AG42" s="951"/>
    </row>
    <row r="43" spans="1:33" x14ac:dyDescent="0.25">
      <c r="A43" s="951" t="s">
        <v>609</v>
      </c>
      <c r="B43" s="1098"/>
      <c r="C43" s="951"/>
      <c r="D43" s="1085"/>
      <c r="E43" s="1099">
        <f>E40</f>
        <v>0</v>
      </c>
      <c r="F43" s="951"/>
      <c r="G43" s="1085"/>
      <c r="H43" s="1099">
        <f>H40</f>
        <v>0</v>
      </c>
      <c r="I43" s="951"/>
      <c r="J43" s="1085"/>
      <c r="K43" s="1099">
        <f>K40</f>
        <v>0</v>
      </c>
      <c r="L43" s="951"/>
      <c r="M43" s="1085"/>
      <c r="N43" s="1099">
        <f>N40</f>
        <v>0</v>
      </c>
      <c r="O43" s="951"/>
      <c r="P43" s="1085"/>
      <c r="Q43" s="1099">
        <f>Q40</f>
        <v>0</v>
      </c>
      <c r="R43" s="951"/>
      <c r="S43" s="1085"/>
      <c r="T43" s="1099">
        <f>T40</f>
        <v>0</v>
      </c>
      <c r="U43" s="1085"/>
      <c r="V43" s="951"/>
      <c r="W43" s="1099">
        <f>W40</f>
        <v>0</v>
      </c>
      <c r="X43" s="1085"/>
      <c r="Y43" s="951"/>
      <c r="Z43" s="1099">
        <f>Z40</f>
        <v>0</v>
      </c>
      <c r="AA43" s="1085"/>
      <c r="AB43" s="951"/>
      <c r="AC43" s="1099">
        <f>AC40</f>
        <v>0</v>
      </c>
      <c r="AD43" s="1085"/>
      <c r="AE43" s="951"/>
      <c r="AF43" s="1099">
        <f>AF40</f>
        <v>0</v>
      </c>
      <c r="AG43" s="951"/>
    </row>
    <row r="44" spans="1:33" x14ac:dyDescent="0.25">
      <c r="A44" s="951"/>
      <c r="B44" s="1100"/>
      <c r="C44" s="951"/>
      <c r="D44" s="1101"/>
      <c r="E44" s="1053"/>
      <c r="F44" s="951"/>
      <c r="G44" s="1101"/>
      <c r="H44" s="1053"/>
      <c r="I44" s="951"/>
      <c r="J44" s="1101"/>
      <c r="K44" s="1053"/>
      <c r="L44" s="951"/>
      <c r="M44" s="1101"/>
      <c r="N44" s="1053"/>
      <c r="O44" s="951"/>
      <c r="P44" s="1101"/>
      <c r="Q44" s="1053"/>
      <c r="R44" s="951"/>
      <c r="S44" s="1101"/>
      <c r="T44" s="1053"/>
      <c r="U44" s="951"/>
      <c r="V44" s="1102"/>
      <c r="W44" s="1053"/>
      <c r="X44" s="951"/>
      <c r="Y44" s="1102"/>
      <c r="Z44" s="1053"/>
      <c r="AA44" s="951"/>
      <c r="AB44" s="1102"/>
      <c r="AC44" s="1053"/>
      <c r="AD44" s="951"/>
      <c r="AE44" s="1102"/>
      <c r="AF44" s="1053"/>
      <c r="AG44" s="951"/>
    </row>
    <row r="45" spans="1:33" x14ac:dyDescent="0.25">
      <c r="A45" s="974" t="s">
        <v>809</v>
      </c>
      <c r="B45" s="951"/>
      <c r="C45" s="1042"/>
      <c r="D45" s="1042"/>
      <c r="E45" s="1099">
        <f>E43/12</f>
        <v>0</v>
      </c>
      <c r="F45" s="1042"/>
      <c r="G45" s="1042"/>
      <c r="H45" s="1099">
        <f>H43/12</f>
        <v>0</v>
      </c>
      <c r="I45" s="1042"/>
      <c r="J45" s="1042"/>
      <c r="K45" s="1099">
        <f>K43/12</f>
        <v>0</v>
      </c>
      <c r="L45" s="1042"/>
      <c r="M45" s="1042"/>
      <c r="N45" s="1099">
        <f>N43/12</f>
        <v>0</v>
      </c>
      <c r="O45" s="1042"/>
      <c r="P45" s="1042"/>
      <c r="Q45" s="1099">
        <f>Q43/12</f>
        <v>0</v>
      </c>
      <c r="R45" s="1042"/>
      <c r="S45" s="1042"/>
      <c r="T45" s="1099">
        <f>T43/12</f>
        <v>0</v>
      </c>
      <c r="U45" s="1042"/>
      <c r="V45" s="951"/>
      <c r="W45" s="1099">
        <f>W43/12</f>
        <v>0</v>
      </c>
      <c r="X45" s="1042"/>
      <c r="Y45" s="951"/>
      <c r="Z45" s="1099">
        <f>Z43/12</f>
        <v>0</v>
      </c>
      <c r="AA45" s="1042"/>
      <c r="AB45" s="951"/>
      <c r="AC45" s="1099">
        <f>AC43/12</f>
        <v>0</v>
      </c>
      <c r="AD45" s="1042"/>
      <c r="AE45" s="951"/>
      <c r="AF45" s="1099">
        <f>AF43/12</f>
        <v>0</v>
      </c>
      <c r="AG45" s="951"/>
    </row>
    <row r="46" spans="1:33" x14ac:dyDescent="0.25">
      <c r="A46" s="974"/>
      <c r="B46" s="951"/>
      <c r="C46" s="951"/>
      <c r="D46" s="951"/>
      <c r="E46" s="951"/>
      <c r="F46" s="951"/>
      <c r="G46" s="951"/>
      <c r="H46" s="951"/>
      <c r="I46" s="951"/>
      <c r="J46" s="951"/>
      <c r="K46" s="951"/>
      <c r="L46" s="951"/>
      <c r="M46" s="951"/>
      <c r="N46" s="951"/>
      <c r="O46" s="951"/>
      <c r="P46" s="951"/>
      <c r="Q46" s="1042"/>
      <c r="R46" s="1042"/>
      <c r="S46" s="1042"/>
      <c r="T46" s="1103"/>
      <c r="U46" s="1042"/>
      <c r="V46" s="951"/>
      <c r="W46" s="1042"/>
      <c r="X46" s="1042"/>
      <c r="Y46" s="951"/>
      <c r="Z46" s="951"/>
      <c r="AA46" s="1042"/>
      <c r="AB46" s="951"/>
      <c r="AC46" s="1042"/>
      <c r="AD46" s="1042"/>
      <c r="AE46" s="951"/>
      <c r="AF46" s="951"/>
      <c r="AG46" s="951"/>
    </row>
    <row r="47" spans="1:33" ht="12.75" customHeight="1" x14ac:dyDescent="0.25">
      <c r="A47" s="1811" t="s">
        <v>818</v>
      </c>
      <c r="B47" s="1811"/>
      <c r="C47" s="1811"/>
      <c r="D47" s="1811"/>
      <c r="E47" s="1811"/>
      <c r="F47" s="1811"/>
      <c r="G47" s="1811"/>
      <c r="H47" s="1811"/>
      <c r="I47" s="1811"/>
      <c r="J47" s="1811"/>
      <c r="K47" s="1811"/>
      <c r="L47" s="1811"/>
      <c r="M47" s="1811"/>
      <c r="N47" s="1811"/>
      <c r="O47" s="1811"/>
      <c r="P47" s="1811"/>
      <c r="Q47" s="1811"/>
      <c r="R47" s="1811"/>
      <c r="S47" s="1811"/>
      <c r="T47" s="1811"/>
      <c r="U47" s="1811"/>
      <c r="V47" s="1811"/>
      <c r="W47" s="1811"/>
      <c r="X47" s="1811"/>
      <c r="Y47" s="1811"/>
      <c r="Z47" s="1811"/>
      <c r="AA47" s="951"/>
      <c r="AB47" s="951"/>
      <c r="AC47" s="951"/>
      <c r="AD47" s="951"/>
      <c r="AE47" s="951"/>
      <c r="AF47" s="951"/>
      <c r="AG47" s="951"/>
    </row>
    <row r="48" spans="1:33" ht="12.75" customHeight="1" x14ac:dyDescent="0.25">
      <c r="A48" s="1104" t="s">
        <v>819</v>
      </c>
      <c r="B48" s="1105"/>
      <c r="C48" s="1105"/>
      <c r="D48" s="1105"/>
      <c r="E48" s="1105"/>
      <c r="F48" s="1105"/>
      <c r="G48" s="1105"/>
      <c r="H48" s="1105"/>
      <c r="I48" s="1105"/>
      <c r="J48" s="1105"/>
      <c r="K48" s="1105"/>
      <c r="L48" s="1105"/>
      <c r="M48" s="1105"/>
      <c r="N48" s="1105"/>
      <c r="O48" s="1105"/>
      <c r="P48" s="1105"/>
      <c r="Q48" s="1105"/>
      <c r="R48" s="1105"/>
      <c r="S48" s="1105"/>
      <c r="T48" s="1105"/>
      <c r="U48" s="1105"/>
      <c r="V48" s="1105"/>
      <c r="W48" s="1105"/>
      <c r="X48" s="1105"/>
      <c r="Y48" s="1105"/>
      <c r="Z48" s="1105"/>
      <c r="AA48" s="951"/>
      <c r="AB48" s="951"/>
      <c r="AC48" s="951"/>
      <c r="AD48" s="951"/>
      <c r="AE48" s="951"/>
      <c r="AF48" s="951"/>
      <c r="AG48" s="951"/>
    </row>
    <row r="49" spans="1:33" x14ac:dyDescent="0.25">
      <c r="A49" s="1811" t="s">
        <v>941</v>
      </c>
      <c r="B49" s="1811"/>
      <c r="C49" s="1811"/>
      <c r="D49" s="1811"/>
      <c r="E49" s="1811"/>
      <c r="F49" s="1811"/>
      <c r="G49" s="1811"/>
      <c r="H49" s="1811"/>
      <c r="I49" s="1811"/>
      <c r="J49" s="1811"/>
      <c r="K49" s="1811"/>
      <c r="L49" s="1811"/>
      <c r="M49" s="1811"/>
      <c r="N49" s="1811"/>
      <c r="O49" s="1811"/>
      <c r="P49" s="1811"/>
      <c r="Q49" s="1811"/>
      <c r="R49" s="1811"/>
      <c r="S49" s="1811"/>
      <c r="T49" s="1811"/>
      <c r="U49" s="1811"/>
      <c r="V49" s="1811"/>
      <c r="W49" s="1811"/>
      <c r="X49" s="1811"/>
      <c r="Y49" s="1811"/>
      <c r="Z49" s="1811"/>
      <c r="AA49" s="951"/>
      <c r="AB49" s="951"/>
      <c r="AC49" s="951"/>
      <c r="AD49" s="951"/>
      <c r="AE49" s="951"/>
      <c r="AF49" s="951"/>
      <c r="AG49" s="951"/>
    </row>
    <row r="50" spans="1:33" x14ac:dyDescent="0.25">
      <c r="A50" s="1812"/>
      <c r="B50" s="1812"/>
      <c r="C50" s="1106"/>
      <c r="D50" s="1106"/>
      <c r="E50" s="1106"/>
      <c r="F50" s="1106"/>
      <c r="G50" s="1106"/>
      <c r="H50" s="1106"/>
      <c r="I50" s="1106"/>
      <c r="J50" s="1106"/>
      <c r="K50" s="1106"/>
      <c r="L50" s="1106"/>
      <c r="M50" s="1106"/>
      <c r="N50" s="1106"/>
      <c r="O50" s="1106"/>
      <c r="P50" s="1106"/>
      <c r="Q50" s="1107"/>
      <c r="R50" s="1107"/>
      <c r="S50" s="1107"/>
      <c r="T50" s="1107"/>
      <c r="U50" s="1053"/>
      <c r="V50" s="951"/>
      <c r="W50" s="951"/>
      <c r="X50" s="951"/>
      <c r="Y50" s="951"/>
      <c r="Z50" s="951"/>
      <c r="AA50" s="951"/>
      <c r="AB50" s="951"/>
      <c r="AC50" s="951"/>
      <c r="AD50" s="951"/>
      <c r="AE50" s="951"/>
      <c r="AF50" s="951"/>
      <c r="AG50" s="951"/>
    </row>
    <row r="51" spans="1:33" ht="16.5" thickBot="1" x14ac:dyDescent="0.3">
      <c r="A51" s="1108" t="s">
        <v>610</v>
      </c>
      <c r="B51" s="1106"/>
      <c r="C51" s="1106"/>
      <c r="D51" s="1106"/>
      <c r="E51" s="1106"/>
      <c r="F51" s="1106"/>
      <c r="G51" s="1106"/>
      <c r="H51" s="1106"/>
      <c r="I51" s="1106"/>
      <c r="J51" s="1106"/>
      <c r="K51" s="1106"/>
      <c r="L51" s="1106"/>
      <c r="M51" s="1106"/>
      <c r="N51" s="1106"/>
      <c r="O51" s="1106"/>
      <c r="P51" s="1106"/>
      <c r="Q51" s="1107"/>
      <c r="R51" s="1107"/>
      <c r="S51" s="1107"/>
      <c r="T51" s="1107"/>
      <c r="U51" s="1053"/>
      <c r="V51" s="951"/>
      <c r="W51" s="951"/>
      <c r="X51" s="951"/>
      <c r="Y51" s="951"/>
      <c r="Z51" s="951"/>
      <c r="AA51" s="951"/>
      <c r="AB51" s="951"/>
      <c r="AC51" s="951"/>
      <c r="AD51" s="951"/>
      <c r="AE51" s="951"/>
      <c r="AF51" s="951"/>
      <c r="AG51" s="951"/>
    </row>
    <row r="52" spans="1:33" s="1070" customFormat="1" ht="15.75" thickBot="1" x14ac:dyDescent="0.3">
      <c r="A52" s="1109"/>
      <c r="B52" s="1106"/>
      <c r="C52" s="1106"/>
      <c r="D52" s="1809">
        <f>F17-1</f>
        <v>2014</v>
      </c>
      <c r="E52" s="1810"/>
      <c r="F52" s="1106"/>
      <c r="G52" s="1809">
        <f>F17</f>
        <v>2015</v>
      </c>
      <c r="H52" s="1810"/>
      <c r="I52" s="1069"/>
      <c r="J52" s="1809">
        <f>I17</f>
        <v>2016</v>
      </c>
      <c r="K52" s="1810"/>
      <c r="L52" s="1069"/>
      <c r="M52" s="1809">
        <f>L17</f>
        <v>2017</v>
      </c>
      <c r="N52" s="1810"/>
      <c r="O52" s="1069"/>
      <c r="P52" s="1809">
        <f>O17</f>
        <v>2018</v>
      </c>
      <c r="Q52" s="1810"/>
      <c r="R52" s="1069"/>
      <c r="S52" s="1809" t="str">
        <f>R17</f>
        <v>2019 Test Year</v>
      </c>
      <c r="T52" s="1810"/>
      <c r="U52" s="1069"/>
      <c r="V52" s="1809">
        <f>U17</f>
        <v>2020</v>
      </c>
      <c r="W52" s="1810"/>
      <c r="X52" s="1069"/>
      <c r="Y52" s="1809">
        <f>X17</f>
        <v>2021</v>
      </c>
      <c r="Z52" s="1810"/>
      <c r="AA52" s="1069"/>
      <c r="AB52" s="1809">
        <f>AA17</f>
        <v>2022</v>
      </c>
      <c r="AC52" s="1810"/>
      <c r="AD52" s="1069"/>
      <c r="AE52" s="1809">
        <f>AD17</f>
        <v>2023</v>
      </c>
      <c r="AF52" s="1810"/>
      <c r="AG52" s="1069"/>
    </row>
    <row r="53" spans="1:33" x14ac:dyDescent="0.25">
      <c r="A53" s="1110" t="s">
        <v>611</v>
      </c>
      <c r="B53" s="1106"/>
      <c r="C53" s="1106"/>
      <c r="D53" s="967" t="s">
        <v>594</v>
      </c>
      <c r="E53" s="1039" t="s">
        <v>595</v>
      </c>
      <c r="F53" s="1106"/>
      <c r="G53" s="967" t="s">
        <v>594</v>
      </c>
      <c r="H53" s="1039" t="s">
        <v>595</v>
      </c>
      <c r="I53" s="951"/>
      <c r="J53" s="967" t="s">
        <v>594</v>
      </c>
      <c r="K53" s="1039" t="s">
        <v>595</v>
      </c>
      <c r="L53" s="951"/>
      <c r="M53" s="967" t="s">
        <v>594</v>
      </c>
      <c r="N53" s="1039" t="s">
        <v>595</v>
      </c>
      <c r="O53" s="951"/>
      <c r="P53" s="967" t="s">
        <v>594</v>
      </c>
      <c r="Q53" s="1039" t="s">
        <v>595</v>
      </c>
      <c r="R53" s="951"/>
      <c r="S53" s="967" t="s">
        <v>594</v>
      </c>
      <c r="T53" s="1039" t="s">
        <v>595</v>
      </c>
      <c r="U53" s="951"/>
      <c r="V53" s="967" t="s">
        <v>594</v>
      </c>
      <c r="W53" s="1039" t="s">
        <v>595</v>
      </c>
      <c r="X53" s="951"/>
      <c r="Y53" s="967" t="s">
        <v>594</v>
      </c>
      <c r="Z53" s="1039" t="s">
        <v>595</v>
      </c>
      <c r="AA53" s="951"/>
      <c r="AB53" s="967" t="s">
        <v>594</v>
      </c>
      <c r="AC53" s="1039" t="s">
        <v>595</v>
      </c>
      <c r="AD53" s="951"/>
      <c r="AE53" s="967" t="s">
        <v>594</v>
      </c>
      <c r="AF53" s="1039" t="s">
        <v>595</v>
      </c>
      <c r="AG53" s="951"/>
    </row>
    <row r="54" spans="1:33" x14ac:dyDescent="0.25">
      <c r="A54" s="1111"/>
      <c r="B54" s="1106"/>
      <c r="C54" s="1106"/>
      <c r="D54" s="967"/>
      <c r="E54" s="1039"/>
      <c r="F54" s="1106"/>
      <c r="G54" s="967"/>
      <c r="H54" s="1039"/>
      <c r="I54" s="1072"/>
      <c r="J54" s="967"/>
      <c r="K54" s="1039"/>
      <c r="L54" s="1072"/>
      <c r="M54" s="967"/>
      <c r="N54" s="1039"/>
      <c r="O54" s="1072"/>
      <c r="P54" s="967"/>
      <c r="Q54" s="1039"/>
      <c r="R54" s="1072"/>
      <c r="S54" s="967"/>
      <c r="T54" s="1039"/>
      <c r="U54" s="1072"/>
      <c r="V54" s="967"/>
      <c r="W54" s="1039"/>
      <c r="X54" s="1072"/>
      <c r="Y54" s="967"/>
      <c r="Z54" s="1039"/>
      <c r="AA54" s="1072" t="s">
        <v>272</v>
      </c>
      <c r="AB54" s="967"/>
      <c r="AC54" s="1039"/>
      <c r="AD54" s="1072" t="s">
        <v>272</v>
      </c>
      <c r="AE54" s="967"/>
      <c r="AF54" s="1039"/>
      <c r="AG54" s="951"/>
    </row>
    <row r="55" spans="1:33" x14ac:dyDescent="0.25">
      <c r="A55" s="1112" t="s">
        <v>612</v>
      </c>
      <c r="B55" s="1106"/>
      <c r="C55" s="1106"/>
      <c r="D55" s="1056">
        <f>D33</f>
        <v>0</v>
      </c>
      <c r="E55" s="1113">
        <f>E33</f>
        <v>0</v>
      </c>
      <c r="F55" s="1106"/>
      <c r="G55" s="1056">
        <f>G33</f>
        <v>0</v>
      </c>
      <c r="H55" s="1113">
        <f>H33</f>
        <v>0</v>
      </c>
      <c r="I55" s="1056"/>
      <c r="J55" s="1056">
        <f>J33</f>
        <v>0</v>
      </c>
      <c r="K55" s="1113">
        <f>K33</f>
        <v>0</v>
      </c>
      <c r="L55" s="1056"/>
      <c r="M55" s="1056">
        <f>M33</f>
        <v>0</v>
      </c>
      <c r="N55" s="1113">
        <f>N33</f>
        <v>0</v>
      </c>
      <c r="O55" s="1056"/>
      <c r="P55" s="1056">
        <f>P33</f>
        <v>0</v>
      </c>
      <c r="Q55" s="1113">
        <f>Q33</f>
        <v>0</v>
      </c>
      <c r="R55" s="1056"/>
      <c r="S55" s="1056">
        <f>S33</f>
        <v>0</v>
      </c>
      <c r="T55" s="1113">
        <f>T33</f>
        <v>0</v>
      </c>
      <c r="U55" s="1056"/>
      <c r="V55" s="1056">
        <f>V33</f>
        <v>0</v>
      </c>
      <c r="W55" s="1113">
        <f>W33</f>
        <v>0</v>
      </c>
      <c r="X55" s="1056"/>
      <c r="Y55" s="1056">
        <f>Y33</f>
        <v>0</v>
      </c>
      <c r="Z55" s="1113">
        <f>Z33</f>
        <v>0</v>
      </c>
      <c r="AA55" s="1056"/>
      <c r="AB55" s="1056">
        <f>AB33</f>
        <v>0</v>
      </c>
      <c r="AC55" s="1113">
        <f>AC33</f>
        <v>0</v>
      </c>
      <c r="AD55" s="1056"/>
      <c r="AE55" s="1056">
        <f>AE33</f>
        <v>0</v>
      </c>
      <c r="AF55" s="1113">
        <f>AF33</f>
        <v>0</v>
      </c>
      <c r="AG55" s="951"/>
    </row>
    <row r="56" spans="1:33" x14ac:dyDescent="0.25">
      <c r="A56" s="1112" t="s">
        <v>613</v>
      </c>
      <c r="B56" s="1106"/>
      <c r="C56" s="1106"/>
      <c r="D56" s="1077">
        <f>D37</f>
        <v>0</v>
      </c>
      <c r="E56" s="1077">
        <f>E37</f>
        <v>0</v>
      </c>
      <c r="F56" s="1106"/>
      <c r="G56" s="1077">
        <f>G37</f>
        <v>0</v>
      </c>
      <c r="H56" s="1077">
        <f>H37</f>
        <v>0</v>
      </c>
      <c r="I56" s="1055"/>
      <c r="J56" s="1077">
        <f>J37</f>
        <v>0</v>
      </c>
      <c r="K56" s="1077">
        <f>K37</f>
        <v>0</v>
      </c>
      <c r="L56" s="1055"/>
      <c r="M56" s="1077">
        <f>M37</f>
        <v>0</v>
      </c>
      <c r="N56" s="1077">
        <f>N37</f>
        <v>0</v>
      </c>
      <c r="O56" s="1055"/>
      <c r="P56" s="1077">
        <f>P37</f>
        <v>0</v>
      </c>
      <c r="Q56" s="1077">
        <f>Q37</f>
        <v>0</v>
      </c>
      <c r="R56" s="1055"/>
      <c r="S56" s="1077">
        <f>S37</f>
        <v>0</v>
      </c>
      <c r="T56" s="1077">
        <f>T37</f>
        <v>0</v>
      </c>
      <c r="U56" s="1055"/>
      <c r="V56" s="1077">
        <f>V37</f>
        <v>0</v>
      </c>
      <c r="W56" s="1077">
        <f>W37</f>
        <v>0</v>
      </c>
      <c r="X56" s="1055"/>
      <c r="Y56" s="1077">
        <f>Y37</f>
        <v>0</v>
      </c>
      <c r="Z56" s="1077">
        <f>Z37</f>
        <v>0</v>
      </c>
      <c r="AA56" s="1055"/>
      <c r="AB56" s="1077">
        <f>AB37</f>
        <v>0</v>
      </c>
      <c r="AC56" s="1077">
        <f>AC37</f>
        <v>0</v>
      </c>
      <c r="AD56" s="1055"/>
      <c r="AE56" s="1077">
        <f>AE37</f>
        <v>0</v>
      </c>
      <c r="AF56" s="1077">
        <f>AF37</f>
        <v>0</v>
      </c>
      <c r="AG56" s="951"/>
    </row>
    <row r="57" spans="1:33" x14ac:dyDescent="0.25">
      <c r="A57" s="1112" t="s">
        <v>614</v>
      </c>
      <c r="B57" s="1106"/>
      <c r="C57" s="1106"/>
      <c r="D57" s="1055">
        <f>-D94*D$19</f>
        <v>0</v>
      </c>
      <c r="E57" s="1055">
        <f>-D94*E$19</f>
        <v>0</v>
      </c>
      <c r="F57" s="1106"/>
      <c r="G57" s="1055">
        <f>-G94*G$19</f>
        <v>0</v>
      </c>
      <c r="H57" s="1055">
        <f>-G94*H$19</f>
        <v>0</v>
      </c>
      <c r="I57" s="1055"/>
      <c r="J57" s="1055">
        <f>-H94*J19</f>
        <v>0</v>
      </c>
      <c r="K57" s="1055">
        <f>-H94*K$19</f>
        <v>0</v>
      </c>
      <c r="L57" s="1055"/>
      <c r="M57" s="1055">
        <f>-I94*M$19</f>
        <v>0</v>
      </c>
      <c r="N57" s="1055">
        <f>-I94*N$19</f>
        <v>0</v>
      </c>
      <c r="O57" s="1055"/>
      <c r="P57" s="1055">
        <f>-J94*P$19</f>
        <v>0</v>
      </c>
      <c r="Q57" s="1055">
        <f>-J94*Q$19</f>
        <v>0</v>
      </c>
      <c r="R57" s="1055"/>
      <c r="S57" s="1055">
        <f>-K94*S$19</f>
        <v>0</v>
      </c>
      <c r="T57" s="1055">
        <f>-K94*T$19</f>
        <v>0</v>
      </c>
      <c r="U57" s="1055"/>
      <c r="V57" s="1055">
        <f>-L94*V$19</f>
        <v>0</v>
      </c>
      <c r="W57" s="1055">
        <f>-L94*W$19</f>
        <v>0</v>
      </c>
      <c r="X57" s="1055"/>
      <c r="Y57" s="1055">
        <f>-M94*Y$19</f>
        <v>0</v>
      </c>
      <c r="Z57" s="1055">
        <f>-M94*Z$19</f>
        <v>0</v>
      </c>
      <c r="AA57" s="1114"/>
      <c r="AB57" s="1055">
        <f>-N94*AB$19</f>
        <v>0</v>
      </c>
      <c r="AC57" s="1055">
        <f>-N94*AC$19</f>
        <v>0</v>
      </c>
      <c r="AD57" s="1055"/>
      <c r="AE57" s="1055">
        <f>-O94*AE$19</f>
        <v>0</v>
      </c>
      <c r="AF57" s="1055">
        <f>-O94*AF$19</f>
        <v>0</v>
      </c>
      <c r="AG57" s="951"/>
    </row>
    <row r="58" spans="1:33" x14ac:dyDescent="0.25">
      <c r="A58" s="1111" t="s">
        <v>615</v>
      </c>
      <c r="B58" s="1106"/>
      <c r="C58" s="1106"/>
      <c r="D58" s="1115">
        <f>SUM(D55:D57)</f>
        <v>0</v>
      </c>
      <c r="E58" s="1115">
        <f>SUM(E55:E57)</f>
        <v>0</v>
      </c>
      <c r="F58" s="1106"/>
      <c r="G58" s="1115">
        <f>SUM(G55:G57)</f>
        <v>0</v>
      </c>
      <c r="H58" s="1115">
        <f>SUM(H55:H57)</f>
        <v>0</v>
      </c>
      <c r="I58" s="1055"/>
      <c r="J58" s="1115">
        <f>SUM(J55:J57)</f>
        <v>0</v>
      </c>
      <c r="K58" s="1115">
        <f>SUM(K55:K57)</f>
        <v>0</v>
      </c>
      <c r="L58" s="1055"/>
      <c r="M58" s="1115">
        <f>SUM(M55:M57)</f>
        <v>0</v>
      </c>
      <c r="N58" s="1115">
        <f>SUM(N55:N57)</f>
        <v>0</v>
      </c>
      <c r="O58" s="1055"/>
      <c r="P58" s="1115">
        <f>SUM(P55:P57)</f>
        <v>0</v>
      </c>
      <c r="Q58" s="1115">
        <f>SUM(Q55:Q57)</f>
        <v>0</v>
      </c>
      <c r="R58" s="1055"/>
      <c r="S58" s="1115">
        <f>SUM(S55:S57)</f>
        <v>0</v>
      </c>
      <c r="T58" s="1115">
        <f>SUM(T55:T57)</f>
        <v>0</v>
      </c>
      <c r="U58" s="1055"/>
      <c r="V58" s="1115">
        <f>SUM(V55:V57)</f>
        <v>0</v>
      </c>
      <c r="W58" s="1115">
        <f>SUM(W55:W57)</f>
        <v>0</v>
      </c>
      <c r="X58" s="1055"/>
      <c r="Y58" s="1115">
        <f>SUM(Y55:Y57)</f>
        <v>0</v>
      </c>
      <c r="Z58" s="1115">
        <f>SUM(Z55:Z57)</f>
        <v>0</v>
      </c>
      <c r="AA58" s="1114"/>
      <c r="AB58" s="1115">
        <f>SUM(AB55:AB57)</f>
        <v>0</v>
      </c>
      <c r="AC58" s="1115">
        <f>SUM(AC55:AC57)</f>
        <v>0</v>
      </c>
      <c r="AD58" s="1055"/>
      <c r="AE58" s="1115">
        <f>SUM(AE55:AE57)</f>
        <v>0</v>
      </c>
      <c r="AF58" s="1115">
        <f>SUM(AF55:AF57)</f>
        <v>0</v>
      </c>
      <c r="AG58" s="951"/>
    </row>
    <row r="59" spans="1:33" x14ac:dyDescent="0.25">
      <c r="A59" s="1112"/>
      <c r="B59" s="1106"/>
      <c r="C59" s="1106"/>
      <c r="D59" s="1055"/>
      <c r="E59" s="1055"/>
      <c r="F59" s="1106"/>
      <c r="G59" s="1055"/>
      <c r="H59" s="1055"/>
      <c r="I59" s="1055"/>
      <c r="J59" s="1055"/>
      <c r="K59" s="1055"/>
      <c r="L59" s="1055"/>
      <c r="M59" s="1055"/>
      <c r="N59" s="1055"/>
      <c r="O59" s="1055"/>
      <c r="P59" s="1055"/>
      <c r="Q59" s="1055"/>
      <c r="R59" s="1055"/>
      <c r="S59" s="1055"/>
      <c r="T59" s="1055"/>
      <c r="U59" s="1055"/>
      <c r="V59" s="1055"/>
      <c r="W59" s="1055"/>
      <c r="X59" s="1055"/>
      <c r="Y59" s="1055"/>
      <c r="Z59" s="1055"/>
      <c r="AA59" s="1114"/>
      <c r="AB59" s="1055"/>
      <c r="AC59" s="1055"/>
      <c r="AD59" s="1055"/>
      <c r="AE59" s="1055"/>
      <c r="AF59" s="1055"/>
      <c r="AG59" s="951"/>
    </row>
    <row r="60" spans="1:33" x14ac:dyDescent="0.25">
      <c r="A60" s="1112" t="s">
        <v>616</v>
      </c>
      <c r="B60" s="1107"/>
      <c r="C60" s="1107"/>
      <c r="D60" s="198"/>
      <c r="E60" s="198"/>
      <c r="F60" s="1107"/>
      <c r="G60" s="198"/>
      <c r="H60" s="198"/>
      <c r="I60" s="1114"/>
      <c r="J60" s="198"/>
      <c r="K60" s="198"/>
      <c r="L60" s="1114"/>
      <c r="M60" s="198"/>
      <c r="N60" s="198"/>
      <c r="O60" s="1114"/>
      <c r="P60" s="198"/>
      <c r="Q60" s="198"/>
      <c r="R60" s="1114"/>
      <c r="S60" s="198"/>
      <c r="T60" s="198"/>
      <c r="U60" s="1114"/>
      <c r="V60" s="198"/>
      <c r="W60" s="198"/>
      <c r="X60" s="1114"/>
      <c r="Y60" s="198"/>
      <c r="Z60" s="198"/>
      <c r="AA60" s="1114"/>
      <c r="AB60" s="198"/>
      <c r="AC60" s="198"/>
      <c r="AD60" s="1055"/>
      <c r="AE60" s="198"/>
      <c r="AF60" s="198"/>
      <c r="AG60" s="951"/>
    </row>
    <row r="61" spans="1:33" x14ac:dyDescent="0.25">
      <c r="A61" s="951"/>
      <c r="B61" s="951"/>
      <c r="C61" s="951"/>
      <c r="D61" s="951"/>
      <c r="E61" s="951"/>
      <c r="F61" s="951"/>
      <c r="G61" s="951"/>
      <c r="H61" s="951"/>
      <c r="I61" s="951"/>
      <c r="J61" s="951"/>
      <c r="K61" s="951"/>
      <c r="L61" s="951"/>
      <c r="M61" s="951"/>
      <c r="N61" s="951"/>
      <c r="O61" s="951"/>
      <c r="P61" s="951"/>
      <c r="Q61" s="951"/>
      <c r="R61" s="951"/>
      <c r="S61" s="951"/>
      <c r="T61" s="951"/>
      <c r="U61" s="951"/>
      <c r="V61" s="951"/>
      <c r="W61" s="951"/>
      <c r="X61" s="951"/>
      <c r="Y61" s="951"/>
      <c r="Z61" s="951"/>
      <c r="AA61" s="951"/>
      <c r="AB61" s="951"/>
      <c r="AC61" s="951"/>
      <c r="AD61" s="951"/>
      <c r="AE61" s="951"/>
      <c r="AF61" s="951"/>
      <c r="AG61" s="951"/>
    </row>
    <row r="62" spans="1:33" x14ac:dyDescent="0.25">
      <c r="A62" s="1112" t="s">
        <v>617</v>
      </c>
      <c r="B62" s="1106"/>
      <c r="C62" s="1106"/>
      <c r="D62" s="1116">
        <f>D58*D60</f>
        <v>0</v>
      </c>
      <c r="E62" s="1116">
        <f>E58*E60</f>
        <v>0</v>
      </c>
      <c r="F62" s="1106"/>
      <c r="G62" s="1116">
        <f>G58*G60</f>
        <v>0</v>
      </c>
      <c r="H62" s="1116">
        <f>H58*H60</f>
        <v>0</v>
      </c>
      <c r="I62" s="1055"/>
      <c r="J62" s="1116">
        <f>J58*J60</f>
        <v>0</v>
      </c>
      <c r="K62" s="1116">
        <f>K58*K60</f>
        <v>0</v>
      </c>
      <c r="L62" s="1055"/>
      <c r="M62" s="1116">
        <f>M58*M60</f>
        <v>0</v>
      </c>
      <c r="N62" s="1116">
        <f>N58*N60</f>
        <v>0</v>
      </c>
      <c r="O62" s="1055"/>
      <c r="P62" s="1116">
        <f>P58*P60</f>
        <v>0</v>
      </c>
      <c r="Q62" s="1116">
        <f>Q58*Q60</f>
        <v>0</v>
      </c>
      <c r="R62" s="1055"/>
      <c r="S62" s="1116">
        <f>S58*S60</f>
        <v>0</v>
      </c>
      <c r="T62" s="1116">
        <f>T58*T60</f>
        <v>0</v>
      </c>
      <c r="U62" s="1055"/>
      <c r="V62" s="1116">
        <f>V58*V60</f>
        <v>0</v>
      </c>
      <c r="W62" s="1116">
        <f>W58*W60</f>
        <v>0</v>
      </c>
      <c r="X62" s="1055"/>
      <c r="Y62" s="1116">
        <f>Y58*Y60</f>
        <v>0</v>
      </c>
      <c r="Z62" s="1116">
        <f>Z58*Z60</f>
        <v>0</v>
      </c>
      <c r="AA62" s="1055"/>
      <c r="AB62" s="1116">
        <f>AB58*AB60</f>
        <v>0</v>
      </c>
      <c r="AC62" s="1116">
        <f>AC58*AC60</f>
        <v>0</v>
      </c>
      <c r="AD62" s="1055"/>
      <c r="AE62" s="1116">
        <f>AE58*AE60</f>
        <v>0</v>
      </c>
      <c r="AF62" s="1116">
        <f>AF58*AF60</f>
        <v>0</v>
      </c>
      <c r="AG62" s="951"/>
    </row>
    <row r="63" spans="1:33" x14ac:dyDescent="0.25">
      <c r="A63" s="1117" t="s">
        <v>618</v>
      </c>
      <c r="B63" s="1106"/>
      <c r="C63" s="1106"/>
      <c r="D63" s="1112"/>
      <c r="E63" s="1112"/>
      <c r="F63" s="1106"/>
      <c r="G63" s="1112"/>
      <c r="H63" s="1112"/>
      <c r="I63" s="1109"/>
      <c r="J63" s="1112"/>
      <c r="K63" s="1112"/>
      <c r="L63" s="1109"/>
      <c r="M63" s="1112"/>
      <c r="N63" s="1112"/>
      <c r="O63" s="1109"/>
      <c r="P63" s="1112"/>
      <c r="Q63" s="1112"/>
      <c r="R63" s="1109"/>
      <c r="S63" s="1112"/>
      <c r="T63" s="1112"/>
      <c r="U63" s="1109"/>
      <c r="V63" s="1112"/>
      <c r="W63" s="1112"/>
      <c r="X63" s="1109"/>
      <c r="Y63" s="1112"/>
      <c r="Z63" s="1112"/>
      <c r="AA63" s="1109"/>
      <c r="AB63" s="1112"/>
      <c r="AC63" s="1112"/>
      <c r="AD63" s="1109"/>
      <c r="AE63" s="1112"/>
      <c r="AF63" s="1112"/>
      <c r="AG63" s="951"/>
    </row>
    <row r="64" spans="1:33" x14ac:dyDescent="0.25">
      <c r="A64" s="1112" t="s">
        <v>617</v>
      </c>
      <c r="B64" s="1106"/>
      <c r="C64" s="1106"/>
      <c r="D64" s="1118">
        <f>D62/(1-D60)</f>
        <v>0</v>
      </c>
      <c r="E64" s="1118">
        <f>E62/(1-E60)</f>
        <v>0</v>
      </c>
      <c r="F64" s="1106"/>
      <c r="G64" s="1118">
        <f>G62/(1-G60)</f>
        <v>0</v>
      </c>
      <c r="H64" s="1118">
        <f>H62/(1-H60)</f>
        <v>0</v>
      </c>
      <c r="I64" s="1119"/>
      <c r="J64" s="1118">
        <f>J62/(1-J60)</f>
        <v>0</v>
      </c>
      <c r="K64" s="1118">
        <f>K62/(1-K60)</f>
        <v>0</v>
      </c>
      <c r="L64" s="1119"/>
      <c r="M64" s="1118">
        <f>M62/(1-M60)</f>
        <v>0</v>
      </c>
      <c r="N64" s="1118">
        <f>N62/(1-N60)</f>
        <v>0</v>
      </c>
      <c r="O64" s="1119"/>
      <c r="P64" s="1118">
        <f>P62/(1-P60)</f>
        <v>0</v>
      </c>
      <c r="Q64" s="1118">
        <f>Q62/(1-Q60)</f>
        <v>0</v>
      </c>
      <c r="R64" s="1119"/>
      <c r="S64" s="1118">
        <f>S62/(1-S60)</f>
        <v>0</v>
      </c>
      <c r="T64" s="1118">
        <f>T62/(1-T60)</f>
        <v>0</v>
      </c>
      <c r="U64" s="1119"/>
      <c r="V64" s="1118">
        <f>V62/(1-V60)</f>
        <v>0</v>
      </c>
      <c r="W64" s="1118">
        <f>W62/(1-W60)</f>
        <v>0</v>
      </c>
      <c r="X64" s="1119"/>
      <c r="Y64" s="1118">
        <f>Y62/(1-Y60)</f>
        <v>0</v>
      </c>
      <c r="Z64" s="1118">
        <f>Z62/(1-Z60)</f>
        <v>0</v>
      </c>
      <c r="AA64" s="1119"/>
      <c r="AB64" s="1118">
        <f>AB62/(1-AB60)</f>
        <v>0</v>
      </c>
      <c r="AC64" s="1118">
        <f>AC62/(1-AC60)</f>
        <v>0</v>
      </c>
      <c r="AD64" s="1119"/>
      <c r="AE64" s="1118">
        <f>AE62/(1-AE60)</f>
        <v>0</v>
      </c>
      <c r="AF64" s="1118">
        <f>AF62/(1-AF60)</f>
        <v>0</v>
      </c>
      <c r="AG64" s="951"/>
    </row>
    <row r="65" spans="1:33" x14ac:dyDescent="0.25">
      <c r="A65" s="1111" t="s">
        <v>619</v>
      </c>
      <c r="B65" s="1106"/>
      <c r="C65" s="1106"/>
      <c r="D65" s="1120">
        <f>SUM(D64:D64)</f>
        <v>0</v>
      </c>
      <c r="E65" s="1120">
        <f>SUM(E64:E64)</f>
        <v>0</v>
      </c>
      <c r="F65" s="1106"/>
      <c r="G65" s="1120">
        <f>SUM(G64:G64)</f>
        <v>0</v>
      </c>
      <c r="H65" s="1120">
        <f>SUM(H64:H64)</f>
        <v>0</v>
      </c>
      <c r="I65" s="1121"/>
      <c r="J65" s="1120">
        <f>SUM(J64:J64)</f>
        <v>0</v>
      </c>
      <c r="K65" s="1120">
        <f>SUM(K64:K64)</f>
        <v>0</v>
      </c>
      <c r="L65" s="1121"/>
      <c r="M65" s="1120">
        <f>SUM(M64:M64)</f>
        <v>0</v>
      </c>
      <c r="N65" s="1120">
        <f>SUM(N64:N64)</f>
        <v>0</v>
      </c>
      <c r="O65" s="1121"/>
      <c r="P65" s="1120">
        <f>SUM(P64:P64)</f>
        <v>0</v>
      </c>
      <c r="Q65" s="1120">
        <f>SUM(Q64:Q64)</f>
        <v>0</v>
      </c>
      <c r="R65" s="1121"/>
      <c r="S65" s="1120">
        <f>SUM(S64:S64)</f>
        <v>0</v>
      </c>
      <c r="T65" s="1120">
        <f>SUM(T64:T64)</f>
        <v>0</v>
      </c>
      <c r="U65" s="1121"/>
      <c r="V65" s="1120">
        <f>SUM(V64:V64)</f>
        <v>0</v>
      </c>
      <c r="W65" s="1120">
        <f>SUM(W64:W64)</f>
        <v>0</v>
      </c>
      <c r="X65" s="1121"/>
      <c r="Y65" s="1120">
        <f>SUM(Y64:Y64)</f>
        <v>0</v>
      </c>
      <c r="Z65" s="1120">
        <f>SUM(Z64:Z64)</f>
        <v>0</v>
      </c>
      <c r="AA65" s="1121"/>
      <c r="AB65" s="1120">
        <f>SUM(AB64:AB64)</f>
        <v>0</v>
      </c>
      <c r="AC65" s="1120">
        <f>SUM(AC64:AC64)</f>
        <v>0</v>
      </c>
      <c r="AD65" s="1121"/>
      <c r="AE65" s="1120">
        <f>SUM(AE64:AE64)</f>
        <v>0</v>
      </c>
      <c r="AF65" s="1120">
        <f>SUM(AF64:AF64)</f>
        <v>0</v>
      </c>
      <c r="AG65" s="951"/>
    </row>
    <row r="66" spans="1:33" x14ac:dyDescent="0.25">
      <c r="A66" s="951"/>
      <c r="B66" s="1105"/>
      <c r="C66" s="1105"/>
      <c r="D66" s="1105"/>
      <c r="E66" s="1105"/>
      <c r="F66" s="1105"/>
      <c r="G66" s="1105"/>
      <c r="H66" s="1105"/>
      <c r="I66" s="1105"/>
      <c r="J66" s="1105"/>
      <c r="K66" s="1105"/>
      <c r="L66" s="1105"/>
      <c r="M66" s="1105"/>
      <c r="N66" s="1105"/>
      <c r="O66" s="1105"/>
      <c r="P66" s="1105"/>
      <c r="Q66" s="1122"/>
      <c r="R66" s="1122"/>
      <c r="S66" s="1122"/>
      <c r="T66" s="1122"/>
      <c r="U66" s="951"/>
      <c r="V66" s="951"/>
      <c r="W66" s="951"/>
      <c r="X66" s="951"/>
      <c r="Y66" s="951"/>
      <c r="Z66" s="951"/>
      <c r="AA66" s="951"/>
      <c r="AB66" s="951"/>
      <c r="AC66" s="951"/>
      <c r="AD66" s="951"/>
      <c r="AE66" s="951"/>
      <c r="AF66" s="951"/>
      <c r="AG66" s="951"/>
    </row>
    <row r="67" spans="1:33" ht="15.75" thickBot="1" x14ac:dyDescent="0.3">
      <c r="A67" s="951"/>
      <c r="B67" s="1105"/>
      <c r="C67" s="1105"/>
      <c r="D67" s="1105"/>
      <c r="E67" s="1105"/>
      <c r="F67" s="1105"/>
      <c r="G67" s="1105"/>
      <c r="H67" s="1105"/>
      <c r="I67" s="1105"/>
      <c r="J67" s="1105"/>
      <c r="K67" s="1105"/>
      <c r="L67" s="1105"/>
      <c r="M67" s="1105"/>
      <c r="N67" s="1105"/>
      <c r="O67" s="1105"/>
      <c r="P67" s="1105"/>
      <c r="Q67" s="1122"/>
      <c r="R67" s="1122"/>
      <c r="S67" s="1122"/>
      <c r="T67" s="1122"/>
      <c r="U67" s="951"/>
      <c r="V67" s="951"/>
      <c r="W67" s="951"/>
      <c r="X67" s="1"/>
      <c r="Y67" s="1"/>
      <c r="Z67" s="1"/>
      <c r="AA67" s="1"/>
      <c r="AB67" s="1"/>
      <c r="AC67" s="1"/>
      <c r="AD67" s="1"/>
      <c r="AE67" s="1"/>
      <c r="AF67" s="1"/>
      <c r="AG67" s="1"/>
    </row>
    <row r="68" spans="1:33" ht="16.5" thickBot="1" x14ac:dyDescent="0.3">
      <c r="A68" s="1123"/>
      <c r="B68" s="1123"/>
      <c r="C68" s="1123"/>
      <c r="D68" s="1123"/>
      <c r="E68" s="1123"/>
      <c r="F68" s="1124">
        <f>G68-1</f>
        <v>2014</v>
      </c>
      <c r="G68" s="1124">
        <f>H68-1</f>
        <v>2015</v>
      </c>
      <c r="H68" s="1124">
        <f>I68-1</f>
        <v>2016</v>
      </c>
      <c r="I68" s="1124">
        <f>J68-1</f>
        <v>2017</v>
      </c>
      <c r="J68" s="1124">
        <f>K68-1</f>
        <v>2018</v>
      </c>
      <c r="K68" s="1124">
        <f>TestYear</f>
        <v>2019</v>
      </c>
      <c r="L68" s="1125">
        <f>K68+1</f>
        <v>2020</v>
      </c>
      <c r="M68" s="1125">
        <f>L68+1</f>
        <v>2021</v>
      </c>
      <c r="N68" s="1125">
        <f>M68+1</f>
        <v>2022</v>
      </c>
      <c r="O68" s="1125">
        <f>N68+1</f>
        <v>2023</v>
      </c>
      <c r="P68" s="951"/>
      <c r="Q68" s="1126"/>
      <c r="R68" s="1127"/>
      <c r="S68" s="1127"/>
      <c r="T68" s="1127"/>
      <c r="U68" s="1127"/>
      <c r="V68" s="1127"/>
      <c r="W68" s="1"/>
      <c r="X68" s="1"/>
      <c r="Y68" s="1"/>
      <c r="Z68" s="1"/>
    </row>
    <row r="69" spans="1:33" x14ac:dyDescent="0.25">
      <c r="A69" s="1128" t="s">
        <v>620</v>
      </c>
      <c r="B69" s="1129"/>
      <c r="C69" s="1129"/>
      <c r="D69" s="1129"/>
      <c r="E69" s="1129"/>
      <c r="F69" s="1129"/>
      <c r="G69" s="1129"/>
      <c r="H69" s="1129"/>
      <c r="I69" s="1129"/>
      <c r="J69" s="1130"/>
      <c r="K69" s="1130"/>
      <c r="L69" s="1130"/>
      <c r="M69" s="974"/>
      <c r="N69" s="1130"/>
      <c r="O69" s="974"/>
      <c r="P69" s="951"/>
      <c r="Q69" s="1131"/>
      <c r="R69" s="1132"/>
      <c r="S69" s="974"/>
      <c r="T69" s="974"/>
      <c r="U69" s="1127"/>
      <c r="V69" s="1127"/>
      <c r="W69" s="1127"/>
      <c r="X69" s="1"/>
      <c r="Y69" s="1"/>
      <c r="Z69" s="1"/>
    </row>
    <row r="70" spans="1:33" x14ac:dyDescent="0.25">
      <c r="A70" s="1123"/>
      <c r="B70" s="1133" t="s">
        <v>621</v>
      </c>
      <c r="C70" s="201">
        <v>25</v>
      </c>
      <c r="D70" s="1133"/>
      <c r="E70" s="1133"/>
      <c r="G70" s="1133"/>
      <c r="H70" s="1133"/>
      <c r="I70" s="1133"/>
      <c r="K70" s="1077"/>
      <c r="L70" s="1077"/>
      <c r="M70" s="974"/>
      <c r="N70" s="1077"/>
      <c r="O70" s="974"/>
      <c r="P70" s="951"/>
      <c r="Q70" s="974"/>
      <c r="R70" s="974"/>
      <c r="S70" s="974"/>
      <c r="T70" s="974"/>
      <c r="U70" s="1127"/>
      <c r="V70" s="1127"/>
      <c r="W70" s="1127"/>
      <c r="X70" s="1"/>
      <c r="Y70" s="1"/>
      <c r="Z70" s="1"/>
    </row>
    <row r="71" spans="1:33" x14ac:dyDescent="0.25">
      <c r="A71" s="1123" t="s">
        <v>622</v>
      </c>
      <c r="B71" s="1123"/>
      <c r="C71" s="1123"/>
      <c r="D71" s="1123"/>
      <c r="E71" s="1123"/>
      <c r="F71" s="1115"/>
      <c r="G71" s="1115">
        <f t="shared" ref="G71" si="12">F73</f>
        <v>0</v>
      </c>
      <c r="H71" s="1115">
        <f t="shared" ref="H71:O71" si="13">G73</f>
        <v>0</v>
      </c>
      <c r="I71" s="1115">
        <f t="shared" si="13"/>
        <v>0</v>
      </c>
      <c r="J71" s="1115">
        <f t="shared" si="13"/>
        <v>0</v>
      </c>
      <c r="K71" s="1115">
        <f t="shared" si="13"/>
        <v>0</v>
      </c>
      <c r="L71" s="1115">
        <f t="shared" si="13"/>
        <v>0</v>
      </c>
      <c r="M71" s="1115">
        <f t="shared" si="13"/>
        <v>0</v>
      </c>
      <c r="N71" s="1115">
        <f t="shared" si="13"/>
        <v>0</v>
      </c>
      <c r="O71" s="1115">
        <f t="shared" si="13"/>
        <v>0</v>
      </c>
      <c r="P71" s="951"/>
      <c r="Q71" s="974"/>
      <c r="R71" s="974"/>
      <c r="S71" s="974"/>
      <c r="T71" s="974"/>
      <c r="U71" s="1127"/>
      <c r="V71" s="1127"/>
      <c r="W71" s="1127"/>
      <c r="X71" s="1"/>
      <c r="Y71" s="1"/>
      <c r="Z71" s="1"/>
    </row>
    <row r="72" spans="1:33" x14ac:dyDescent="0.25">
      <c r="A72" s="1123" t="s">
        <v>623</v>
      </c>
      <c r="B72" s="1123"/>
      <c r="C72" s="1123"/>
      <c r="D72" s="1123"/>
      <c r="E72" s="1123"/>
      <c r="F72" s="1130">
        <f>'App.2-FA Proposed REG Invest.'!C62</f>
        <v>0</v>
      </c>
      <c r="G72" s="1130">
        <f>'App.2-FA Proposed REG Invest.'!D62</f>
        <v>0</v>
      </c>
      <c r="H72" s="1130">
        <f>'App.2-FA Proposed REG Invest.'!E62</f>
        <v>0</v>
      </c>
      <c r="I72" s="1130">
        <f>'App.2-FA Proposed REG Invest.'!F62</f>
        <v>0</v>
      </c>
      <c r="J72" s="1130">
        <f>'App.2-FA Proposed REG Invest.'!G62</f>
        <v>0</v>
      </c>
      <c r="K72" s="1130">
        <f>'App.2-FA Proposed REG Invest.'!H62</f>
        <v>0</v>
      </c>
      <c r="L72" s="1130">
        <f>'App.2-FA Proposed REG Invest.'!I62</f>
        <v>0</v>
      </c>
      <c r="M72" s="1130">
        <f>'App.2-FA Proposed REG Invest.'!J62</f>
        <v>0</v>
      </c>
      <c r="N72" s="1130">
        <f>'App.2-FA Proposed REG Invest.'!K62</f>
        <v>0</v>
      </c>
      <c r="O72" s="1130">
        <f>'App.2-FA Proposed REG Invest.'!L62</f>
        <v>0</v>
      </c>
      <c r="P72" s="951"/>
      <c r="Q72" s="974"/>
      <c r="R72" s="974"/>
      <c r="S72" s="974"/>
      <c r="T72" s="1134"/>
      <c r="U72" s="1127"/>
      <c r="V72" s="1127"/>
      <c r="W72" s="1127"/>
      <c r="X72" s="1"/>
      <c r="Y72" s="1"/>
      <c r="Z72" s="1"/>
    </row>
    <row r="73" spans="1:33" x14ac:dyDescent="0.25">
      <c r="A73" s="1123" t="s">
        <v>624</v>
      </c>
      <c r="B73" s="1123"/>
      <c r="C73" s="1123"/>
      <c r="D73" s="1123"/>
      <c r="E73" s="1123"/>
      <c r="F73" s="1115">
        <f t="shared" ref="F73" si="14">SUM(F71:F72)</f>
        <v>0</v>
      </c>
      <c r="G73" s="1115">
        <f t="shared" ref="G73:O73" si="15">SUM(G71:G72)</f>
        <v>0</v>
      </c>
      <c r="H73" s="1115">
        <f t="shared" si="15"/>
        <v>0</v>
      </c>
      <c r="I73" s="1115">
        <f t="shared" si="15"/>
        <v>0</v>
      </c>
      <c r="J73" s="1115">
        <f t="shared" si="15"/>
        <v>0</v>
      </c>
      <c r="K73" s="1115">
        <f t="shared" si="15"/>
        <v>0</v>
      </c>
      <c r="L73" s="1115">
        <f t="shared" si="15"/>
        <v>0</v>
      </c>
      <c r="M73" s="1115">
        <f t="shared" si="15"/>
        <v>0</v>
      </c>
      <c r="N73" s="1115">
        <f t="shared" si="15"/>
        <v>0</v>
      </c>
      <c r="O73" s="1115">
        <f t="shared" si="15"/>
        <v>0</v>
      </c>
      <c r="P73" s="951"/>
      <c r="Q73" s="1127"/>
      <c r="R73" s="1127"/>
      <c r="S73" s="1127"/>
      <c r="T73" s="1127"/>
      <c r="U73" s="1127"/>
      <c r="V73" s="1127"/>
      <c r="W73" s="1127"/>
      <c r="X73" s="1"/>
      <c r="Y73" s="1"/>
      <c r="Z73" s="1"/>
    </row>
    <row r="74" spans="1:33" x14ac:dyDescent="0.25">
      <c r="A74" s="1123"/>
      <c r="B74" s="1123"/>
      <c r="C74" s="1123"/>
      <c r="D74" s="1123"/>
      <c r="E74" s="1123"/>
      <c r="F74" s="1055"/>
      <c r="G74" s="1055"/>
      <c r="H74" s="1055"/>
      <c r="I74" s="1055"/>
      <c r="J74" s="1055"/>
      <c r="K74" s="1055"/>
      <c r="L74" s="1077"/>
      <c r="M74" s="974"/>
      <c r="N74" s="1077"/>
      <c r="O74" s="974"/>
      <c r="P74" s="951"/>
      <c r="Q74" s="974"/>
      <c r="R74" s="1127"/>
      <c r="S74" s="1127"/>
      <c r="T74" s="1127"/>
      <c r="U74" s="1127"/>
      <c r="V74" s="1127"/>
      <c r="W74" s="1127"/>
      <c r="X74" s="1"/>
      <c r="Y74" s="1"/>
      <c r="Z74" s="1"/>
    </row>
    <row r="75" spans="1:33" x14ac:dyDescent="0.25">
      <c r="A75" s="1123" t="s">
        <v>625</v>
      </c>
      <c r="B75" s="1123"/>
      <c r="C75" s="1123"/>
      <c r="D75" s="1123"/>
      <c r="E75" s="1123"/>
      <c r="F75" s="1115"/>
      <c r="G75" s="1115"/>
      <c r="H75" s="1115">
        <f>+G78</f>
        <v>0</v>
      </c>
      <c r="I75" s="1115">
        <f t="shared" ref="I75:O75" si="16">H78</f>
        <v>0</v>
      </c>
      <c r="J75" s="1115">
        <f t="shared" si="16"/>
        <v>0</v>
      </c>
      <c r="K75" s="1115">
        <f t="shared" si="16"/>
        <v>0</v>
      </c>
      <c r="L75" s="1115">
        <f t="shared" si="16"/>
        <v>0</v>
      </c>
      <c r="M75" s="1115">
        <f t="shared" si="16"/>
        <v>0</v>
      </c>
      <c r="N75" s="1115">
        <f t="shared" si="16"/>
        <v>0</v>
      </c>
      <c r="O75" s="1115">
        <f t="shared" si="16"/>
        <v>0</v>
      </c>
      <c r="P75" s="951"/>
      <c r="Q75" s="974"/>
      <c r="R75" s="1127"/>
      <c r="S75" s="1127"/>
      <c r="T75" s="1127"/>
      <c r="U75" s="1127"/>
      <c r="V75" s="1127"/>
      <c r="W75" s="1127"/>
      <c r="X75" s="1"/>
      <c r="Y75" s="1"/>
      <c r="Z75" s="1"/>
    </row>
    <row r="76" spans="1:33" x14ac:dyDescent="0.25">
      <c r="A76" s="1123" t="s">
        <v>626</v>
      </c>
      <c r="B76" s="1123"/>
      <c r="C76" s="1123"/>
      <c r="D76" s="1123"/>
      <c r="E76" s="1123"/>
      <c r="F76" s="1055">
        <f t="shared" ref="F76:O76" si="17">IF(ISERROR(F71/$C$70), 0, F71/$C$70)</f>
        <v>0</v>
      </c>
      <c r="G76" s="1055">
        <f t="shared" si="17"/>
        <v>0</v>
      </c>
      <c r="H76" s="1055">
        <f t="shared" si="17"/>
        <v>0</v>
      </c>
      <c r="I76" s="1055">
        <f t="shared" si="17"/>
        <v>0</v>
      </c>
      <c r="J76" s="1055">
        <f t="shared" si="17"/>
        <v>0</v>
      </c>
      <c r="K76" s="1055">
        <f t="shared" si="17"/>
        <v>0</v>
      </c>
      <c r="L76" s="1055">
        <f t="shared" si="17"/>
        <v>0</v>
      </c>
      <c r="M76" s="1055">
        <f t="shared" si="17"/>
        <v>0</v>
      </c>
      <c r="N76" s="1055">
        <f t="shared" si="17"/>
        <v>0</v>
      </c>
      <c r="O76" s="1055">
        <f t="shared" si="17"/>
        <v>0</v>
      </c>
      <c r="P76" s="951"/>
      <c r="Q76" s="974"/>
      <c r="R76" s="1127"/>
      <c r="S76" s="1127"/>
      <c r="T76" s="1127"/>
      <c r="U76" s="1127"/>
      <c r="V76" s="1127"/>
      <c r="W76" s="1127"/>
      <c r="X76" s="1"/>
      <c r="Y76" s="1"/>
      <c r="Z76" s="1"/>
    </row>
    <row r="77" spans="1:33" x14ac:dyDescent="0.25">
      <c r="A77" s="1123" t="s">
        <v>627</v>
      </c>
      <c r="B77" s="951"/>
      <c r="C77" s="951"/>
      <c r="D77" s="951"/>
      <c r="E77" s="951"/>
      <c r="F77" s="1077">
        <f t="shared" ref="F77:K77" si="18">F72/$C$70/2</f>
        <v>0</v>
      </c>
      <c r="G77" s="1077">
        <f t="shared" si="18"/>
        <v>0</v>
      </c>
      <c r="H77" s="1077">
        <f t="shared" si="18"/>
        <v>0</v>
      </c>
      <c r="I77" s="1077">
        <f t="shared" si="18"/>
        <v>0</v>
      </c>
      <c r="J77" s="1077">
        <f t="shared" si="18"/>
        <v>0</v>
      </c>
      <c r="K77" s="1077">
        <f t="shared" si="18"/>
        <v>0</v>
      </c>
      <c r="L77" s="1077">
        <f>L72/C70/2</f>
        <v>0</v>
      </c>
      <c r="M77" s="1077">
        <f>M72/C70/2</f>
        <v>0</v>
      </c>
      <c r="N77" s="1077">
        <f>N72/C70/2</f>
        <v>0</v>
      </c>
      <c r="O77" s="1077">
        <f>O72/C70/2</f>
        <v>0</v>
      </c>
      <c r="P77" s="951"/>
      <c r="Q77" s="974"/>
      <c r="R77" s="1127"/>
      <c r="S77" s="1127"/>
      <c r="T77" s="1127"/>
      <c r="U77" s="1127"/>
      <c r="V77" s="1127"/>
      <c r="W77" s="1127"/>
      <c r="X77" s="1"/>
      <c r="Y77" s="1"/>
      <c r="Z77" s="1"/>
    </row>
    <row r="78" spans="1:33" x14ac:dyDescent="0.25">
      <c r="A78" s="1123" t="s">
        <v>628</v>
      </c>
      <c r="B78" s="1123"/>
      <c r="C78" s="1123"/>
      <c r="D78" s="1123"/>
      <c r="E78" s="1123"/>
      <c r="F78" s="1115">
        <f t="shared" ref="F78:K78" si="19">SUM(F75+F76+F77)</f>
        <v>0</v>
      </c>
      <c r="G78" s="1115">
        <f t="shared" si="19"/>
        <v>0</v>
      </c>
      <c r="H78" s="1115">
        <f t="shared" si="19"/>
        <v>0</v>
      </c>
      <c r="I78" s="1115">
        <f t="shared" si="19"/>
        <v>0</v>
      </c>
      <c r="J78" s="1115">
        <f t="shared" si="19"/>
        <v>0</v>
      </c>
      <c r="K78" s="1115">
        <f t="shared" si="19"/>
        <v>0</v>
      </c>
      <c r="L78" s="1115">
        <f>SUM(L75:L77)</f>
        <v>0</v>
      </c>
      <c r="M78" s="1115">
        <f>SUM(M75:M77)</f>
        <v>0</v>
      </c>
      <c r="N78" s="1115">
        <f>SUM(N75:N77)</f>
        <v>0</v>
      </c>
      <c r="O78" s="1115">
        <f>SUM(O75:O77)</f>
        <v>0</v>
      </c>
      <c r="P78" s="951"/>
      <c r="Q78" s="974"/>
      <c r="R78" s="1127"/>
      <c r="S78" s="1127"/>
      <c r="T78" s="1127"/>
      <c r="U78" s="1127"/>
      <c r="V78" s="1127"/>
      <c r="W78" s="1127"/>
      <c r="X78" s="1"/>
      <c r="Y78" s="1"/>
      <c r="Z78" s="1"/>
    </row>
    <row r="79" spans="1:33" x14ac:dyDescent="0.25">
      <c r="A79" s="1123"/>
      <c r="B79" s="1123"/>
      <c r="C79" s="1123"/>
      <c r="D79" s="1123"/>
      <c r="E79" s="1123"/>
      <c r="F79" s="1077"/>
      <c r="G79" s="1077"/>
      <c r="H79" s="1077"/>
      <c r="I79" s="1077"/>
      <c r="J79" s="1077"/>
      <c r="K79" s="1077"/>
      <c r="L79" s="1077"/>
      <c r="M79" s="1077"/>
      <c r="N79" s="1077"/>
      <c r="O79" s="1077"/>
      <c r="P79" s="951"/>
      <c r="Q79" s="974"/>
      <c r="R79" s="1127"/>
      <c r="S79" s="1134"/>
      <c r="T79" s="974"/>
      <c r="U79" s="1127"/>
      <c r="V79" s="1127"/>
      <c r="W79" s="1127"/>
      <c r="X79" s="1"/>
      <c r="Y79" s="1"/>
      <c r="Z79" s="1"/>
    </row>
    <row r="80" spans="1:33" x14ac:dyDescent="0.25">
      <c r="A80" s="1123" t="s">
        <v>629</v>
      </c>
      <c r="B80" s="1123"/>
      <c r="C80" s="1123"/>
      <c r="D80" s="1123"/>
      <c r="E80" s="1123"/>
      <c r="F80" s="1077">
        <f t="shared" ref="F80:K80" si="20">F71-F75</f>
        <v>0</v>
      </c>
      <c r="G80" s="1077">
        <f t="shared" si="20"/>
        <v>0</v>
      </c>
      <c r="H80" s="1077">
        <f t="shared" si="20"/>
        <v>0</v>
      </c>
      <c r="I80" s="1077">
        <f t="shared" si="20"/>
        <v>0</v>
      </c>
      <c r="J80" s="1077">
        <f t="shared" si="20"/>
        <v>0</v>
      </c>
      <c r="K80" s="1077">
        <f t="shared" si="20"/>
        <v>0</v>
      </c>
      <c r="L80" s="1077">
        <f>K81</f>
        <v>0</v>
      </c>
      <c r="M80" s="1077">
        <f>L81</f>
        <v>0</v>
      </c>
      <c r="N80" s="1077">
        <f>M81</f>
        <v>0</v>
      </c>
      <c r="O80" s="1077">
        <f>N81</f>
        <v>0</v>
      </c>
      <c r="P80" s="951"/>
      <c r="Q80" s="974"/>
      <c r="R80" s="1127"/>
      <c r="S80" s="974"/>
      <c r="T80" s="1127"/>
      <c r="U80" s="1127"/>
      <c r="V80" s="1127"/>
      <c r="W80" s="1127"/>
      <c r="X80" s="1"/>
      <c r="Y80" s="1"/>
      <c r="Z80" s="1"/>
    </row>
    <row r="81" spans="1:26" x14ac:dyDescent="0.25">
      <c r="A81" s="1123" t="s">
        <v>630</v>
      </c>
      <c r="B81" s="1123"/>
      <c r="C81" s="1123"/>
      <c r="D81" s="1123"/>
      <c r="E81" s="1123"/>
      <c r="F81" s="1115">
        <f t="shared" ref="F81" si="21">F73-F78</f>
        <v>0</v>
      </c>
      <c r="G81" s="1115">
        <f t="shared" ref="G81:O81" si="22">G73-G78</f>
        <v>0</v>
      </c>
      <c r="H81" s="1115">
        <f t="shared" si="22"/>
        <v>0</v>
      </c>
      <c r="I81" s="1115">
        <f t="shared" si="22"/>
        <v>0</v>
      </c>
      <c r="J81" s="1115">
        <f t="shared" si="22"/>
        <v>0</v>
      </c>
      <c r="K81" s="1115">
        <f t="shared" si="22"/>
        <v>0</v>
      </c>
      <c r="L81" s="1115">
        <f t="shared" si="22"/>
        <v>0</v>
      </c>
      <c r="M81" s="1115">
        <f t="shared" si="22"/>
        <v>0</v>
      </c>
      <c r="N81" s="1115">
        <f t="shared" si="22"/>
        <v>0</v>
      </c>
      <c r="O81" s="1115">
        <f t="shared" si="22"/>
        <v>0</v>
      </c>
      <c r="P81" s="951"/>
      <c r="Q81" s="974"/>
      <c r="R81" s="1127"/>
      <c r="S81" s="1127"/>
      <c r="T81" s="1127"/>
      <c r="U81" s="1127"/>
      <c r="V81" s="1127"/>
      <c r="W81" s="1127"/>
      <c r="X81" s="1"/>
      <c r="Y81" s="1"/>
      <c r="Z81" s="1"/>
    </row>
    <row r="82" spans="1:26" ht="15.75" thickBot="1" x14ac:dyDescent="0.3">
      <c r="A82" s="1129" t="s">
        <v>631</v>
      </c>
      <c r="B82" s="1123"/>
      <c r="C82" s="1123"/>
      <c r="D82" s="1123"/>
      <c r="E82" s="1123"/>
      <c r="F82" s="1135">
        <f t="shared" ref="F82" si="23">SUM(F80:F81)/2</f>
        <v>0</v>
      </c>
      <c r="G82" s="1135">
        <f t="shared" ref="G82:O82" si="24">SUM(G80:G81)/2</f>
        <v>0</v>
      </c>
      <c r="H82" s="1135">
        <f t="shared" si="24"/>
        <v>0</v>
      </c>
      <c r="I82" s="1135">
        <f t="shared" si="24"/>
        <v>0</v>
      </c>
      <c r="J82" s="1135">
        <f t="shared" si="24"/>
        <v>0</v>
      </c>
      <c r="K82" s="1135">
        <f t="shared" si="24"/>
        <v>0</v>
      </c>
      <c r="L82" s="1135">
        <f t="shared" si="24"/>
        <v>0</v>
      </c>
      <c r="M82" s="1135">
        <f t="shared" si="24"/>
        <v>0</v>
      </c>
      <c r="N82" s="1135">
        <f t="shared" si="24"/>
        <v>0</v>
      </c>
      <c r="O82" s="1135">
        <f t="shared" si="24"/>
        <v>0</v>
      </c>
      <c r="P82" s="951"/>
      <c r="Q82" s="974"/>
      <c r="R82" s="1127"/>
      <c r="S82" s="1127"/>
      <c r="T82" s="1127"/>
      <c r="U82" s="1127"/>
      <c r="V82" s="1127"/>
      <c r="W82" s="1127"/>
      <c r="X82" s="1"/>
      <c r="Y82" s="1"/>
      <c r="Z82" s="1"/>
    </row>
    <row r="83" spans="1:26" x14ac:dyDescent="0.25">
      <c r="A83" s="1123"/>
      <c r="B83" s="1123"/>
      <c r="C83" s="1123"/>
      <c r="D83" s="1123"/>
      <c r="E83" s="1123"/>
      <c r="F83" s="1123"/>
      <c r="G83" s="1077"/>
      <c r="H83" s="1077"/>
      <c r="I83" s="1077"/>
      <c r="J83" s="1077"/>
      <c r="K83" s="1077"/>
      <c r="L83" s="1077"/>
      <c r="M83" s="974"/>
      <c r="N83" s="1077"/>
      <c r="O83" s="974"/>
      <c r="P83" s="951"/>
      <c r="Q83" s="974"/>
      <c r="R83" s="1127"/>
      <c r="S83" s="1127"/>
      <c r="T83" s="1127"/>
      <c r="U83" s="1127"/>
      <c r="V83" s="1127"/>
      <c r="W83" s="1127"/>
      <c r="X83" s="1"/>
      <c r="Y83" s="1"/>
      <c r="Z83" s="1"/>
    </row>
    <row r="84" spans="1:26" ht="15.75" thickBot="1" x14ac:dyDescent="0.3">
      <c r="A84" s="1128" t="s">
        <v>632</v>
      </c>
      <c r="B84" s="1129"/>
      <c r="C84" s="1129"/>
      <c r="D84" s="1129"/>
      <c r="E84" s="1129"/>
      <c r="F84" s="1129"/>
      <c r="G84" s="1077"/>
      <c r="H84" s="1077"/>
      <c r="I84" s="1077"/>
      <c r="J84" s="1077"/>
      <c r="K84" s="1077"/>
      <c r="L84" s="1077"/>
      <c r="M84" s="974"/>
      <c r="N84" s="1077"/>
      <c r="O84" s="974"/>
      <c r="P84" s="951"/>
      <c r="Q84" s="974"/>
      <c r="R84" s="1127"/>
      <c r="S84" s="1127"/>
      <c r="T84" s="1127"/>
      <c r="U84" s="1127"/>
      <c r="V84" s="1127"/>
      <c r="W84" s="1127"/>
      <c r="X84" s="1"/>
      <c r="Y84" s="1"/>
      <c r="Z84" s="1"/>
    </row>
    <row r="85" spans="1:26" ht="15.75" thickBot="1" x14ac:dyDescent="0.3">
      <c r="A85" s="1129"/>
      <c r="B85" s="974"/>
      <c r="C85" s="974"/>
      <c r="D85" s="974"/>
      <c r="E85" s="974"/>
      <c r="F85" s="1124">
        <f>F68</f>
        <v>2014</v>
      </c>
      <c r="G85" s="1124">
        <f>G68</f>
        <v>2015</v>
      </c>
      <c r="H85" s="1124">
        <f t="shared" ref="H85:O85" si="25">H68</f>
        <v>2016</v>
      </c>
      <c r="I85" s="1124">
        <f t="shared" si="25"/>
        <v>2017</v>
      </c>
      <c r="J85" s="1124">
        <f t="shared" si="25"/>
        <v>2018</v>
      </c>
      <c r="K85" s="1124">
        <f t="shared" si="25"/>
        <v>2019</v>
      </c>
      <c r="L85" s="1124">
        <f t="shared" si="25"/>
        <v>2020</v>
      </c>
      <c r="M85" s="1124">
        <f t="shared" si="25"/>
        <v>2021</v>
      </c>
      <c r="N85" s="1124">
        <f t="shared" si="25"/>
        <v>2022</v>
      </c>
      <c r="O85" s="1124">
        <f t="shared" si="25"/>
        <v>2023</v>
      </c>
      <c r="P85" s="951"/>
      <c r="Q85" s="974"/>
      <c r="R85" s="1127"/>
      <c r="S85" s="1127"/>
      <c r="T85" s="1127"/>
      <c r="U85" s="1127"/>
      <c r="V85" s="1127"/>
      <c r="W85" s="1127"/>
      <c r="X85" s="1"/>
      <c r="Y85" s="1"/>
      <c r="Z85" s="1"/>
    </row>
    <row r="86" spans="1:26" x14ac:dyDescent="0.25">
      <c r="A86" s="1123"/>
      <c r="B86" s="974"/>
      <c r="C86" s="974"/>
      <c r="D86" s="974"/>
      <c r="E86" s="974"/>
      <c r="F86" s="1077"/>
      <c r="G86" s="1077"/>
      <c r="H86" s="1077"/>
      <c r="I86" s="1077"/>
      <c r="J86" s="1077"/>
      <c r="K86" s="1077"/>
      <c r="L86" s="1077"/>
      <c r="M86" s="1077"/>
      <c r="N86" s="1077"/>
      <c r="O86" s="1077"/>
      <c r="P86" s="951"/>
      <c r="Q86" s="974"/>
      <c r="R86" s="1127"/>
      <c r="S86" s="1127"/>
      <c r="T86" s="1127"/>
      <c r="U86" s="1127"/>
      <c r="V86" s="1127"/>
      <c r="W86" s="1127"/>
      <c r="X86" s="1"/>
      <c r="Y86" s="1"/>
      <c r="Z86" s="1"/>
    </row>
    <row r="87" spans="1:26" x14ac:dyDescent="0.25">
      <c r="A87" s="1123" t="s">
        <v>633</v>
      </c>
      <c r="B87" s="974"/>
      <c r="C87" s="974"/>
      <c r="D87" s="974"/>
      <c r="E87" s="974"/>
      <c r="F87" s="1115"/>
      <c r="G87" s="1115">
        <f t="shared" ref="G87" si="26">F95</f>
        <v>0</v>
      </c>
      <c r="H87" s="1115">
        <f t="shared" ref="H87:O87" si="27">G95</f>
        <v>0</v>
      </c>
      <c r="I87" s="1115">
        <f t="shared" si="27"/>
        <v>0</v>
      </c>
      <c r="J87" s="1115">
        <f t="shared" si="27"/>
        <v>0</v>
      </c>
      <c r="K87" s="1115">
        <f t="shared" si="27"/>
        <v>0</v>
      </c>
      <c r="L87" s="1115">
        <f t="shared" si="27"/>
        <v>0</v>
      </c>
      <c r="M87" s="1115">
        <f t="shared" si="27"/>
        <v>0</v>
      </c>
      <c r="N87" s="1115">
        <f t="shared" si="27"/>
        <v>0</v>
      </c>
      <c r="O87" s="1115">
        <f t="shared" si="27"/>
        <v>0</v>
      </c>
      <c r="P87" s="951"/>
      <c r="Q87" s="974"/>
      <c r="R87" s="1127"/>
      <c r="S87" s="1127"/>
      <c r="T87" s="1127"/>
      <c r="U87" s="1127"/>
      <c r="V87" s="1127"/>
      <c r="W87" s="1127"/>
      <c r="X87" s="1"/>
      <c r="Y87" s="1"/>
      <c r="Z87" s="1"/>
    </row>
    <row r="88" spans="1:26" x14ac:dyDescent="0.25">
      <c r="A88" s="1123" t="s">
        <v>634</v>
      </c>
      <c r="B88" s="974"/>
      <c r="C88" s="974"/>
      <c r="D88" s="974"/>
      <c r="E88" s="974"/>
      <c r="F88" s="1077">
        <f t="shared" ref="F88" si="28">F72</f>
        <v>0</v>
      </c>
      <c r="G88" s="1077">
        <f t="shared" ref="G88:O88" si="29">G72</f>
        <v>0</v>
      </c>
      <c r="H88" s="1077">
        <f t="shared" si="29"/>
        <v>0</v>
      </c>
      <c r="I88" s="1077">
        <f t="shared" si="29"/>
        <v>0</v>
      </c>
      <c r="J88" s="1077">
        <f t="shared" si="29"/>
        <v>0</v>
      </c>
      <c r="K88" s="1077">
        <f t="shared" si="29"/>
        <v>0</v>
      </c>
      <c r="L88" s="1077">
        <f t="shared" si="29"/>
        <v>0</v>
      </c>
      <c r="M88" s="1077">
        <f t="shared" si="29"/>
        <v>0</v>
      </c>
      <c r="N88" s="1077">
        <f t="shared" si="29"/>
        <v>0</v>
      </c>
      <c r="O88" s="1077">
        <f t="shared" si="29"/>
        <v>0</v>
      </c>
      <c r="P88" s="951"/>
      <c r="Q88" s="974"/>
      <c r="R88" s="1127"/>
      <c r="S88" s="1134"/>
      <c r="T88" s="974"/>
      <c r="U88" s="1127"/>
      <c r="V88" s="1127"/>
      <c r="W88" s="1127"/>
      <c r="X88" s="1"/>
      <c r="Y88" s="1"/>
      <c r="Z88" s="1"/>
    </row>
    <row r="89" spans="1:26" x14ac:dyDescent="0.25">
      <c r="A89" s="1123" t="s">
        <v>635</v>
      </c>
      <c r="B89" s="974"/>
      <c r="C89" s="974"/>
      <c r="D89" s="974"/>
      <c r="E89" s="974"/>
      <c r="F89" s="1115">
        <f t="shared" ref="F89" si="30">SUM(F87:F88)</f>
        <v>0</v>
      </c>
      <c r="G89" s="1115">
        <f t="shared" ref="G89:O89" si="31">SUM(G87:G88)</f>
        <v>0</v>
      </c>
      <c r="H89" s="1115">
        <f t="shared" si="31"/>
        <v>0</v>
      </c>
      <c r="I89" s="1115">
        <f t="shared" si="31"/>
        <v>0</v>
      </c>
      <c r="J89" s="1115">
        <f t="shared" si="31"/>
        <v>0</v>
      </c>
      <c r="K89" s="1115">
        <f t="shared" si="31"/>
        <v>0</v>
      </c>
      <c r="L89" s="1115">
        <f t="shared" si="31"/>
        <v>0</v>
      </c>
      <c r="M89" s="1115">
        <f t="shared" si="31"/>
        <v>0</v>
      </c>
      <c r="N89" s="1115">
        <f t="shared" si="31"/>
        <v>0</v>
      </c>
      <c r="O89" s="1115">
        <f t="shared" si="31"/>
        <v>0</v>
      </c>
      <c r="P89" s="951"/>
      <c r="Q89" s="974"/>
      <c r="R89" s="1127"/>
      <c r="S89" s="974"/>
      <c r="T89" s="1127"/>
      <c r="U89" s="1127"/>
      <c r="V89" s="1127"/>
      <c r="W89" s="1127"/>
      <c r="X89" s="1"/>
      <c r="Y89" s="1"/>
      <c r="Z89" s="1"/>
    </row>
    <row r="90" spans="1:26" x14ac:dyDescent="0.25">
      <c r="A90" s="1123" t="s">
        <v>636</v>
      </c>
      <c r="B90" s="974"/>
      <c r="C90" s="974"/>
      <c r="D90" s="974"/>
      <c r="E90" s="974"/>
      <c r="F90" s="1077">
        <f t="shared" ref="F90" si="32">F88/2</f>
        <v>0</v>
      </c>
      <c r="G90" s="1077">
        <f t="shared" ref="G90:O90" si="33">G88/2</f>
        <v>0</v>
      </c>
      <c r="H90" s="1077">
        <f t="shared" si="33"/>
        <v>0</v>
      </c>
      <c r="I90" s="1077">
        <f t="shared" si="33"/>
        <v>0</v>
      </c>
      <c r="J90" s="1077">
        <f t="shared" si="33"/>
        <v>0</v>
      </c>
      <c r="K90" s="1077">
        <f t="shared" si="33"/>
        <v>0</v>
      </c>
      <c r="L90" s="1077">
        <f t="shared" si="33"/>
        <v>0</v>
      </c>
      <c r="M90" s="1077">
        <f t="shared" si="33"/>
        <v>0</v>
      </c>
      <c r="N90" s="1077">
        <f t="shared" si="33"/>
        <v>0</v>
      </c>
      <c r="O90" s="1077">
        <f t="shared" si="33"/>
        <v>0</v>
      </c>
      <c r="P90" s="951"/>
      <c r="Q90" s="974"/>
      <c r="R90" s="1127"/>
      <c r="S90" s="1127"/>
      <c r="T90" s="1127"/>
      <c r="U90" s="1127"/>
      <c r="V90" s="1127"/>
      <c r="W90" s="1127"/>
      <c r="X90" s="1"/>
      <c r="Y90" s="1"/>
      <c r="Z90" s="1"/>
    </row>
    <row r="91" spans="1:26" x14ac:dyDescent="0.25">
      <c r="A91" s="1123" t="s">
        <v>637</v>
      </c>
      <c r="B91" s="974"/>
      <c r="C91" s="974"/>
      <c r="D91" s="974"/>
      <c r="E91" s="974"/>
      <c r="F91" s="1115">
        <f t="shared" ref="F91" si="34">F89-F90</f>
        <v>0</v>
      </c>
      <c r="G91" s="1115">
        <f t="shared" ref="G91:O91" si="35">G89-G90</f>
        <v>0</v>
      </c>
      <c r="H91" s="1115">
        <f t="shared" si="35"/>
        <v>0</v>
      </c>
      <c r="I91" s="1115">
        <f t="shared" si="35"/>
        <v>0</v>
      </c>
      <c r="J91" s="1115">
        <f t="shared" si="35"/>
        <v>0</v>
      </c>
      <c r="K91" s="1115">
        <f t="shared" si="35"/>
        <v>0</v>
      </c>
      <c r="L91" s="1115">
        <f t="shared" si="35"/>
        <v>0</v>
      </c>
      <c r="M91" s="1115">
        <f t="shared" si="35"/>
        <v>0</v>
      </c>
      <c r="N91" s="1115">
        <f t="shared" si="35"/>
        <v>0</v>
      </c>
      <c r="O91" s="1115">
        <f t="shared" si="35"/>
        <v>0</v>
      </c>
      <c r="P91" s="951"/>
      <c r="Q91" s="1127"/>
      <c r="R91" s="1127"/>
      <c r="S91" s="1127"/>
      <c r="T91" s="1127"/>
      <c r="U91" s="1127"/>
      <c r="V91" s="1127"/>
      <c r="W91" s="1127"/>
      <c r="X91" s="1"/>
      <c r="Y91" s="1"/>
      <c r="Z91" s="1"/>
    </row>
    <row r="92" spans="1:26" x14ac:dyDescent="0.25">
      <c r="A92" s="1123" t="s">
        <v>638</v>
      </c>
      <c r="B92" s="974"/>
      <c r="C92" s="202">
        <v>47</v>
      </c>
      <c r="D92" s="974"/>
      <c r="E92" s="974"/>
      <c r="F92" s="202">
        <f>C92</f>
        <v>47</v>
      </c>
      <c r="G92" s="202">
        <f>C92</f>
        <v>47</v>
      </c>
      <c r="H92" s="202">
        <f t="shared" ref="H92:O93" si="36">G92</f>
        <v>47</v>
      </c>
      <c r="I92" s="202">
        <f t="shared" si="36"/>
        <v>47</v>
      </c>
      <c r="J92" s="202">
        <f t="shared" si="36"/>
        <v>47</v>
      </c>
      <c r="K92" s="202">
        <f t="shared" si="36"/>
        <v>47</v>
      </c>
      <c r="L92" s="202">
        <f t="shared" si="36"/>
        <v>47</v>
      </c>
      <c r="M92" s="202">
        <f t="shared" si="36"/>
        <v>47</v>
      </c>
      <c r="N92" s="202">
        <f t="shared" si="36"/>
        <v>47</v>
      </c>
      <c r="O92" s="202">
        <f t="shared" si="36"/>
        <v>47</v>
      </c>
      <c r="P92" s="951"/>
      <c r="Q92" s="1127"/>
      <c r="R92" s="1127"/>
      <c r="S92" s="1127"/>
      <c r="T92" s="1127"/>
      <c r="U92" s="1127"/>
      <c r="V92" s="1127"/>
      <c r="W92" s="1127"/>
      <c r="X92" s="1"/>
      <c r="Y92" s="1"/>
      <c r="Z92" s="1"/>
    </row>
    <row r="93" spans="1:26" x14ac:dyDescent="0.25">
      <c r="A93" s="1123" t="s">
        <v>639</v>
      </c>
      <c r="B93" s="974"/>
      <c r="C93" s="203">
        <v>0.08</v>
      </c>
      <c r="D93" s="974"/>
      <c r="E93" s="974"/>
      <c r="F93" s="203">
        <f>C93</f>
        <v>0.08</v>
      </c>
      <c r="G93" s="203">
        <f>C93</f>
        <v>0.08</v>
      </c>
      <c r="H93" s="203">
        <f t="shared" si="36"/>
        <v>0.08</v>
      </c>
      <c r="I93" s="203">
        <f t="shared" si="36"/>
        <v>0.08</v>
      </c>
      <c r="J93" s="203">
        <f t="shared" si="36"/>
        <v>0.08</v>
      </c>
      <c r="K93" s="203">
        <f t="shared" si="36"/>
        <v>0.08</v>
      </c>
      <c r="L93" s="203">
        <f t="shared" si="36"/>
        <v>0.08</v>
      </c>
      <c r="M93" s="203">
        <f t="shared" si="36"/>
        <v>0.08</v>
      </c>
      <c r="N93" s="203">
        <f t="shared" si="36"/>
        <v>0.08</v>
      </c>
      <c r="O93" s="203">
        <f t="shared" si="36"/>
        <v>0.08</v>
      </c>
      <c r="P93" s="951"/>
      <c r="Q93" s="974"/>
      <c r="R93" s="1127"/>
      <c r="S93" s="1127"/>
      <c r="T93" s="1127"/>
      <c r="U93" s="1127"/>
      <c r="V93" s="1127"/>
      <c r="W93" s="1127"/>
      <c r="X93" s="1"/>
      <c r="Y93" s="1"/>
      <c r="Z93" s="1"/>
    </row>
    <row r="94" spans="1:26" x14ac:dyDescent="0.25">
      <c r="A94" s="1123" t="s">
        <v>640</v>
      </c>
      <c r="B94" s="974"/>
      <c r="C94" s="974"/>
      <c r="D94" s="974"/>
      <c r="E94" s="974"/>
      <c r="F94" s="1115">
        <f t="shared" ref="F94" si="37">F91*F93</f>
        <v>0</v>
      </c>
      <c r="G94" s="1115">
        <f t="shared" ref="G94:O94" si="38">G91*G93</f>
        <v>0</v>
      </c>
      <c r="H94" s="1115">
        <f t="shared" si="38"/>
        <v>0</v>
      </c>
      <c r="I94" s="1115">
        <f t="shared" si="38"/>
        <v>0</v>
      </c>
      <c r="J94" s="1115">
        <f t="shared" si="38"/>
        <v>0</v>
      </c>
      <c r="K94" s="1115">
        <f t="shared" si="38"/>
        <v>0</v>
      </c>
      <c r="L94" s="1115">
        <f t="shared" si="38"/>
        <v>0</v>
      </c>
      <c r="M94" s="1115">
        <f t="shared" si="38"/>
        <v>0</v>
      </c>
      <c r="N94" s="1115">
        <f t="shared" si="38"/>
        <v>0</v>
      </c>
      <c r="O94" s="1115">
        <f t="shared" si="38"/>
        <v>0</v>
      </c>
      <c r="P94" s="951"/>
      <c r="Q94" s="974"/>
      <c r="R94" s="1127"/>
      <c r="S94" s="1127"/>
      <c r="T94" s="1127"/>
      <c r="U94" s="1127"/>
      <c r="V94" s="1127"/>
      <c r="W94" s="1127"/>
      <c r="X94" s="1"/>
      <c r="Y94" s="1"/>
      <c r="Z94" s="1"/>
    </row>
    <row r="95" spans="1:26" ht="15.75" thickBot="1" x14ac:dyDescent="0.3">
      <c r="A95" s="1129" t="s">
        <v>641</v>
      </c>
      <c r="B95" s="974"/>
      <c r="C95" s="974"/>
      <c r="D95" s="974"/>
      <c r="E95" s="974"/>
      <c r="F95" s="1135">
        <f t="shared" ref="F95" si="39">F89-F94</f>
        <v>0</v>
      </c>
      <c r="G95" s="1135">
        <f t="shared" ref="G95:O95" si="40">G89-G94</f>
        <v>0</v>
      </c>
      <c r="H95" s="1135">
        <f t="shared" si="40"/>
        <v>0</v>
      </c>
      <c r="I95" s="1135">
        <f t="shared" si="40"/>
        <v>0</v>
      </c>
      <c r="J95" s="1135">
        <f t="shared" si="40"/>
        <v>0</v>
      </c>
      <c r="K95" s="1135">
        <f t="shared" si="40"/>
        <v>0</v>
      </c>
      <c r="L95" s="1135">
        <f t="shared" si="40"/>
        <v>0</v>
      </c>
      <c r="M95" s="1135">
        <f t="shared" si="40"/>
        <v>0</v>
      </c>
      <c r="N95" s="1135">
        <f t="shared" si="40"/>
        <v>0</v>
      </c>
      <c r="O95" s="1135">
        <f t="shared" si="40"/>
        <v>0</v>
      </c>
      <c r="P95" s="951"/>
      <c r="Q95" s="974"/>
      <c r="R95" s="1127"/>
      <c r="S95" s="1127"/>
      <c r="T95" s="1127"/>
      <c r="U95" s="1127"/>
      <c r="V95" s="1127"/>
      <c r="W95" s="1127"/>
      <c r="X95" s="1"/>
      <c r="Y95" s="1"/>
      <c r="Z95" s="1"/>
    </row>
  </sheetData>
  <sheetProtection algorithmName="SHA-512" hashValue="jysXL/Wvoj2D4w0ISXHDhRK30TUEGGCFd6sOox24HMVjXqWILNhOnoBBAZv4bjIAMVaByNb/HRUOBfa+Mq8Ppg==" saltValue="zE0LWoRoODvtkYlPoFdjjA==" spinCount="100000" sheet="1" objects="1" scenarios="1"/>
  <mergeCells count="28">
    <mergeCell ref="AD17:AF17"/>
    <mergeCell ref="A9:U9"/>
    <mergeCell ref="A10:U10"/>
    <mergeCell ref="A12:U12"/>
    <mergeCell ref="A13:U13"/>
    <mergeCell ref="A15:U15"/>
    <mergeCell ref="A47:Z47"/>
    <mergeCell ref="R17:T17"/>
    <mergeCell ref="U17:W17"/>
    <mergeCell ref="X17:Z17"/>
    <mergeCell ref="AA17:AC17"/>
    <mergeCell ref="O17:Q17"/>
    <mergeCell ref="L17:N17"/>
    <mergeCell ref="I17:K17"/>
    <mergeCell ref="F17:H17"/>
    <mergeCell ref="C17:E17"/>
    <mergeCell ref="AB52:AC52"/>
    <mergeCell ref="AE52:AF52"/>
    <mergeCell ref="A49:Z49"/>
    <mergeCell ref="A50:B50"/>
    <mergeCell ref="S52:T52"/>
    <mergeCell ref="V52:W52"/>
    <mergeCell ref="Y52:Z52"/>
    <mergeCell ref="P52:Q52"/>
    <mergeCell ref="M52:N52"/>
    <mergeCell ref="J52:K52"/>
    <mergeCell ref="G52:H52"/>
    <mergeCell ref="D52:E52"/>
  </mergeCells>
  <dataValidations disablePrompts="1" count="1">
    <dataValidation allowBlank="1" showInputMessage="1" showErrorMessage="1" promptTitle="Date Format" prompt="E.g:  &quot;August 1, 2011&quot;" sqref="JL7 TH7 ADD7 AMZ7 AWV7 BGR7 BQN7 CAJ7 CKF7 CUB7 DDX7 DNT7 DXP7 EHL7 ERH7 FBD7 FKZ7 FUV7 GER7 GON7 GYJ7 HIF7 HSB7 IBX7 ILT7 IVP7 JFL7 JPH7 JZD7 KIZ7 KSV7 LCR7 LMN7 LWJ7 MGF7 MQB7 MZX7 NJT7 NTP7 ODL7 ONH7 OXD7 PGZ7 PQV7 QAR7 QKN7 QUJ7 REF7 ROB7 RXX7 SHT7 SRP7 TBL7 TLH7 TVD7 UEZ7 UOV7 UYR7 VIN7 VSJ7 WCF7 WMB7 WVX7" xr:uid="{00000000-0002-0000-1300-000000000000}"/>
  </dataValidations>
  <pageMargins left="0.7" right="0.7" top="0.75" bottom="0.75" header="0.3" footer="0.3"/>
  <pageSetup scale="25"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tabColor rgb="FF00B0F0"/>
  </sheetPr>
  <dimension ref="A1:H11"/>
  <sheetViews>
    <sheetView workbookViewId="0"/>
  </sheetViews>
  <sheetFormatPr defaultRowHeight="12.75" x14ac:dyDescent="0.2"/>
  <cols>
    <col min="1" max="1" width="10.5703125" bestFit="1" customWidth="1"/>
    <col min="2" max="2" width="10.28515625" bestFit="1" customWidth="1"/>
    <col min="4" max="4" width="10.7109375" bestFit="1" customWidth="1"/>
    <col min="5" max="5" width="17" bestFit="1" customWidth="1"/>
    <col min="6" max="6" width="96.7109375" bestFit="1" customWidth="1"/>
  </cols>
  <sheetData>
    <row r="1" spans="1:8" x14ac:dyDescent="0.2">
      <c r="A1" t="s">
        <v>1208</v>
      </c>
      <c r="B1" t="s">
        <v>1209</v>
      </c>
      <c r="C1" t="s">
        <v>290</v>
      </c>
      <c r="D1" t="s">
        <v>289</v>
      </c>
      <c r="E1" t="s">
        <v>288</v>
      </c>
      <c r="F1" t="s">
        <v>1218</v>
      </c>
      <c r="G1" t="s">
        <v>10</v>
      </c>
      <c r="H1" t="s">
        <v>1211</v>
      </c>
    </row>
    <row r="2" spans="1:8" x14ac:dyDescent="0.2">
      <c r="A2" t="str">
        <f>'LDC Info'!$E$14</f>
        <v>Niagara-on-the-Lake Hydro Inc.</v>
      </c>
      <c r="B2" t="str">
        <f t="shared" ref="B2:B11" si="0">EBNUMBER</f>
        <v>EB-2018-0056</v>
      </c>
      <c r="C2">
        <f t="shared" ref="C2:C11" si="1">TestYear</f>
        <v>2019</v>
      </c>
      <c r="D2">
        <f t="shared" ref="D2:D11" si="2">BridgeYear</f>
        <v>2018</v>
      </c>
      <c r="E2">
        <f t="shared" ref="E2:E11" si="3">RebaseYear</f>
        <v>2014</v>
      </c>
      <c r="F2" t="s">
        <v>609</v>
      </c>
      <c r="G2">
        <v>2014</v>
      </c>
      <c r="H2">
        <f>'App.2-FB Calc of REG Improvemnt'!E43</f>
        <v>0</v>
      </c>
    </row>
    <row r="3" spans="1:8" x14ac:dyDescent="0.2">
      <c r="A3" t="str">
        <f>'LDC Info'!$E$14</f>
        <v>Niagara-on-the-Lake Hydro Inc.</v>
      </c>
      <c r="B3" t="str">
        <f t="shared" si="0"/>
        <v>EB-2018-0056</v>
      </c>
      <c r="C3">
        <f t="shared" si="1"/>
        <v>2019</v>
      </c>
      <c r="D3">
        <f t="shared" si="2"/>
        <v>2018</v>
      </c>
      <c r="E3">
        <f t="shared" si="3"/>
        <v>2014</v>
      </c>
      <c r="F3" t="s">
        <v>609</v>
      </c>
      <c r="G3">
        <v>2015</v>
      </c>
      <c r="H3">
        <f>'App.2-FB Calc of REG Improvemnt'!H43</f>
        <v>0</v>
      </c>
    </row>
    <row r="4" spans="1:8" x14ac:dyDescent="0.2">
      <c r="A4" t="str">
        <f>'LDC Info'!$E$14</f>
        <v>Niagara-on-the-Lake Hydro Inc.</v>
      </c>
      <c r="B4" t="str">
        <f t="shared" si="0"/>
        <v>EB-2018-0056</v>
      </c>
      <c r="C4">
        <f t="shared" si="1"/>
        <v>2019</v>
      </c>
      <c r="D4">
        <f t="shared" si="2"/>
        <v>2018</v>
      </c>
      <c r="E4">
        <f t="shared" si="3"/>
        <v>2014</v>
      </c>
      <c r="F4" t="s">
        <v>609</v>
      </c>
      <c r="G4">
        <v>2016</v>
      </c>
      <c r="H4">
        <f>'App.2-FB Calc of REG Improvemnt'!K43</f>
        <v>0</v>
      </c>
    </row>
    <row r="5" spans="1:8" x14ac:dyDescent="0.2">
      <c r="A5" t="str">
        <f>'LDC Info'!$E$14</f>
        <v>Niagara-on-the-Lake Hydro Inc.</v>
      </c>
      <c r="B5" t="str">
        <f t="shared" si="0"/>
        <v>EB-2018-0056</v>
      </c>
      <c r="C5">
        <f t="shared" si="1"/>
        <v>2019</v>
      </c>
      <c r="D5">
        <f t="shared" si="2"/>
        <v>2018</v>
      </c>
      <c r="E5">
        <f t="shared" si="3"/>
        <v>2014</v>
      </c>
      <c r="F5" t="s">
        <v>609</v>
      </c>
      <c r="G5">
        <v>2017</v>
      </c>
      <c r="H5">
        <f>'App.2-FB Calc of REG Improvemnt'!N43</f>
        <v>0</v>
      </c>
    </row>
    <row r="6" spans="1:8" x14ac:dyDescent="0.2">
      <c r="A6" t="str">
        <f>'LDC Info'!$E$14</f>
        <v>Niagara-on-the-Lake Hydro Inc.</v>
      </c>
      <c r="B6" t="str">
        <f t="shared" si="0"/>
        <v>EB-2018-0056</v>
      </c>
      <c r="C6">
        <f t="shared" si="1"/>
        <v>2019</v>
      </c>
      <c r="D6">
        <f t="shared" si="2"/>
        <v>2018</v>
      </c>
      <c r="E6">
        <f t="shared" si="3"/>
        <v>2014</v>
      </c>
      <c r="F6" t="s">
        <v>609</v>
      </c>
      <c r="G6">
        <v>2018</v>
      </c>
      <c r="H6">
        <f>'App.2-FB Calc of REG Improvemnt'!Q43</f>
        <v>0</v>
      </c>
    </row>
    <row r="7" spans="1:8" x14ac:dyDescent="0.2">
      <c r="A7" t="str">
        <f>'LDC Info'!$E$14</f>
        <v>Niagara-on-the-Lake Hydro Inc.</v>
      </c>
      <c r="B7" t="str">
        <f t="shared" si="0"/>
        <v>EB-2018-0056</v>
      </c>
      <c r="C7">
        <f t="shared" si="1"/>
        <v>2019</v>
      </c>
      <c r="D7">
        <f t="shared" si="2"/>
        <v>2018</v>
      </c>
      <c r="E7">
        <f t="shared" si="3"/>
        <v>2014</v>
      </c>
      <c r="F7" t="s">
        <v>609</v>
      </c>
      <c r="G7">
        <v>2019</v>
      </c>
      <c r="H7">
        <f>'App.2-FB Calc of REG Improvemnt'!T43</f>
        <v>0</v>
      </c>
    </row>
    <row r="8" spans="1:8" x14ac:dyDescent="0.2">
      <c r="A8" t="str">
        <f>'LDC Info'!$E$14</f>
        <v>Niagara-on-the-Lake Hydro Inc.</v>
      </c>
      <c r="B8" t="str">
        <f t="shared" si="0"/>
        <v>EB-2018-0056</v>
      </c>
      <c r="C8">
        <f t="shared" si="1"/>
        <v>2019</v>
      </c>
      <c r="D8">
        <f t="shared" si="2"/>
        <v>2018</v>
      </c>
      <c r="E8">
        <f t="shared" si="3"/>
        <v>2014</v>
      </c>
      <c r="F8" t="s">
        <v>609</v>
      </c>
      <c r="G8">
        <v>2020</v>
      </c>
      <c r="H8">
        <f>'App.2-FB Calc of REG Improvemnt'!W43</f>
        <v>0</v>
      </c>
    </row>
    <row r="9" spans="1:8" x14ac:dyDescent="0.2">
      <c r="A9" t="str">
        <f>'LDC Info'!$E$14</f>
        <v>Niagara-on-the-Lake Hydro Inc.</v>
      </c>
      <c r="B9" t="str">
        <f t="shared" si="0"/>
        <v>EB-2018-0056</v>
      </c>
      <c r="C9">
        <f t="shared" si="1"/>
        <v>2019</v>
      </c>
      <c r="D9">
        <f t="shared" si="2"/>
        <v>2018</v>
      </c>
      <c r="E9">
        <f t="shared" si="3"/>
        <v>2014</v>
      </c>
      <c r="F9" t="s">
        <v>609</v>
      </c>
      <c r="G9">
        <v>2021</v>
      </c>
      <c r="H9">
        <f>'App.2-FB Calc of REG Improvemnt'!Z43</f>
        <v>0</v>
      </c>
    </row>
    <row r="10" spans="1:8" x14ac:dyDescent="0.2">
      <c r="A10" t="str">
        <f>'LDC Info'!$E$14</f>
        <v>Niagara-on-the-Lake Hydro Inc.</v>
      </c>
      <c r="B10" t="str">
        <f t="shared" si="0"/>
        <v>EB-2018-0056</v>
      </c>
      <c r="C10">
        <f t="shared" si="1"/>
        <v>2019</v>
      </c>
      <c r="D10">
        <f t="shared" si="2"/>
        <v>2018</v>
      </c>
      <c r="E10">
        <f t="shared" si="3"/>
        <v>2014</v>
      </c>
      <c r="F10" t="s">
        <v>609</v>
      </c>
      <c r="G10">
        <v>2022</v>
      </c>
      <c r="H10">
        <f>'App.2-FB Calc of REG Improvemnt'!AC43</f>
        <v>0</v>
      </c>
    </row>
    <row r="11" spans="1:8" x14ac:dyDescent="0.2">
      <c r="A11" t="str">
        <f>'LDC Info'!$E$14</f>
        <v>Niagara-on-the-Lake Hydro Inc.</v>
      </c>
      <c r="B11" t="str">
        <f t="shared" si="0"/>
        <v>EB-2018-0056</v>
      </c>
      <c r="C11">
        <f t="shared" si="1"/>
        <v>2019</v>
      </c>
      <c r="D11">
        <f t="shared" si="2"/>
        <v>2018</v>
      </c>
      <c r="E11">
        <f t="shared" si="3"/>
        <v>2014</v>
      </c>
      <c r="F11" t="s">
        <v>609</v>
      </c>
      <c r="G11">
        <v>2023</v>
      </c>
      <c r="H11">
        <f>'App.2-FB Calc of REG Improvemnt'!AF43</f>
        <v>0</v>
      </c>
    </row>
  </sheetData>
  <sheetProtection algorithmName="SHA-512" hashValue="lmgcrLxQ4EmDBJhAt7FIdMoTTxCYvvNorgXE5Otv4vF+ng8Rmr1+MrnUF1v69cmGYBJi8C8J+P610kwG4xHNqA==" saltValue="LKZvbkMAIBRXZZuOHSTZmA==" spinCount="100000"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63">
    <tabColor rgb="FF00B0F0"/>
    <pageSetUpPr fitToPage="1"/>
  </sheetPr>
  <dimension ref="A1:AG114"/>
  <sheetViews>
    <sheetView showGridLines="0" zoomScaleNormal="100" workbookViewId="0"/>
  </sheetViews>
  <sheetFormatPr defaultColWidth="9.28515625" defaultRowHeight="12.75" x14ac:dyDescent="0.2"/>
  <cols>
    <col min="1" max="1" width="54.28515625" style="1" customWidth="1"/>
    <col min="2" max="2" width="14.7109375" style="1" customWidth="1"/>
    <col min="3" max="15" width="12.7109375" style="1" customWidth="1"/>
    <col min="16" max="33" width="14.7109375" style="1" customWidth="1"/>
    <col min="34" max="16384" width="9.28515625" style="1"/>
  </cols>
  <sheetData>
    <row r="1" spans="1:22" s="1025" customFormat="1" ht="15" x14ac:dyDescent="0.25">
      <c r="A1" s="988"/>
      <c r="B1" s="988"/>
      <c r="C1" s="988"/>
      <c r="D1" s="988"/>
      <c r="E1" s="988"/>
      <c r="F1" s="988"/>
      <c r="G1" s="988"/>
      <c r="H1" s="988"/>
      <c r="I1" s="988"/>
      <c r="J1" s="988"/>
      <c r="K1" s="988"/>
      <c r="L1" s="988"/>
      <c r="M1" s="988"/>
      <c r="N1" s="988"/>
      <c r="O1" s="988"/>
      <c r="Q1" s="967" t="s">
        <v>277</v>
      </c>
      <c r="R1" s="1026" t="str">
        <f>EBNUMBER</f>
        <v>EB-2018-0056</v>
      </c>
    </row>
    <row r="2" spans="1:22" s="1025" customFormat="1" ht="15" x14ac:dyDescent="0.25">
      <c r="A2" s="988"/>
      <c r="B2" s="988"/>
      <c r="C2" s="988"/>
      <c r="D2" s="988"/>
      <c r="E2" s="988"/>
      <c r="F2" s="988"/>
      <c r="G2" s="988"/>
      <c r="H2" s="988"/>
      <c r="I2" s="988"/>
      <c r="J2" s="988"/>
      <c r="K2" s="988"/>
      <c r="L2" s="988"/>
      <c r="M2" s="988"/>
      <c r="N2" s="988"/>
      <c r="O2" s="988"/>
      <c r="Q2" s="967" t="s">
        <v>278</v>
      </c>
      <c r="R2" s="41"/>
    </row>
    <row r="3" spans="1:22" s="1025" customFormat="1" ht="15" x14ac:dyDescent="0.25">
      <c r="A3" s="988"/>
      <c r="B3" s="988"/>
      <c r="C3" s="988"/>
      <c r="D3" s="988"/>
      <c r="E3" s="988"/>
      <c r="F3" s="988"/>
      <c r="G3" s="988"/>
      <c r="H3" s="988"/>
      <c r="I3" s="988"/>
      <c r="J3" s="988"/>
      <c r="K3" s="988"/>
      <c r="L3" s="988"/>
      <c r="M3" s="988"/>
      <c r="N3" s="988"/>
      <c r="O3" s="988"/>
      <c r="Q3" s="967" t="s">
        <v>279</v>
      </c>
      <c r="R3" s="41"/>
    </row>
    <row r="4" spans="1:22" s="1025" customFormat="1" ht="15" x14ac:dyDescent="0.25">
      <c r="A4" s="1136" t="s">
        <v>1310</v>
      </c>
      <c r="B4" s="988"/>
      <c r="C4" s="988"/>
      <c r="D4" s="988"/>
      <c r="E4" s="988"/>
      <c r="F4" s="988"/>
      <c r="G4" s="988"/>
      <c r="H4" s="988"/>
      <c r="I4" s="988"/>
      <c r="J4" s="988"/>
      <c r="K4" s="988"/>
      <c r="L4" s="988"/>
      <c r="M4" s="988"/>
      <c r="N4" s="988"/>
      <c r="O4" s="988"/>
      <c r="Q4" s="967" t="s">
        <v>280</v>
      </c>
      <c r="R4" s="41"/>
    </row>
    <row r="5" spans="1:22" s="1025" customFormat="1" ht="15" x14ac:dyDescent="0.25">
      <c r="A5" s="988"/>
      <c r="B5" s="988"/>
      <c r="C5" s="988"/>
      <c r="D5" s="988"/>
      <c r="E5" s="988"/>
      <c r="F5" s="988"/>
      <c r="G5" s="988"/>
      <c r="H5" s="988"/>
      <c r="I5" s="988"/>
      <c r="J5" s="988"/>
      <c r="K5" s="988"/>
      <c r="L5" s="988"/>
      <c r="M5" s="988"/>
      <c r="N5" s="988"/>
      <c r="O5" s="988"/>
      <c r="Q5" s="967" t="s">
        <v>281</v>
      </c>
      <c r="R5" s="42"/>
    </row>
    <row r="6" spans="1:22" s="1025" customFormat="1" ht="15" x14ac:dyDescent="0.25">
      <c r="A6" s="988"/>
      <c r="B6" s="988"/>
      <c r="C6" s="988"/>
      <c r="D6" s="988"/>
      <c r="E6" s="988"/>
      <c r="F6" s="988"/>
      <c r="G6" s="988"/>
      <c r="H6" s="988"/>
      <c r="I6" s="988"/>
      <c r="J6" s="988"/>
      <c r="K6" s="988"/>
      <c r="L6" s="988"/>
      <c r="M6" s="988"/>
      <c r="N6" s="988"/>
      <c r="O6" s="988"/>
      <c r="Q6" s="967"/>
      <c r="R6" s="968"/>
    </row>
    <row r="7" spans="1:22" s="1025" customFormat="1" ht="15" x14ac:dyDescent="0.25">
      <c r="A7" s="988"/>
      <c r="B7" s="988"/>
      <c r="C7" s="988"/>
      <c r="D7" s="988"/>
      <c r="E7" s="988"/>
      <c r="F7" s="988"/>
      <c r="G7" s="988"/>
      <c r="H7" s="988"/>
      <c r="I7" s="988"/>
      <c r="J7" s="988"/>
      <c r="K7" s="988"/>
      <c r="L7" s="988"/>
      <c r="M7" s="988"/>
      <c r="N7" s="988"/>
      <c r="O7" s="988"/>
      <c r="Q7" s="967" t="s">
        <v>282</v>
      </c>
      <c r="R7" s="42"/>
    </row>
    <row r="8" spans="1:22" s="1025" customFormat="1" ht="15" x14ac:dyDescent="0.25">
      <c r="A8" s="989"/>
      <c r="B8" s="989"/>
      <c r="C8" s="989"/>
      <c r="D8" s="989"/>
      <c r="E8" s="989"/>
      <c r="F8" s="989"/>
      <c r="G8" s="989"/>
      <c r="H8" s="989"/>
      <c r="I8" s="989"/>
      <c r="J8" s="989"/>
      <c r="K8" s="989"/>
      <c r="L8" s="989"/>
      <c r="M8" s="989"/>
      <c r="N8" s="989"/>
      <c r="O8" s="989"/>
      <c r="P8" s="989"/>
      <c r="Q8" s="989"/>
      <c r="R8" s="989"/>
      <c r="S8" s="989"/>
      <c r="T8" s="1028"/>
      <c r="U8" s="1028"/>
      <c r="V8" s="1028"/>
    </row>
    <row r="9" spans="1:22" s="1025" customFormat="1" ht="18" x14ac:dyDescent="0.25">
      <c r="A9" s="1667" t="s">
        <v>643</v>
      </c>
      <c r="B9" s="1667"/>
      <c r="C9" s="1667"/>
      <c r="D9" s="1667"/>
      <c r="E9" s="1667"/>
      <c r="F9" s="1667"/>
      <c r="G9" s="1667"/>
      <c r="H9" s="1667"/>
      <c r="I9" s="1667"/>
      <c r="J9" s="1667"/>
      <c r="K9" s="1667"/>
      <c r="L9" s="1667"/>
      <c r="M9" s="1667"/>
      <c r="N9" s="1667"/>
      <c r="O9" s="1667"/>
      <c r="P9" s="1667"/>
      <c r="Q9" s="1667"/>
      <c r="R9" s="1667"/>
      <c r="S9" s="1029"/>
      <c r="T9" s="1029"/>
      <c r="U9" s="1028"/>
      <c r="V9" s="1028"/>
    </row>
    <row r="10" spans="1:22" s="1025" customFormat="1" ht="39.75" customHeight="1" x14ac:dyDescent="0.25">
      <c r="A10" s="1817" t="s">
        <v>644</v>
      </c>
      <c r="B10" s="1817"/>
      <c r="C10" s="1817"/>
      <c r="D10" s="1817"/>
      <c r="E10" s="1817"/>
      <c r="F10" s="1817"/>
      <c r="G10" s="1817"/>
      <c r="H10" s="1817"/>
      <c r="I10" s="1817"/>
      <c r="J10" s="1817"/>
      <c r="K10" s="1817"/>
      <c r="L10" s="1817"/>
      <c r="M10" s="1817"/>
      <c r="N10" s="1817"/>
      <c r="O10" s="1817"/>
      <c r="P10" s="1817"/>
      <c r="Q10" s="1817"/>
      <c r="R10" s="1817"/>
      <c r="S10" s="1029"/>
      <c r="T10" s="1029"/>
      <c r="U10" s="1028"/>
      <c r="V10" s="1028"/>
    </row>
    <row r="11" spans="1:22" s="1025" customFormat="1" ht="12.75" customHeight="1" x14ac:dyDescent="0.25">
      <c r="A11" s="1029"/>
      <c r="B11" s="1029"/>
      <c r="C11" s="1029"/>
      <c r="D11" s="1029"/>
      <c r="E11" s="1029"/>
      <c r="F11" s="1029"/>
      <c r="G11" s="1029"/>
      <c r="H11" s="1029"/>
      <c r="I11" s="1029"/>
      <c r="J11" s="1029"/>
      <c r="K11" s="1029"/>
      <c r="L11" s="1029"/>
      <c r="M11" s="1029"/>
      <c r="N11" s="1029"/>
      <c r="O11" s="1029"/>
      <c r="P11" s="1029"/>
      <c r="Q11" s="1029"/>
      <c r="R11" s="1029"/>
      <c r="S11" s="1029"/>
      <c r="T11" s="1029"/>
      <c r="U11" s="1028"/>
      <c r="V11" s="1028"/>
    </row>
    <row r="12" spans="1:22" ht="14.25" x14ac:dyDescent="0.2">
      <c r="A12" s="1821" t="s">
        <v>645</v>
      </c>
      <c r="B12" s="1821"/>
      <c r="C12" s="1821"/>
      <c r="D12" s="1821"/>
      <c r="E12" s="1821"/>
      <c r="F12" s="1821"/>
      <c r="G12" s="1821"/>
      <c r="H12" s="1821"/>
      <c r="I12" s="1821"/>
      <c r="J12" s="1821"/>
      <c r="K12" s="1821"/>
      <c r="L12" s="1821"/>
      <c r="M12" s="1821"/>
      <c r="N12" s="1821"/>
      <c r="O12" s="1821"/>
      <c r="P12" s="1821"/>
      <c r="Q12" s="1821"/>
      <c r="R12" s="1821"/>
    </row>
    <row r="13" spans="1:22" ht="12.75" customHeight="1" x14ac:dyDescent="0.2">
      <c r="A13" s="1822" t="s">
        <v>593</v>
      </c>
      <c r="B13" s="1822"/>
      <c r="C13" s="1822"/>
      <c r="D13" s="1822"/>
      <c r="E13" s="1822"/>
      <c r="F13" s="1822"/>
      <c r="G13" s="1822"/>
      <c r="H13" s="1822"/>
      <c r="I13" s="1822"/>
      <c r="J13" s="1822"/>
      <c r="K13" s="1822"/>
      <c r="L13" s="1822"/>
      <c r="M13" s="1822"/>
      <c r="N13" s="1822"/>
      <c r="O13" s="1822"/>
      <c r="P13" s="1822"/>
      <c r="Q13" s="1822"/>
      <c r="R13" s="1822"/>
    </row>
    <row r="14" spans="1:22" ht="12.75" customHeight="1" x14ac:dyDescent="0.2">
      <c r="A14" s="1067" t="s">
        <v>942</v>
      </c>
      <c r="B14" s="1137"/>
      <c r="C14" s="1137"/>
      <c r="D14" s="1137"/>
      <c r="E14" s="1137"/>
      <c r="F14" s="1137"/>
      <c r="G14" s="1137"/>
      <c r="H14" s="1137"/>
      <c r="I14" s="1137"/>
      <c r="J14" s="1137"/>
      <c r="K14" s="1137"/>
      <c r="L14" s="1137"/>
      <c r="M14" s="1137"/>
      <c r="N14" s="1137"/>
      <c r="O14" s="1137"/>
      <c r="P14" s="1137"/>
      <c r="Q14" s="1137"/>
      <c r="R14" s="1137"/>
    </row>
    <row r="15" spans="1:22" ht="14.25" x14ac:dyDescent="0.2">
      <c r="A15" s="1821" t="s">
        <v>988</v>
      </c>
      <c r="B15" s="1821"/>
      <c r="C15" s="1821"/>
      <c r="D15" s="1821"/>
      <c r="E15" s="1821"/>
      <c r="F15" s="1821"/>
      <c r="G15" s="1821"/>
      <c r="H15" s="1821"/>
      <c r="I15" s="1821"/>
      <c r="J15" s="1821"/>
      <c r="K15" s="1821"/>
      <c r="L15" s="1821"/>
      <c r="M15" s="1821"/>
      <c r="N15" s="1821"/>
      <c r="O15" s="1821"/>
      <c r="P15" s="1821"/>
      <c r="Q15" s="1821"/>
      <c r="R15" s="1821"/>
    </row>
    <row r="16" spans="1:22" ht="15" x14ac:dyDescent="0.2">
      <c r="B16" s="1138"/>
    </row>
    <row r="17" spans="1:33" ht="13.5" thickBot="1" x14ac:dyDescent="0.25">
      <c r="A17" s="1068"/>
      <c r="B17" s="1139"/>
      <c r="C17" s="1139"/>
      <c r="D17" s="1139"/>
      <c r="E17" s="1139"/>
      <c r="F17" s="1139"/>
      <c r="G17" s="1139"/>
      <c r="H17" s="1139"/>
      <c r="I17" s="1139"/>
      <c r="J17" s="1139"/>
      <c r="K17" s="1139"/>
      <c r="L17" s="1139"/>
      <c r="M17" s="1139"/>
      <c r="N17" s="1139"/>
      <c r="O17" s="1139"/>
      <c r="P17" s="974"/>
      <c r="Q17" s="974"/>
      <c r="R17" s="974"/>
      <c r="S17" s="974"/>
      <c r="T17" s="1140"/>
      <c r="U17" s="974"/>
      <c r="V17" s="974"/>
      <c r="W17" s="1140"/>
      <c r="X17" s="974"/>
      <c r="Y17" s="974"/>
      <c r="Z17" s="974"/>
      <c r="AA17" s="974"/>
      <c r="AB17" s="974"/>
      <c r="AC17" s="1140"/>
      <c r="AD17" s="974"/>
    </row>
    <row r="18" spans="1:33" ht="13.5" thickBot="1" x14ac:dyDescent="0.25">
      <c r="A18" s="1068"/>
      <c r="B18" s="1068"/>
      <c r="C18" s="1068"/>
      <c r="D18" s="1813">
        <f>G18-1</f>
        <v>2014</v>
      </c>
      <c r="E18" s="1814"/>
      <c r="F18" s="1815"/>
      <c r="G18" s="1813">
        <f>J18-1</f>
        <v>2015</v>
      </c>
      <c r="H18" s="1814"/>
      <c r="I18" s="1815"/>
      <c r="J18" s="1813">
        <f>M18-1</f>
        <v>2016</v>
      </c>
      <c r="K18" s="1814"/>
      <c r="L18" s="1815"/>
      <c r="M18" s="1813">
        <f>P18-1</f>
        <v>2017</v>
      </c>
      <c r="N18" s="1814"/>
      <c r="O18" s="1815"/>
      <c r="P18" s="1813">
        <f>BridgeYear</f>
        <v>2018</v>
      </c>
      <c r="Q18" s="1814"/>
      <c r="R18" s="1815"/>
      <c r="S18" s="1813" t="str">
        <f>CONCATENATE(TestYear," Test Year")</f>
        <v>2019 Test Year</v>
      </c>
      <c r="T18" s="1814"/>
      <c r="U18" s="1815"/>
      <c r="V18" s="1813">
        <f>TestYear+1</f>
        <v>2020</v>
      </c>
      <c r="W18" s="1814">
        <v>2016</v>
      </c>
      <c r="X18" s="1815"/>
      <c r="Y18" s="1813">
        <f>V18+1</f>
        <v>2021</v>
      </c>
      <c r="Z18" s="1814"/>
      <c r="AA18" s="1815"/>
      <c r="AB18" s="1813">
        <f>Y18+1</f>
        <v>2022</v>
      </c>
      <c r="AC18" s="1814"/>
      <c r="AD18" s="1815"/>
      <c r="AE18" s="1813">
        <f>AB18+1</f>
        <v>2023</v>
      </c>
      <c r="AF18" s="1814"/>
      <c r="AG18" s="1815"/>
    </row>
    <row r="19" spans="1:33" x14ac:dyDescent="0.2">
      <c r="A19" s="951"/>
      <c r="B19" s="951"/>
      <c r="C19" s="951"/>
      <c r="D19" s="951"/>
      <c r="E19" s="967" t="s">
        <v>594</v>
      </c>
      <c r="F19" s="1039" t="s">
        <v>595</v>
      </c>
      <c r="G19" s="951"/>
      <c r="H19" s="967" t="s">
        <v>594</v>
      </c>
      <c r="I19" s="1039" t="s">
        <v>595</v>
      </c>
      <c r="J19" s="951"/>
      <c r="K19" s="967" t="s">
        <v>594</v>
      </c>
      <c r="L19" s="1039" t="s">
        <v>595</v>
      </c>
      <c r="M19" s="951"/>
      <c r="N19" s="967" t="s">
        <v>594</v>
      </c>
      <c r="O19" s="1039" t="s">
        <v>595</v>
      </c>
      <c r="P19" s="951"/>
      <c r="Q19" s="967" t="s">
        <v>594</v>
      </c>
      <c r="R19" s="1039" t="s">
        <v>595</v>
      </c>
      <c r="S19" s="951"/>
      <c r="T19" s="967" t="s">
        <v>594</v>
      </c>
      <c r="U19" s="1039" t="s">
        <v>595</v>
      </c>
      <c r="V19" s="951"/>
      <c r="W19" s="967" t="s">
        <v>594</v>
      </c>
      <c r="X19" s="1039" t="s">
        <v>595</v>
      </c>
      <c r="Y19" s="951"/>
      <c r="Z19" s="967" t="s">
        <v>594</v>
      </c>
      <c r="AA19" s="1039" t="s">
        <v>595</v>
      </c>
      <c r="AB19" s="951"/>
      <c r="AC19" s="967" t="s">
        <v>594</v>
      </c>
      <c r="AD19" s="1039" t="s">
        <v>595</v>
      </c>
      <c r="AE19" s="951"/>
      <c r="AF19" s="967" t="s">
        <v>594</v>
      </c>
      <c r="AG19" s="1039" t="s">
        <v>595</v>
      </c>
    </row>
    <row r="20" spans="1:33" s="1127" customFormat="1" x14ac:dyDescent="0.2">
      <c r="A20" s="1141"/>
      <c r="B20" s="1072"/>
      <c r="C20" s="1072"/>
      <c r="D20" s="1072" t="s">
        <v>272</v>
      </c>
      <c r="E20" s="1073">
        <v>0.17</v>
      </c>
      <c r="F20" s="1073">
        <v>0.83</v>
      </c>
      <c r="G20" s="1072" t="s">
        <v>272</v>
      </c>
      <c r="H20" s="1073">
        <v>0.17</v>
      </c>
      <c r="I20" s="1073">
        <v>0.83</v>
      </c>
      <c r="J20" s="1072" t="s">
        <v>272</v>
      </c>
      <c r="K20" s="1073">
        <v>0.17</v>
      </c>
      <c r="L20" s="1073">
        <v>0.83</v>
      </c>
      <c r="M20" s="1072" t="s">
        <v>272</v>
      </c>
      <c r="N20" s="1073">
        <v>0.17</v>
      </c>
      <c r="O20" s="1073">
        <v>0.83</v>
      </c>
      <c r="P20" s="1072" t="s">
        <v>272</v>
      </c>
      <c r="Q20" s="1073">
        <v>0.17</v>
      </c>
      <c r="R20" s="1073">
        <v>0.83</v>
      </c>
      <c r="S20" s="1072" t="s">
        <v>272</v>
      </c>
      <c r="T20" s="1073">
        <v>0.17</v>
      </c>
      <c r="U20" s="1073">
        <v>0.83</v>
      </c>
      <c r="V20" s="1072" t="s">
        <v>272</v>
      </c>
      <c r="W20" s="1073">
        <v>0.17</v>
      </c>
      <c r="X20" s="1073">
        <v>0.83</v>
      </c>
      <c r="Y20" s="1072" t="s">
        <v>272</v>
      </c>
      <c r="Z20" s="1073">
        <v>0.17</v>
      </c>
      <c r="AA20" s="1073">
        <v>0.83</v>
      </c>
      <c r="AB20" s="1072" t="s">
        <v>272</v>
      </c>
      <c r="AC20" s="1073">
        <v>0.17</v>
      </c>
      <c r="AD20" s="1073">
        <v>0.83</v>
      </c>
      <c r="AE20" s="1072" t="s">
        <v>272</v>
      </c>
      <c r="AF20" s="1073">
        <v>0.17</v>
      </c>
      <c r="AG20" s="1073">
        <v>0.83</v>
      </c>
    </row>
    <row r="21" spans="1:33" x14ac:dyDescent="0.2">
      <c r="A21" s="967" t="s">
        <v>596</v>
      </c>
      <c r="B21" s="1074"/>
      <c r="C21" s="951"/>
      <c r="D21" s="1075">
        <f>J82</f>
        <v>0</v>
      </c>
      <c r="E21" s="1042">
        <f>D21*E20</f>
        <v>0</v>
      </c>
      <c r="F21" s="1076">
        <f>D21*F20</f>
        <v>0</v>
      </c>
      <c r="G21" s="1075">
        <f>G82</f>
        <v>0</v>
      </c>
      <c r="H21" s="1042">
        <f>G21*H20</f>
        <v>0</v>
      </c>
      <c r="I21" s="1076">
        <f>G21*I20</f>
        <v>0</v>
      </c>
      <c r="J21" s="1075">
        <f>H82</f>
        <v>0</v>
      </c>
      <c r="K21" s="1042">
        <f>J21*K20</f>
        <v>0</v>
      </c>
      <c r="L21" s="1076">
        <f>J21*L20</f>
        <v>0</v>
      </c>
      <c r="M21" s="1075">
        <f>I82</f>
        <v>0</v>
      </c>
      <c r="N21" s="1042">
        <f>M21*N20</f>
        <v>0</v>
      </c>
      <c r="O21" s="1076">
        <f>M21*O20</f>
        <v>0</v>
      </c>
      <c r="P21" s="1075">
        <f>J82</f>
        <v>0</v>
      </c>
      <c r="Q21" s="1042">
        <f>P21*Q20</f>
        <v>0</v>
      </c>
      <c r="R21" s="1076">
        <f>P21*R20</f>
        <v>0</v>
      </c>
      <c r="S21" s="1075">
        <f>K82</f>
        <v>0</v>
      </c>
      <c r="T21" s="1042">
        <f>S21*T20</f>
        <v>0</v>
      </c>
      <c r="U21" s="1076">
        <f>S21*U20</f>
        <v>0</v>
      </c>
      <c r="V21" s="1077">
        <f>L82</f>
        <v>0</v>
      </c>
      <c r="W21" s="1042">
        <f>V21*W20</f>
        <v>0</v>
      </c>
      <c r="X21" s="1076">
        <f>V21*X20</f>
        <v>0</v>
      </c>
      <c r="Y21" s="1077">
        <f>M82</f>
        <v>0</v>
      </c>
      <c r="Z21" s="1042">
        <f>Y21*Z20</f>
        <v>0</v>
      </c>
      <c r="AA21" s="1076">
        <f>Y21*AA20</f>
        <v>0</v>
      </c>
      <c r="AB21" s="1077">
        <f>N82</f>
        <v>0</v>
      </c>
      <c r="AC21" s="1042">
        <f>AB21*AC20</f>
        <v>0</v>
      </c>
      <c r="AD21" s="1076">
        <f>AB21*AD20</f>
        <v>0</v>
      </c>
      <c r="AE21" s="1077">
        <f>O82</f>
        <v>0</v>
      </c>
      <c r="AF21" s="1042">
        <f>AE21*AF20</f>
        <v>0</v>
      </c>
      <c r="AG21" s="1076">
        <f>AE21*AG20</f>
        <v>0</v>
      </c>
    </row>
    <row r="22" spans="1:33" x14ac:dyDescent="0.2">
      <c r="A22" s="951" t="s">
        <v>642</v>
      </c>
      <c r="B22" s="1078"/>
      <c r="C22" s="951"/>
      <c r="D22" s="1079">
        <f>'App.2-FA Proposed REG Invest.'!C$101</f>
        <v>0</v>
      </c>
      <c r="E22" s="1080">
        <f>D22</f>
        <v>0</v>
      </c>
      <c r="F22" s="1081"/>
      <c r="G22" s="1079">
        <f>'App.2-FA Proposed REG Invest.'!D$101</f>
        <v>0</v>
      </c>
      <c r="H22" s="1080">
        <f>G22</f>
        <v>0</v>
      </c>
      <c r="I22" s="1081"/>
      <c r="J22" s="1079">
        <f>'App.2-FA Proposed REG Invest.'!E$101</f>
        <v>0</v>
      </c>
      <c r="K22" s="1080">
        <f>J22</f>
        <v>0</v>
      </c>
      <c r="L22" s="1081"/>
      <c r="M22" s="1079">
        <f>'App.2-FA Proposed REG Invest.'!F$101</f>
        <v>0</v>
      </c>
      <c r="N22" s="1080">
        <f>M22</f>
        <v>0</v>
      </c>
      <c r="O22" s="1081"/>
      <c r="P22" s="1079">
        <f>'App.2-FA Proposed REG Invest.'!G$101</f>
        <v>0</v>
      </c>
      <c r="Q22" s="1080">
        <f>P22</f>
        <v>0</v>
      </c>
      <c r="R22" s="1081"/>
      <c r="S22" s="1079">
        <f>'App.2-FA Proposed REG Invest.'!H$101</f>
        <v>0</v>
      </c>
      <c r="T22" s="1080">
        <f>S22</f>
        <v>0</v>
      </c>
      <c r="U22" s="1081"/>
      <c r="V22" s="1079">
        <f>'App.2-FA Proposed REG Invest.'!I$101</f>
        <v>0</v>
      </c>
      <c r="W22" s="1080">
        <f>V22</f>
        <v>0</v>
      </c>
      <c r="X22" s="1081"/>
      <c r="Y22" s="1079">
        <f>'App.2-FA Proposed REG Invest.'!J$101</f>
        <v>0</v>
      </c>
      <c r="Z22" s="1080">
        <f>Y22</f>
        <v>0</v>
      </c>
      <c r="AA22" s="1081"/>
      <c r="AB22" s="1079">
        <f>'App.2-FA Proposed REG Invest.'!K$101</f>
        <v>0</v>
      </c>
      <c r="AC22" s="1080">
        <f>AB22</f>
        <v>0</v>
      </c>
      <c r="AD22" s="1081"/>
      <c r="AE22" s="1079">
        <f>'App.2-FA Proposed REG Invest.'!L$101</f>
        <v>0</v>
      </c>
      <c r="AF22" s="1080">
        <f>AE22</f>
        <v>0</v>
      </c>
      <c r="AG22" s="1081"/>
    </row>
    <row r="23" spans="1:33" x14ac:dyDescent="0.2">
      <c r="A23" s="951" t="s">
        <v>597</v>
      </c>
      <c r="B23" s="1078"/>
      <c r="C23" s="951"/>
      <c r="D23" s="1079">
        <f>'App.2-FA Proposed REG Invest.'!C$100</f>
        <v>0</v>
      </c>
      <c r="E23" s="1080">
        <f>D23*E20</f>
        <v>0</v>
      </c>
      <c r="F23" s="1080">
        <f>D23*F20</f>
        <v>0</v>
      </c>
      <c r="G23" s="1079">
        <f>'App.2-FA Proposed REG Invest.'!D$100</f>
        <v>0</v>
      </c>
      <c r="H23" s="1080">
        <f>G23*H20</f>
        <v>0</v>
      </c>
      <c r="I23" s="1080">
        <f>G23*I20</f>
        <v>0</v>
      </c>
      <c r="J23" s="1079">
        <f>'App.2-FA Proposed REG Invest.'!E$100</f>
        <v>0</v>
      </c>
      <c r="K23" s="1080">
        <f>J23*K20</f>
        <v>0</v>
      </c>
      <c r="L23" s="1080">
        <f>J23*L20</f>
        <v>0</v>
      </c>
      <c r="M23" s="1079">
        <f>'App.2-FA Proposed REG Invest.'!F$100</f>
        <v>0</v>
      </c>
      <c r="N23" s="1080">
        <f>M23*N20</f>
        <v>0</v>
      </c>
      <c r="O23" s="1080">
        <f>M23*O20</f>
        <v>0</v>
      </c>
      <c r="P23" s="1079">
        <f>'App.2-FA Proposed REG Invest.'!G$100</f>
        <v>0</v>
      </c>
      <c r="Q23" s="1080">
        <f>P23*Q20</f>
        <v>0</v>
      </c>
      <c r="R23" s="1080">
        <f>P23*R20</f>
        <v>0</v>
      </c>
      <c r="S23" s="1079">
        <f>'App.2-FA Proposed REG Invest.'!H$100</f>
        <v>0</v>
      </c>
      <c r="T23" s="1080">
        <f>S23*T20</f>
        <v>0</v>
      </c>
      <c r="U23" s="1080">
        <f>S23*U20</f>
        <v>0</v>
      </c>
      <c r="V23" s="1079">
        <f>'App.2-FA Proposed REG Invest.'!I$100</f>
        <v>0</v>
      </c>
      <c r="W23" s="1080">
        <f>V23*W20</f>
        <v>0</v>
      </c>
      <c r="X23" s="1080">
        <f>V23*X20</f>
        <v>0</v>
      </c>
      <c r="Y23" s="1079">
        <f>'App.2-FA Proposed REG Invest.'!J$100</f>
        <v>0</v>
      </c>
      <c r="Z23" s="1080">
        <f>Y23*Z20</f>
        <v>0</v>
      </c>
      <c r="AA23" s="1080">
        <f>Y23*AA20</f>
        <v>0</v>
      </c>
      <c r="AB23" s="1079">
        <f>'App.2-FA Proposed REG Invest.'!K$100</f>
        <v>0</v>
      </c>
      <c r="AC23" s="1080">
        <f>AB23*AC20</f>
        <v>0</v>
      </c>
      <c r="AD23" s="1080">
        <f>AB23*AD20</f>
        <v>0</v>
      </c>
      <c r="AE23" s="1079">
        <f>'App.2-FA Proposed REG Invest.'!L$100</f>
        <v>0</v>
      </c>
      <c r="AF23" s="1080">
        <f>AE23*AF20</f>
        <v>0</v>
      </c>
      <c r="AG23" s="1080">
        <f>AE23*AG20</f>
        <v>0</v>
      </c>
    </row>
    <row r="24" spans="1:33" x14ac:dyDescent="0.2">
      <c r="A24" s="951" t="s">
        <v>598</v>
      </c>
      <c r="B24" s="195"/>
      <c r="C24" s="1097"/>
      <c r="D24" s="1082"/>
      <c r="E24" s="1083">
        <f>(E22+E23)*$B$24</f>
        <v>0</v>
      </c>
      <c r="F24" s="1084">
        <f>F23*$B$24</f>
        <v>0</v>
      </c>
      <c r="G24" s="1082"/>
      <c r="H24" s="1083">
        <f>(H22+H23)*$B$24</f>
        <v>0</v>
      </c>
      <c r="I24" s="1084">
        <f>I23*$B$24</f>
        <v>0</v>
      </c>
      <c r="J24" s="1082"/>
      <c r="K24" s="1083">
        <f>(K22+K23)*$B$24</f>
        <v>0</v>
      </c>
      <c r="L24" s="1084">
        <f>L23*$B$24</f>
        <v>0</v>
      </c>
      <c r="M24" s="1082"/>
      <c r="N24" s="1083">
        <f>(N22+N23)*$B$24</f>
        <v>0</v>
      </c>
      <c r="O24" s="1084">
        <f>O23*$B$24</f>
        <v>0</v>
      </c>
      <c r="P24" s="1082"/>
      <c r="Q24" s="1083">
        <f>(Q22+Q23)*$B$24</f>
        <v>0</v>
      </c>
      <c r="R24" s="1084">
        <f>R23*$B$24</f>
        <v>0</v>
      </c>
      <c r="S24" s="1082"/>
      <c r="T24" s="1083">
        <f>(T22+T23)*$B$24</f>
        <v>0</v>
      </c>
      <c r="U24" s="1084">
        <f>U23*$B$24</f>
        <v>0</v>
      </c>
      <c r="V24" s="1082"/>
      <c r="W24" s="1083">
        <f>(W22+W23)*$B$24</f>
        <v>0</v>
      </c>
      <c r="X24" s="1084">
        <f>X23*$B$24</f>
        <v>0</v>
      </c>
      <c r="Y24" s="1082"/>
      <c r="Z24" s="1083">
        <f>(Z22+Z23)*$B$24</f>
        <v>0</v>
      </c>
      <c r="AA24" s="1084">
        <f>AA23*$B$24</f>
        <v>0</v>
      </c>
      <c r="AB24" s="1082"/>
      <c r="AC24" s="1083">
        <f>(AC22+AC23)*$B$24</f>
        <v>0</v>
      </c>
      <c r="AD24" s="1084">
        <f>AD23*$B$24</f>
        <v>0</v>
      </c>
      <c r="AE24" s="1082"/>
      <c r="AF24" s="1083">
        <f>(AF22+AF23)*$B$24</f>
        <v>0</v>
      </c>
      <c r="AG24" s="1084">
        <f>AG23*$B$24</f>
        <v>0</v>
      </c>
    </row>
    <row r="25" spans="1:33" x14ac:dyDescent="0.2">
      <c r="A25" s="967" t="s">
        <v>475</v>
      </c>
      <c r="B25" s="951"/>
      <c r="C25" s="1097"/>
      <c r="D25" s="951"/>
      <c r="E25" s="1085">
        <f>SUM(E21+E24)</f>
        <v>0</v>
      </c>
      <c r="F25" s="1085">
        <f>SUM(F21+F24)</f>
        <v>0</v>
      </c>
      <c r="G25" s="951"/>
      <c r="H25" s="1085">
        <f>SUM(H21+H24)</f>
        <v>0</v>
      </c>
      <c r="I25" s="1085">
        <f>SUM(I21+I24)</f>
        <v>0</v>
      </c>
      <c r="J25" s="951"/>
      <c r="K25" s="1085">
        <f>SUM(K21+K24)</f>
        <v>0</v>
      </c>
      <c r="L25" s="1085">
        <f>SUM(L21+L24)</f>
        <v>0</v>
      </c>
      <c r="M25" s="951"/>
      <c r="N25" s="1085">
        <f>SUM(N21+N24)</f>
        <v>0</v>
      </c>
      <c r="O25" s="1085">
        <f>SUM(O21+O24)</f>
        <v>0</v>
      </c>
      <c r="P25" s="951"/>
      <c r="Q25" s="1085">
        <f>SUM(Q21+Q24)</f>
        <v>0</v>
      </c>
      <c r="R25" s="1085">
        <f>SUM(R21+R24)</f>
        <v>0</v>
      </c>
      <c r="S25" s="951"/>
      <c r="T25" s="1085">
        <f>SUM(T21+T24)</f>
        <v>0</v>
      </c>
      <c r="U25" s="1085">
        <f>SUM(U21+U24)</f>
        <v>0</v>
      </c>
      <c r="V25" s="951"/>
      <c r="W25" s="1085">
        <f>SUM(W21+W24)</f>
        <v>0</v>
      </c>
      <c r="X25" s="1085">
        <f>SUM(X21+X24)</f>
        <v>0</v>
      </c>
      <c r="Y25" s="951"/>
      <c r="Z25" s="1085">
        <f>SUM(Z21+Z24)</f>
        <v>0</v>
      </c>
      <c r="AA25" s="1085">
        <f>SUM(AA21+AA24)</f>
        <v>0</v>
      </c>
      <c r="AB25" s="951"/>
      <c r="AC25" s="1085">
        <f>SUM(AC21+AC24)</f>
        <v>0</v>
      </c>
      <c r="AD25" s="1085">
        <f>SUM(AD21+AD24)</f>
        <v>0</v>
      </c>
      <c r="AE25" s="951"/>
      <c r="AF25" s="1085">
        <f>SUM(AF21+AF24)</f>
        <v>0</v>
      </c>
      <c r="AG25" s="1085">
        <f>SUM(AG21+AG24)</f>
        <v>0</v>
      </c>
    </row>
    <row r="26" spans="1:33" x14ac:dyDescent="0.2">
      <c r="A26" s="951"/>
      <c r="B26" s="951"/>
      <c r="C26" s="951"/>
      <c r="D26" s="951"/>
      <c r="E26" s="951"/>
      <c r="F26" s="951"/>
      <c r="G26" s="951"/>
      <c r="H26" s="951"/>
      <c r="I26" s="951"/>
      <c r="J26" s="951"/>
      <c r="K26" s="951"/>
      <c r="L26" s="951"/>
      <c r="M26" s="951"/>
      <c r="N26" s="951"/>
      <c r="O26" s="951"/>
      <c r="P26" s="951"/>
      <c r="Q26" s="951"/>
      <c r="R26" s="951"/>
      <c r="S26" s="951"/>
      <c r="T26" s="951"/>
      <c r="U26" s="951"/>
      <c r="V26" s="951"/>
      <c r="W26" s="951"/>
      <c r="X26" s="951"/>
      <c r="Y26" s="951"/>
      <c r="Z26" s="951"/>
      <c r="AA26" s="951"/>
      <c r="AB26" s="951"/>
      <c r="AC26" s="951"/>
      <c r="AD26" s="951"/>
      <c r="AE26" s="951"/>
      <c r="AF26" s="951"/>
      <c r="AG26" s="951"/>
    </row>
    <row r="27" spans="1:33" x14ac:dyDescent="0.2">
      <c r="A27" s="951"/>
      <c r="B27" s="951"/>
      <c r="C27" s="951"/>
      <c r="D27" s="951"/>
      <c r="E27" s="951"/>
      <c r="F27" s="951"/>
      <c r="G27" s="951"/>
      <c r="H27" s="951"/>
      <c r="I27" s="951"/>
      <c r="J27" s="951"/>
      <c r="K27" s="951"/>
      <c r="L27" s="951"/>
      <c r="M27" s="951"/>
      <c r="N27" s="951"/>
      <c r="O27" s="951"/>
      <c r="P27" s="951"/>
      <c r="Q27" s="951"/>
      <c r="R27" s="951"/>
      <c r="S27" s="951"/>
      <c r="T27" s="951"/>
      <c r="U27" s="951"/>
      <c r="V27" s="951"/>
      <c r="W27" s="951"/>
      <c r="X27" s="951"/>
      <c r="Y27" s="951"/>
      <c r="Z27" s="951"/>
      <c r="AA27" s="951"/>
      <c r="AB27" s="951"/>
      <c r="AC27" s="951"/>
      <c r="AD27" s="951"/>
      <c r="AE27" s="951"/>
      <c r="AF27" s="951"/>
      <c r="AG27" s="951"/>
    </row>
    <row r="28" spans="1:33" x14ac:dyDescent="0.2">
      <c r="A28" s="951" t="s">
        <v>599</v>
      </c>
      <c r="B28" s="195"/>
      <c r="C28" s="1097"/>
      <c r="D28" s="1074"/>
      <c r="E28" s="1085">
        <f>E25*$B$28</f>
        <v>0</v>
      </c>
      <c r="F28" s="1085">
        <f>F25*$B$28</f>
        <v>0</v>
      </c>
      <c r="G28" s="1074"/>
      <c r="H28" s="1085">
        <f>H25*$B$28</f>
        <v>0</v>
      </c>
      <c r="I28" s="1085">
        <f>I25*$B$28</f>
        <v>0</v>
      </c>
      <c r="J28" s="1074"/>
      <c r="K28" s="1085">
        <f>K25*$B$28</f>
        <v>0</v>
      </c>
      <c r="L28" s="1085">
        <f>L25*$B$28</f>
        <v>0</v>
      </c>
      <c r="M28" s="1074"/>
      <c r="N28" s="1085">
        <f>N25*$B$28</f>
        <v>0</v>
      </c>
      <c r="O28" s="1085">
        <f>O25*$B$28</f>
        <v>0</v>
      </c>
      <c r="P28" s="1074"/>
      <c r="Q28" s="1085">
        <f>Q25*$B$28</f>
        <v>0</v>
      </c>
      <c r="R28" s="1085">
        <f>R25*$B$28</f>
        <v>0</v>
      </c>
      <c r="S28" s="1074"/>
      <c r="T28" s="1085">
        <f>T25*$B$28</f>
        <v>0</v>
      </c>
      <c r="U28" s="1085">
        <f>U25*$B$28</f>
        <v>0</v>
      </c>
      <c r="V28" s="1074"/>
      <c r="W28" s="1085">
        <f>W25*$B$28</f>
        <v>0</v>
      </c>
      <c r="X28" s="1085">
        <f>X25*$B$28</f>
        <v>0</v>
      </c>
      <c r="Y28" s="1074"/>
      <c r="Z28" s="1085">
        <f>Z25*$B$28</f>
        <v>0</v>
      </c>
      <c r="AA28" s="1085">
        <f>AA25*$B$28</f>
        <v>0</v>
      </c>
      <c r="AB28" s="1074"/>
      <c r="AC28" s="1085">
        <f>AC25*$B$28</f>
        <v>0</v>
      </c>
      <c r="AD28" s="1085">
        <f>AD25*$B$28</f>
        <v>0</v>
      </c>
      <c r="AE28" s="1074"/>
      <c r="AF28" s="1085">
        <f>AF25*$B$28</f>
        <v>0</v>
      </c>
      <c r="AG28" s="1085">
        <f>AG25*$B$28</f>
        <v>0</v>
      </c>
    </row>
    <row r="29" spans="1:33" x14ac:dyDescent="0.2">
      <c r="A29" s="951" t="s">
        <v>600</v>
      </c>
      <c r="B29" s="195"/>
      <c r="C29" s="1097"/>
      <c r="D29" s="1086"/>
      <c r="E29" s="1085">
        <f>E25*$B$29</f>
        <v>0</v>
      </c>
      <c r="F29" s="1085">
        <f>F25*$B$29</f>
        <v>0</v>
      </c>
      <c r="G29" s="1086"/>
      <c r="H29" s="1085">
        <f>H25*$B$29</f>
        <v>0</v>
      </c>
      <c r="I29" s="1085">
        <f>I25*$B$29</f>
        <v>0</v>
      </c>
      <c r="J29" s="1086"/>
      <c r="K29" s="1085">
        <f>K25*$B$29</f>
        <v>0</v>
      </c>
      <c r="L29" s="1085">
        <f>L25*$B$29</f>
        <v>0</v>
      </c>
      <c r="M29" s="1086"/>
      <c r="N29" s="1085">
        <f>N25*$B$29</f>
        <v>0</v>
      </c>
      <c r="O29" s="1085">
        <f>O25*$B$29</f>
        <v>0</v>
      </c>
      <c r="P29" s="1086"/>
      <c r="Q29" s="1085">
        <f>Q25*$B$29</f>
        <v>0</v>
      </c>
      <c r="R29" s="1085">
        <f>R25*$B$29</f>
        <v>0</v>
      </c>
      <c r="S29" s="1086"/>
      <c r="T29" s="1085">
        <f>T25*$B$29</f>
        <v>0</v>
      </c>
      <c r="U29" s="1085">
        <f>U25*$B$29</f>
        <v>0</v>
      </c>
      <c r="V29" s="1086"/>
      <c r="W29" s="1085">
        <f>W25*$B$29</f>
        <v>0</v>
      </c>
      <c r="X29" s="1085">
        <f>X25*$B$29</f>
        <v>0</v>
      </c>
      <c r="Y29" s="1086"/>
      <c r="Z29" s="1085">
        <f>Z25*$B$29</f>
        <v>0</v>
      </c>
      <c r="AA29" s="1085">
        <f>AA25*$B$29</f>
        <v>0</v>
      </c>
      <c r="AB29" s="1086"/>
      <c r="AC29" s="1085">
        <f>AC25*$B$29</f>
        <v>0</v>
      </c>
      <c r="AD29" s="1085">
        <f>AD25*$B$29</f>
        <v>0</v>
      </c>
      <c r="AE29" s="1086"/>
      <c r="AF29" s="1085">
        <f>AF25*$B$29</f>
        <v>0</v>
      </c>
      <c r="AG29" s="1085">
        <f>AG25*$B$29</f>
        <v>0</v>
      </c>
    </row>
    <row r="30" spans="1:33" x14ac:dyDescent="0.2">
      <c r="A30" s="951" t="s">
        <v>601</v>
      </c>
      <c r="B30" s="195"/>
      <c r="C30" s="1097"/>
      <c r="D30" s="1087"/>
      <c r="E30" s="1085">
        <f>E25*$B$30</f>
        <v>0</v>
      </c>
      <c r="F30" s="1085">
        <f>F25*$B$30</f>
        <v>0</v>
      </c>
      <c r="G30" s="1087"/>
      <c r="H30" s="1085">
        <f>H25*$B$30</f>
        <v>0</v>
      </c>
      <c r="I30" s="1085">
        <f>I25*$B$30</f>
        <v>0</v>
      </c>
      <c r="J30" s="1087"/>
      <c r="K30" s="1085">
        <f>K25*$B$30</f>
        <v>0</v>
      </c>
      <c r="L30" s="1085">
        <f>L25*$B$30</f>
        <v>0</v>
      </c>
      <c r="M30" s="1087"/>
      <c r="N30" s="1085">
        <f>N25*$B$30</f>
        <v>0</v>
      </c>
      <c r="O30" s="1085">
        <f>O25*$B$30</f>
        <v>0</v>
      </c>
      <c r="P30" s="1087"/>
      <c r="Q30" s="1085">
        <f>Q25*$B$30</f>
        <v>0</v>
      </c>
      <c r="R30" s="1085">
        <f>R25*$B$30</f>
        <v>0</v>
      </c>
      <c r="S30" s="1087"/>
      <c r="T30" s="1085">
        <f>T25*$B$30</f>
        <v>0</v>
      </c>
      <c r="U30" s="1085">
        <f>U25*$B$30</f>
        <v>0</v>
      </c>
      <c r="V30" s="1087"/>
      <c r="W30" s="1085">
        <f>W25*$B$30</f>
        <v>0</v>
      </c>
      <c r="X30" s="1085">
        <f>X25*$B$30</f>
        <v>0</v>
      </c>
      <c r="Y30" s="1087"/>
      <c r="Z30" s="1085">
        <f>Z25*$B$30</f>
        <v>0</v>
      </c>
      <c r="AA30" s="1085">
        <f>AA25*$B$30</f>
        <v>0</v>
      </c>
      <c r="AB30" s="1087"/>
      <c r="AC30" s="1085">
        <f>AC25*$B$30</f>
        <v>0</v>
      </c>
      <c r="AD30" s="1085">
        <f>AD25*$B$30</f>
        <v>0</v>
      </c>
      <c r="AE30" s="1087"/>
      <c r="AF30" s="1085">
        <f>AF25*$B$30</f>
        <v>0</v>
      </c>
      <c r="AG30" s="1085">
        <f>AG25*$B$30</f>
        <v>0</v>
      </c>
    </row>
    <row r="31" spans="1:33" x14ac:dyDescent="0.2">
      <c r="A31" s="951"/>
      <c r="B31" s="951"/>
      <c r="C31" s="1142"/>
      <c r="D31" s="951"/>
      <c r="E31" s="1088"/>
      <c r="F31" s="951"/>
      <c r="G31" s="951"/>
      <c r="H31" s="1088"/>
      <c r="I31" s="951"/>
      <c r="J31" s="951"/>
      <c r="K31" s="1088"/>
      <c r="L31" s="951"/>
      <c r="M31" s="951"/>
      <c r="N31" s="1088"/>
      <c r="O31" s="951"/>
      <c r="P31" s="951"/>
      <c r="Q31" s="1088"/>
      <c r="R31" s="951"/>
      <c r="S31" s="951"/>
      <c r="T31" s="1042"/>
      <c r="U31" s="951"/>
      <c r="V31" s="951"/>
      <c r="W31" s="1042"/>
      <c r="X31" s="951"/>
      <c r="Y31" s="951"/>
      <c r="Z31" s="1042"/>
      <c r="AA31" s="951"/>
      <c r="AB31" s="951"/>
      <c r="AC31" s="1042"/>
      <c r="AD31" s="951"/>
      <c r="AE31" s="951"/>
      <c r="AF31" s="1042"/>
      <c r="AG31" s="951"/>
    </row>
    <row r="32" spans="1:33" x14ac:dyDescent="0.2">
      <c r="A32" s="951" t="s">
        <v>602</v>
      </c>
      <c r="B32" s="204"/>
      <c r="C32" s="1097"/>
      <c r="D32" s="1089"/>
      <c r="E32" s="1085">
        <f>E28*$B$32</f>
        <v>0</v>
      </c>
      <c r="F32" s="1085">
        <f>F28*$B$32</f>
        <v>0</v>
      </c>
      <c r="G32" s="1089"/>
      <c r="H32" s="1085">
        <f>H28*$B$32</f>
        <v>0</v>
      </c>
      <c r="I32" s="1085">
        <f>I28*$B$32</f>
        <v>0</v>
      </c>
      <c r="J32" s="1089"/>
      <c r="K32" s="1085">
        <f>K28*$B$32</f>
        <v>0</v>
      </c>
      <c r="L32" s="1085">
        <f>L28*$B$32</f>
        <v>0</v>
      </c>
      <c r="M32" s="1089"/>
      <c r="N32" s="1085">
        <f>N28*$B$32</f>
        <v>0</v>
      </c>
      <c r="O32" s="1085">
        <f>O28*$B$32</f>
        <v>0</v>
      </c>
      <c r="P32" s="1089"/>
      <c r="Q32" s="1085">
        <f>Q28*$B$32</f>
        <v>0</v>
      </c>
      <c r="R32" s="1085">
        <f>R28*$B$32</f>
        <v>0</v>
      </c>
      <c r="S32" s="1089"/>
      <c r="T32" s="1085">
        <f>T28*$B$32</f>
        <v>0</v>
      </c>
      <c r="U32" s="1085">
        <f>U28*$B$32</f>
        <v>0</v>
      </c>
      <c r="V32" s="1089"/>
      <c r="W32" s="1085">
        <f>W28*$B$32</f>
        <v>0</v>
      </c>
      <c r="X32" s="1085">
        <f>X28*$B$32</f>
        <v>0</v>
      </c>
      <c r="Y32" s="1089"/>
      <c r="Z32" s="1085">
        <f>Z28*$B$32</f>
        <v>0</v>
      </c>
      <c r="AA32" s="1085">
        <f>AA28*$B$32</f>
        <v>0</v>
      </c>
      <c r="AB32" s="1089"/>
      <c r="AC32" s="1085">
        <f>AC28*$B$32</f>
        <v>0</v>
      </c>
      <c r="AD32" s="1085">
        <f>AD28*$B$32</f>
        <v>0</v>
      </c>
      <c r="AE32" s="1089"/>
      <c r="AF32" s="1085">
        <f>AF28*$B$32</f>
        <v>0</v>
      </c>
      <c r="AG32" s="1085">
        <f>AG28*$B$32</f>
        <v>0</v>
      </c>
    </row>
    <row r="33" spans="1:33" x14ac:dyDescent="0.2">
      <c r="A33" s="951" t="s">
        <v>603</v>
      </c>
      <c r="B33" s="204"/>
      <c r="C33" s="1097"/>
      <c r="D33" s="1089"/>
      <c r="E33" s="1085">
        <f>E29*$B$33</f>
        <v>0</v>
      </c>
      <c r="F33" s="1085">
        <f>F29*$B$33</f>
        <v>0</v>
      </c>
      <c r="G33" s="1089"/>
      <c r="H33" s="1085">
        <f>H29*$B$33</f>
        <v>0</v>
      </c>
      <c r="I33" s="1085">
        <f>I29*$B$33</f>
        <v>0</v>
      </c>
      <c r="J33" s="1089"/>
      <c r="K33" s="1085">
        <f>K29*$B$33</f>
        <v>0</v>
      </c>
      <c r="L33" s="1085">
        <f>L29*$B$33</f>
        <v>0</v>
      </c>
      <c r="M33" s="1089"/>
      <c r="N33" s="1085">
        <f>N29*$B$33</f>
        <v>0</v>
      </c>
      <c r="O33" s="1085">
        <f>O29*$B$33</f>
        <v>0</v>
      </c>
      <c r="P33" s="1089"/>
      <c r="Q33" s="1085">
        <f>Q29*$B$33</f>
        <v>0</v>
      </c>
      <c r="R33" s="1085">
        <f>R29*$B$33</f>
        <v>0</v>
      </c>
      <c r="S33" s="1089"/>
      <c r="T33" s="1085">
        <f>T29*$B$33</f>
        <v>0</v>
      </c>
      <c r="U33" s="1085">
        <f>U29*$B$33</f>
        <v>0</v>
      </c>
      <c r="V33" s="1089"/>
      <c r="W33" s="1085">
        <f>W29*$B$33</f>
        <v>0</v>
      </c>
      <c r="X33" s="1085">
        <f>X29*$B$33</f>
        <v>0</v>
      </c>
      <c r="Y33" s="1089"/>
      <c r="Z33" s="1085">
        <f>Z29*$B$33</f>
        <v>0</v>
      </c>
      <c r="AA33" s="1085">
        <f>AA29*$B$33</f>
        <v>0</v>
      </c>
      <c r="AB33" s="1089"/>
      <c r="AC33" s="1085">
        <f>AC29*$B$33</f>
        <v>0</v>
      </c>
      <c r="AD33" s="1085">
        <f>AD29*$B$33</f>
        <v>0</v>
      </c>
      <c r="AE33" s="1089"/>
      <c r="AF33" s="1085">
        <f>AF29*$B$33</f>
        <v>0</v>
      </c>
      <c r="AG33" s="1085">
        <f>AG29*$B$33</f>
        <v>0</v>
      </c>
    </row>
    <row r="34" spans="1:33" x14ac:dyDescent="0.2">
      <c r="A34" s="951" t="s">
        <v>604</v>
      </c>
      <c r="B34" s="204"/>
      <c r="C34" s="1097"/>
      <c r="D34" s="1089"/>
      <c r="E34" s="1085">
        <f>E30*$B$34</f>
        <v>0</v>
      </c>
      <c r="F34" s="1083">
        <f>F30*$B$34</f>
        <v>0</v>
      </c>
      <c r="G34" s="1089"/>
      <c r="H34" s="1085">
        <f>H30*$B$34</f>
        <v>0</v>
      </c>
      <c r="I34" s="1083">
        <f>I30*$B$34</f>
        <v>0</v>
      </c>
      <c r="J34" s="1089"/>
      <c r="K34" s="1085">
        <f>K30*$B$34</f>
        <v>0</v>
      </c>
      <c r="L34" s="1083">
        <f>L30*$B$34</f>
        <v>0</v>
      </c>
      <c r="M34" s="1089"/>
      <c r="N34" s="1085">
        <f>N30*$B$34</f>
        <v>0</v>
      </c>
      <c r="O34" s="1083">
        <f>O30*$B$34</f>
        <v>0</v>
      </c>
      <c r="P34" s="1089"/>
      <c r="Q34" s="1085">
        <f>Q30*$B$34</f>
        <v>0</v>
      </c>
      <c r="R34" s="1083">
        <f>R30*$B$34</f>
        <v>0</v>
      </c>
      <c r="S34" s="1089"/>
      <c r="T34" s="1085">
        <f>T30*$B$34</f>
        <v>0</v>
      </c>
      <c r="U34" s="1083">
        <f>U30*$B$34</f>
        <v>0</v>
      </c>
      <c r="V34" s="1089"/>
      <c r="W34" s="1085">
        <f>W30*$B$34</f>
        <v>0</v>
      </c>
      <c r="X34" s="1083">
        <f>X30*$B$34</f>
        <v>0</v>
      </c>
      <c r="Y34" s="1089"/>
      <c r="Z34" s="1085">
        <f>Z30*$B$34</f>
        <v>0</v>
      </c>
      <c r="AA34" s="1083">
        <f>AA30*$B$34</f>
        <v>0</v>
      </c>
      <c r="AB34" s="1089"/>
      <c r="AC34" s="1085">
        <f>AC30*$B$34</f>
        <v>0</v>
      </c>
      <c r="AD34" s="1083">
        <f>AD30*$B$34</f>
        <v>0</v>
      </c>
      <c r="AE34" s="1089"/>
      <c r="AF34" s="1085">
        <f>AF30*$B$34</f>
        <v>0</v>
      </c>
      <c r="AG34" s="1083">
        <f>AG30*$B$34</f>
        <v>0</v>
      </c>
    </row>
    <row r="35" spans="1:33" x14ac:dyDescent="0.2">
      <c r="A35" s="1090" t="s">
        <v>605</v>
      </c>
      <c r="B35" s="951"/>
      <c r="C35" s="1097"/>
      <c r="D35" s="951"/>
      <c r="E35" s="1091">
        <f>SUM(E32:E34)</f>
        <v>0</v>
      </c>
      <c r="F35" s="1091">
        <f>SUM(F32:F34)</f>
        <v>0</v>
      </c>
      <c r="G35" s="951"/>
      <c r="H35" s="1091">
        <f>SUM(H32:H34)</f>
        <v>0</v>
      </c>
      <c r="I35" s="1091">
        <f>SUM(I32:I34)</f>
        <v>0</v>
      </c>
      <c r="J35" s="951"/>
      <c r="K35" s="1091">
        <f>SUM(K32:K34)</f>
        <v>0</v>
      </c>
      <c r="L35" s="1091">
        <f>SUM(L32:L34)</f>
        <v>0</v>
      </c>
      <c r="M35" s="951"/>
      <c r="N35" s="1091">
        <f>SUM(N32:N34)</f>
        <v>0</v>
      </c>
      <c r="O35" s="1091">
        <f>SUM(O32:O34)</f>
        <v>0</v>
      </c>
      <c r="P35" s="951"/>
      <c r="Q35" s="1091">
        <f>SUM(Q32:Q34)</f>
        <v>0</v>
      </c>
      <c r="R35" s="1091">
        <f>SUM(R32:R34)</f>
        <v>0</v>
      </c>
      <c r="S35" s="951"/>
      <c r="T35" s="1091">
        <f>SUM(T32:T34)</f>
        <v>0</v>
      </c>
      <c r="U35" s="1091">
        <f>SUM(U32:U34)</f>
        <v>0</v>
      </c>
      <c r="V35" s="951"/>
      <c r="W35" s="1091">
        <f>SUM(W32:W34)</f>
        <v>0</v>
      </c>
      <c r="X35" s="1091">
        <f>SUM(X32:X34)</f>
        <v>0</v>
      </c>
      <c r="Y35" s="951"/>
      <c r="Z35" s="1091">
        <f>SUM(Z32:Z34)</f>
        <v>0</v>
      </c>
      <c r="AA35" s="1091">
        <f>SUM(AA32:AA34)</f>
        <v>0</v>
      </c>
      <c r="AB35" s="951"/>
      <c r="AC35" s="1091">
        <f>SUM(AC32:AC34)</f>
        <v>0</v>
      </c>
      <c r="AD35" s="1091">
        <f>SUM(AD32:AD34)</f>
        <v>0</v>
      </c>
      <c r="AE35" s="951"/>
      <c r="AF35" s="1091">
        <f>SUM(AF32:AF34)</f>
        <v>0</v>
      </c>
      <c r="AG35" s="1091">
        <f>SUM(AG32:AG34)</f>
        <v>0</v>
      </c>
    </row>
    <row r="36" spans="1:33" x14ac:dyDescent="0.2">
      <c r="A36" s="951"/>
      <c r="B36" s="951"/>
      <c r="C36" s="1069"/>
      <c r="D36" s="951"/>
      <c r="E36" s="951"/>
      <c r="F36" s="951"/>
      <c r="G36" s="951"/>
      <c r="H36" s="951"/>
      <c r="I36" s="951"/>
      <c r="J36" s="951"/>
      <c r="K36" s="951"/>
      <c r="L36" s="951"/>
      <c r="M36" s="951"/>
      <c r="N36" s="951"/>
      <c r="O36" s="951"/>
      <c r="P36" s="951"/>
      <c r="Q36" s="951"/>
      <c r="R36" s="951"/>
      <c r="S36" s="951"/>
      <c r="T36" s="951"/>
      <c r="U36" s="951"/>
      <c r="V36" s="951"/>
      <c r="W36" s="951"/>
      <c r="X36" s="951"/>
      <c r="Y36" s="951"/>
      <c r="Z36" s="951"/>
      <c r="AA36" s="951"/>
      <c r="AB36" s="951"/>
      <c r="AC36" s="951"/>
      <c r="AD36" s="951"/>
      <c r="AE36" s="951"/>
      <c r="AF36" s="951"/>
      <c r="AG36" s="951"/>
    </row>
    <row r="37" spans="1:33" x14ac:dyDescent="0.2">
      <c r="A37" s="951" t="s">
        <v>107</v>
      </c>
      <c r="B37" s="951"/>
      <c r="C37" s="1143"/>
      <c r="D37" s="951"/>
      <c r="E37" s="1092">
        <f>E22+E23</f>
        <v>0</v>
      </c>
      <c r="F37" s="1085">
        <f>F23</f>
        <v>0</v>
      </c>
      <c r="G37" s="951"/>
      <c r="H37" s="1092">
        <f>H22+H23</f>
        <v>0</v>
      </c>
      <c r="I37" s="1085">
        <f>I23</f>
        <v>0</v>
      </c>
      <c r="J37" s="951"/>
      <c r="K37" s="1092">
        <f>K22+K23</f>
        <v>0</v>
      </c>
      <c r="L37" s="1085">
        <f>L23</f>
        <v>0</v>
      </c>
      <c r="M37" s="951"/>
      <c r="N37" s="1092">
        <f>N22+N23</f>
        <v>0</v>
      </c>
      <c r="O37" s="1085">
        <f>O23</f>
        <v>0</v>
      </c>
      <c r="P37" s="951"/>
      <c r="Q37" s="1092">
        <f>Q22+Q23</f>
        <v>0</v>
      </c>
      <c r="R37" s="1085">
        <f>R23</f>
        <v>0</v>
      </c>
      <c r="S37" s="951"/>
      <c r="T37" s="1092">
        <f>T22+T23</f>
        <v>0</v>
      </c>
      <c r="U37" s="1085">
        <f>U23</f>
        <v>0</v>
      </c>
      <c r="V37" s="951"/>
      <c r="W37" s="1092">
        <f>W22+W23</f>
        <v>0</v>
      </c>
      <c r="X37" s="1085">
        <f>X23</f>
        <v>0</v>
      </c>
      <c r="Y37" s="974"/>
      <c r="Z37" s="1092">
        <f>Z22+Z23</f>
        <v>0</v>
      </c>
      <c r="AA37" s="1085">
        <f>AA23</f>
        <v>0</v>
      </c>
      <c r="AB37" s="951"/>
      <c r="AC37" s="1092">
        <f>AC22+AC23</f>
        <v>0</v>
      </c>
      <c r="AD37" s="1092">
        <f>AD23</f>
        <v>0</v>
      </c>
      <c r="AE37" s="951"/>
      <c r="AF37" s="1092">
        <f>AF22+AF23</f>
        <v>0</v>
      </c>
      <c r="AG37" s="1092">
        <f>AG23</f>
        <v>0</v>
      </c>
    </row>
    <row r="38" spans="1:33" x14ac:dyDescent="0.2">
      <c r="A38" s="951" t="s">
        <v>606</v>
      </c>
      <c r="B38" s="1093"/>
      <c r="C38" s="1097"/>
      <c r="D38" s="1042">
        <f>D78</f>
        <v>0</v>
      </c>
      <c r="E38" s="1085">
        <f>D38*E$20</f>
        <v>0</v>
      </c>
      <c r="F38" s="1085">
        <f>D38*F$20</f>
        <v>0</v>
      </c>
      <c r="G38" s="1042">
        <f>G78</f>
        <v>0</v>
      </c>
      <c r="H38" s="1085">
        <f>G38*H$20</f>
        <v>0</v>
      </c>
      <c r="I38" s="1085">
        <f>G38*I$20</f>
        <v>0</v>
      </c>
      <c r="J38" s="1042">
        <f>H78</f>
        <v>0</v>
      </c>
      <c r="K38" s="1085">
        <f>J38*K$20</f>
        <v>0</v>
      </c>
      <c r="L38" s="1085">
        <f>J38*L$20</f>
        <v>0</v>
      </c>
      <c r="M38" s="1042">
        <f>I78</f>
        <v>0</v>
      </c>
      <c r="N38" s="1085">
        <f>M38*N$20</f>
        <v>0</v>
      </c>
      <c r="O38" s="1085">
        <f>M38*O$20</f>
        <v>0</v>
      </c>
      <c r="P38" s="1042">
        <f>J78</f>
        <v>0</v>
      </c>
      <c r="Q38" s="1085">
        <f>P38*Q$20</f>
        <v>0</v>
      </c>
      <c r="R38" s="1085">
        <f>P38*R$20</f>
        <v>0</v>
      </c>
      <c r="S38" s="1094">
        <f>K76+K77</f>
        <v>0</v>
      </c>
      <c r="T38" s="1085">
        <f>S38*T$20</f>
        <v>0</v>
      </c>
      <c r="U38" s="1085">
        <f>S38*U$20</f>
        <v>0</v>
      </c>
      <c r="V38" s="1094">
        <f>L76+L77</f>
        <v>0</v>
      </c>
      <c r="W38" s="1085">
        <f>V38*W$20</f>
        <v>0</v>
      </c>
      <c r="X38" s="1085">
        <f>V38*X$20</f>
        <v>0</v>
      </c>
      <c r="Y38" s="1094">
        <f>M76+M77</f>
        <v>0</v>
      </c>
      <c r="Z38" s="1085">
        <f>Y38*Z$20</f>
        <v>0</v>
      </c>
      <c r="AA38" s="1085">
        <f>Y38*AA$20</f>
        <v>0</v>
      </c>
      <c r="AB38" s="1094">
        <f>N76+N77</f>
        <v>0</v>
      </c>
      <c r="AC38" s="1085">
        <f>AB38*AC$20</f>
        <v>0</v>
      </c>
      <c r="AD38" s="1085">
        <f>AB38*AD$20</f>
        <v>0</v>
      </c>
      <c r="AE38" s="1094">
        <f>O76+O77</f>
        <v>0</v>
      </c>
      <c r="AF38" s="1085">
        <f>AE38*AF$20</f>
        <v>0</v>
      </c>
      <c r="AG38" s="1085">
        <f>AE38*AG$20</f>
        <v>0</v>
      </c>
    </row>
    <row r="39" spans="1:33" x14ac:dyDescent="0.2">
      <c r="A39" s="951" t="s">
        <v>607</v>
      </c>
      <c r="B39" s="1093"/>
      <c r="C39" s="1144"/>
      <c r="D39" s="951"/>
      <c r="E39" s="1042">
        <f>E66</f>
        <v>0</v>
      </c>
      <c r="F39" s="1042">
        <f>F66</f>
        <v>0</v>
      </c>
      <c r="G39" s="951"/>
      <c r="H39" s="1042">
        <f>H66</f>
        <v>0</v>
      </c>
      <c r="I39" s="1042">
        <f>I66</f>
        <v>0</v>
      </c>
      <c r="J39" s="951"/>
      <c r="K39" s="1042">
        <f>K66</f>
        <v>0</v>
      </c>
      <c r="L39" s="1042">
        <f>L66</f>
        <v>0</v>
      </c>
      <c r="M39" s="951"/>
      <c r="N39" s="1042">
        <f>N66</f>
        <v>0</v>
      </c>
      <c r="O39" s="1042">
        <f>O66</f>
        <v>0</v>
      </c>
      <c r="P39" s="951"/>
      <c r="Q39" s="1042">
        <f>Q66</f>
        <v>0</v>
      </c>
      <c r="R39" s="1042">
        <f>R66</f>
        <v>0</v>
      </c>
      <c r="S39" s="1093"/>
      <c r="T39" s="1042">
        <f>T66</f>
        <v>0</v>
      </c>
      <c r="U39" s="1042">
        <f>U66</f>
        <v>0</v>
      </c>
      <c r="V39" s="1093"/>
      <c r="W39" s="1042">
        <f>W66</f>
        <v>0</v>
      </c>
      <c r="X39" s="1042">
        <f>X66</f>
        <v>0</v>
      </c>
      <c r="Y39" s="1093"/>
      <c r="Z39" s="1042">
        <f>Z66</f>
        <v>0</v>
      </c>
      <c r="AA39" s="1042">
        <f>AA66</f>
        <v>0</v>
      </c>
      <c r="AB39" s="1093"/>
      <c r="AC39" s="1042">
        <f>AC66</f>
        <v>0</v>
      </c>
      <c r="AD39" s="1042">
        <f>AD66</f>
        <v>0</v>
      </c>
      <c r="AE39" s="1093"/>
      <c r="AF39" s="1042">
        <f>AF66</f>
        <v>0</v>
      </c>
      <c r="AG39" s="1042">
        <f>AG66</f>
        <v>0</v>
      </c>
    </row>
    <row r="40" spans="1:33" x14ac:dyDescent="0.2">
      <c r="A40" s="951"/>
      <c r="B40" s="951"/>
      <c r="C40" s="1069"/>
      <c r="D40" s="951"/>
      <c r="E40" s="951"/>
      <c r="F40" s="951"/>
      <c r="G40" s="951"/>
      <c r="H40" s="951"/>
      <c r="I40" s="951"/>
      <c r="J40" s="951"/>
      <c r="K40" s="951"/>
      <c r="L40" s="951"/>
      <c r="M40" s="951"/>
      <c r="N40" s="951"/>
      <c r="O40" s="951"/>
      <c r="P40" s="951"/>
      <c r="Q40" s="951"/>
      <c r="R40" s="951"/>
      <c r="S40" s="951"/>
      <c r="T40" s="951"/>
      <c r="U40" s="951"/>
      <c r="V40" s="951"/>
      <c r="W40" s="951"/>
      <c r="X40" s="951"/>
      <c r="Y40" s="951"/>
      <c r="Z40" s="951"/>
      <c r="AA40" s="951"/>
      <c r="AB40" s="951"/>
      <c r="AC40" s="951"/>
      <c r="AD40" s="951"/>
      <c r="AE40" s="951"/>
      <c r="AF40" s="951"/>
      <c r="AG40" s="951"/>
    </row>
    <row r="41" spans="1:33" ht="13.5" thickBot="1" x14ac:dyDescent="0.25">
      <c r="A41" s="967" t="s">
        <v>608</v>
      </c>
      <c r="B41" s="951"/>
      <c r="C41" s="1097"/>
      <c r="D41" s="951"/>
      <c r="E41" s="1095">
        <f>SUM(E35:E39)</f>
        <v>0</v>
      </c>
      <c r="F41" s="1095">
        <f>SUM(F35:F39)</f>
        <v>0</v>
      </c>
      <c r="G41" s="951"/>
      <c r="H41" s="1095">
        <f>SUM(H35:H39)</f>
        <v>0</v>
      </c>
      <c r="I41" s="1095">
        <f>SUM(I35:I39)</f>
        <v>0</v>
      </c>
      <c r="J41" s="951"/>
      <c r="K41" s="1095">
        <f>SUM(K35:K39)</f>
        <v>0</v>
      </c>
      <c r="L41" s="1095">
        <f>SUM(L35:L39)</f>
        <v>0</v>
      </c>
      <c r="M41" s="951"/>
      <c r="N41" s="1095">
        <f>SUM(N35:N39)</f>
        <v>0</v>
      </c>
      <c r="O41" s="1095">
        <f>SUM(O35:O39)</f>
        <v>0</v>
      </c>
      <c r="P41" s="951"/>
      <c r="Q41" s="1095">
        <f>SUM(Q35:Q39)</f>
        <v>0</v>
      </c>
      <c r="R41" s="1095">
        <f>SUM(R35:R39)</f>
        <v>0</v>
      </c>
      <c r="S41" s="951"/>
      <c r="T41" s="1095">
        <f>SUM(T35:T39)</f>
        <v>0</v>
      </c>
      <c r="U41" s="1095">
        <f>SUM(U35:U39)</f>
        <v>0</v>
      </c>
      <c r="V41" s="951"/>
      <c r="W41" s="1095">
        <f>SUM(W35:W39)</f>
        <v>0</v>
      </c>
      <c r="X41" s="1095">
        <f>SUM(X35:X39)</f>
        <v>0</v>
      </c>
      <c r="Y41" s="951"/>
      <c r="Z41" s="1095">
        <f>SUM(Z35:Z39)</f>
        <v>0</v>
      </c>
      <c r="AA41" s="1095">
        <f>SUM(AA35:AA39)</f>
        <v>0</v>
      </c>
      <c r="AB41" s="951"/>
      <c r="AC41" s="1095">
        <f>SUM(AC35:AC39)</f>
        <v>0</v>
      </c>
      <c r="AD41" s="1095">
        <f>SUM(AD35:AD39)</f>
        <v>0</v>
      </c>
      <c r="AE41" s="951"/>
      <c r="AF41" s="1095">
        <f>SUM(AF35:AF39)</f>
        <v>0</v>
      </c>
      <c r="AG41" s="1095">
        <f>SUM(AG35:AG39)</f>
        <v>0</v>
      </c>
    </row>
    <row r="42" spans="1:33" x14ac:dyDescent="0.2">
      <c r="A42" s="951"/>
      <c r="B42" s="951"/>
      <c r="C42" s="1097"/>
      <c r="D42" s="1097"/>
      <c r="E42" s="1097"/>
      <c r="F42" s="1097"/>
      <c r="G42" s="951"/>
      <c r="H42" s="1097"/>
      <c r="I42" s="1097"/>
      <c r="J42" s="951"/>
      <c r="K42" s="1097"/>
      <c r="L42" s="1097"/>
      <c r="M42" s="951"/>
      <c r="N42" s="1097"/>
      <c r="O42" s="1097"/>
      <c r="P42" s="951"/>
      <c r="Q42" s="1097"/>
      <c r="R42" s="1097"/>
      <c r="S42" s="951"/>
      <c r="T42" s="1097"/>
      <c r="U42" s="1097"/>
      <c r="V42" s="951"/>
      <c r="W42" s="1097"/>
      <c r="X42" s="1097"/>
      <c r="Y42" s="951"/>
      <c r="Z42" s="1097"/>
      <c r="AA42" s="1097"/>
      <c r="AB42" s="951"/>
      <c r="AC42" s="1097"/>
      <c r="AD42" s="1097"/>
      <c r="AE42" s="951"/>
      <c r="AF42" s="1097"/>
      <c r="AG42" s="1097"/>
    </row>
    <row r="43" spans="1:33" x14ac:dyDescent="0.2">
      <c r="A43" s="951"/>
      <c r="B43" s="1098"/>
      <c r="C43" s="1085"/>
      <c r="D43" s="1085"/>
      <c r="E43" s="1085"/>
      <c r="F43" s="1085"/>
      <c r="G43" s="951"/>
      <c r="H43" s="1085"/>
      <c r="I43" s="1053"/>
      <c r="J43" s="951"/>
      <c r="K43" s="1085"/>
      <c r="L43" s="1053"/>
      <c r="M43" s="951"/>
      <c r="N43" s="1085"/>
      <c r="O43" s="1053"/>
      <c r="P43" s="951"/>
      <c r="Q43" s="1085"/>
      <c r="R43" s="1053"/>
      <c r="S43" s="1085"/>
      <c r="T43" s="951"/>
      <c r="U43" s="1085"/>
      <c r="V43" s="1085"/>
      <c r="W43" s="951"/>
      <c r="X43" s="1085"/>
      <c r="Y43" s="1085"/>
      <c r="Z43" s="951"/>
      <c r="AA43" s="1085"/>
      <c r="AB43" s="1085"/>
      <c r="AC43" s="951"/>
      <c r="AD43" s="1085"/>
      <c r="AE43" s="1085"/>
      <c r="AF43" s="951"/>
      <c r="AG43" s="1085"/>
    </row>
    <row r="44" spans="1:33" x14ac:dyDescent="0.2">
      <c r="A44" s="951" t="s">
        <v>609</v>
      </c>
      <c r="B44" s="1098"/>
      <c r="C44" s="1085"/>
      <c r="D44" s="1085"/>
      <c r="E44" s="1085"/>
      <c r="F44" s="1099">
        <f>F41</f>
        <v>0</v>
      </c>
      <c r="G44" s="951"/>
      <c r="H44" s="1085"/>
      <c r="I44" s="1099">
        <f>I41</f>
        <v>0</v>
      </c>
      <c r="J44" s="951"/>
      <c r="K44" s="1085"/>
      <c r="L44" s="1099">
        <f>L41</f>
        <v>0</v>
      </c>
      <c r="M44" s="951"/>
      <c r="N44" s="1085"/>
      <c r="O44" s="1099">
        <f>O41</f>
        <v>0</v>
      </c>
      <c r="P44" s="951"/>
      <c r="Q44" s="1085"/>
      <c r="R44" s="1099">
        <f>R41</f>
        <v>0</v>
      </c>
      <c r="S44" s="1085"/>
      <c r="T44" s="951"/>
      <c r="U44" s="1099">
        <f>U41</f>
        <v>0</v>
      </c>
      <c r="V44" s="1085"/>
      <c r="W44" s="951"/>
      <c r="X44" s="1099">
        <f>X41</f>
        <v>0</v>
      </c>
      <c r="Y44" s="1085"/>
      <c r="Z44" s="951"/>
      <c r="AA44" s="1099">
        <f>AA41</f>
        <v>0</v>
      </c>
      <c r="AB44" s="1085"/>
      <c r="AC44" s="951"/>
      <c r="AD44" s="1099">
        <f>AD41</f>
        <v>0</v>
      </c>
      <c r="AE44" s="1085"/>
      <c r="AF44" s="951"/>
      <c r="AG44" s="1099">
        <f>AG41</f>
        <v>0</v>
      </c>
    </row>
    <row r="45" spans="1:33" x14ac:dyDescent="0.2">
      <c r="A45" s="951"/>
      <c r="B45" s="1100"/>
      <c r="C45" s="951"/>
      <c r="D45" s="951"/>
      <c r="E45" s="951"/>
      <c r="F45" s="951"/>
      <c r="G45" s="951"/>
      <c r="H45" s="1101"/>
      <c r="I45" s="1053"/>
      <c r="J45" s="951"/>
      <c r="K45" s="1101"/>
      <c r="L45" s="1053"/>
      <c r="M45" s="951"/>
      <c r="N45" s="1101"/>
      <c r="O45" s="1053"/>
      <c r="P45" s="951"/>
      <c r="Q45" s="1101"/>
      <c r="R45" s="1053"/>
      <c r="S45" s="951"/>
      <c r="T45" s="1102"/>
      <c r="U45" s="1053"/>
      <c r="V45" s="951"/>
      <c r="W45" s="1102"/>
      <c r="X45" s="1053"/>
      <c r="Y45" s="951"/>
      <c r="Z45" s="1102"/>
      <c r="AA45" s="1053"/>
      <c r="AB45" s="951"/>
      <c r="AC45" s="1102"/>
      <c r="AD45" s="1053"/>
      <c r="AE45" s="951"/>
      <c r="AF45" s="1102"/>
      <c r="AG45" s="1053"/>
    </row>
    <row r="46" spans="1:33" x14ac:dyDescent="0.2">
      <c r="A46" s="974" t="s">
        <v>809</v>
      </c>
      <c r="B46" s="951"/>
      <c r="C46" s="1042"/>
      <c r="D46" s="1042"/>
      <c r="E46" s="1042"/>
      <c r="F46" s="1099">
        <f>F44/12</f>
        <v>0</v>
      </c>
      <c r="G46" s="1042"/>
      <c r="H46" s="1042"/>
      <c r="I46" s="1099">
        <f>I44/12</f>
        <v>0</v>
      </c>
      <c r="J46" s="1042"/>
      <c r="K46" s="1042"/>
      <c r="L46" s="1099">
        <f>L44/12</f>
        <v>0</v>
      </c>
      <c r="M46" s="1042"/>
      <c r="N46" s="1042"/>
      <c r="O46" s="1099">
        <f>O44/12</f>
        <v>0</v>
      </c>
      <c r="P46" s="1042"/>
      <c r="Q46" s="1042"/>
      <c r="R46" s="1099">
        <f>R44/12</f>
        <v>0</v>
      </c>
      <c r="S46" s="1042"/>
      <c r="T46" s="951"/>
      <c r="U46" s="1099">
        <f>U44/12</f>
        <v>0</v>
      </c>
      <c r="V46" s="1042"/>
      <c r="W46" s="951"/>
      <c r="X46" s="1099">
        <f>X44/12</f>
        <v>0</v>
      </c>
      <c r="Y46" s="1042"/>
      <c r="Z46" s="951"/>
      <c r="AA46" s="1099">
        <f>AA44/12</f>
        <v>0</v>
      </c>
      <c r="AB46" s="1042"/>
      <c r="AC46" s="951"/>
      <c r="AD46" s="1099">
        <f>AD44/12</f>
        <v>0</v>
      </c>
      <c r="AE46" s="1042"/>
      <c r="AF46" s="951"/>
      <c r="AG46" s="1099">
        <f>AG44/12</f>
        <v>0</v>
      </c>
    </row>
    <row r="47" spans="1:33" x14ac:dyDescent="0.2">
      <c r="A47" s="974"/>
      <c r="B47" s="951"/>
      <c r="C47" s="1042"/>
      <c r="D47" s="1042"/>
      <c r="E47" s="1042"/>
      <c r="F47" s="1042"/>
      <c r="G47" s="1042"/>
      <c r="H47" s="1042"/>
      <c r="I47" s="1042"/>
      <c r="J47" s="1042"/>
      <c r="K47" s="1042"/>
      <c r="L47" s="1042"/>
      <c r="M47" s="1042"/>
      <c r="N47" s="1042"/>
      <c r="O47" s="1042"/>
      <c r="P47" s="1042"/>
      <c r="Q47" s="1042"/>
      <c r="R47" s="1103"/>
      <c r="S47" s="1042"/>
      <c r="T47" s="951"/>
      <c r="U47" s="1042"/>
      <c r="V47" s="1042"/>
      <c r="W47" s="951"/>
      <c r="X47" s="951"/>
      <c r="Y47" s="1042"/>
      <c r="Z47" s="951"/>
      <c r="AA47" s="1042"/>
      <c r="AB47" s="1042"/>
      <c r="AC47" s="951"/>
      <c r="AD47" s="951"/>
      <c r="AE47" s="1042"/>
      <c r="AF47" s="951"/>
      <c r="AG47" s="951"/>
    </row>
    <row r="48" spans="1:33" x14ac:dyDescent="0.2">
      <c r="A48" s="1811" t="s">
        <v>818</v>
      </c>
      <c r="B48" s="1811"/>
      <c r="C48" s="1811"/>
      <c r="D48" s="1811"/>
      <c r="E48" s="1811"/>
      <c r="F48" s="1811"/>
      <c r="G48" s="1811"/>
      <c r="H48" s="1811"/>
      <c r="I48" s="1811"/>
      <c r="J48" s="1811"/>
      <c r="K48" s="1811"/>
      <c r="L48" s="1811"/>
      <c r="M48" s="1811"/>
      <c r="N48" s="1811"/>
      <c r="O48" s="1811"/>
      <c r="P48" s="1811"/>
      <c r="Q48" s="1811"/>
      <c r="R48" s="1811"/>
      <c r="S48" s="1811"/>
      <c r="T48" s="1811"/>
      <c r="U48" s="1811"/>
      <c r="V48" s="1811"/>
      <c r="W48" s="1811"/>
      <c r="X48" s="1811"/>
    </row>
    <row r="49" spans="1:33" x14ac:dyDescent="0.2">
      <c r="A49" s="1104" t="s">
        <v>819</v>
      </c>
      <c r="B49" s="1105"/>
      <c r="C49" s="1105"/>
      <c r="D49" s="1105"/>
      <c r="E49" s="1105"/>
      <c r="F49" s="1105"/>
      <c r="G49" s="1105"/>
      <c r="H49" s="1105"/>
      <c r="I49" s="1105"/>
      <c r="J49" s="1105"/>
      <c r="K49" s="1105"/>
      <c r="L49" s="1105"/>
      <c r="M49" s="1105"/>
      <c r="N49" s="1105"/>
      <c r="O49" s="1105"/>
      <c r="P49" s="1105"/>
      <c r="Q49" s="1105"/>
      <c r="R49" s="1105"/>
      <c r="S49" s="1105"/>
      <c r="T49" s="1105"/>
      <c r="U49" s="1105"/>
      <c r="V49" s="1105"/>
      <c r="W49" s="1105"/>
      <c r="X49" s="1105"/>
    </row>
    <row r="50" spans="1:33" x14ac:dyDescent="0.2">
      <c r="A50" s="1819" t="s">
        <v>943</v>
      </c>
      <c r="B50" s="1819"/>
      <c r="C50" s="1819"/>
      <c r="D50" s="1819"/>
      <c r="E50" s="1819"/>
      <c r="F50" s="1819"/>
      <c r="G50" s="1819"/>
      <c r="H50" s="1819"/>
      <c r="I50" s="1819"/>
      <c r="J50" s="1819"/>
      <c r="K50" s="1819"/>
      <c r="L50" s="1819"/>
      <c r="M50" s="1819"/>
      <c r="N50" s="1819"/>
      <c r="O50" s="1819"/>
      <c r="P50" s="1819"/>
      <c r="Q50" s="1819"/>
      <c r="R50" s="1819"/>
      <c r="S50" s="1819"/>
      <c r="T50" s="1819"/>
      <c r="U50" s="1819"/>
      <c r="V50" s="1819"/>
      <c r="W50" s="1819"/>
      <c r="X50" s="1819"/>
      <c r="Y50" s="1819"/>
    </row>
    <row r="51" spans="1:33" ht="15" x14ac:dyDescent="0.2">
      <c r="A51" s="1820"/>
      <c r="B51" s="1820"/>
      <c r="C51" s="1145"/>
      <c r="D51" s="1145"/>
      <c r="E51" s="1145"/>
      <c r="F51" s="1145"/>
      <c r="G51" s="1145"/>
      <c r="H51" s="1145"/>
      <c r="I51" s="1145"/>
      <c r="J51" s="1145"/>
      <c r="K51" s="1145"/>
      <c r="L51" s="1145"/>
      <c r="M51" s="1145"/>
      <c r="N51" s="1145"/>
      <c r="O51" s="1145"/>
      <c r="P51" s="1145"/>
      <c r="Q51" s="1145"/>
      <c r="R51" s="1145"/>
      <c r="S51" s="1050"/>
    </row>
    <row r="52" spans="1:33" ht="16.5" thickBot="1" x14ac:dyDescent="0.3">
      <c r="A52" s="1108" t="s">
        <v>610</v>
      </c>
      <c r="B52" s="1146"/>
      <c r="C52" s="1145"/>
      <c r="D52" s="1145"/>
      <c r="E52" s="1145"/>
      <c r="F52" s="1145"/>
      <c r="G52" s="1145"/>
      <c r="H52" s="1145"/>
      <c r="I52" s="1145"/>
      <c r="J52" s="1145"/>
      <c r="K52" s="1145"/>
      <c r="L52" s="1145"/>
      <c r="M52" s="1145"/>
      <c r="N52" s="1145"/>
      <c r="O52" s="1145"/>
      <c r="P52" s="1145"/>
      <c r="Q52" s="1145"/>
      <c r="R52" s="1145"/>
      <c r="S52" s="1050"/>
    </row>
    <row r="53" spans="1:33" ht="13.5" thickBot="1" x14ac:dyDescent="0.25">
      <c r="A53" s="1112"/>
      <c r="B53" s="1106"/>
      <c r="C53" s="1107"/>
      <c r="D53" s="1107"/>
      <c r="E53" s="1809">
        <v>2014</v>
      </c>
      <c r="F53" s="1810"/>
      <c r="G53" s="1107"/>
      <c r="H53" s="1809">
        <f>G18</f>
        <v>2015</v>
      </c>
      <c r="I53" s="1810"/>
      <c r="J53" s="1069"/>
      <c r="K53" s="1809">
        <f>J18</f>
        <v>2016</v>
      </c>
      <c r="L53" s="1810"/>
      <c r="M53" s="1069"/>
      <c r="N53" s="1809">
        <f>M18</f>
        <v>2017</v>
      </c>
      <c r="O53" s="1810"/>
      <c r="P53" s="1069"/>
      <c r="Q53" s="1809">
        <f>P18</f>
        <v>2018</v>
      </c>
      <c r="R53" s="1810"/>
      <c r="S53" s="1069"/>
      <c r="T53" s="1809" t="str">
        <f>S18</f>
        <v>2019 Test Year</v>
      </c>
      <c r="U53" s="1810"/>
      <c r="V53" s="1069"/>
      <c r="W53" s="1809">
        <f>V18</f>
        <v>2020</v>
      </c>
      <c r="X53" s="1810"/>
      <c r="Y53" s="1069"/>
      <c r="Z53" s="1809">
        <f>Y18</f>
        <v>2021</v>
      </c>
      <c r="AA53" s="1810"/>
      <c r="AB53" s="1069"/>
      <c r="AC53" s="1809">
        <f>AB18</f>
        <v>2022</v>
      </c>
      <c r="AD53" s="1810"/>
      <c r="AE53" s="1069"/>
      <c r="AF53" s="1809">
        <f>AE18</f>
        <v>2023</v>
      </c>
      <c r="AG53" s="1810"/>
    </row>
    <row r="54" spans="1:33" x14ac:dyDescent="0.2">
      <c r="A54" s="1110" t="s">
        <v>611</v>
      </c>
      <c r="B54" s="1106"/>
      <c r="C54" s="1107"/>
      <c r="D54" s="1107"/>
      <c r="E54" s="967" t="s">
        <v>594</v>
      </c>
      <c r="F54" s="1039" t="s">
        <v>595</v>
      </c>
      <c r="G54" s="1107"/>
      <c r="H54" s="967" t="s">
        <v>594</v>
      </c>
      <c r="I54" s="1039" t="s">
        <v>595</v>
      </c>
      <c r="J54" s="951"/>
      <c r="K54" s="967" t="s">
        <v>594</v>
      </c>
      <c r="L54" s="1039" t="s">
        <v>595</v>
      </c>
      <c r="M54" s="951"/>
      <c r="N54" s="967" t="s">
        <v>594</v>
      </c>
      <c r="O54" s="1039" t="s">
        <v>595</v>
      </c>
      <c r="P54" s="951"/>
      <c r="Q54" s="967" t="s">
        <v>594</v>
      </c>
      <c r="R54" s="1039" t="s">
        <v>595</v>
      </c>
      <c r="S54" s="951"/>
      <c r="T54" s="967" t="s">
        <v>594</v>
      </c>
      <c r="U54" s="1039" t="s">
        <v>595</v>
      </c>
      <c r="V54" s="951"/>
      <c r="W54" s="967" t="s">
        <v>594</v>
      </c>
      <c r="X54" s="1039" t="s">
        <v>595</v>
      </c>
      <c r="Y54" s="951"/>
      <c r="Z54" s="967" t="s">
        <v>594</v>
      </c>
      <c r="AA54" s="1039" t="s">
        <v>595</v>
      </c>
      <c r="AB54" s="951"/>
      <c r="AC54" s="967" t="s">
        <v>594</v>
      </c>
      <c r="AD54" s="1039" t="s">
        <v>595</v>
      </c>
      <c r="AE54" s="951"/>
      <c r="AF54" s="967" t="s">
        <v>594</v>
      </c>
      <c r="AG54" s="1039" t="s">
        <v>595</v>
      </c>
    </row>
    <row r="55" spans="1:33" x14ac:dyDescent="0.2">
      <c r="A55" s="1111"/>
      <c r="B55" s="1106"/>
      <c r="C55" s="1107"/>
      <c r="D55" s="1107"/>
      <c r="E55" s="967"/>
      <c r="F55" s="1039"/>
      <c r="G55" s="1107"/>
      <c r="H55" s="967"/>
      <c r="I55" s="1039"/>
      <c r="J55" s="1072"/>
      <c r="K55" s="967"/>
      <c r="L55" s="1039"/>
      <c r="M55" s="1072"/>
      <c r="N55" s="967"/>
      <c r="O55" s="1039"/>
      <c r="P55" s="1072"/>
      <c r="Q55" s="967"/>
      <c r="R55" s="1039"/>
      <c r="S55" s="1072"/>
      <c r="T55" s="967"/>
      <c r="U55" s="1039"/>
      <c r="V55" s="1072"/>
      <c r="W55" s="967"/>
      <c r="X55" s="1039"/>
      <c r="Y55" s="1072" t="s">
        <v>272</v>
      </c>
      <c r="Z55" s="967"/>
      <c r="AA55" s="1039"/>
      <c r="AB55" s="1072" t="s">
        <v>272</v>
      </c>
      <c r="AC55" s="967"/>
      <c r="AD55" s="1039"/>
      <c r="AE55" s="1072" t="s">
        <v>272</v>
      </c>
      <c r="AF55" s="967"/>
      <c r="AG55" s="1039"/>
    </row>
    <row r="56" spans="1:33" x14ac:dyDescent="0.2">
      <c r="A56" s="1112" t="s">
        <v>612</v>
      </c>
      <c r="B56" s="1106"/>
      <c r="C56" s="1107"/>
      <c r="D56" s="1107"/>
      <c r="E56" s="1056">
        <f>E34</f>
        <v>0</v>
      </c>
      <c r="F56" s="1113">
        <f>F34</f>
        <v>0</v>
      </c>
      <c r="G56" s="1107"/>
      <c r="H56" s="1056">
        <f>H34</f>
        <v>0</v>
      </c>
      <c r="I56" s="1113">
        <f>I34</f>
        <v>0</v>
      </c>
      <c r="J56" s="1056"/>
      <c r="K56" s="1056">
        <f>K34</f>
        <v>0</v>
      </c>
      <c r="L56" s="1113">
        <f>L34</f>
        <v>0</v>
      </c>
      <c r="M56" s="1056"/>
      <c r="N56" s="1056">
        <f>N34</f>
        <v>0</v>
      </c>
      <c r="O56" s="1113">
        <f>O34</f>
        <v>0</v>
      </c>
      <c r="P56" s="1056"/>
      <c r="Q56" s="1056">
        <f>Q34</f>
        <v>0</v>
      </c>
      <c r="R56" s="1113">
        <f>R34</f>
        <v>0</v>
      </c>
      <c r="S56" s="1056"/>
      <c r="T56" s="1056">
        <f>T34</f>
        <v>0</v>
      </c>
      <c r="U56" s="1113">
        <f>U34</f>
        <v>0</v>
      </c>
      <c r="V56" s="1056"/>
      <c r="W56" s="1056">
        <f>W34</f>
        <v>0</v>
      </c>
      <c r="X56" s="1113">
        <f>X34</f>
        <v>0</v>
      </c>
      <c r="Y56" s="1056"/>
      <c r="Z56" s="1056">
        <f>Z34</f>
        <v>0</v>
      </c>
      <c r="AA56" s="1113">
        <f>AA34</f>
        <v>0</v>
      </c>
      <c r="AB56" s="1056"/>
      <c r="AC56" s="1056">
        <f>AC34</f>
        <v>0</v>
      </c>
      <c r="AD56" s="1113">
        <f>AD34</f>
        <v>0</v>
      </c>
      <c r="AE56" s="1056"/>
      <c r="AF56" s="1056">
        <f>AF34</f>
        <v>0</v>
      </c>
      <c r="AG56" s="1113">
        <f>AG34</f>
        <v>0</v>
      </c>
    </row>
    <row r="57" spans="1:33" x14ac:dyDescent="0.2">
      <c r="A57" s="1112" t="s">
        <v>820</v>
      </c>
      <c r="B57" s="1106"/>
      <c r="C57" s="1107"/>
      <c r="D57" s="1107"/>
      <c r="E57" s="1077">
        <f>E38</f>
        <v>0</v>
      </c>
      <c r="F57" s="1077">
        <f>F38</f>
        <v>0</v>
      </c>
      <c r="G57" s="1107"/>
      <c r="H57" s="1077">
        <f>H38</f>
        <v>0</v>
      </c>
      <c r="I57" s="1077">
        <f>I38</f>
        <v>0</v>
      </c>
      <c r="J57" s="1055"/>
      <c r="K57" s="1077">
        <f>K38</f>
        <v>0</v>
      </c>
      <c r="L57" s="1077">
        <f>L38</f>
        <v>0</v>
      </c>
      <c r="M57" s="1055"/>
      <c r="N57" s="1077">
        <f>N38</f>
        <v>0</v>
      </c>
      <c r="O57" s="1077">
        <f>O38</f>
        <v>0</v>
      </c>
      <c r="P57" s="1055"/>
      <c r="Q57" s="1077">
        <f>Q38</f>
        <v>0</v>
      </c>
      <c r="R57" s="1077">
        <f>R38</f>
        <v>0</v>
      </c>
      <c r="S57" s="1055"/>
      <c r="T57" s="1077">
        <f>T38</f>
        <v>0</v>
      </c>
      <c r="U57" s="1077">
        <f>U38</f>
        <v>0</v>
      </c>
      <c r="V57" s="1055"/>
      <c r="W57" s="1077">
        <f>W38</f>
        <v>0</v>
      </c>
      <c r="X57" s="1077">
        <f>X38</f>
        <v>0</v>
      </c>
      <c r="Y57" s="1055"/>
      <c r="Z57" s="1077">
        <f>Z38</f>
        <v>0</v>
      </c>
      <c r="AA57" s="1077">
        <f>AA38</f>
        <v>0</v>
      </c>
      <c r="AB57" s="1055"/>
      <c r="AC57" s="1077">
        <f>AC38</f>
        <v>0</v>
      </c>
      <c r="AD57" s="1077">
        <f>AD38</f>
        <v>0</v>
      </c>
      <c r="AE57" s="1055"/>
      <c r="AF57" s="1077">
        <f>AF38</f>
        <v>0</v>
      </c>
      <c r="AG57" s="1077">
        <f>AG38</f>
        <v>0</v>
      </c>
    </row>
    <row r="58" spans="1:33" x14ac:dyDescent="0.2">
      <c r="A58" s="1112" t="s">
        <v>821</v>
      </c>
      <c r="B58" s="1106"/>
      <c r="C58" s="1107"/>
      <c r="D58" s="1107"/>
      <c r="E58" s="1055">
        <f>-D94*E$20</f>
        <v>0</v>
      </c>
      <c r="F58" s="1055">
        <f>-D94*F$20</f>
        <v>0</v>
      </c>
      <c r="G58" s="1107"/>
      <c r="H58" s="1055">
        <f>-G94*H$20</f>
        <v>0</v>
      </c>
      <c r="I58" s="1055">
        <f>-G94*I$20</f>
        <v>0</v>
      </c>
      <c r="J58" s="1055"/>
      <c r="K58" s="1055">
        <f>-H94*K$20</f>
        <v>0</v>
      </c>
      <c r="L58" s="1055">
        <f>-H94*L$20</f>
        <v>0</v>
      </c>
      <c r="M58" s="1055"/>
      <c r="N58" s="1055">
        <f>-I94*N$20</f>
        <v>0</v>
      </c>
      <c r="O58" s="1055">
        <f>-I94*O$20</f>
        <v>0</v>
      </c>
      <c r="P58" s="1055"/>
      <c r="Q58" s="1055">
        <f>-J94*Q$20</f>
        <v>0</v>
      </c>
      <c r="R58" s="1055">
        <f>-J94*R$20</f>
        <v>0</v>
      </c>
      <c r="S58" s="1055"/>
      <c r="T58" s="1055">
        <f>-K94*T$20</f>
        <v>0</v>
      </c>
      <c r="U58" s="1055">
        <f>-K94*U$20</f>
        <v>0</v>
      </c>
      <c r="V58" s="1055"/>
      <c r="W58" s="1055">
        <f>-L94*W$20</f>
        <v>0</v>
      </c>
      <c r="X58" s="1055">
        <f>-L94*X$20</f>
        <v>0</v>
      </c>
      <c r="Y58" s="1055"/>
      <c r="Z58" s="1055">
        <f>-M94*Z$20</f>
        <v>0</v>
      </c>
      <c r="AA58" s="1055">
        <f>-M94*AA$20</f>
        <v>0</v>
      </c>
      <c r="AB58" s="1055"/>
      <c r="AC58" s="1055">
        <f>-N94*AC$20</f>
        <v>0</v>
      </c>
      <c r="AD58" s="1055">
        <f>-N94*AD$20</f>
        <v>0</v>
      </c>
      <c r="AE58" s="1055"/>
      <c r="AF58" s="1055">
        <f>-O94*AF$20</f>
        <v>0</v>
      </c>
      <c r="AG58" s="1055">
        <f>-O94*AG$20</f>
        <v>0</v>
      </c>
    </row>
    <row r="59" spans="1:33" x14ac:dyDescent="0.2">
      <c r="A59" s="1111" t="s">
        <v>615</v>
      </c>
      <c r="B59" s="1106"/>
      <c r="C59" s="1107"/>
      <c r="D59" s="1107"/>
      <c r="E59" s="1115">
        <f>SUM(E56:E58)</f>
        <v>0</v>
      </c>
      <c r="F59" s="1115">
        <f>SUM(F56:F58)</f>
        <v>0</v>
      </c>
      <c r="G59" s="1107"/>
      <c r="H59" s="1115">
        <f>SUM(H56:H58)</f>
        <v>0</v>
      </c>
      <c r="I59" s="1115">
        <f>SUM(I56:I58)</f>
        <v>0</v>
      </c>
      <c r="J59" s="1055"/>
      <c r="K59" s="1115">
        <f>SUM(K56:K58)</f>
        <v>0</v>
      </c>
      <c r="L59" s="1115">
        <f>SUM(L56:L58)</f>
        <v>0</v>
      </c>
      <c r="M59" s="1055"/>
      <c r="N59" s="1115">
        <f>SUM(N56:N58)</f>
        <v>0</v>
      </c>
      <c r="O59" s="1115">
        <f>SUM(O56:O58)</f>
        <v>0</v>
      </c>
      <c r="P59" s="1055"/>
      <c r="Q59" s="1115">
        <f>SUM(Q56:Q58)</f>
        <v>0</v>
      </c>
      <c r="R59" s="1115">
        <f>SUM(R56:R58)</f>
        <v>0</v>
      </c>
      <c r="S59" s="1055"/>
      <c r="T59" s="1115">
        <f>SUM(T56:T58)</f>
        <v>0</v>
      </c>
      <c r="U59" s="1115">
        <f>SUM(U56:U58)</f>
        <v>0</v>
      </c>
      <c r="V59" s="1055"/>
      <c r="W59" s="1115">
        <f>SUM(W56:W58)</f>
        <v>0</v>
      </c>
      <c r="X59" s="1115">
        <f>SUM(X56:X58)</f>
        <v>0</v>
      </c>
      <c r="Y59" s="1115"/>
      <c r="Z59" s="1115">
        <f>SUM(Z56:Z58)</f>
        <v>0</v>
      </c>
      <c r="AA59" s="1115">
        <f>SUM(AA56:AA58)</f>
        <v>0</v>
      </c>
      <c r="AB59" s="1115"/>
      <c r="AC59" s="1115">
        <f>SUM(AC56:AC58)</f>
        <v>0</v>
      </c>
      <c r="AD59" s="1115">
        <f>SUM(AD56:AD58)</f>
        <v>0</v>
      </c>
      <c r="AE59" s="1115"/>
      <c r="AF59" s="1115">
        <f>SUM(AF56:AF58)</f>
        <v>0</v>
      </c>
      <c r="AG59" s="1115">
        <f>SUM(AG56:AG58)</f>
        <v>0</v>
      </c>
    </row>
    <row r="60" spans="1:33" x14ac:dyDescent="0.2">
      <c r="A60" s="974"/>
      <c r="B60" s="1106"/>
      <c r="C60" s="1107"/>
      <c r="D60" s="1107"/>
      <c r="E60" s="974"/>
      <c r="F60" s="974"/>
      <c r="G60" s="1107"/>
      <c r="H60" s="974"/>
      <c r="I60" s="974"/>
      <c r="J60" s="974"/>
      <c r="K60" s="974"/>
      <c r="L60" s="974"/>
      <c r="M60" s="974"/>
      <c r="N60" s="974"/>
      <c r="O60" s="974"/>
      <c r="P60" s="974"/>
      <c r="Q60" s="974"/>
      <c r="R60" s="974"/>
      <c r="S60" s="974"/>
      <c r="T60" s="974"/>
      <c r="U60" s="974"/>
      <c r="V60" s="974"/>
      <c r="W60" s="974"/>
      <c r="X60" s="974"/>
      <c r="Y60" s="974"/>
      <c r="Z60" s="974"/>
      <c r="AA60" s="974"/>
      <c r="AB60" s="974"/>
      <c r="AC60" s="974"/>
      <c r="AD60" s="974"/>
      <c r="AE60" s="974"/>
      <c r="AF60" s="974"/>
      <c r="AG60" s="974"/>
    </row>
    <row r="61" spans="1:33" x14ac:dyDescent="0.2">
      <c r="A61" s="1112" t="s">
        <v>616</v>
      </c>
      <c r="B61" s="1107"/>
      <c r="C61" s="1107"/>
      <c r="D61" s="1107"/>
      <c r="E61" s="198"/>
      <c r="F61" s="198"/>
      <c r="G61" s="1107"/>
      <c r="H61" s="198"/>
      <c r="I61" s="198"/>
      <c r="J61" s="1114"/>
      <c r="K61" s="198"/>
      <c r="L61" s="198"/>
      <c r="M61" s="1114"/>
      <c r="N61" s="198"/>
      <c r="O61" s="198"/>
      <c r="P61" s="1114"/>
      <c r="Q61" s="198"/>
      <c r="R61" s="198"/>
      <c r="S61" s="1114"/>
      <c r="T61" s="198"/>
      <c r="U61" s="198"/>
      <c r="V61" s="1114"/>
      <c r="W61" s="198"/>
      <c r="X61" s="198"/>
      <c r="Y61" s="1114"/>
      <c r="Z61" s="198"/>
      <c r="AA61" s="198"/>
      <c r="AB61" s="1055"/>
      <c r="AC61" s="198"/>
      <c r="AD61" s="198"/>
      <c r="AE61" s="1055"/>
      <c r="AF61" s="198"/>
      <c r="AG61" s="198"/>
    </row>
    <row r="62" spans="1:33" x14ac:dyDescent="0.2">
      <c r="A62" s="1112"/>
      <c r="B62" s="1107"/>
      <c r="C62" s="1107"/>
      <c r="D62" s="1107"/>
      <c r="E62" s="1147"/>
      <c r="F62" s="1147"/>
      <c r="G62" s="1107"/>
      <c r="H62" s="1147"/>
      <c r="I62" s="1147"/>
      <c r="J62" s="1114"/>
      <c r="K62" s="1147"/>
      <c r="L62" s="1147"/>
      <c r="M62" s="1114"/>
      <c r="N62" s="1147"/>
      <c r="O62" s="1147"/>
      <c r="P62" s="1114"/>
      <c r="Q62" s="1147"/>
      <c r="R62" s="1147"/>
      <c r="S62" s="1114"/>
      <c r="T62" s="1147"/>
      <c r="U62" s="1147"/>
      <c r="V62" s="1114"/>
      <c r="W62" s="1147"/>
      <c r="X62" s="1147"/>
      <c r="Y62" s="1114"/>
      <c r="Z62" s="1147"/>
      <c r="AA62" s="1147"/>
      <c r="AB62" s="1055"/>
      <c r="AC62" s="1147"/>
      <c r="AD62" s="1147"/>
      <c r="AE62" s="1055"/>
      <c r="AF62" s="1147"/>
      <c r="AG62" s="1147"/>
    </row>
    <row r="63" spans="1:33" x14ac:dyDescent="0.2">
      <c r="A63" s="1112" t="s">
        <v>617</v>
      </c>
      <c r="B63" s="1106"/>
      <c r="C63" s="1107"/>
      <c r="D63" s="1107"/>
      <c r="E63" s="1116">
        <f>E59*E61</f>
        <v>0</v>
      </c>
      <c r="F63" s="1116">
        <f>F59*F61</f>
        <v>0</v>
      </c>
      <c r="G63" s="1107"/>
      <c r="H63" s="1116">
        <f>H59*H61</f>
        <v>0</v>
      </c>
      <c r="I63" s="1116">
        <f>I59*I61</f>
        <v>0</v>
      </c>
      <c r="J63" s="1055"/>
      <c r="K63" s="1116">
        <f>K59*K61</f>
        <v>0</v>
      </c>
      <c r="L63" s="1116">
        <f>L59*L61</f>
        <v>0</v>
      </c>
      <c r="M63" s="1055"/>
      <c r="N63" s="1116">
        <f>N59*N61</f>
        <v>0</v>
      </c>
      <c r="O63" s="1116">
        <f>O59*O61</f>
        <v>0</v>
      </c>
      <c r="P63" s="1055"/>
      <c r="Q63" s="1116">
        <f>Q59*Q61</f>
        <v>0</v>
      </c>
      <c r="R63" s="1116">
        <f>R59*R61</f>
        <v>0</v>
      </c>
      <c r="S63" s="1055"/>
      <c r="T63" s="1116">
        <f>T59*T61</f>
        <v>0</v>
      </c>
      <c r="U63" s="1116">
        <f>U59*U61</f>
        <v>0</v>
      </c>
      <c r="V63" s="1055"/>
      <c r="W63" s="1116">
        <f>W59*W61</f>
        <v>0</v>
      </c>
      <c r="X63" s="1116">
        <f>X59*X61</f>
        <v>0</v>
      </c>
      <c r="Y63" s="1055"/>
      <c r="Z63" s="1116">
        <f>Z59*Z61</f>
        <v>0</v>
      </c>
      <c r="AA63" s="1116">
        <f>AA59*AA61</f>
        <v>0</v>
      </c>
      <c r="AB63" s="1055"/>
      <c r="AC63" s="1116">
        <f>AC59*AC61</f>
        <v>0</v>
      </c>
      <c r="AD63" s="1116">
        <f>AD59*AD61</f>
        <v>0</v>
      </c>
      <c r="AE63" s="1055"/>
      <c r="AF63" s="1116">
        <f>AF59*AF61</f>
        <v>0</v>
      </c>
      <c r="AG63" s="1116">
        <f>AG59*AG61</f>
        <v>0</v>
      </c>
    </row>
    <row r="64" spans="1:33" x14ac:dyDescent="0.2">
      <c r="A64" s="1117" t="s">
        <v>618</v>
      </c>
      <c r="B64" s="1106"/>
      <c r="C64" s="1107"/>
      <c r="D64" s="1107"/>
      <c r="E64" s="1112"/>
      <c r="F64" s="1112"/>
      <c r="G64" s="1107"/>
      <c r="H64" s="1112"/>
      <c r="I64" s="1112"/>
      <c r="J64" s="1109"/>
      <c r="K64" s="1112"/>
      <c r="L64" s="1112"/>
      <c r="M64" s="1109"/>
      <c r="N64" s="1112"/>
      <c r="O64" s="1112"/>
      <c r="P64" s="1109"/>
      <c r="Q64" s="1112"/>
      <c r="R64" s="1112"/>
      <c r="S64" s="1109"/>
      <c r="T64" s="1112"/>
      <c r="U64" s="1112"/>
      <c r="V64" s="1109"/>
      <c r="W64" s="1112"/>
      <c r="X64" s="1112"/>
      <c r="Y64" s="1109"/>
      <c r="Z64" s="1112"/>
      <c r="AA64" s="1112"/>
      <c r="AB64" s="1109"/>
      <c r="AC64" s="1112"/>
      <c r="AD64" s="1112"/>
      <c r="AE64" s="1109"/>
      <c r="AF64" s="1112"/>
      <c r="AG64" s="1112"/>
    </row>
    <row r="65" spans="1:33" x14ac:dyDescent="0.2">
      <c r="A65" s="1112" t="s">
        <v>617</v>
      </c>
      <c r="B65" s="1106"/>
      <c r="C65" s="1107"/>
      <c r="D65" s="1107"/>
      <c r="E65" s="1118">
        <f>E63/(1-E61)</f>
        <v>0</v>
      </c>
      <c r="F65" s="1118">
        <f>F63/(1-F61)</f>
        <v>0</v>
      </c>
      <c r="G65" s="1107"/>
      <c r="H65" s="1118">
        <f>H63/(1-H61)</f>
        <v>0</v>
      </c>
      <c r="I65" s="1118">
        <f>I63/(1-I61)</f>
        <v>0</v>
      </c>
      <c r="J65" s="1119"/>
      <c r="K65" s="1118">
        <f>K63/(1-K61)</f>
        <v>0</v>
      </c>
      <c r="L65" s="1118">
        <f>L63/(1-L61)</f>
        <v>0</v>
      </c>
      <c r="M65" s="1119"/>
      <c r="N65" s="1118">
        <f>N63/(1-N61)</f>
        <v>0</v>
      </c>
      <c r="O65" s="1118">
        <f>O63/(1-O61)</f>
        <v>0</v>
      </c>
      <c r="P65" s="1119"/>
      <c r="Q65" s="1118">
        <f>Q63/(1-Q61)</f>
        <v>0</v>
      </c>
      <c r="R65" s="1118">
        <f>R63/(1-R61)</f>
        <v>0</v>
      </c>
      <c r="S65" s="1119"/>
      <c r="T65" s="1118">
        <f>T63/(1-T61)</f>
        <v>0</v>
      </c>
      <c r="U65" s="1118">
        <f>U63/(1-U61)</f>
        <v>0</v>
      </c>
      <c r="V65" s="1119"/>
      <c r="W65" s="1118">
        <f>W63/(1-W61)</f>
        <v>0</v>
      </c>
      <c r="X65" s="1118">
        <f>X63/(1-X61)</f>
        <v>0</v>
      </c>
      <c r="Y65" s="1119"/>
      <c r="Z65" s="1118">
        <f>Z63/(1-Z61)</f>
        <v>0</v>
      </c>
      <c r="AA65" s="1118">
        <f>AA63/(1-AA61)</f>
        <v>0</v>
      </c>
      <c r="AB65" s="1119"/>
      <c r="AC65" s="1118">
        <f>AC63/(1-AC61)</f>
        <v>0</v>
      </c>
      <c r="AD65" s="1118">
        <f>AD63/(1-AD61)</f>
        <v>0</v>
      </c>
      <c r="AE65" s="1119"/>
      <c r="AF65" s="1118">
        <f>AF63/(1-AF61)</f>
        <v>0</v>
      </c>
      <c r="AG65" s="1118">
        <f>AG63/(1-AG61)</f>
        <v>0</v>
      </c>
    </row>
    <row r="66" spans="1:33" x14ac:dyDescent="0.2">
      <c r="A66" s="1111" t="s">
        <v>619</v>
      </c>
      <c r="B66" s="1106"/>
      <c r="C66" s="1107"/>
      <c r="D66" s="1107"/>
      <c r="E66" s="1120">
        <f>SUM(E65:E65)</f>
        <v>0</v>
      </c>
      <c r="F66" s="1120">
        <f>SUM(F65:F65)</f>
        <v>0</v>
      </c>
      <c r="G66" s="1107"/>
      <c r="H66" s="1120">
        <f>SUM(H65:H65)</f>
        <v>0</v>
      </c>
      <c r="I66" s="1120">
        <f>SUM(I65:I65)</f>
        <v>0</v>
      </c>
      <c r="J66" s="1121"/>
      <c r="K66" s="1120">
        <f>SUM(K65:K65)</f>
        <v>0</v>
      </c>
      <c r="L66" s="1120">
        <f>SUM(L65:L65)</f>
        <v>0</v>
      </c>
      <c r="M66" s="1121"/>
      <c r="N66" s="1120">
        <f>SUM(N65:N65)</f>
        <v>0</v>
      </c>
      <c r="O66" s="1120">
        <f>SUM(O65:O65)</f>
        <v>0</v>
      </c>
      <c r="P66" s="1121"/>
      <c r="Q66" s="1120">
        <f>SUM(Q65:Q65)</f>
        <v>0</v>
      </c>
      <c r="R66" s="1120">
        <f>SUM(R65:R65)</f>
        <v>0</v>
      </c>
      <c r="S66" s="1121"/>
      <c r="T66" s="1120">
        <f>SUM(T65:T65)</f>
        <v>0</v>
      </c>
      <c r="U66" s="1120">
        <f>SUM(U65:U65)</f>
        <v>0</v>
      </c>
      <c r="V66" s="1121"/>
      <c r="W66" s="1120">
        <f>SUM(W65:W65)</f>
        <v>0</v>
      </c>
      <c r="X66" s="1120">
        <f>SUM(X65:X65)</f>
        <v>0</v>
      </c>
      <c r="Y66" s="1121"/>
      <c r="Z66" s="1120">
        <f>SUM(Z65:Z65)</f>
        <v>0</v>
      </c>
      <c r="AA66" s="1120">
        <f>SUM(AA65:AA65)</f>
        <v>0</v>
      </c>
      <c r="AB66" s="1121"/>
      <c r="AC66" s="1120">
        <f>SUM(AC65:AC65)</f>
        <v>0</v>
      </c>
      <c r="AD66" s="1120">
        <f>SUM(AD65:AD65)</f>
        <v>0</v>
      </c>
      <c r="AE66" s="1121"/>
      <c r="AF66" s="1120">
        <f>SUM(AF65:AF65)</f>
        <v>0</v>
      </c>
      <c r="AG66" s="1120">
        <f>SUM(AG65:AG65)</f>
        <v>0</v>
      </c>
    </row>
    <row r="67" spans="1:33" x14ac:dyDescent="0.2">
      <c r="A67" s="951"/>
      <c r="B67" s="1105"/>
      <c r="C67" s="1122"/>
      <c r="D67" s="1122"/>
      <c r="E67" s="1122"/>
      <c r="F67" s="1122"/>
      <c r="G67" s="1122"/>
      <c r="H67" s="1122"/>
      <c r="I67" s="1122"/>
      <c r="J67" s="1122"/>
      <c r="K67" s="1122"/>
      <c r="L67" s="1122"/>
      <c r="M67" s="1122"/>
      <c r="N67" s="1122"/>
      <c r="O67" s="1122"/>
      <c r="P67" s="1122"/>
      <c r="Q67" s="1122"/>
      <c r="R67" s="1122"/>
      <c r="S67" s="951"/>
      <c r="T67" s="951"/>
      <c r="U67" s="951"/>
      <c r="V67" s="951"/>
      <c r="W67" s="951"/>
      <c r="X67" s="951"/>
      <c r="Y67" s="951"/>
      <c r="Z67" s="951"/>
      <c r="AA67" s="951"/>
      <c r="AB67" s="951"/>
      <c r="AC67" s="951"/>
      <c r="AD67" s="951"/>
    </row>
    <row r="68" spans="1:33" ht="13.5" thickBot="1" x14ac:dyDescent="0.25">
      <c r="A68" s="951"/>
      <c r="B68" s="1105"/>
      <c r="C68" s="1122"/>
      <c r="D68" s="1122"/>
      <c r="E68" s="1122"/>
      <c r="F68" s="1122"/>
      <c r="G68" s="1122"/>
      <c r="H68" s="1122"/>
      <c r="I68" s="1122"/>
      <c r="J68" s="1122"/>
      <c r="K68" s="1122"/>
      <c r="L68" s="1122"/>
      <c r="M68" s="1122"/>
      <c r="N68" s="1122"/>
      <c r="O68" s="1122"/>
      <c r="P68" s="1122"/>
      <c r="Q68" s="1122"/>
      <c r="R68" s="1122"/>
      <c r="S68" s="951"/>
      <c r="T68" s="951"/>
    </row>
    <row r="69" spans="1:33" ht="15.75" thickBot="1" x14ac:dyDescent="0.25">
      <c r="A69" s="1128" t="s">
        <v>620</v>
      </c>
      <c r="B69" s="1123"/>
      <c r="C69" s="1148"/>
      <c r="D69" s="1148"/>
      <c r="E69" s="1148"/>
      <c r="F69" s="1149">
        <v>2014</v>
      </c>
      <c r="G69" s="1149">
        <v>2015</v>
      </c>
      <c r="H69" s="1149">
        <v>2016</v>
      </c>
      <c r="I69" s="1149">
        <v>2017</v>
      </c>
      <c r="J69" s="1149">
        <v>2018</v>
      </c>
      <c r="K69" s="1149">
        <v>2019</v>
      </c>
      <c r="L69" s="1149">
        <v>2020</v>
      </c>
      <c r="M69" s="1149">
        <v>2021</v>
      </c>
      <c r="N69" s="1149">
        <v>2022</v>
      </c>
      <c r="O69" s="1150">
        <v>2023</v>
      </c>
      <c r="P69" s="1126"/>
      <c r="Q69" s="1127"/>
      <c r="R69" s="1127"/>
      <c r="S69" s="1127"/>
      <c r="T69" s="1127"/>
      <c r="U69" s="1127"/>
    </row>
    <row r="70" spans="1:33" x14ac:dyDescent="0.2">
      <c r="A70" s="1133" t="s">
        <v>621</v>
      </c>
      <c r="B70" s="201">
        <v>25</v>
      </c>
      <c r="D70" s="1151"/>
      <c r="E70" s="1151"/>
      <c r="F70" s="1151"/>
      <c r="G70" s="1152"/>
      <c r="H70" s="1152"/>
      <c r="I70" s="1152"/>
      <c r="J70" s="1077"/>
      <c r="K70" s="1077"/>
      <c r="L70" s="974"/>
      <c r="M70" s="1077"/>
      <c r="N70" s="974"/>
      <c r="O70" s="974"/>
      <c r="P70" s="974"/>
      <c r="Q70" s="974"/>
      <c r="R70" s="974"/>
      <c r="S70" s="974"/>
      <c r="T70" s="1127"/>
      <c r="U70" s="1127"/>
    </row>
    <row r="71" spans="1:33" x14ac:dyDescent="0.2">
      <c r="A71" s="1123" t="s">
        <v>622</v>
      </c>
      <c r="B71" s="1123"/>
      <c r="C71" s="1055"/>
      <c r="D71" s="1055"/>
      <c r="E71" s="1055"/>
      <c r="F71" s="1153"/>
      <c r="G71" s="1153">
        <f>F73</f>
        <v>0</v>
      </c>
      <c r="H71" s="1153">
        <f>G73</f>
        <v>0</v>
      </c>
      <c r="I71" s="1153">
        <f t="shared" ref="I71:O71" si="0">H73</f>
        <v>0</v>
      </c>
      <c r="J71" s="1115">
        <f>I73</f>
        <v>0</v>
      </c>
      <c r="K71" s="1115">
        <f t="shared" si="0"/>
        <v>0</v>
      </c>
      <c r="L71" s="1115">
        <f t="shared" si="0"/>
        <v>0</v>
      </c>
      <c r="M71" s="1115">
        <f>L73</f>
        <v>0</v>
      </c>
      <c r="N71" s="1115">
        <f t="shared" si="0"/>
        <v>0</v>
      </c>
      <c r="O71" s="1115">
        <f t="shared" si="0"/>
        <v>0</v>
      </c>
      <c r="P71" s="974"/>
      <c r="Q71" s="974"/>
      <c r="R71" s="974"/>
      <c r="S71" s="974"/>
      <c r="T71" s="1127"/>
      <c r="U71" s="1127"/>
    </row>
    <row r="72" spans="1:33" x14ac:dyDescent="0.2">
      <c r="A72" s="1123" t="s">
        <v>623</v>
      </c>
      <c r="B72" s="1123"/>
      <c r="C72" s="1154"/>
      <c r="D72" s="1154"/>
      <c r="E72" s="1154"/>
      <c r="F72" s="1155">
        <f>'App.2-FA Proposed REG Invest.'!C99</f>
        <v>0</v>
      </c>
      <c r="G72" s="1155">
        <f>'App.2-FA Proposed REG Invest.'!D99</f>
        <v>0</v>
      </c>
      <c r="H72" s="1155">
        <f>'App.2-FA Proposed REG Invest.'!E99</f>
        <v>0</v>
      </c>
      <c r="I72" s="1155">
        <f>'App.2-FA Proposed REG Invest.'!F99</f>
        <v>0</v>
      </c>
      <c r="J72" s="1130">
        <f>'App.2-FA Proposed REG Invest.'!G99</f>
        <v>0</v>
      </c>
      <c r="K72" s="1130">
        <f>'App.2-FA Proposed REG Invest.'!H99</f>
        <v>0</v>
      </c>
      <c r="L72" s="1130">
        <f>'App.2-FA Proposed REG Invest.'!I99</f>
        <v>0</v>
      </c>
      <c r="M72" s="1130">
        <f>'App.2-FA Proposed REG Invest.'!J99</f>
        <v>0</v>
      </c>
      <c r="N72" s="1130">
        <f>'App.2-FA Proposed REG Invest.'!K99</f>
        <v>0</v>
      </c>
      <c r="O72" s="1130">
        <f>'App.2-FA Proposed REG Invest.'!L99</f>
        <v>0</v>
      </c>
      <c r="P72" s="974"/>
      <c r="Q72" s="974"/>
      <c r="R72" s="974"/>
      <c r="S72" s="1134"/>
      <c r="T72" s="1127"/>
      <c r="U72" s="1127"/>
    </row>
    <row r="73" spans="1:33" x14ac:dyDescent="0.2">
      <c r="A73" s="1123" t="s">
        <v>624</v>
      </c>
      <c r="B73" s="1123"/>
      <c r="C73" s="1055"/>
      <c r="D73" s="1055"/>
      <c r="E73" s="1055"/>
      <c r="F73" s="1153">
        <f>SUM(F71:F72)</f>
        <v>0</v>
      </c>
      <c r="G73" s="1153">
        <f t="shared" ref="G73:O73" si="1">SUM(G71:G72)</f>
        <v>0</v>
      </c>
      <c r="H73" s="1153">
        <f t="shared" si="1"/>
        <v>0</v>
      </c>
      <c r="I73" s="1153">
        <f t="shared" si="1"/>
        <v>0</v>
      </c>
      <c r="J73" s="1115">
        <f t="shared" si="1"/>
        <v>0</v>
      </c>
      <c r="K73" s="1115">
        <f t="shared" si="1"/>
        <v>0</v>
      </c>
      <c r="L73" s="1115">
        <f t="shared" si="1"/>
        <v>0</v>
      </c>
      <c r="M73" s="1115">
        <f t="shared" si="1"/>
        <v>0</v>
      </c>
      <c r="N73" s="1115">
        <f t="shared" si="1"/>
        <v>0</v>
      </c>
      <c r="O73" s="1115">
        <f t="shared" si="1"/>
        <v>0</v>
      </c>
      <c r="P73" s="1127"/>
      <c r="Q73" s="1127"/>
      <c r="R73" s="1127"/>
      <c r="S73" s="1127"/>
      <c r="T73" s="1127"/>
      <c r="U73" s="1127"/>
    </row>
    <row r="74" spans="1:33" x14ac:dyDescent="0.2">
      <c r="A74" s="1123"/>
      <c r="B74" s="1123"/>
      <c r="C74" s="1055"/>
      <c r="D74" s="1055"/>
      <c r="E74" s="1055"/>
      <c r="F74" s="1156"/>
      <c r="G74" s="1156"/>
      <c r="H74" s="1156"/>
      <c r="I74" s="1156"/>
      <c r="J74" s="1055"/>
      <c r="K74" s="1077"/>
      <c r="L74" s="974"/>
      <c r="M74" s="1077"/>
      <c r="N74" s="974"/>
      <c r="O74" s="974"/>
      <c r="P74" s="974"/>
      <c r="Q74" s="1127"/>
      <c r="R74" s="1127"/>
      <c r="S74" s="1127"/>
      <c r="T74" s="1127"/>
      <c r="U74" s="1127"/>
    </row>
    <row r="75" spans="1:33" x14ac:dyDescent="0.2">
      <c r="A75" s="1123" t="s">
        <v>625</v>
      </c>
      <c r="B75" s="1123"/>
      <c r="C75" s="1055"/>
      <c r="D75" s="1055"/>
      <c r="E75" s="1055"/>
      <c r="F75" s="1153"/>
      <c r="G75" s="1153">
        <f>+F78</f>
        <v>0</v>
      </c>
      <c r="H75" s="1153">
        <f>+G78</f>
        <v>0</v>
      </c>
      <c r="I75" s="1153">
        <f t="shared" ref="I75:O75" si="2">H78</f>
        <v>0</v>
      </c>
      <c r="J75" s="1115">
        <f>I78</f>
        <v>0</v>
      </c>
      <c r="K75" s="1115">
        <f t="shared" si="2"/>
        <v>0</v>
      </c>
      <c r="L75" s="1115">
        <f t="shared" si="2"/>
        <v>0</v>
      </c>
      <c r="M75" s="1115">
        <f t="shared" si="2"/>
        <v>0</v>
      </c>
      <c r="N75" s="1115">
        <f t="shared" si="2"/>
        <v>0</v>
      </c>
      <c r="O75" s="1115">
        <f t="shared" si="2"/>
        <v>0</v>
      </c>
      <c r="P75" s="974"/>
      <c r="Q75" s="1127"/>
      <c r="R75" s="1127"/>
      <c r="S75" s="1127"/>
      <c r="T75" s="1127"/>
      <c r="U75" s="1127"/>
    </row>
    <row r="76" spans="1:33" x14ac:dyDescent="0.2">
      <c r="A76" s="1123" t="s">
        <v>626</v>
      </c>
      <c r="B76" s="1123"/>
      <c r="C76" s="1055"/>
      <c r="D76" s="1055"/>
      <c r="E76" s="1055"/>
      <c r="F76" s="1156">
        <f>IF(ISERROR(F71/$B$70), 0, F71/$B$70)</f>
        <v>0</v>
      </c>
      <c r="G76" s="1156">
        <f>IF(ISERROR(G71/$B$70), 0, G71/$B$70)</f>
        <v>0</v>
      </c>
      <c r="H76" s="1156">
        <f>IF(ISERROR(H71/$B$70), 0, H71/$B$70)</f>
        <v>0</v>
      </c>
      <c r="I76" s="1156">
        <f>IF(ISERROR(I71/$B$70), 0, I71/$B$70)</f>
        <v>0</v>
      </c>
      <c r="J76" s="1055">
        <f>IF(ISERROR(J71/$B$70), 0, J71/$B$70)</f>
        <v>0</v>
      </c>
      <c r="K76" s="1055">
        <f>K71/$B$70</f>
        <v>0</v>
      </c>
      <c r="L76" s="1055">
        <f>L71/$B$70</f>
        <v>0</v>
      </c>
      <c r="M76" s="1055">
        <f>M71/$B$70</f>
        <v>0</v>
      </c>
      <c r="N76" s="1055">
        <f>N71/$B$70</f>
        <v>0</v>
      </c>
      <c r="O76" s="1055">
        <f>O71/$B$70</f>
        <v>0</v>
      </c>
      <c r="P76" s="974"/>
      <c r="Q76" s="1127"/>
      <c r="R76" s="1127"/>
      <c r="S76" s="1127"/>
      <c r="T76" s="1127"/>
      <c r="U76" s="1127"/>
    </row>
    <row r="77" spans="1:33" x14ac:dyDescent="0.2">
      <c r="A77" s="1123" t="s">
        <v>627</v>
      </c>
      <c r="B77" s="951"/>
      <c r="C77" s="951"/>
      <c r="D77" s="951"/>
      <c r="E77" s="951"/>
      <c r="F77" s="1152">
        <f>F72/B70/2</f>
        <v>0</v>
      </c>
      <c r="G77" s="1152">
        <f>G72/B70/2</f>
        <v>0</v>
      </c>
      <c r="H77" s="1152">
        <f>H72/B70/2</f>
        <v>0</v>
      </c>
      <c r="I77" s="1152">
        <f>I72/B70/2</f>
        <v>0</v>
      </c>
      <c r="J77" s="1077">
        <f>J72/B70/2</f>
        <v>0</v>
      </c>
      <c r="K77" s="1077">
        <f>K72/B70/2</f>
        <v>0</v>
      </c>
      <c r="L77" s="1077">
        <f>L72/B70/2</f>
        <v>0</v>
      </c>
      <c r="M77" s="1077">
        <f>M72/B70/2</f>
        <v>0</v>
      </c>
      <c r="N77" s="1077">
        <f>N72/B70/2</f>
        <v>0</v>
      </c>
      <c r="O77" s="1157">
        <f>O72/B70/2</f>
        <v>0</v>
      </c>
      <c r="P77" s="974"/>
      <c r="Q77" s="1127"/>
      <c r="R77" s="1127"/>
      <c r="S77" s="1127"/>
      <c r="T77" s="1127"/>
      <c r="U77" s="1127"/>
    </row>
    <row r="78" spans="1:33" x14ac:dyDescent="0.2">
      <c r="A78" s="1123" t="s">
        <v>628</v>
      </c>
      <c r="B78" s="1123"/>
      <c r="C78" s="1055"/>
      <c r="D78" s="1055"/>
      <c r="E78" s="1055"/>
      <c r="F78" s="1153">
        <f>SUM(F75+F77)</f>
        <v>0</v>
      </c>
      <c r="G78" s="1153">
        <f>SUM(G75+G77)</f>
        <v>0</v>
      </c>
      <c r="H78" s="1153">
        <f t="shared" ref="H78:O78" si="3">SUM(H75:H77)</f>
        <v>0</v>
      </c>
      <c r="I78" s="1153">
        <f t="shared" si="3"/>
        <v>0</v>
      </c>
      <c r="J78" s="1115">
        <f t="shared" si="3"/>
        <v>0</v>
      </c>
      <c r="K78" s="1115">
        <f t="shared" si="3"/>
        <v>0</v>
      </c>
      <c r="L78" s="1115">
        <f t="shared" si="3"/>
        <v>0</v>
      </c>
      <c r="M78" s="1115">
        <f t="shared" si="3"/>
        <v>0</v>
      </c>
      <c r="N78" s="1115">
        <f t="shared" si="3"/>
        <v>0</v>
      </c>
      <c r="O78" s="1115">
        <f t="shared" si="3"/>
        <v>0</v>
      </c>
      <c r="P78" s="974"/>
      <c r="Q78" s="1127"/>
      <c r="R78" s="1127"/>
      <c r="S78" s="1127"/>
      <c r="T78" s="1127"/>
      <c r="U78" s="1127"/>
    </row>
    <row r="79" spans="1:33" x14ac:dyDescent="0.2">
      <c r="A79" s="1123"/>
      <c r="B79" s="1123"/>
      <c r="C79" s="1055"/>
      <c r="D79" s="1055"/>
      <c r="E79" s="1055"/>
      <c r="F79" s="1152"/>
      <c r="G79" s="1152"/>
      <c r="H79" s="1152"/>
      <c r="I79" s="1152"/>
      <c r="J79" s="1077"/>
      <c r="K79" s="1077"/>
      <c r="L79" s="1077"/>
      <c r="M79" s="1077"/>
      <c r="N79" s="1077"/>
      <c r="O79" s="1077"/>
      <c r="P79" s="974"/>
      <c r="Q79" s="1127"/>
      <c r="R79" s="1134"/>
      <c r="S79" s="974"/>
      <c r="T79" s="1127"/>
      <c r="U79" s="1127"/>
    </row>
    <row r="80" spans="1:33" x14ac:dyDescent="0.2">
      <c r="A80" s="1123" t="s">
        <v>629</v>
      </c>
      <c r="B80" s="1123"/>
      <c r="C80" s="1055"/>
      <c r="D80" s="1055"/>
      <c r="E80" s="1055"/>
      <c r="F80" s="1152">
        <f>F71-F75</f>
        <v>0</v>
      </c>
      <c r="G80" s="1152">
        <f>G71-G75</f>
        <v>0</v>
      </c>
      <c r="H80" s="1152">
        <f>H71-H75</f>
        <v>0</v>
      </c>
      <c r="I80" s="1152">
        <f>I71-I75</f>
        <v>0</v>
      </c>
      <c r="J80" s="1077">
        <f>J71-J75</f>
        <v>0</v>
      </c>
      <c r="K80" s="1077">
        <f>J81</f>
        <v>0</v>
      </c>
      <c r="L80" s="1077">
        <f>K81</f>
        <v>0</v>
      </c>
      <c r="M80" s="1077">
        <f>L81</f>
        <v>0</v>
      </c>
      <c r="N80" s="1077">
        <f>M81</f>
        <v>0</v>
      </c>
      <c r="O80" s="1077">
        <f>N81</f>
        <v>0</v>
      </c>
      <c r="P80" s="974"/>
      <c r="Q80" s="1127"/>
      <c r="R80" s="974"/>
      <c r="S80" s="1127"/>
      <c r="T80" s="1127"/>
      <c r="U80" s="1127"/>
    </row>
    <row r="81" spans="1:21" x14ac:dyDescent="0.2">
      <c r="A81" s="1123" t="s">
        <v>630</v>
      </c>
      <c r="B81" s="1123"/>
      <c r="C81" s="1055"/>
      <c r="D81" s="1055"/>
      <c r="E81" s="1055"/>
      <c r="F81" s="1153">
        <f t="shared" ref="F81" si="4">F73-F78</f>
        <v>0</v>
      </c>
      <c r="G81" s="1153">
        <f t="shared" ref="G81:O81" si="5">G73-G78</f>
        <v>0</v>
      </c>
      <c r="H81" s="1153">
        <f t="shared" si="5"/>
        <v>0</v>
      </c>
      <c r="I81" s="1153">
        <f t="shared" si="5"/>
        <v>0</v>
      </c>
      <c r="J81" s="1115">
        <f t="shared" si="5"/>
        <v>0</v>
      </c>
      <c r="K81" s="1115">
        <f t="shared" si="5"/>
        <v>0</v>
      </c>
      <c r="L81" s="1115">
        <f t="shared" si="5"/>
        <v>0</v>
      </c>
      <c r="M81" s="1115">
        <f t="shared" si="5"/>
        <v>0</v>
      </c>
      <c r="N81" s="1115">
        <f t="shared" si="5"/>
        <v>0</v>
      </c>
      <c r="O81" s="1115">
        <f t="shared" si="5"/>
        <v>0</v>
      </c>
      <c r="P81" s="974"/>
      <c r="Q81" s="1127"/>
      <c r="R81" s="1127"/>
      <c r="S81" s="1127"/>
      <c r="T81" s="1127"/>
      <c r="U81" s="1127"/>
    </row>
    <row r="82" spans="1:21" ht="13.5" thickBot="1" x14ac:dyDescent="0.25">
      <c r="A82" s="1129" t="s">
        <v>631</v>
      </c>
      <c r="B82" s="1123"/>
      <c r="C82" s="1055"/>
      <c r="D82" s="1055"/>
      <c r="E82" s="1055"/>
      <c r="F82" s="1158">
        <f>SUM(F80:F81)/2</f>
        <v>0</v>
      </c>
      <c r="G82" s="1158">
        <f t="shared" ref="G82:O82" si="6">SUM(G80:G81)/2</f>
        <v>0</v>
      </c>
      <c r="H82" s="1158">
        <f t="shared" si="6"/>
        <v>0</v>
      </c>
      <c r="I82" s="1158">
        <f t="shared" si="6"/>
        <v>0</v>
      </c>
      <c r="J82" s="1135">
        <f t="shared" si="6"/>
        <v>0</v>
      </c>
      <c r="K82" s="1135">
        <f t="shared" si="6"/>
        <v>0</v>
      </c>
      <c r="L82" s="1135">
        <f t="shared" si="6"/>
        <v>0</v>
      </c>
      <c r="M82" s="1135">
        <f t="shared" si="6"/>
        <v>0</v>
      </c>
      <c r="N82" s="1135">
        <f t="shared" si="6"/>
        <v>0</v>
      </c>
      <c r="O82" s="1135">
        <f t="shared" si="6"/>
        <v>0</v>
      </c>
      <c r="P82" s="974"/>
      <c r="Q82" s="1127"/>
      <c r="R82" s="1127"/>
      <c r="S82" s="1127"/>
      <c r="T82" s="1127"/>
      <c r="U82" s="1127"/>
    </row>
    <row r="83" spans="1:21" x14ac:dyDescent="0.2">
      <c r="A83" s="1123"/>
      <c r="B83" s="1123"/>
      <c r="C83" s="1055"/>
      <c r="D83" s="1055"/>
      <c r="E83" s="1055"/>
      <c r="F83" s="1055"/>
      <c r="G83" s="1152"/>
      <c r="H83" s="1152"/>
      <c r="I83" s="1152"/>
      <c r="J83" s="1077"/>
      <c r="K83" s="1077"/>
      <c r="L83" s="974"/>
      <c r="M83" s="1077"/>
      <c r="N83" s="974"/>
      <c r="O83" s="974"/>
      <c r="P83" s="974"/>
      <c r="Q83" s="1127"/>
      <c r="R83" s="1127"/>
      <c r="S83" s="1127"/>
      <c r="T83" s="1127"/>
      <c r="U83" s="1127"/>
    </row>
    <row r="84" spans="1:21" ht="13.5" thickBot="1" x14ac:dyDescent="0.25">
      <c r="A84" s="1128" t="s">
        <v>632</v>
      </c>
      <c r="B84" s="1129"/>
      <c r="C84" s="1077"/>
      <c r="D84" s="1077"/>
      <c r="E84" s="1077"/>
      <c r="F84" s="1077"/>
      <c r="G84" s="1152"/>
      <c r="H84" s="1152"/>
      <c r="I84" s="1152"/>
      <c r="J84" s="1077"/>
      <c r="K84" s="1077"/>
      <c r="L84" s="974"/>
      <c r="M84" s="1077"/>
      <c r="N84" s="974"/>
      <c r="O84" s="974"/>
      <c r="P84" s="974"/>
      <c r="Q84" s="1127"/>
      <c r="R84" s="1127"/>
      <c r="S84" s="1127"/>
      <c r="T84" s="1127"/>
      <c r="U84" s="1127"/>
    </row>
    <row r="85" spans="1:21" ht="13.5" thickBot="1" x14ac:dyDescent="0.25">
      <c r="A85" s="1129"/>
      <c r="B85" s="974"/>
      <c r="C85" s="1129"/>
      <c r="D85" s="1129"/>
      <c r="E85" s="1129"/>
      <c r="F85" s="1149">
        <v>2014</v>
      </c>
      <c r="G85" s="1149">
        <v>2015</v>
      </c>
      <c r="H85" s="1149">
        <v>2016</v>
      </c>
      <c r="I85" s="1149">
        <v>2017</v>
      </c>
      <c r="J85" s="1149">
        <v>2018</v>
      </c>
      <c r="K85" s="1149">
        <v>2019</v>
      </c>
      <c r="L85" s="1149">
        <v>2020</v>
      </c>
      <c r="M85" s="1149">
        <v>2021</v>
      </c>
      <c r="N85" s="1149">
        <v>2022</v>
      </c>
      <c r="O85" s="1150">
        <v>2023</v>
      </c>
      <c r="P85" s="974"/>
      <c r="Q85" s="1127"/>
      <c r="R85" s="1127"/>
      <c r="S85" s="1127"/>
      <c r="T85" s="1127"/>
      <c r="U85" s="1127"/>
    </row>
    <row r="86" spans="1:21" x14ac:dyDescent="0.2">
      <c r="A86" s="1123"/>
      <c r="B86" s="974"/>
      <c r="C86" s="1123"/>
      <c r="D86" s="1123"/>
      <c r="E86" s="1123"/>
      <c r="F86" s="1123"/>
      <c r="G86" s="1152"/>
      <c r="H86" s="1152"/>
      <c r="I86" s="1152"/>
      <c r="J86" s="1077"/>
      <c r="K86" s="1077"/>
      <c r="L86" s="1077"/>
      <c r="M86" s="1077"/>
      <c r="N86" s="1077"/>
      <c r="O86" s="1077"/>
      <c r="P86" s="974"/>
      <c r="Q86" s="1127"/>
      <c r="R86" s="1127"/>
      <c r="S86" s="1127"/>
      <c r="T86" s="1127"/>
      <c r="U86" s="1127"/>
    </row>
    <row r="87" spans="1:21" x14ac:dyDescent="0.2">
      <c r="A87" s="1123" t="s">
        <v>633</v>
      </c>
      <c r="B87" s="974"/>
      <c r="C87" s="1123"/>
      <c r="D87" s="1123"/>
      <c r="E87" s="1123"/>
      <c r="F87" s="1153"/>
      <c r="G87" s="1153">
        <f t="shared" ref="G87:O87" si="7">F95</f>
        <v>0</v>
      </c>
      <c r="H87" s="1153">
        <f t="shared" si="7"/>
        <v>0</v>
      </c>
      <c r="I87" s="1153">
        <f t="shared" si="7"/>
        <v>0</v>
      </c>
      <c r="J87" s="1115">
        <f>I95</f>
        <v>0</v>
      </c>
      <c r="K87" s="1115">
        <f t="shared" si="7"/>
        <v>0</v>
      </c>
      <c r="L87" s="1115">
        <f t="shared" si="7"/>
        <v>0</v>
      </c>
      <c r="M87" s="1115">
        <f t="shared" si="7"/>
        <v>0</v>
      </c>
      <c r="N87" s="1115">
        <f t="shared" si="7"/>
        <v>0</v>
      </c>
      <c r="O87" s="1115">
        <f t="shared" si="7"/>
        <v>0</v>
      </c>
      <c r="P87" s="974"/>
      <c r="Q87" s="1127"/>
      <c r="R87" s="1127"/>
      <c r="S87" s="1127"/>
      <c r="T87" s="1127"/>
      <c r="U87" s="1127"/>
    </row>
    <row r="88" spans="1:21" x14ac:dyDescent="0.2">
      <c r="A88" s="1123" t="s">
        <v>634</v>
      </c>
      <c r="B88" s="974"/>
      <c r="C88" s="1123"/>
      <c r="D88" s="1123"/>
      <c r="E88" s="1123"/>
      <c r="F88" s="1152">
        <f>F72</f>
        <v>0</v>
      </c>
      <c r="G88" s="1152">
        <f>G72</f>
        <v>0</v>
      </c>
      <c r="H88" s="1152">
        <f t="shared" ref="H88:O88" si="8">H72</f>
        <v>0</v>
      </c>
      <c r="I88" s="1152">
        <f t="shared" si="8"/>
        <v>0</v>
      </c>
      <c r="J88" s="1077">
        <f t="shared" si="8"/>
        <v>0</v>
      </c>
      <c r="K88" s="1077">
        <f t="shared" si="8"/>
        <v>0</v>
      </c>
      <c r="L88" s="1077">
        <f t="shared" si="8"/>
        <v>0</v>
      </c>
      <c r="M88" s="1077">
        <f t="shared" si="8"/>
        <v>0</v>
      </c>
      <c r="N88" s="1077">
        <f t="shared" si="8"/>
        <v>0</v>
      </c>
      <c r="O88" s="1077">
        <f t="shared" si="8"/>
        <v>0</v>
      </c>
      <c r="P88" s="974"/>
      <c r="Q88" s="1127"/>
      <c r="R88" s="1134"/>
      <c r="S88" s="974"/>
      <c r="T88" s="1127"/>
      <c r="U88" s="1127"/>
    </row>
    <row r="89" spans="1:21" x14ac:dyDescent="0.2">
      <c r="A89" s="1123" t="s">
        <v>635</v>
      </c>
      <c r="B89" s="974"/>
      <c r="C89" s="1123"/>
      <c r="D89" s="1123"/>
      <c r="E89" s="1123"/>
      <c r="F89" s="1153">
        <f>SUM(F87:F88)</f>
        <v>0</v>
      </c>
      <c r="G89" s="1153">
        <f>SUM(G87:G88)</f>
        <v>0</v>
      </c>
      <c r="H89" s="1153">
        <f t="shared" ref="H89:O89" si="9">SUM(H87:H88)</f>
        <v>0</v>
      </c>
      <c r="I89" s="1153">
        <f t="shared" si="9"/>
        <v>0</v>
      </c>
      <c r="J89" s="1115">
        <f t="shared" si="9"/>
        <v>0</v>
      </c>
      <c r="K89" s="1115">
        <f t="shared" si="9"/>
        <v>0</v>
      </c>
      <c r="L89" s="1115">
        <f t="shared" si="9"/>
        <v>0</v>
      </c>
      <c r="M89" s="1115">
        <f t="shared" si="9"/>
        <v>0</v>
      </c>
      <c r="N89" s="1115">
        <f t="shared" si="9"/>
        <v>0</v>
      </c>
      <c r="O89" s="1115">
        <f t="shared" si="9"/>
        <v>0</v>
      </c>
      <c r="P89" s="974"/>
      <c r="Q89" s="1127"/>
      <c r="R89" s="974"/>
      <c r="S89" s="1127"/>
      <c r="T89" s="1127"/>
      <c r="U89" s="1127"/>
    </row>
    <row r="90" spans="1:21" x14ac:dyDescent="0.2">
      <c r="A90" s="1123" t="s">
        <v>636</v>
      </c>
      <c r="B90" s="974"/>
      <c r="C90" s="1123"/>
      <c r="D90" s="1123"/>
      <c r="E90" s="1123"/>
      <c r="F90" s="1152">
        <f>F88/2</f>
        <v>0</v>
      </c>
      <c r="G90" s="1152">
        <f t="shared" ref="G90:O90" si="10">G88/2</f>
        <v>0</v>
      </c>
      <c r="H90" s="1152">
        <f t="shared" si="10"/>
        <v>0</v>
      </c>
      <c r="I90" s="1152">
        <f t="shared" si="10"/>
        <v>0</v>
      </c>
      <c r="J90" s="1077">
        <f t="shared" si="10"/>
        <v>0</v>
      </c>
      <c r="K90" s="1077">
        <f t="shared" si="10"/>
        <v>0</v>
      </c>
      <c r="L90" s="1077">
        <f t="shared" si="10"/>
        <v>0</v>
      </c>
      <c r="M90" s="1077">
        <f t="shared" si="10"/>
        <v>0</v>
      </c>
      <c r="N90" s="1077">
        <f t="shared" si="10"/>
        <v>0</v>
      </c>
      <c r="O90" s="1077">
        <f t="shared" si="10"/>
        <v>0</v>
      </c>
      <c r="P90" s="974"/>
      <c r="Q90" s="1127"/>
      <c r="R90" s="1127"/>
      <c r="S90" s="1127"/>
      <c r="T90" s="1127"/>
      <c r="U90" s="1127"/>
    </row>
    <row r="91" spans="1:21" x14ac:dyDescent="0.2">
      <c r="A91" s="1123" t="s">
        <v>637</v>
      </c>
      <c r="B91" s="974"/>
      <c r="C91" s="1123"/>
      <c r="D91" s="1123"/>
      <c r="E91" s="1123"/>
      <c r="F91" s="1153">
        <f>F89-F90</f>
        <v>0</v>
      </c>
      <c r="G91" s="1153">
        <f t="shared" ref="G91:O91" si="11">G89-G90</f>
        <v>0</v>
      </c>
      <c r="H91" s="1153">
        <f t="shared" si="11"/>
        <v>0</v>
      </c>
      <c r="I91" s="1153">
        <f t="shared" si="11"/>
        <v>0</v>
      </c>
      <c r="J91" s="1115">
        <f t="shared" si="11"/>
        <v>0</v>
      </c>
      <c r="K91" s="1115">
        <f t="shared" si="11"/>
        <v>0</v>
      </c>
      <c r="L91" s="1115">
        <f t="shared" si="11"/>
        <v>0</v>
      </c>
      <c r="M91" s="1115">
        <f t="shared" si="11"/>
        <v>0</v>
      </c>
      <c r="N91" s="1115">
        <f t="shared" si="11"/>
        <v>0</v>
      </c>
      <c r="O91" s="1115">
        <f t="shared" si="11"/>
        <v>0</v>
      </c>
      <c r="P91" s="1127"/>
      <c r="Q91" s="1127"/>
      <c r="R91" s="1127"/>
      <c r="S91" s="1127"/>
      <c r="T91" s="1127"/>
      <c r="U91" s="1127"/>
    </row>
    <row r="92" spans="1:21" x14ac:dyDescent="0.2">
      <c r="A92" s="1123" t="s">
        <v>638</v>
      </c>
      <c r="B92" s="202">
        <v>47</v>
      </c>
      <c r="D92" s="1148"/>
      <c r="E92" s="1148"/>
      <c r="F92" s="202">
        <f t="shared" ref="F92:O92" si="12">$B$92</f>
        <v>47</v>
      </c>
      <c r="G92" s="202">
        <f t="shared" si="12"/>
        <v>47</v>
      </c>
      <c r="H92" s="202">
        <f t="shared" si="12"/>
        <v>47</v>
      </c>
      <c r="I92" s="202">
        <f t="shared" si="12"/>
        <v>47</v>
      </c>
      <c r="J92" s="202">
        <f t="shared" si="12"/>
        <v>47</v>
      </c>
      <c r="K92" s="202">
        <f t="shared" si="12"/>
        <v>47</v>
      </c>
      <c r="L92" s="202">
        <f t="shared" si="12"/>
        <v>47</v>
      </c>
      <c r="M92" s="202">
        <f t="shared" si="12"/>
        <v>47</v>
      </c>
      <c r="N92" s="202">
        <f t="shared" si="12"/>
        <v>47</v>
      </c>
      <c r="O92" s="202">
        <f t="shared" si="12"/>
        <v>47</v>
      </c>
      <c r="P92" s="1127"/>
      <c r="Q92" s="1127"/>
      <c r="R92" s="1127"/>
      <c r="S92" s="1127"/>
      <c r="T92" s="1127"/>
      <c r="U92" s="1127"/>
    </row>
    <row r="93" spans="1:21" x14ac:dyDescent="0.2">
      <c r="A93" s="1123" t="s">
        <v>639</v>
      </c>
      <c r="B93" s="203">
        <v>0.08</v>
      </c>
      <c r="D93" s="1159"/>
      <c r="E93" s="1159"/>
      <c r="F93" s="203">
        <f t="shared" ref="F93:O93" si="13">$B$93</f>
        <v>0.08</v>
      </c>
      <c r="G93" s="203">
        <f t="shared" si="13"/>
        <v>0.08</v>
      </c>
      <c r="H93" s="203">
        <f t="shared" si="13"/>
        <v>0.08</v>
      </c>
      <c r="I93" s="203">
        <f t="shared" si="13"/>
        <v>0.08</v>
      </c>
      <c r="J93" s="203">
        <f t="shared" si="13"/>
        <v>0.08</v>
      </c>
      <c r="K93" s="203">
        <f t="shared" si="13"/>
        <v>0.08</v>
      </c>
      <c r="L93" s="203">
        <f t="shared" si="13"/>
        <v>0.08</v>
      </c>
      <c r="M93" s="203">
        <f t="shared" si="13"/>
        <v>0.08</v>
      </c>
      <c r="N93" s="203">
        <f t="shared" si="13"/>
        <v>0.08</v>
      </c>
      <c r="O93" s="203">
        <f t="shared" si="13"/>
        <v>0.08</v>
      </c>
      <c r="P93" s="974"/>
      <c r="Q93" s="1127"/>
      <c r="R93" s="1127"/>
      <c r="S93" s="1127"/>
      <c r="T93" s="1127"/>
      <c r="U93" s="1127"/>
    </row>
    <row r="94" spans="1:21" x14ac:dyDescent="0.2">
      <c r="A94" s="1123" t="s">
        <v>640</v>
      </c>
      <c r="B94" s="974"/>
      <c r="C94" s="1123"/>
      <c r="D94" s="1123"/>
      <c r="E94" s="1123"/>
      <c r="F94" s="1153">
        <f>F91*F$93</f>
        <v>0</v>
      </c>
      <c r="G94" s="1153">
        <f t="shared" ref="G94:O94" si="14">G91*G$93</f>
        <v>0</v>
      </c>
      <c r="H94" s="1153">
        <f t="shared" si="14"/>
        <v>0</v>
      </c>
      <c r="I94" s="1153">
        <f t="shared" si="14"/>
        <v>0</v>
      </c>
      <c r="J94" s="1115">
        <f t="shared" si="14"/>
        <v>0</v>
      </c>
      <c r="K94" s="1115">
        <f t="shared" si="14"/>
        <v>0</v>
      </c>
      <c r="L94" s="1115">
        <f t="shared" si="14"/>
        <v>0</v>
      </c>
      <c r="M94" s="1115">
        <f t="shared" si="14"/>
        <v>0</v>
      </c>
      <c r="N94" s="1115">
        <f t="shared" si="14"/>
        <v>0</v>
      </c>
      <c r="O94" s="1115">
        <f t="shared" si="14"/>
        <v>0</v>
      </c>
      <c r="P94" s="974"/>
      <c r="Q94" s="1127"/>
      <c r="R94" s="1127"/>
      <c r="S94" s="1127"/>
      <c r="T94" s="1127"/>
      <c r="U94" s="1127"/>
    </row>
    <row r="95" spans="1:21" ht="13.5" thickBot="1" x14ac:dyDescent="0.25">
      <c r="A95" s="1129" t="s">
        <v>641</v>
      </c>
      <c r="B95" s="974"/>
      <c r="C95" s="1123"/>
      <c r="D95" s="1123"/>
      <c r="E95" s="1123"/>
      <c r="F95" s="1158">
        <f>F89-F94</f>
        <v>0</v>
      </c>
      <c r="G95" s="1158">
        <f>G89-G94</f>
        <v>0</v>
      </c>
      <c r="H95" s="1158">
        <f t="shared" ref="H95:O95" si="15">H89-H94</f>
        <v>0</v>
      </c>
      <c r="I95" s="1158">
        <f t="shared" si="15"/>
        <v>0</v>
      </c>
      <c r="J95" s="1135">
        <f t="shared" si="15"/>
        <v>0</v>
      </c>
      <c r="K95" s="1135">
        <f t="shared" si="15"/>
        <v>0</v>
      </c>
      <c r="L95" s="1135">
        <f t="shared" si="15"/>
        <v>0</v>
      </c>
      <c r="M95" s="1135">
        <f t="shared" si="15"/>
        <v>0</v>
      </c>
      <c r="N95" s="1135">
        <f t="shared" si="15"/>
        <v>0</v>
      </c>
      <c r="O95" s="1135">
        <f t="shared" si="15"/>
        <v>0</v>
      </c>
      <c r="P95" s="974"/>
      <c r="Q95" s="1127"/>
      <c r="R95" s="1127"/>
      <c r="S95" s="1127"/>
      <c r="T95" s="1127"/>
      <c r="U95" s="1127"/>
    </row>
    <row r="96" spans="1:21" x14ac:dyDescent="0.2">
      <c r="A96" s="1123"/>
      <c r="B96" s="1123"/>
      <c r="C96" s="1077"/>
      <c r="D96" s="1077"/>
      <c r="E96" s="1077"/>
      <c r="F96" s="1077"/>
      <c r="G96" s="1077"/>
      <c r="H96" s="1077"/>
      <c r="I96" s="1077"/>
      <c r="J96" s="1077"/>
      <c r="K96" s="1077"/>
      <c r="L96" s="974"/>
      <c r="M96" s="1077"/>
      <c r="N96" s="974"/>
      <c r="P96" s="974"/>
      <c r="Q96" s="1127"/>
      <c r="R96" s="1127"/>
      <c r="S96" s="1127"/>
      <c r="T96" s="1127"/>
      <c r="U96" s="1127"/>
    </row>
    <row r="97" spans="16:27" x14ac:dyDescent="0.2">
      <c r="V97" s="974"/>
      <c r="W97" s="1127"/>
      <c r="X97" s="1127"/>
      <c r="Y97" s="1127"/>
      <c r="Z97" s="1127"/>
      <c r="AA97" s="1127"/>
    </row>
    <row r="98" spans="16:27" x14ac:dyDescent="0.2">
      <c r="V98" s="974"/>
      <c r="W98" s="1127"/>
      <c r="X98" s="1127"/>
      <c r="Y98" s="1127"/>
      <c r="Z98" s="1127"/>
      <c r="AA98" s="1127"/>
    </row>
    <row r="99" spans="16:27" x14ac:dyDescent="0.2">
      <c r="V99" s="974"/>
      <c r="W99" s="1127"/>
      <c r="X99" s="1127"/>
      <c r="Y99" s="1127"/>
      <c r="Z99" s="1127"/>
      <c r="AA99" s="1127"/>
    </row>
    <row r="100" spans="16:27" x14ac:dyDescent="0.2">
      <c r="V100" s="974"/>
      <c r="W100" s="1127"/>
      <c r="X100" s="1134"/>
      <c r="Y100" s="974"/>
      <c r="Z100" s="1127"/>
      <c r="AA100" s="1127"/>
    </row>
    <row r="101" spans="16:27" x14ac:dyDescent="0.2">
      <c r="V101" s="974"/>
      <c r="W101" s="1127"/>
      <c r="X101" s="974"/>
      <c r="Y101" s="1127"/>
      <c r="Z101" s="1127"/>
      <c r="AA101" s="1127"/>
    </row>
    <row r="102" spans="16:27" x14ac:dyDescent="0.2">
      <c r="P102" s="974"/>
      <c r="V102" s="974"/>
      <c r="W102" s="1127"/>
      <c r="X102" s="1127"/>
      <c r="Y102" s="1127"/>
      <c r="Z102" s="1127"/>
      <c r="AA102" s="1127"/>
    </row>
    <row r="105" spans="16:27" x14ac:dyDescent="0.2">
      <c r="V105" s="974"/>
    </row>
    <row r="106" spans="16:27" x14ac:dyDescent="0.2">
      <c r="V106" s="974"/>
    </row>
    <row r="107" spans="16:27" x14ac:dyDescent="0.2">
      <c r="V107" s="974"/>
    </row>
    <row r="108" spans="16:27" x14ac:dyDescent="0.2">
      <c r="V108" s="974"/>
    </row>
    <row r="109" spans="16:27" x14ac:dyDescent="0.2">
      <c r="V109" s="974"/>
    </row>
    <row r="110" spans="16:27" x14ac:dyDescent="0.2">
      <c r="V110" s="974"/>
    </row>
    <row r="111" spans="16:27" x14ac:dyDescent="0.2">
      <c r="V111" s="974"/>
    </row>
    <row r="112" spans="16:27" x14ac:dyDescent="0.2">
      <c r="V112" s="974"/>
      <c r="X112" s="1042"/>
      <c r="Y112" s="974"/>
    </row>
    <row r="113" spans="22:24" x14ac:dyDescent="0.2">
      <c r="V113" s="974"/>
      <c r="X113" s="974"/>
    </row>
    <row r="114" spans="22:24" x14ac:dyDescent="0.2">
      <c r="V114" s="974"/>
    </row>
  </sheetData>
  <sheetProtection algorithmName="SHA-512" hashValue="33Wc3/WM8v8e9biRiGL49DM1k0Cdo+2cwwj29JnK0h/JH/+JfamSOMf2qDqSNouw0Na9NN5K/Bs9+KWlvBIx6g==" saltValue="wSJcve1/777luE6Nnm7x7A==" spinCount="100000" sheet="1" objects="1" scenarios="1"/>
  <mergeCells count="28">
    <mergeCell ref="A9:R9"/>
    <mergeCell ref="A10:R10"/>
    <mergeCell ref="A12:R12"/>
    <mergeCell ref="A13:R13"/>
    <mergeCell ref="A15:R15"/>
    <mergeCell ref="AE18:AG18"/>
    <mergeCell ref="Z53:AA53"/>
    <mergeCell ref="AC53:AD53"/>
    <mergeCell ref="AF53:AG53"/>
    <mergeCell ref="A48:X48"/>
    <mergeCell ref="A50:Y50"/>
    <mergeCell ref="A51:B51"/>
    <mergeCell ref="H53:I53"/>
    <mergeCell ref="K53:L53"/>
    <mergeCell ref="N53:O53"/>
    <mergeCell ref="Q53:R53"/>
    <mergeCell ref="T53:U53"/>
    <mergeCell ref="W53:X53"/>
    <mergeCell ref="G18:I18"/>
    <mergeCell ref="J18:L18"/>
    <mergeCell ref="M18:O18"/>
    <mergeCell ref="D18:F18"/>
    <mergeCell ref="E53:F53"/>
    <mergeCell ref="V18:X18"/>
    <mergeCell ref="Y18:AA18"/>
    <mergeCell ref="AB18:AD18"/>
    <mergeCell ref="P18:R18"/>
    <mergeCell ref="S18:U18"/>
  </mergeCells>
  <dataValidations disablePrompts="1" count="1">
    <dataValidation allowBlank="1" showInputMessage="1" showErrorMessage="1" promptTitle="Date Format" prompt="E.g:  &quot;August 1, 2011&quot;" sqref="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xr:uid="{00000000-0002-0000-1500-000000000000}"/>
  </dataValidations>
  <pageMargins left="0.70866141732283472" right="0.70866141732283472" top="0.74803149606299213" bottom="0.74803149606299213" header="0.31496062992125984" footer="0.31496062992125984"/>
  <pageSetup scale="25"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5">
    <tabColor rgb="FF00B0F0"/>
  </sheetPr>
  <dimension ref="A1:H11"/>
  <sheetViews>
    <sheetView workbookViewId="0"/>
  </sheetViews>
  <sheetFormatPr defaultRowHeight="12.75" x14ac:dyDescent="0.2"/>
  <cols>
    <col min="1" max="1" width="10.5703125" bestFit="1" customWidth="1"/>
    <col min="2" max="2" width="10.28515625" bestFit="1" customWidth="1"/>
    <col min="4" max="4" width="10.7109375" bestFit="1" customWidth="1"/>
    <col min="5" max="5" width="17" bestFit="1" customWidth="1"/>
    <col min="6" max="6" width="96.7109375" bestFit="1" customWidth="1"/>
  </cols>
  <sheetData>
    <row r="1" spans="1:8" ht="17.45" customHeight="1" x14ac:dyDescent="0.2">
      <c r="A1" t="s">
        <v>1208</v>
      </c>
      <c r="B1" t="s">
        <v>1209</v>
      </c>
      <c r="C1" t="s">
        <v>290</v>
      </c>
      <c r="D1" t="s">
        <v>289</v>
      </c>
      <c r="E1" t="s">
        <v>288</v>
      </c>
      <c r="F1" t="s">
        <v>1219</v>
      </c>
      <c r="G1" t="s">
        <v>10</v>
      </c>
      <c r="H1" t="s">
        <v>1211</v>
      </c>
    </row>
    <row r="2" spans="1:8" x14ac:dyDescent="0.2">
      <c r="A2" t="str">
        <f>'LDC Info'!$E$14</f>
        <v>Niagara-on-the-Lake Hydro Inc.</v>
      </c>
      <c r="B2" t="str">
        <f t="shared" ref="B2:B11" si="0">EBNUMBER</f>
        <v>EB-2018-0056</v>
      </c>
      <c r="C2">
        <f t="shared" ref="C2:C11" si="1">TestYear</f>
        <v>2019</v>
      </c>
      <c r="D2">
        <f t="shared" ref="D2:D11" si="2">BridgeYear</f>
        <v>2018</v>
      </c>
      <c r="E2">
        <f t="shared" ref="E2:E11" si="3">RebaseYear</f>
        <v>2014</v>
      </c>
      <c r="F2" t="s">
        <v>609</v>
      </c>
      <c r="G2">
        <v>2014</v>
      </c>
      <c r="H2">
        <f>'App.2-FC Calc of REG Expansion'!F44</f>
        <v>0</v>
      </c>
    </row>
    <row r="3" spans="1:8" x14ac:dyDescent="0.2">
      <c r="A3" t="str">
        <f>'LDC Info'!$E$14</f>
        <v>Niagara-on-the-Lake Hydro Inc.</v>
      </c>
      <c r="B3" t="str">
        <f t="shared" si="0"/>
        <v>EB-2018-0056</v>
      </c>
      <c r="C3">
        <f t="shared" si="1"/>
        <v>2019</v>
      </c>
      <c r="D3">
        <f t="shared" si="2"/>
        <v>2018</v>
      </c>
      <c r="E3">
        <f t="shared" si="3"/>
        <v>2014</v>
      </c>
      <c r="F3" t="s">
        <v>609</v>
      </c>
      <c r="G3">
        <v>2015</v>
      </c>
      <c r="H3">
        <f>'App.2-FC Calc of REG Expansion'!I44</f>
        <v>0</v>
      </c>
    </row>
    <row r="4" spans="1:8" x14ac:dyDescent="0.2">
      <c r="A4" t="str">
        <f>'LDC Info'!$E$14</f>
        <v>Niagara-on-the-Lake Hydro Inc.</v>
      </c>
      <c r="B4" t="str">
        <f t="shared" si="0"/>
        <v>EB-2018-0056</v>
      </c>
      <c r="C4">
        <f t="shared" si="1"/>
        <v>2019</v>
      </c>
      <c r="D4">
        <f t="shared" si="2"/>
        <v>2018</v>
      </c>
      <c r="E4">
        <f t="shared" si="3"/>
        <v>2014</v>
      </c>
      <c r="F4" t="s">
        <v>609</v>
      </c>
      <c r="G4">
        <v>2016</v>
      </c>
      <c r="H4">
        <f>'App.2-FC Calc of REG Expansion'!L44</f>
        <v>0</v>
      </c>
    </row>
    <row r="5" spans="1:8" x14ac:dyDescent="0.2">
      <c r="A5" t="str">
        <f>'LDC Info'!$E$14</f>
        <v>Niagara-on-the-Lake Hydro Inc.</v>
      </c>
      <c r="B5" t="str">
        <f t="shared" si="0"/>
        <v>EB-2018-0056</v>
      </c>
      <c r="C5">
        <f t="shared" si="1"/>
        <v>2019</v>
      </c>
      <c r="D5">
        <f t="shared" si="2"/>
        <v>2018</v>
      </c>
      <c r="E5">
        <f t="shared" si="3"/>
        <v>2014</v>
      </c>
      <c r="F5" t="s">
        <v>609</v>
      </c>
      <c r="G5">
        <v>2017</v>
      </c>
      <c r="H5">
        <f>'App.2-FC Calc of REG Expansion'!O44</f>
        <v>0</v>
      </c>
    </row>
    <row r="6" spans="1:8" x14ac:dyDescent="0.2">
      <c r="A6" t="str">
        <f>'LDC Info'!$E$14</f>
        <v>Niagara-on-the-Lake Hydro Inc.</v>
      </c>
      <c r="B6" t="str">
        <f t="shared" si="0"/>
        <v>EB-2018-0056</v>
      </c>
      <c r="C6">
        <f t="shared" si="1"/>
        <v>2019</v>
      </c>
      <c r="D6">
        <f t="shared" si="2"/>
        <v>2018</v>
      </c>
      <c r="E6">
        <f t="shared" si="3"/>
        <v>2014</v>
      </c>
      <c r="F6" t="s">
        <v>609</v>
      </c>
      <c r="G6">
        <v>2018</v>
      </c>
      <c r="H6">
        <f>'App.2-FC Calc of REG Expansion'!R44</f>
        <v>0</v>
      </c>
    </row>
    <row r="7" spans="1:8" x14ac:dyDescent="0.2">
      <c r="A7" t="str">
        <f>'LDC Info'!$E$14</f>
        <v>Niagara-on-the-Lake Hydro Inc.</v>
      </c>
      <c r="B7" t="str">
        <f t="shared" si="0"/>
        <v>EB-2018-0056</v>
      </c>
      <c r="C7">
        <f t="shared" si="1"/>
        <v>2019</v>
      </c>
      <c r="D7">
        <f t="shared" si="2"/>
        <v>2018</v>
      </c>
      <c r="E7">
        <f t="shared" si="3"/>
        <v>2014</v>
      </c>
      <c r="F7" t="s">
        <v>609</v>
      </c>
      <c r="G7">
        <v>2019</v>
      </c>
      <c r="H7">
        <f>'App.2-FC Calc of REG Expansion'!U44</f>
        <v>0</v>
      </c>
    </row>
    <row r="8" spans="1:8" x14ac:dyDescent="0.2">
      <c r="A8" t="str">
        <f>'LDC Info'!$E$14</f>
        <v>Niagara-on-the-Lake Hydro Inc.</v>
      </c>
      <c r="B8" t="str">
        <f t="shared" si="0"/>
        <v>EB-2018-0056</v>
      </c>
      <c r="C8">
        <f t="shared" si="1"/>
        <v>2019</v>
      </c>
      <c r="D8">
        <f t="shared" si="2"/>
        <v>2018</v>
      </c>
      <c r="E8">
        <f t="shared" si="3"/>
        <v>2014</v>
      </c>
      <c r="F8" t="s">
        <v>609</v>
      </c>
      <c r="G8">
        <v>2020</v>
      </c>
      <c r="H8">
        <f>'App.2-FC Calc of REG Expansion'!X44</f>
        <v>0</v>
      </c>
    </row>
    <row r="9" spans="1:8" x14ac:dyDescent="0.2">
      <c r="A9" t="str">
        <f>'LDC Info'!$E$14</f>
        <v>Niagara-on-the-Lake Hydro Inc.</v>
      </c>
      <c r="B9" t="str">
        <f t="shared" si="0"/>
        <v>EB-2018-0056</v>
      </c>
      <c r="C9">
        <f t="shared" si="1"/>
        <v>2019</v>
      </c>
      <c r="D9">
        <f t="shared" si="2"/>
        <v>2018</v>
      </c>
      <c r="E9">
        <f t="shared" si="3"/>
        <v>2014</v>
      </c>
      <c r="F9" t="s">
        <v>609</v>
      </c>
      <c r="G9">
        <v>2021</v>
      </c>
      <c r="H9">
        <f>'App.2-FC Calc of REG Expansion'!AA44</f>
        <v>0</v>
      </c>
    </row>
    <row r="10" spans="1:8" x14ac:dyDescent="0.2">
      <c r="A10" t="str">
        <f>'LDC Info'!$E$14</f>
        <v>Niagara-on-the-Lake Hydro Inc.</v>
      </c>
      <c r="B10" t="str">
        <f t="shared" si="0"/>
        <v>EB-2018-0056</v>
      </c>
      <c r="C10">
        <f t="shared" si="1"/>
        <v>2019</v>
      </c>
      <c r="D10">
        <f t="shared" si="2"/>
        <v>2018</v>
      </c>
      <c r="E10">
        <f t="shared" si="3"/>
        <v>2014</v>
      </c>
      <c r="F10" t="s">
        <v>609</v>
      </c>
      <c r="G10">
        <v>2022</v>
      </c>
      <c r="H10">
        <f>'App.2-FC Calc of REG Expansion'!AD44</f>
        <v>0</v>
      </c>
    </row>
    <row r="11" spans="1:8" x14ac:dyDescent="0.2">
      <c r="A11" t="str">
        <f>'LDC Info'!$E$14</f>
        <v>Niagara-on-the-Lake Hydro Inc.</v>
      </c>
      <c r="B11" t="str">
        <f t="shared" si="0"/>
        <v>EB-2018-0056</v>
      </c>
      <c r="C11">
        <f t="shared" si="1"/>
        <v>2019</v>
      </c>
      <c r="D11">
        <f t="shared" si="2"/>
        <v>2018</v>
      </c>
      <c r="E11">
        <f t="shared" si="3"/>
        <v>2014</v>
      </c>
      <c r="F11" t="s">
        <v>609</v>
      </c>
      <c r="G11">
        <v>2023</v>
      </c>
      <c r="H11">
        <f>'App.2-FC Calc of REG Expansion'!AG44</f>
        <v>0</v>
      </c>
    </row>
  </sheetData>
  <sheetProtection algorithmName="SHA-512" hashValue="g4Rkl6xyPtH6rVJ1oXzbaRnZxmhv+ECaV2uRyGRof1wFE42vVDXWhqsSF4/MLJ0qnN2vlI0D1D5xEoAL8x7RFw==" saltValue="LucTiPM0pl749ei39Q2UKw==" spinCount="100000" sheet="1" objects="1" scenarios="1"/>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9">
    <tabColor rgb="FF00B0F0"/>
    <pageSetUpPr fitToPage="1"/>
  </sheetPr>
  <dimension ref="A1:P40"/>
  <sheetViews>
    <sheetView showGridLines="0" topLeftCell="A25" zoomScale="90" zoomScaleNormal="90" workbookViewId="0"/>
  </sheetViews>
  <sheetFormatPr defaultColWidth="8.7109375" defaultRowHeight="15" x14ac:dyDescent="0.25"/>
  <cols>
    <col min="1" max="1" width="9.7109375" style="189" customWidth="1"/>
    <col min="2" max="3" width="10.28515625" style="189" customWidth="1"/>
    <col min="4" max="5" width="8.7109375" style="189"/>
    <col min="6" max="6" width="9.5703125" style="189" bestFit="1" customWidth="1"/>
    <col min="7" max="10" width="8.7109375" style="189"/>
    <col min="11" max="11" width="8.7109375" style="189" customWidth="1"/>
    <col min="12" max="16384" width="8.7109375" style="189"/>
  </cols>
  <sheetData>
    <row r="1" spans="1:16" s="156" customFormat="1" x14ac:dyDescent="0.25">
      <c r="A1" s="34"/>
      <c r="B1" s="34"/>
      <c r="C1" s="34"/>
      <c r="D1" s="34"/>
      <c r="E1" s="34"/>
      <c r="F1" s="34"/>
      <c r="G1" s="34"/>
      <c r="H1" s="34"/>
      <c r="I1" s="34"/>
      <c r="J1" s="34"/>
      <c r="K1" s="34"/>
      <c r="M1" s="39" t="s">
        <v>277</v>
      </c>
      <c r="O1" s="1831" t="str">
        <f>EBNUMBER</f>
        <v>EB-2018-0056</v>
      </c>
      <c r="P1" s="1831"/>
    </row>
    <row r="2" spans="1:16" s="156" customFormat="1" x14ac:dyDescent="0.25">
      <c r="A2" s="34"/>
      <c r="B2" s="34"/>
      <c r="C2" s="34"/>
      <c r="D2" s="34"/>
      <c r="E2" s="34"/>
      <c r="F2" s="34"/>
      <c r="G2" s="34"/>
      <c r="H2" s="34"/>
      <c r="I2" s="34"/>
      <c r="J2" s="34"/>
      <c r="K2" s="34"/>
      <c r="M2" s="39" t="s">
        <v>278</v>
      </c>
      <c r="O2" s="1832"/>
      <c r="P2" s="1832"/>
    </row>
    <row r="3" spans="1:16" s="156" customFormat="1" x14ac:dyDescent="0.25">
      <c r="A3" s="34"/>
      <c r="B3" s="34"/>
      <c r="C3" s="34"/>
      <c r="D3" s="34"/>
      <c r="E3" s="34"/>
      <c r="F3" s="34"/>
      <c r="G3" s="34"/>
      <c r="H3" s="34"/>
      <c r="I3" s="34"/>
      <c r="J3" s="34"/>
      <c r="K3" s="34"/>
      <c r="M3" s="39" t="s">
        <v>279</v>
      </c>
      <c r="O3" s="1832"/>
      <c r="P3" s="1832"/>
    </row>
    <row r="4" spans="1:16" s="156" customFormat="1" x14ac:dyDescent="0.25">
      <c r="A4" s="34"/>
      <c r="B4" s="34"/>
      <c r="C4" s="34"/>
      <c r="D4" s="34"/>
      <c r="E4" s="34"/>
      <c r="F4" s="34"/>
      <c r="G4" s="34"/>
      <c r="H4" s="34"/>
      <c r="I4" s="34"/>
      <c r="J4" s="34"/>
      <c r="K4" s="34"/>
      <c r="M4" s="39" t="s">
        <v>280</v>
      </c>
      <c r="O4" s="1832"/>
      <c r="P4" s="1832"/>
    </row>
    <row r="5" spans="1:16" s="156" customFormat="1" x14ac:dyDescent="0.25">
      <c r="A5" s="34"/>
      <c r="B5" s="34"/>
      <c r="C5" s="34"/>
      <c r="D5" s="34"/>
      <c r="E5" s="34"/>
      <c r="F5" s="34"/>
      <c r="G5" s="34"/>
      <c r="H5" s="34"/>
      <c r="I5" s="34"/>
      <c r="J5" s="34"/>
      <c r="K5" s="34"/>
      <c r="M5" s="39" t="s">
        <v>281</v>
      </c>
      <c r="O5" s="1833"/>
      <c r="P5" s="1833"/>
    </row>
    <row r="6" spans="1:16" s="156" customFormat="1" x14ac:dyDescent="0.25">
      <c r="A6" s="34"/>
      <c r="B6" s="34"/>
      <c r="C6" s="34"/>
      <c r="D6" s="34"/>
      <c r="E6" s="34"/>
      <c r="F6" s="34"/>
      <c r="G6" s="34"/>
      <c r="H6" s="34"/>
      <c r="I6" s="34"/>
      <c r="J6" s="34"/>
      <c r="K6" s="34"/>
      <c r="M6" s="39"/>
      <c r="O6" s="40"/>
    </row>
    <row r="7" spans="1:16" s="156" customFormat="1" x14ac:dyDescent="0.25">
      <c r="A7" s="34"/>
      <c r="B7" s="34"/>
      <c r="C7" s="34"/>
      <c r="D7" s="34"/>
      <c r="E7" s="34"/>
      <c r="F7" s="34"/>
      <c r="G7" s="34"/>
      <c r="H7" s="34"/>
      <c r="I7" s="34"/>
      <c r="J7" s="34"/>
      <c r="K7" s="34"/>
      <c r="M7" s="39" t="s">
        <v>282</v>
      </c>
      <c r="O7" s="1833"/>
      <c r="P7" s="1833"/>
    </row>
    <row r="8" spans="1:16" s="156" customFormat="1" x14ac:dyDescent="0.25">
      <c r="A8" s="38"/>
      <c r="B8" s="38"/>
      <c r="C8" s="38"/>
      <c r="D8" s="38"/>
      <c r="E8" s="38"/>
      <c r="F8" s="38"/>
      <c r="G8" s="38"/>
      <c r="H8" s="38"/>
      <c r="I8" s="38"/>
      <c r="J8" s="188"/>
      <c r="K8" s="188"/>
      <c r="L8" s="188"/>
      <c r="M8" s="188"/>
      <c r="N8" s="188"/>
      <c r="O8" s="188"/>
    </row>
    <row r="9" spans="1:16" s="156" customFormat="1" ht="18" x14ac:dyDescent="0.25">
      <c r="A9" s="1760" t="s">
        <v>106</v>
      </c>
      <c r="B9" s="1760"/>
      <c r="C9" s="1760"/>
      <c r="D9" s="1760"/>
      <c r="E9" s="1760"/>
      <c r="F9" s="1760"/>
      <c r="G9" s="1760"/>
      <c r="H9" s="1760"/>
      <c r="I9" s="1760"/>
      <c r="J9" s="1760"/>
      <c r="K9" s="1760"/>
      <c r="L9" s="1760"/>
      <c r="M9" s="1760"/>
      <c r="N9" s="1760"/>
      <c r="O9" s="1760"/>
      <c r="P9" s="1760"/>
    </row>
    <row r="10" spans="1:16" s="156" customFormat="1" ht="18" x14ac:dyDescent="0.25">
      <c r="A10" s="1760" t="s">
        <v>947</v>
      </c>
      <c r="B10" s="1760"/>
      <c r="C10" s="1760"/>
      <c r="D10" s="1760"/>
      <c r="E10" s="1760"/>
      <c r="F10" s="1760"/>
      <c r="G10" s="1760"/>
      <c r="H10" s="1760"/>
      <c r="I10" s="1760"/>
      <c r="J10" s="1760"/>
      <c r="K10" s="1760"/>
      <c r="L10" s="1760"/>
      <c r="M10" s="1760"/>
      <c r="N10" s="1760"/>
      <c r="O10" s="1760"/>
      <c r="P10" s="1760"/>
    </row>
    <row r="11" spans="1:16" s="156" customFormat="1" ht="18" x14ac:dyDescent="0.25">
      <c r="A11" s="1760" t="s">
        <v>1077</v>
      </c>
      <c r="B11" s="1760"/>
      <c r="C11" s="1760"/>
      <c r="D11" s="1760"/>
      <c r="E11" s="1760"/>
      <c r="F11" s="1760"/>
      <c r="G11" s="1760"/>
      <c r="H11" s="1760"/>
      <c r="I11" s="1760"/>
      <c r="J11" s="1760"/>
      <c r="K11" s="1760"/>
      <c r="L11" s="1760"/>
      <c r="M11" s="1760"/>
      <c r="N11" s="1760"/>
      <c r="O11" s="1760"/>
      <c r="P11" s="1760"/>
    </row>
    <row r="12" spans="1:16" s="156" customFormat="1" ht="18" x14ac:dyDescent="0.25">
      <c r="A12" s="1497"/>
      <c r="B12" s="1497"/>
      <c r="C12" s="1497"/>
      <c r="D12" s="1497"/>
      <c r="E12" s="1497"/>
      <c r="F12" s="1497"/>
      <c r="G12" s="1497"/>
      <c r="H12" s="1497"/>
      <c r="I12" s="1497"/>
      <c r="J12" s="1497"/>
      <c r="K12" s="1497"/>
      <c r="L12" s="188"/>
      <c r="M12" s="188"/>
      <c r="N12" s="188"/>
      <c r="O12" s="188"/>
    </row>
    <row r="13" spans="1:16" s="156" customFormat="1" ht="18" customHeight="1" x14ac:dyDescent="0.25">
      <c r="A13" s="1840" t="s">
        <v>948</v>
      </c>
      <c r="B13" s="1840"/>
      <c r="C13" s="1840"/>
      <c r="D13" s="1840"/>
      <c r="E13" s="1840"/>
      <c r="F13" s="1840"/>
      <c r="G13" s="1840"/>
      <c r="H13" s="1840"/>
      <c r="I13" s="1840"/>
      <c r="J13" s="1840"/>
      <c r="K13" s="1840"/>
      <c r="L13" s="1840"/>
      <c r="M13" s="1840"/>
      <c r="N13" s="1840"/>
      <c r="O13" s="1840"/>
      <c r="P13" s="1840"/>
    </row>
    <row r="14" spans="1:16" ht="15.75" thickBot="1" x14ac:dyDescent="0.3">
      <c r="A14" s="193"/>
      <c r="B14" s="193"/>
      <c r="C14" s="193"/>
      <c r="D14" s="193"/>
      <c r="E14" s="193"/>
      <c r="F14" s="193"/>
      <c r="G14" s="193"/>
      <c r="H14" s="193"/>
      <c r="I14" s="193"/>
      <c r="J14" s="193"/>
      <c r="K14" s="193"/>
      <c r="L14" s="193"/>
      <c r="M14" s="193"/>
      <c r="N14" s="193"/>
      <c r="O14" s="193"/>
    </row>
    <row r="15" spans="1:16" ht="15.75" thickBot="1" x14ac:dyDescent="0.3">
      <c r="A15" s="1825" t="s">
        <v>398</v>
      </c>
      <c r="B15" s="1827" t="s">
        <v>921</v>
      </c>
      <c r="C15" s="1828"/>
      <c r="D15" s="1828"/>
      <c r="E15" s="1828"/>
      <c r="F15" s="1828"/>
      <c r="G15" s="1829" t="s">
        <v>922</v>
      </c>
      <c r="H15" s="1828"/>
      <c r="I15" s="1828"/>
      <c r="J15" s="1828"/>
      <c r="K15" s="1830"/>
      <c r="L15" s="1829" t="s">
        <v>1076</v>
      </c>
      <c r="M15" s="1828"/>
      <c r="N15" s="1828"/>
      <c r="O15" s="1828"/>
      <c r="P15" s="1830"/>
    </row>
    <row r="16" spans="1:16" x14ac:dyDescent="0.25">
      <c r="A16" s="1826"/>
      <c r="B16" s="205">
        <f>TestYear-6</f>
        <v>2013</v>
      </c>
      <c r="C16" s="1500">
        <f>TestYear-5</f>
        <v>2014</v>
      </c>
      <c r="D16" s="206">
        <f>TestYear-4</f>
        <v>2015</v>
      </c>
      <c r="E16" s="206">
        <f>TestYear-3</f>
        <v>2016</v>
      </c>
      <c r="F16" s="207">
        <f>TestYear-2</f>
        <v>2017</v>
      </c>
      <c r="G16" s="205">
        <f t="shared" ref="G16:P16" si="0">B16</f>
        <v>2013</v>
      </c>
      <c r="H16" s="1500">
        <f t="shared" si="0"/>
        <v>2014</v>
      </c>
      <c r="I16" s="206">
        <f t="shared" si="0"/>
        <v>2015</v>
      </c>
      <c r="J16" s="206">
        <f t="shared" si="0"/>
        <v>2016</v>
      </c>
      <c r="K16" s="207">
        <f t="shared" si="0"/>
        <v>2017</v>
      </c>
      <c r="L16" s="205">
        <f t="shared" si="0"/>
        <v>2013</v>
      </c>
      <c r="M16" s="1500">
        <f t="shared" si="0"/>
        <v>2014</v>
      </c>
      <c r="N16" s="206">
        <f t="shared" si="0"/>
        <v>2015</v>
      </c>
      <c r="O16" s="206">
        <f t="shared" si="0"/>
        <v>2016</v>
      </c>
      <c r="P16" s="207">
        <f t="shared" si="0"/>
        <v>2017</v>
      </c>
    </row>
    <row r="17" spans="1:16" x14ac:dyDescent="0.25">
      <c r="A17" s="208" t="s">
        <v>453</v>
      </c>
      <c r="B17" s="209">
        <v>3.5458650499823818</v>
      </c>
      <c r="C17" s="209">
        <v>0.93765045318101015</v>
      </c>
      <c r="D17" s="209">
        <v>3.526927138331573</v>
      </c>
      <c r="E17" s="209">
        <v>0.3374450650464868</v>
      </c>
      <c r="F17" s="209">
        <v>0.50270212309671891</v>
      </c>
      <c r="G17" s="209">
        <v>3.5458650499823818</v>
      </c>
      <c r="H17" s="209">
        <v>0.93765045318101015</v>
      </c>
      <c r="I17" s="209">
        <v>2.0171098114603923</v>
      </c>
      <c r="J17" s="209">
        <v>0.33675564232311378</v>
      </c>
      <c r="K17" s="209">
        <v>0.50270212309671891</v>
      </c>
      <c r="L17" s="209">
        <v>0.36881012487148412</v>
      </c>
      <c r="M17" s="209">
        <v>0.93765045318101015</v>
      </c>
      <c r="N17" s="209">
        <v>2.3760751450825364</v>
      </c>
      <c r="O17" s="209">
        <v>0.3374450650464868</v>
      </c>
      <c r="P17" s="209">
        <v>0.50270212309671891</v>
      </c>
    </row>
    <row r="18" spans="1:16" ht="15.75" thickBot="1" x14ac:dyDescent="0.3">
      <c r="A18" s="210" t="s">
        <v>454</v>
      </c>
      <c r="B18" s="209">
        <v>0.42331771031939491</v>
      </c>
      <c r="C18" s="209">
        <v>1.0716638008917903</v>
      </c>
      <c r="D18" s="209">
        <v>2.179284109062356</v>
      </c>
      <c r="E18" s="209">
        <v>1.0261455360425822</v>
      </c>
      <c r="F18" s="209">
        <v>0.87561655586532272</v>
      </c>
      <c r="G18" s="209">
        <v>0.42331771031939491</v>
      </c>
      <c r="H18" s="209">
        <v>1.0716638008917903</v>
      </c>
      <c r="I18" s="209">
        <v>1.1987924078737173</v>
      </c>
      <c r="J18" s="209">
        <v>1.0255983751510165</v>
      </c>
      <c r="K18" s="209">
        <v>0.87561655586532272</v>
      </c>
      <c r="L18" s="209">
        <v>0.15252952846172041</v>
      </c>
      <c r="M18" s="209">
        <v>1.0716638008917903</v>
      </c>
      <c r="N18" s="209">
        <v>1.8162393162393162</v>
      </c>
      <c r="O18" s="209">
        <v>1.0261455360425822</v>
      </c>
      <c r="P18" s="209">
        <v>0.87561655586532272</v>
      </c>
    </row>
    <row r="19" spans="1:16" x14ac:dyDescent="0.25">
      <c r="A19" s="27"/>
      <c r="B19" s="27"/>
      <c r="C19" s="27"/>
      <c r="D19" s="27"/>
      <c r="E19" s="27"/>
      <c r="F19" s="27"/>
      <c r="G19" s="27"/>
      <c r="H19" s="27"/>
      <c r="I19" s="27"/>
      <c r="J19" s="27"/>
      <c r="K19" s="27"/>
      <c r="L19" s="193"/>
      <c r="M19" s="193"/>
      <c r="N19" s="193"/>
      <c r="O19" s="193"/>
    </row>
    <row r="20" spans="1:16" ht="15.75" thickBot="1" x14ac:dyDescent="0.3">
      <c r="A20" s="1839" t="s">
        <v>574</v>
      </c>
      <c r="B20" s="1839"/>
      <c r="C20" s="1839"/>
      <c r="D20" s="1839"/>
      <c r="E20" s="1839"/>
      <c r="F20" s="1839"/>
      <c r="G20" s="1839"/>
      <c r="H20" s="1839"/>
      <c r="I20" s="1839"/>
      <c r="J20" s="1839"/>
      <c r="K20" s="1839"/>
      <c r="L20" s="1839"/>
      <c r="M20" s="1839"/>
      <c r="N20" s="1839"/>
      <c r="O20" s="1839"/>
      <c r="P20" s="1839"/>
    </row>
    <row r="21" spans="1:16" ht="15.75" thickBot="1" x14ac:dyDescent="0.3">
      <c r="A21" s="211" t="s">
        <v>453</v>
      </c>
      <c r="B21" s="1838"/>
      <c r="C21" s="1838"/>
      <c r="D21" s="1838"/>
      <c r="E21" s="1838"/>
      <c r="F21" s="212">
        <f>IF(ISERROR(AVERAGE(B17:F17)), "", AVERAGE(B17:F17))</f>
        <v>1.7701179659276343</v>
      </c>
      <c r="G21" s="1837"/>
      <c r="H21" s="1838"/>
      <c r="I21" s="1838"/>
      <c r="J21" s="1838"/>
      <c r="K21" s="212">
        <f>IF(ISERROR(AVERAGE(G17:K17)), "", AVERAGE(G17:K17))</f>
        <v>1.4680166160087234</v>
      </c>
      <c r="L21" s="1837"/>
      <c r="M21" s="1838"/>
      <c r="N21" s="1838"/>
      <c r="O21" s="1838"/>
      <c r="P21" s="212">
        <f>IF(ISERROR(AVERAGE(L17:P17)), "", AVERAGE(L17:P17))</f>
        <v>0.90453658225564726</v>
      </c>
    </row>
    <row r="22" spans="1:16" ht="15.75" thickBot="1" x14ac:dyDescent="0.3">
      <c r="A22" s="213" t="s">
        <v>454</v>
      </c>
      <c r="B22" s="1824"/>
      <c r="C22" s="1824"/>
      <c r="D22" s="1824"/>
      <c r="E22" s="1824"/>
      <c r="F22" s="212">
        <f>IF(ISERROR(AVERAGE(B18:F18)), "", AVERAGE(B18:F18))</f>
        <v>1.1152055424362892</v>
      </c>
      <c r="G22" s="1823"/>
      <c r="H22" s="1824"/>
      <c r="I22" s="1824"/>
      <c r="J22" s="1824"/>
      <c r="K22" s="212">
        <f>IF(ISERROR(AVERAGE(G18:K18)), "", AVERAGE(G18:K18))</f>
        <v>0.91899777002024829</v>
      </c>
      <c r="L22" s="1823"/>
      <c r="M22" s="1824"/>
      <c r="N22" s="1824"/>
      <c r="O22" s="1824"/>
      <c r="P22" s="212">
        <f>IF(ISERROR(AVERAGE(L18:P18)), "", AVERAGE(L18:P18))</f>
        <v>0.98843894750014649</v>
      </c>
    </row>
    <row r="23" spans="1:16" x14ac:dyDescent="0.25">
      <c r="A23" s="27"/>
      <c r="B23" s="27"/>
      <c r="C23" s="27"/>
      <c r="D23" s="27"/>
      <c r="E23" s="27"/>
      <c r="F23" s="27"/>
      <c r="G23" s="27"/>
      <c r="H23" s="27"/>
      <c r="I23" s="27"/>
      <c r="J23" s="27"/>
      <c r="K23" s="27"/>
    </row>
    <row r="24" spans="1:16" x14ac:dyDescent="0.25">
      <c r="A24" s="1841" t="s">
        <v>455</v>
      </c>
      <c r="B24" s="1841"/>
      <c r="C24" s="1841"/>
      <c r="D24" s="1841"/>
      <c r="E24" s="1841"/>
      <c r="F24" s="1841"/>
      <c r="G24" s="1841"/>
      <c r="H24" s="1841"/>
      <c r="I24" s="1841"/>
      <c r="J24" s="1841"/>
      <c r="K24" s="1841"/>
    </row>
    <row r="25" spans="1:16" x14ac:dyDescent="0.25">
      <c r="A25" s="1841" t="s">
        <v>456</v>
      </c>
      <c r="B25" s="1841"/>
      <c r="C25" s="1841"/>
      <c r="D25" s="1841"/>
      <c r="E25" s="1841"/>
      <c r="F25" s="1841"/>
      <c r="G25" s="1841"/>
      <c r="H25" s="1841"/>
      <c r="I25" s="1841"/>
      <c r="J25" s="1841"/>
      <c r="K25" s="1841"/>
    </row>
    <row r="26" spans="1:16" x14ac:dyDescent="0.25">
      <c r="A26" s="1501"/>
      <c r="B26" s="1501"/>
      <c r="C26" s="1501"/>
      <c r="D26" s="1501"/>
      <c r="E26" s="1501"/>
      <c r="F26" s="1501"/>
      <c r="G26" s="1501"/>
      <c r="H26" s="1501"/>
      <c r="I26" s="1501"/>
      <c r="J26" s="1501"/>
      <c r="K26" s="1501"/>
    </row>
    <row r="27" spans="1:16" ht="15.75" x14ac:dyDescent="0.25">
      <c r="A27" s="1840" t="s">
        <v>949</v>
      </c>
      <c r="B27" s="1840"/>
      <c r="C27" s="1840"/>
      <c r="D27" s="1840"/>
      <c r="E27" s="1840"/>
      <c r="F27" s="1840"/>
      <c r="G27" s="1840"/>
      <c r="H27" s="1840"/>
      <c r="I27" s="1840"/>
      <c r="J27" s="1840"/>
      <c r="K27" s="1840"/>
    </row>
    <row r="28" spans="1:16" ht="15.75" thickBot="1" x14ac:dyDescent="0.3"/>
    <row r="29" spans="1:16" ht="51" customHeight="1" thickBot="1" x14ac:dyDescent="0.3">
      <c r="A29" s="1834" t="s">
        <v>850</v>
      </c>
      <c r="B29" s="1835"/>
      <c r="C29" s="1835"/>
      <c r="D29" s="1836"/>
      <c r="E29" s="1844" t="s">
        <v>849</v>
      </c>
      <c r="F29" s="1845"/>
      <c r="G29" s="214">
        <f>B16</f>
        <v>2013</v>
      </c>
      <c r="H29" s="214">
        <f>C16</f>
        <v>2014</v>
      </c>
      <c r="I29" s="214">
        <f>D16</f>
        <v>2015</v>
      </c>
      <c r="J29" s="215">
        <f>E16</f>
        <v>2016</v>
      </c>
      <c r="K29" s="216">
        <f>F16</f>
        <v>2017</v>
      </c>
    </row>
    <row r="30" spans="1:16" ht="20.25" customHeight="1" thickBot="1" x14ac:dyDescent="0.3">
      <c r="A30" s="1850" t="s">
        <v>851</v>
      </c>
      <c r="B30" s="1851"/>
      <c r="C30" s="1851"/>
      <c r="D30" s="1852"/>
      <c r="E30" s="1846">
        <v>0.9</v>
      </c>
      <c r="F30" s="1847"/>
      <c r="G30" s="1504">
        <v>1</v>
      </c>
      <c r="H30" s="1504">
        <v>0.98599999999999999</v>
      </c>
      <c r="I30" s="1504">
        <v>0.96899999999999997</v>
      </c>
      <c r="J30" s="1504">
        <v>0.98899999999999999</v>
      </c>
      <c r="K30" s="1504">
        <v>0.98939999999999995</v>
      </c>
    </row>
    <row r="31" spans="1:16" ht="20.25" customHeight="1" thickBot="1" x14ac:dyDescent="0.3">
      <c r="A31" s="1853" t="s">
        <v>852</v>
      </c>
      <c r="B31" s="1854"/>
      <c r="C31" s="1854"/>
      <c r="D31" s="1855"/>
      <c r="E31" s="1842">
        <v>0.9</v>
      </c>
      <c r="F31" s="1843"/>
      <c r="G31" s="1504">
        <v>1</v>
      </c>
      <c r="H31" s="1504">
        <v>1</v>
      </c>
      <c r="I31" s="1504">
        <v>1</v>
      </c>
      <c r="J31" s="1504">
        <v>1</v>
      </c>
      <c r="K31" s="1504">
        <v>1</v>
      </c>
    </row>
    <row r="32" spans="1:16" ht="20.25" customHeight="1" thickBot="1" x14ac:dyDescent="0.3">
      <c r="A32" s="1853" t="s">
        <v>853</v>
      </c>
      <c r="B32" s="1854"/>
      <c r="C32" s="1854"/>
      <c r="D32" s="1855"/>
      <c r="E32" s="1842">
        <v>0.65</v>
      </c>
      <c r="F32" s="1843"/>
      <c r="G32" s="1504">
        <v>1</v>
      </c>
      <c r="H32" s="1504">
        <v>1</v>
      </c>
      <c r="I32" s="1504">
        <v>1</v>
      </c>
      <c r="J32" s="1504">
        <v>1</v>
      </c>
      <c r="K32" s="1504">
        <v>1</v>
      </c>
    </row>
    <row r="33" spans="1:11" ht="20.25" customHeight="1" thickBot="1" x14ac:dyDescent="0.3">
      <c r="A33" s="1853" t="s">
        <v>854</v>
      </c>
      <c r="B33" s="1854"/>
      <c r="C33" s="1854"/>
      <c r="D33" s="1855"/>
      <c r="E33" s="1842">
        <v>0.9</v>
      </c>
      <c r="F33" s="1843"/>
      <c r="G33" s="1504">
        <v>0.99619999999999997</v>
      </c>
      <c r="H33" s="1504">
        <v>0.99</v>
      </c>
      <c r="I33" s="1504">
        <v>0.997</v>
      </c>
      <c r="J33" s="1504">
        <v>0.995</v>
      </c>
      <c r="K33" s="1504">
        <v>1</v>
      </c>
    </row>
    <row r="34" spans="1:11" ht="20.25" customHeight="1" thickBot="1" x14ac:dyDescent="0.3">
      <c r="A34" s="1853" t="s">
        <v>855</v>
      </c>
      <c r="B34" s="1854"/>
      <c r="C34" s="1854"/>
      <c r="D34" s="1855"/>
      <c r="E34" s="1842">
        <v>0.8</v>
      </c>
      <c r="F34" s="1843"/>
      <c r="G34" s="1504">
        <v>0.91700000000000004</v>
      </c>
      <c r="H34" s="1504">
        <v>0.85299999999999998</v>
      </c>
      <c r="I34" s="1504">
        <v>0.877</v>
      </c>
      <c r="J34" s="1504">
        <v>0.86199999999999999</v>
      </c>
      <c r="K34" s="1504">
        <v>0.87260000000000004</v>
      </c>
    </row>
    <row r="35" spans="1:11" ht="20.25" customHeight="1" thickBot="1" x14ac:dyDescent="0.3">
      <c r="A35" s="1853" t="s">
        <v>856</v>
      </c>
      <c r="B35" s="1854"/>
      <c r="C35" s="1854"/>
      <c r="D35" s="1855"/>
      <c r="E35" s="1842">
        <v>0.8</v>
      </c>
      <c r="F35" s="1843"/>
      <c r="G35" s="1504">
        <v>1</v>
      </c>
      <c r="H35" s="1504">
        <v>1</v>
      </c>
      <c r="I35" s="1504">
        <v>1</v>
      </c>
      <c r="J35" s="1504">
        <v>1</v>
      </c>
      <c r="K35" s="1504">
        <v>1</v>
      </c>
    </row>
    <row r="36" spans="1:11" ht="20.25" customHeight="1" thickBot="1" x14ac:dyDescent="0.3">
      <c r="A36" s="1853" t="s">
        <v>857</v>
      </c>
      <c r="B36" s="1854"/>
      <c r="C36" s="1854"/>
      <c r="D36" s="1855"/>
      <c r="E36" s="1842">
        <v>0.8</v>
      </c>
      <c r="F36" s="1843"/>
      <c r="G36" s="1504">
        <v>0.998</v>
      </c>
      <c r="H36" s="1504">
        <v>0.998</v>
      </c>
      <c r="I36" s="1504">
        <v>0.996</v>
      </c>
      <c r="J36" s="1504">
        <v>0.996</v>
      </c>
      <c r="K36" s="1504">
        <v>0.99509999999999998</v>
      </c>
    </row>
    <row r="37" spans="1:11" ht="20.25" customHeight="1" thickBot="1" x14ac:dyDescent="0.3">
      <c r="A37" s="1853" t="s">
        <v>858</v>
      </c>
      <c r="B37" s="1854"/>
      <c r="C37" s="1854"/>
      <c r="D37" s="1855"/>
      <c r="E37" s="1842">
        <v>0.1</v>
      </c>
      <c r="F37" s="1843"/>
      <c r="G37" s="1504">
        <v>1</v>
      </c>
      <c r="H37" s="1504">
        <v>1</v>
      </c>
      <c r="I37" s="1504">
        <v>1</v>
      </c>
      <c r="J37" s="1504">
        <v>1</v>
      </c>
      <c r="K37" s="1504">
        <v>1</v>
      </c>
    </row>
    <row r="38" spans="1:11" ht="20.25" customHeight="1" thickBot="1" x14ac:dyDescent="0.3">
      <c r="A38" s="1853" t="s">
        <v>859</v>
      </c>
      <c r="B38" s="1854"/>
      <c r="C38" s="1854"/>
      <c r="D38" s="1855"/>
      <c r="E38" s="1842">
        <v>0.9</v>
      </c>
      <c r="F38" s="1843"/>
      <c r="G38" s="1504">
        <v>1</v>
      </c>
      <c r="H38" s="1504">
        <v>1</v>
      </c>
      <c r="I38" s="1504">
        <v>1</v>
      </c>
      <c r="J38" s="1504">
        <v>1</v>
      </c>
      <c r="K38" s="1504">
        <v>1</v>
      </c>
    </row>
    <row r="39" spans="1:11" ht="20.25" customHeight="1" thickBot="1" x14ac:dyDescent="0.3">
      <c r="A39" s="1853" t="s">
        <v>860</v>
      </c>
      <c r="B39" s="1854"/>
      <c r="C39" s="1854"/>
      <c r="D39" s="1855"/>
      <c r="E39" s="1842">
        <v>1</v>
      </c>
      <c r="F39" s="1843"/>
      <c r="G39" s="1504">
        <v>1</v>
      </c>
      <c r="H39" s="1504">
        <v>1</v>
      </c>
      <c r="I39" s="1504">
        <v>1</v>
      </c>
      <c r="J39" s="1504">
        <v>1</v>
      </c>
      <c r="K39" s="1504">
        <v>1</v>
      </c>
    </row>
    <row r="40" spans="1:11" ht="20.25" customHeight="1" thickBot="1" x14ac:dyDescent="0.3">
      <c r="A40" s="1856" t="s">
        <v>861</v>
      </c>
      <c r="B40" s="1857"/>
      <c r="C40" s="1857"/>
      <c r="D40" s="1858"/>
      <c r="E40" s="1848">
        <v>0.85</v>
      </c>
      <c r="F40" s="1849"/>
      <c r="G40" s="1504">
        <v>0.89700000000000002</v>
      </c>
      <c r="H40" s="1504">
        <v>1</v>
      </c>
      <c r="I40" s="1504">
        <v>1</v>
      </c>
      <c r="J40" s="1504">
        <v>1</v>
      </c>
      <c r="K40" s="1504">
        <v>1</v>
      </c>
    </row>
  </sheetData>
  <mergeCells count="48">
    <mergeCell ref="E38:F38"/>
    <mergeCell ref="E39:F39"/>
    <mergeCell ref="E40:F40"/>
    <mergeCell ref="A30:D30"/>
    <mergeCell ref="A31:D31"/>
    <mergeCell ref="A32:D32"/>
    <mergeCell ref="A33:D33"/>
    <mergeCell ref="A34:D34"/>
    <mergeCell ref="A35:D35"/>
    <mergeCell ref="A36:D36"/>
    <mergeCell ref="A37:D37"/>
    <mergeCell ref="A38:D38"/>
    <mergeCell ref="A39:D39"/>
    <mergeCell ref="A40:D40"/>
    <mergeCell ref="E33:F33"/>
    <mergeCell ref="E34:F34"/>
    <mergeCell ref="E35:F35"/>
    <mergeCell ref="E36:F36"/>
    <mergeCell ref="E37:F37"/>
    <mergeCell ref="E29:F29"/>
    <mergeCell ref="E30:F30"/>
    <mergeCell ref="E31:F31"/>
    <mergeCell ref="E32:F32"/>
    <mergeCell ref="A29:D29"/>
    <mergeCell ref="O7:P7"/>
    <mergeCell ref="L15:P15"/>
    <mergeCell ref="L21:O21"/>
    <mergeCell ref="L22:O22"/>
    <mergeCell ref="A20:P20"/>
    <mergeCell ref="A9:P9"/>
    <mergeCell ref="A10:P10"/>
    <mergeCell ref="A11:P11"/>
    <mergeCell ref="A13:P13"/>
    <mergeCell ref="B21:E21"/>
    <mergeCell ref="G21:J21"/>
    <mergeCell ref="A24:K24"/>
    <mergeCell ref="A25:K25"/>
    <mergeCell ref="A27:K27"/>
    <mergeCell ref="B22:E22"/>
    <mergeCell ref="G22:J22"/>
    <mergeCell ref="A15:A16"/>
    <mergeCell ref="B15:F15"/>
    <mergeCell ref="G15:K15"/>
    <mergeCell ref="O1:P1"/>
    <mergeCell ref="O2:P2"/>
    <mergeCell ref="O3:P3"/>
    <mergeCell ref="O4:P4"/>
    <mergeCell ref="O5:P5"/>
  </mergeCells>
  <dataValidations count="1">
    <dataValidation allowBlank="1" showInputMessage="1" showErrorMessage="1" promptTitle="Date Format" prompt="E.g:  &quot;August 1, 2011&quot;" sqref="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xr:uid="{00000000-0002-0000-1700-000000000000}"/>
  </dataValidations>
  <pageMargins left="0.7" right="0.7" top="0.75" bottom="0.75" header="0.3" footer="0.3"/>
  <pageSetup scale="63" orientation="portrait"/>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
    <tabColor theme="9" tint="0.39997558519241921"/>
    <pageSetUpPr fitToPage="1"/>
  </sheetPr>
  <dimension ref="A1:N143"/>
  <sheetViews>
    <sheetView showGridLines="0" topLeftCell="A118" zoomScaleNormal="100" workbookViewId="0"/>
  </sheetViews>
  <sheetFormatPr defaultColWidth="9.28515625" defaultRowHeight="12.75" x14ac:dyDescent="0.2"/>
  <cols>
    <col min="1" max="1" width="11.28515625" style="1" customWidth="1"/>
    <col min="2" max="2" width="24.28515625" style="1" customWidth="1"/>
    <col min="3" max="6" width="13.7109375" style="1" hidden="1" customWidth="1"/>
    <col min="7" max="12" width="13.7109375" style="1" customWidth="1"/>
    <col min="13" max="13" width="9.28515625" style="1"/>
    <col min="14" max="14" width="21.140625" style="1" bestFit="1" customWidth="1"/>
    <col min="15" max="16384" width="9.28515625" style="1"/>
  </cols>
  <sheetData>
    <row r="1" spans="1:14" x14ac:dyDescent="0.2">
      <c r="J1" s="967"/>
      <c r="K1" s="1090" t="s">
        <v>277</v>
      </c>
      <c r="L1" s="1026" t="str">
        <f>EBNUMBER</f>
        <v>EB-2018-0056</v>
      </c>
    </row>
    <row r="2" spans="1:14" x14ac:dyDescent="0.2">
      <c r="J2" s="967"/>
      <c r="K2" s="1090" t="s">
        <v>278</v>
      </c>
      <c r="L2" s="41"/>
    </row>
    <row r="3" spans="1:14" x14ac:dyDescent="0.2">
      <c r="J3" s="967"/>
      <c r="K3" s="1090" t="s">
        <v>279</v>
      </c>
      <c r="L3" s="41"/>
    </row>
    <row r="4" spans="1:14" ht="15" x14ac:dyDescent="0.25">
      <c r="A4" s="1136" t="s">
        <v>1310</v>
      </c>
      <c r="J4" s="967"/>
      <c r="K4" s="1090" t="s">
        <v>280</v>
      </c>
      <c r="L4" s="41"/>
    </row>
    <row r="5" spans="1:14" x14ac:dyDescent="0.2">
      <c r="J5" s="967"/>
      <c r="K5" s="1090" t="s">
        <v>281</v>
      </c>
      <c r="L5" s="42"/>
    </row>
    <row r="6" spans="1:14" x14ac:dyDescent="0.2">
      <c r="J6" s="967"/>
      <c r="K6" s="1090"/>
      <c r="L6" s="968"/>
    </row>
    <row r="7" spans="1:14" x14ac:dyDescent="0.2">
      <c r="J7" s="967"/>
      <c r="K7" s="1090" t="s">
        <v>282</v>
      </c>
      <c r="L7" s="42"/>
    </row>
    <row r="8" spans="1:14" x14ac:dyDescent="0.2">
      <c r="K8" s="1160"/>
    </row>
    <row r="9" spans="1:14" ht="18" x14ac:dyDescent="0.25">
      <c r="A9" s="1611" t="s">
        <v>384</v>
      </c>
      <c r="B9" s="1611"/>
      <c r="C9" s="1611"/>
      <c r="D9" s="1611"/>
      <c r="E9" s="1611"/>
      <c r="F9" s="1611"/>
      <c r="G9" s="1611"/>
      <c r="H9" s="1611"/>
      <c r="I9" s="1611"/>
      <c r="J9" s="1611"/>
      <c r="K9" s="1611"/>
      <c r="L9" s="1611"/>
    </row>
    <row r="10" spans="1:14" ht="18" x14ac:dyDescent="0.25">
      <c r="A10" s="1611" t="s">
        <v>23</v>
      </c>
      <c r="B10" s="1611"/>
      <c r="C10" s="1611"/>
      <c r="D10" s="1611"/>
      <c r="E10" s="1611"/>
      <c r="F10" s="1611"/>
      <c r="G10" s="1611"/>
      <c r="H10" s="1611"/>
      <c r="I10" s="1611"/>
      <c r="J10" s="1611"/>
      <c r="K10" s="1611"/>
      <c r="L10" s="1611"/>
    </row>
    <row r="11" spans="1:14" ht="13.5" thickBot="1" x14ac:dyDescent="0.25"/>
    <row r="12" spans="1:14" x14ac:dyDescent="0.2">
      <c r="A12" s="1161" t="s">
        <v>22</v>
      </c>
      <c r="B12" s="1162" t="s">
        <v>81</v>
      </c>
      <c r="C12" s="1163" t="str">
        <f t="shared" ref="C12:F12" si="0">D13 - 1 &amp;" Actual"&amp;CHAR(178)</f>
        <v>2010 Actual²</v>
      </c>
      <c r="D12" s="1163" t="str">
        <f t="shared" si="0"/>
        <v>2011 Actual²</v>
      </c>
      <c r="E12" s="1163" t="str">
        <f t="shared" si="0"/>
        <v>2012 Actual²</v>
      </c>
      <c r="F12" s="1163" t="str">
        <f t="shared" si="0"/>
        <v>2013 Actual²</v>
      </c>
      <c r="G12" s="1163" t="str">
        <f>H13 - 1 &amp;" Actual"&amp;CHAR(178)</f>
        <v>2014 Actual²</v>
      </c>
      <c r="H12" s="1163" t="str">
        <f>I13 - 1 &amp;" Actual"&amp;CHAR(178)</f>
        <v>2015 Actual²</v>
      </c>
      <c r="I12" s="1163" t="str">
        <f>I13 &amp; " Actual" &amp; CHAR(178)</f>
        <v>2016 Actual²</v>
      </c>
      <c r="J12" s="1163" t="s">
        <v>1220</v>
      </c>
      <c r="K12" s="1164" t="s">
        <v>289</v>
      </c>
      <c r="L12" s="1165" t="s">
        <v>290</v>
      </c>
      <c r="N12" s="1165" t="s">
        <v>94</v>
      </c>
    </row>
    <row r="13" spans="1:14" x14ac:dyDescent="0.2">
      <c r="A13" s="1166"/>
      <c r="B13" s="1167"/>
      <c r="C13" s="1168">
        <f t="shared" ref="C13" si="1">D13-1</f>
        <v>2010</v>
      </c>
      <c r="D13" s="1168">
        <f t="shared" ref="D13" si="2">E13-1</f>
        <v>2011</v>
      </c>
      <c r="E13" s="1168">
        <f t="shared" ref="E13" si="3">F13-1</f>
        <v>2012</v>
      </c>
      <c r="F13" s="1168">
        <f t="shared" ref="F13" si="4">G13-1</f>
        <v>2013</v>
      </c>
      <c r="G13" s="1168">
        <f t="shared" ref="G13" si="5">H13-1</f>
        <v>2014</v>
      </c>
      <c r="H13" s="1168">
        <f t="shared" ref="H13" si="6">I13-1</f>
        <v>2015</v>
      </c>
      <c r="I13" s="1168">
        <f t="shared" ref="I13:J13" si="7">J13-1</f>
        <v>2016</v>
      </c>
      <c r="J13" s="1169">
        <f t="shared" si="7"/>
        <v>2017</v>
      </c>
      <c r="K13" s="1169">
        <f>BridgeYear</f>
        <v>2018</v>
      </c>
      <c r="L13" s="1170">
        <f>TestYear</f>
        <v>2019</v>
      </c>
      <c r="N13" s="921" t="s">
        <v>1269</v>
      </c>
    </row>
    <row r="14" spans="1:14" x14ac:dyDescent="0.2">
      <c r="A14" s="1166"/>
      <c r="B14" s="1171" t="s">
        <v>93</v>
      </c>
      <c r="C14" s="47"/>
      <c r="D14" s="47"/>
      <c r="E14" s="47"/>
      <c r="F14" s="47"/>
      <c r="G14" s="47"/>
      <c r="H14" s="47"/>
      <c r="I14" s="47"/>
      <c r="J14" s="47"/>
      <c r="K14" s="218"/>
      <c r="L14" s="219"/>
      <c r="N14" s="1172" t="s">
        <v>94</v>
      </c>
    </row>
    <row r="15" spans="1:14" x14ac:dyDescent="0.2">
      <c r="A15" s="1173">
        <v>4235</v>
      </c>
      <c r="B15" s="1174" t="s">
        <v>24</v>
      </c>
      <c r="C15" s="95"/>
      <c r="D15" s="95"/>
      <c r="E15" s="95"/>
      <c r="F15" s="95"/>
      <c r="G15" s="95">
        <v>-62396.99</v>
      </c>
      <c r="H15" s="95">
        <v>-72345.62000000001</v>
      </c>
      <c r="I15" s="95">
        <v>-80629.649999999994</v>
      </c>
      <c r="J15" s="95">
        <v>-82555.78</v>
      </c>
      <c r="K15" s="220">
        <v>-78463.75499999999</v>
      </c>
      <c r="L15" s="220">
        <v>-63854.490769230761</v>
      </c>
      <c r="N15" s="221"/>
    </row>
    <row r="16" spans="1:14" x14ac:dyDescent="0.2">
      <c r="A16" s="1173">
        <v>4225</v>
      </c>
      <c r="B16" s="1174" t="s">
        <v>25</v>
      </c>
      <c r="C16" s="95"/>
      <c r="D16" s="95"/>
      <c r="E16" s="95"/>
      <c r="F16" s="95"/>
      <c r="G16" s="95">
        <v>-46082.97</v>
      </c>
      <c r="H16" s="95">
        <v>-60801.81</v>
      </c>
      <c r="I16" s="95">
        <v>-64838.15</v>
      </c>
      <c r="J16" s="95">
        <v>-45412.42</v>
      </c>
      <c r="K16" s="220">
        <v>-54283.837500000001</v>
      </c>
      <c r="L16" s="220">
        <v>-54283.837500000001</v>
      </c>
      <c r="N16" s="221"/>
    </row>
    <row r="17" spans="1:14" x14ac:dyDescent="0.2">
      <c r="A17" s="1173">
        <v>4082</v>
      </c>
      <c r="B17" s="1174" t="s">
        <v>26</v>
      </c>
      <c r="C17" s="95"/>
      <c r="D17" s="95"/>
      <c r="E17" s="95"/>
      <c r="F17" s="95"/>
      <c r="G17" s="95">
        <v>-6932.5</v>
      </c>
      <c r="H17" s="95">
        <v>-7287.7</v>
      </c>
      <c r="I17" s="95">
        <v>-6962</v>
      </c>
      <c r="J17" s="95">
        <v>-7099.6</v>
      </c>
      <c r="K17" s="220">
        <v>-7099.6</v>
      </c>
      <c r="L17" s="220">
        <v>-14199.2</v>
      </c>
      <c r="N17" s="221"/>
    </row>
    <row r="18" spans="1:14" x14ac:dyDescent="0.2">
      <c r="A18" s="222">
        <v>4084</v>
      </c>
      <c r="B18" s="1506" t="s">
        <v>1453</v>
      </c>
      <c r="C18" s="95"/>
      <c r="D18" s="95"/>
      <c r="E18" s="95"/>
      <c r="F18" s="95"/>
      <c r="G18" s="95">
        <v>-174.5</v>
      </c>
      <c r="H18" s="95">
        <v>-81.25</v>
      </c>
      <c r="I18" s="95">
        <v>-48.75</v>
      </c>
      <c r="J18" s="95">
        <v>-39.25</v>
      </c>
      <c r="K18" s="220">
        <v>-39.25</v>
      </c>
      <c r="L18" s="220">
        <v>-78.5</v>
      </c>
      <c r="N18" s="221"/>
    </row>
    <row r="19" spans="1:14" x14ac:dyDescent="0.2">
      <c r="A19" s="222">
        <v>4205</v>
      </c>
      <c r="B19" s="1506" t="s">
        <v>1461</v>
      </c>
      <c r="C19" s="95"/>
      <c r="D19" s="95"/>
      <c r="E19" s="95"/>
      <c r="F19" s="95"/>
      <c r="G19" s="95">
        <v>0</v>
      </c>
      <c r="H19" s="95">
        <v>0</v>
      </c>
      <c r="I19" s="95">
        <v>0</v>
      </c>
      <c r="J19" s="95">
        <v>0</v>
      </c>
      <c r="K19" s="220">
        <v>0</v>
      </c>
      <c r="L19" s="220">
        <v>0</v>
      </c>
      <c r="N19" s="221"/>
    </row>
    <row r="20" spans="1:14" x14ac:dyDescent="0.2">
      <c r="A20" s="222">
        <v>4210</v>
      </c>
      <c r="B20" s="1506" t="s">
        <v>1462</v>
      </c>
      <c r="C20" s="95"/>
      <c r="D20" s="95"/>
      <c r="E20" s="95"/>
      <c r="F20" s="95"/>
      <c r="G20" s="95">
        <v>-77700.03</v>
      </c>
      <c r="H20" s="95">
        <v>-76717.819999999992</v>
      </c>
      <c r="I20" s="95">
        <v>-78236.710000000006</v>
      </c>
      <c r="J20" s="95">
        <v>-77598.539999999994</v>
      </c>
      <c r="K20" s="220">
        <v>-80398.539999999994</v>
      </c>
      <c r="L20" s="220">
        <v>-154613.05906935123</v>
      </c>
      <c r="N20" s="221"/>
    </row>
    <row r="21" spans="1:14" x14ac:dyDescent="0.2">
      <c r="A21" s="222">
        <v>4215</v>
      </c>
      <c r="B21" s="1506" t="s">
        <v>1463</v>
      </c>
      <c r="C21" s="95"/>
      <c r="D21" s="95"/>
      <c r="E21" s="95"/>
      <c r="F21" s="95"/>
      <c r="G21" s="95">
        <v>0</v>
      </c>
      <c r="H21" s="95">
        <v>0</v>
      </c>
      <c r="I21" s="95">
        <v>0</v>
      </c>
      <c r="J21" s="95">
        <v>0</v>
      </c>
      <c r="K21" s="220">
        <v>0</v>
      </c>
      <c r="L21" s="220">
        <v>0</v>
      </c>
      <c r="N21" s="221"/>
    </row>
    <row r="22" spans="1:14" x14ac:dyDescent="0.2">
      <c r="A22" s="222">
        <v>4220</v>
      </c>
      <c r="B22" s="1506" t="s">
        <v>1464</v>
      </c>
      <c r="C22" s="95"/>
      <c r="D22" s="95"/>
      <c r="E22" s="95"/>
      <c r="F22" s="95"/>
      <c r="G22" s="95">
        <v>0</v>
      </c>
      <c r="H22" s="95">
        <v>0</v>
      </c>
      <c r="I22" s="95">
        <v>0</v>
      </c>
      <c r="J22" s="95">
        <v>0</v>
      </c>
      <c r="K22" s="220">
        <v>0</v>
      </c>
      <c r="L22" s="220">
        <v>0</v>
      </c>
      <c r="N22" s="221"/>
    </row>
    <row r="23" spans="1:14" x14ac:dyDescent="0.2">
      <c r="A23" s="222">
        <v>4240</v>
      </c>
      <c r="B23" s="1506" t="s">
        <v>1465</v>
      </c>
      <c r="C23" s="95"/>
      <c r="D23" s="95"/>
      <c r="E23" s="95"/>
      <c r="F23" s="95"/>
      <c r="G23" s="95">
        <v>0</v>
      </c>
      <c r="H23" s="95">
        <v>0</v>
      </c>
      <c r="I23" s="95">
        <v>0</v>
      </c>
      <c r="J23" s="95">
        <v>0</v>
      </c>
      <c r="K23" s="220">
        <v>0</v>
      </c>
      <c r="L23" s="220">
        <v>0</v>
      </c>
      <c r="N23" s="221"/>
    </row>
    <row r="24" spans="1:14" x14ac:dyDescent="0.2">
      <c r="A24" s="222">
        <v>4245</v>
      </c>
      <c r="B24" s="1506" t="s">
        <v>1466</v>
      </c>
      <c r="C24" s="95"/>
      <c r="D24" s="95"/>
      <c r="E24" s="95"/>
      <c r="F24" s="95"/>
      <c r="G24" s="95">
        <v>0</v>
      </c>
      <c r="H24" s="95">
        <v>0</v>
      </c>
      <c r="I24" s="95">
        <v>-44490.55</v>
      </c>
      <c r="J24" s="95">
        <v>-65651.69</v>
      </c>
      <c r="K24" s="220">
        <v>-85316.003879230775</v>
      </c>
      <c r="L24" s="220">
        <v>-115513.27897384616</v>
      </c>
      <c r="N24" s="221"/>
    </row>
    <row r="25" spans="1:14" x14ac:dyDescent="0.2">
      <c r="A25" s="222">
        <v>4305</v>
      </c>
      <c r="B25" s="1506" t="s">
        <v>1467</v>
      </c>
      <c r="C25" s="95"/>
      <c r="D25" s="95"/>
      <c r="E25" s="95"/>
      <c r="F25" s="95"/>
      <c r="G25" s="95">
        <v>320049.17</v>
      </c>
      <c r="H25" s="95">
        <v>164886.22</v>
      </c>
      <c r="I25" s="95">
        <v>200949.82</v>
      </c>
      <c r="J25" s="95">
        <v>239781.83</v>
      </c>
      <c r="K25" s="220">
        <v>277227.01688587503</v>
      </c>
      <c r="L25" s="220">
        <v>0</v>
      </c>
      <c r="N25" s="221"/>
    </row>
    <row r="26" spans="1:14" x14ac:dyDescent="0.2">
      <c r="A26" s="222">
        <v>4310</v>
      </c>
      <c r="B26" s="1506" t="s">
        <v>1468</v>
      </c>
      <c r="C26" s="95"/>
      <c r="D26" s="95"/>
      <c r="E26" s="95"/>
      <c r="F26" s="95"/>
      <c r="G26" s="95">
        <v>0</v>
      </c>
      <c r="H26" s="95">
        <v>0</v>
      </c>
      <c r="I26" s="95">
        <v>0</v>
      </c>
      <c r="J26" s="95">
        <v>0</v>
      </c>
      <c r="K26" s="220">
        <v>0</v>
      </c>
      <c r="L26" s="220">
        <v>0</v>
      </c>
      <c r="N26" s="221"/>
    </row>
    <row r="27" spans="1:14" x14ac:dyDescent="0.2">
      <c r="A27" s="222">
        <v>4315</v>
      </c>
      <c r="B27" s="1506" t="s">
        <v>1469</v>
      </c>
      <c r="C27" s="95"/>
      <c r="D27" s="95"/>
      <c r="E27" s="95"/>
      <c r="F27" s="95"/>
      <c r="G27" s="95">
        <v>0</v>
      </c>
      <c r="H27" s="95">
        <v>0</v>
      </c>
      <c r="I27" s="95">
        <v>0</v>
      </c>
      <c r="J27" s="95">
        <v>0</v>
      </c>
      <c r="K27" s="220">
        <v>0</v>
      </c>
      <c r="L27" s="220">
        <v>0</v>
      </c>
      <c r="N27" s="221"/>
    </row>
    <row r="28" spans="1:14" x14ac:dyDescent="0.2">
      <c r="A28" s="222">
        <v>4320</v>
      </c>
      <c r="B28" s="1506" t="s">
        <v>1470</v>
      </c>
      <c r="C28" s="95"/>
      <c r="D28" s="95"/>
      <c r="E28" s="95"/>
      <c r="F28" s="95"/>
      <c r="G28" s="95">
        <v>0</v>
      </c>
      <c r="H28" s="95">
        <v>0</v>
      </c>
      <c r="I28" s="95">
        <v>0</v>
      </c>
      <c r="J28" s="95">
        <v>0</v>
      </c>
      <c r="K28" s="220">
        <v>0</v>
      </c>
      <c r="L28" s="220">
        <v>0</v>
      </c>
      <c r="N28" s="221"/>
    </row>
    <row r="29" spans="1:14" x14ac:dyDescent="0.2">
      <c r="A29" s="222">
        <v>4325</v>
      </c>
      <c r="B29" s="1506" t="s">
        <v>1471</v>
      </c>
      <c r="C29" s="95"/>
      <c r="D29" s="95"/>
      <c r="E29" s="95"/>
      <c r="F29" s="95"/>
      <c r="G29" s="95">
        <v>-28107.64</v>
      </c>
      <c r="H29" s="95">
        <v>-30384.92</v>
      </c>
      <c r="I29" s="95">
        <v>-139972.87</v>
      </c>
      <c r="J29" s="95">
        <v>-37213.35</v>
      </c>
      <c r="K29" s="220">
        <v>-37213.35</v>
      </c>
      <c r="L29" s="220">
        <v>-37213.35</v>
      </c>
      <c r="N29" s="221"/>
    </row>
    <row r="30" spans="1:14" x14ac:dyDescent="0.2">
      <c r="A30" s="222">
        <v>4330</v>
      </c>
      <c r="B30" s="1506" t="s">
        <v>1472</v>
      </c>
      <c r="C30" s="95"/>
      <c r="D30" s="95"/>
      <c r="E30" s="95"/>
      <c r="F30" s="95"/>
      <c r="G30" s="95">
        <v>0</v>
      </c>
      <c r="H30" s="95">
        <v>0</v>
      </c>
      <c r="I30" s="95">
        <v>0</v>
      </c>
      <c r="J30" s="95">
        <v>0</v>
      </c>
      <c r="K30" s="220">
        <v>0</v>
      </c>
      <c r="L30" s="220">
        <v>0</v>
      </c>
      <c r="N30" s="221"/>
    </row>
    <row r="31" spans="1:14" x14ac:dyDescent="0.2">
      <c r="A31" s="222" t="s">
        <v>1437</v>
      </c>
      <c r="B31" s="1506" t="s">
        <v>1473</v>
      </c>
      <c r="C31" s="95"/>
      <c r="D31" s="95"/>
      <c r="E31" s="95"/>
      <c r="F31" s="95"/>
      <c r="G31" s="95">
        <v>0</v>
      </c>
      <c r="H31" s="95">
        <v>0</v>
      </c>
      <c r="I31" s="95">
        <v>0</v>
      </c>
      <c r="J31" s="95">
        <v>0</v>
      </c>
      <c r="K31" s="220">
        <v>0</v>
      </c>
      <c r="L31" s="220">
        <v>0</v>
      </c>
      <c r="N31" s="221"/>
    </row>
    <row r="32" spans="1:14" x14ac:dyDescent="0.2">
      <c r="A32" s="222" t="s">
        <v>1438</v>
      </c>
      <c r="B32" s="1506" t="s">
        <v>1474</v>
      </c>
      <c r="C32" s="95"/>
      <c r="D32" s="95"/>
      <c r="E32" s="95"/>
      <c r="F32" s="95"/>
      <c r="G32" s="95">
        <v>-45452</v>
      </c>
      <c r="H32" s="95">
        <v>-36133</v>
      </c>
      <c r="I32" s="95">
        <v>-62352</v>
      </c>
      <c r="J32" s="95">
        <v>-46137</v>
      </c>
      <c r="K32" s="220">
        <v>0</v>
      </c>
      <c r="L32" s="220">
        <v>0</v>
      </c>
      <c r="N32" s="221"/>
    </row>
    <row r="33" spans="1:14" x14ac:dyDescent="0.2">
      <c r="A33" s="222" t="s">
        <v>1439</v>
      </c>
      <c r="B33" s="1506" t="s">
        <v>1475</v>
      </c>
      <c r="C33" s="95"/>
      <c r="D33" s="95"/>
      <c r="E33" s="95"/>
      <c r="F33" s="95"/>
      <c r="G33" s="95">
        <v>0</v>
      </c>
      <c r="H33" s="95">
        <v>0</v>
      </c>
      <c r="I33" s="95">
        <v>0</v>
      </c>
      <c r="J33" s="95">
        <v>0</v>
      </c>
      <c r="K33" s="220">
        <v>0</v>
      </c>
      <c r="L33" s="220">
        <v>0</v>
      </c>
      <c r="N33" s="221"/>
    </row>
    <row r="34" spans="1:14" x14ac:dyDescent="0.2">
      <c r="A34" s="222" t="s">
        <v>1440</v>
      </c>
      <c r="B34" s="1506" t="s">
        <v>1476</v>
      </c>
      <c r="C34" s="95"/>
      <c r="D34" s="95"/>
      <c r="E34" s="95"/>
      <c r="F34" s="95"/>
      <c r="G34" s="95">
        <v>0</v>
      </c>
      <c r="H34" s="95">
        <v>0</v>
      </c>
      <c r="I34" s="95">
        <v>0</v>
      </c>
      <c r="J34" s="95">
        <v>0</v>
      </c>
      <c r="K34" s="220">
        <v>0</v>
      </c>
      <c r="L34" s="220">
        <v>0</v>
      </c>
      <c r="N34" s="221"/>
    </row>
    <row r="35" spans="1:14" x14ac:dyDescent="0.2">
      <c r="A35" s="222" t="s">
        <v>1441</v>
      </c>
      <c r="B35" s="1506" t="s">
        <v>1477</v>
      </c>
      <c r="C35" s="95"/>
      <c r="D35" s="95"/>
      <c r="E35" s="95"/>
      <c r="F35" s="95"/>
      <c r="G35" s="95">
        <v>3380.74</v>
      </c>
      <c r="H35" s="95">
        <v>0</v>
      </c>
      <c r="I35" s="95">
        <v>0</v>
      </c>
      <c r="J35" s="95">
        <v>-9413.44</v>
      </c>
      <c r="K35" s="220">
        <v>0</v>
      </c>
      <c r="L35" s="220">
        <v>0</v>
      </c>
      <c r="N35" s="221"/>
    </row>
    <row r="36" spans="1:14" x14ac:dyDescent="0.2">
      <c r="A36" s="222" t="s">
        <v>1442</v>
      </c>
      <c r="B36" s="1506" t="s">
        <v>1478</v>
      </c>
      <c r="C36" s="95"/>
      <c r="D36" s="95"/>
      <c r="E36" s="95"/>
      <c r="F36" s="95"/>
      <c r="G36" s="95">
        <v>0</v>
      </c>
      <c r="H36" s="95">
        <v>0</v>
      </c>
      <c r="I36" s="95">
        <v>0</v>
      </c>
      <c r="J36" s="95">
        <v>19023.310000000001</v>
      </c>
      <c r="K36" s="220">
        <v>0</v>
      </c>
      <c r="L36" s="220">
        <v>0</v>
      </c>
      <c r="N36" s="221"/>
    </row>
    <row r="37" spans="1:14" x14ac:dyDescent="0.2">
      <c r="A37" s="222" t="s">
        <v>1443</v>
      </c>
      <c r="B37" s="1506" t="s">
        <v>1479</v>
      </c>
      <c r="C37" s="95"/>
      <c r="D37" s="95"/>
      <c r="E37" s="95"/>
      <c r="F37" s="95"/>
      <c r="G37" s="95">
        <v>0</v>
      </c>
      <c r="H37" s="95">
        <v>0</v>
      </c>
      <c r="I37" s="95">
        <v>0</v>
      </c>
      <c r="J37" s="95">
        <v>0</v>
      </c>
      <c r="K37" s="220">
        <v>0</v>
      </c>
      <c r="L37" s="220">
        <v>0</v>
      </c>
      <c r="N37" s="221"/>
    </row>
    <row r="38" spans="1:14" x14ac:dyDescent="0.2">
      <c r="A38" s="222" t="s">
        <v>1444</v>
      </c>
      <c r="B38" s="1506" t="s">
        <v>1480</v>
      </c>
      <c r="C38" s="95"/>
      <c r="D38" s="95"/>
      <c r="E38" s="95"/>
      <c r="F38" s="95"/>
      <c r="G38" s="95">
        <v>0</v>
      </c>
      <c r="H38" s="95">
        <v>0</v>
      </c>
      <c r="I38" s="95">
        <v>0</v>
      </c>
      <c r="J38" s="95">
        <v>0</v>
      </c>
      <c r="K38" s="220">
        <v>0</v>
      </c>
      <c r="L38" s="220">
        <v>0</v>
      </c>
      <c r="N38" s="221"/>
    </row>
    <row r="39" spans="1:14" x14ac:dyDescent="0.2">
      <c r="A39" s="222" t="s">
        <v>1445</v>
      </c>
      <c r="B39" s="1506" t="s">
        <v>1481</v>
      </c>
      <c r="C39" s="95"/>
      <c r="D39" s="95"/>
      <c r="E39" s="95"/>
      <c r="F39" s="95"/>
      <c r="G39" s="95">
        <v>-644642.68000000005</v>
      </c>
      <c r="H39" s="95">
        <v>-959918.60000000009</v>
      </c>
      <c r="I39" s="95">
        <v>-371343.55</v>
      </c>
      <c r="J39" s="95">
        <v>-597786.59000000008</v>
      </c>
      <c r="K39" s="220">
        <v>-500000</v>
      </c>
      <c r="L39" s="220">
        <v>-300000</v>
      </c>
      <c r="N39" s="221"/>
    </row>
    <row r="40" spans="1:14" x14ac:dyDescent="0.2">
      <c r="A40" s="222" t="s">
        <v>1445</v>
      </c>
      <c r="B40" s="1506" t="s">
        <v>1482</v>
      </c>
      <c r="C40" s="95"/>
      <c r="D40" s="95"/>
      <c r="E40" s="95"/>
      <c r="F40" s="95"/>
      <c r="G40" s="95">
        <v>0</v>
      </c>
      <c r="H40" s="95">
        <v>0</v>
      </c>
      <c r="I40" s="95">
        <v>0</v>
      </c>
      <c r="J40" s="95">
        <v>0</v>
      </c>
      <c r="K40" s="220">
        <v>0</v>
      </c>
      <c r="L40" s="220">
        <v>0</v>
      </c>
      <c r="N40" s="221"/>
    </row>
    <row r="41" spans="1:14" x14ac:dyDescent="0.2">
      <c r="A41" s="222" t="s">
        <v>1446</v>
      </c>
      <c r="B41" s="1506" t="s">
        <v>1483</v>
      </c>
      <c r="C41" s="95"/>
      <c r="D41" s="95"/>
      <c r="E41" s="95"/>
      <c r="F41" s="95"/>
      <c r="G41" s="95">
        <v>674289.75</v>
      </c>
      <c r="H41" s="95">
        <v>875823.96999999986</v>
      </c>
      <c r="I41" s="95">
        <v>381147.39</v>
      </c>
      <c r="J41" s="95">
        <v>512228.80000000005</v>
      </c>
      <c r="K41" s="220">
        <v>500000</v>
      </c>
      <c r="L41" s="220">
        <v>300000</v>
      </c>
      <c r="N41" s="221"/>
    </row>
    <row r="42" spans="1:14" x14ac:dyDescent="0.2">
      <c r="A42" s="222" t="s">
        <v>1446</v>
      </c>
      <c r="B42" s="1506" t="s">
        <v>1458</v>
      </c>
      <c r="C42" s="95"/>
      <c r="D42" s="95"/>
      <c r="E42" s="95"/>
      <c r="F42" s="95"/>
      <c r="G42" s="95">
        <v>0</v>
      </c>
      <c r="H42" s="95">
        <v>0</v>
      </c>
      <c r="I42" s="95">
        <v>0</v>
      </c>
      <c r="J42" s="95">
        <v>0</v>
      </c>
      <c r="K42" s="220">
        <v>0</v>
      </c>
      <c r="L42" s="220">
        <v>0</v>
      </c>
      <c r="N42" s="221"/>
    </row>
    <row r="43" spans="1:14" x14ac:dyDescent="0.2">
      <c r="A43" s="222" t="s">
        <v>1447</v>
      </c>
      <c r="B43" s="1506" t="s">
        <v>1484</v>
      </c>
      <c r="C43" s="95"/>
      <c r="D43" s="95"/>
      <c r="E43" s="95"/>
      <c r="F43" s="95"/>
      <c r="G43" s="95">
        <v>0</v>
      </c>
      <c r="H43" s="95">
        <v>0</v>
      </c>
      <c r="I43" s="95">
        <v>0</v>
      </c>
      <c r="J43" s="95">
        <v>0</v>
      </c>
      <c r="K43" s="220">
        <v>0</v>
      </c>
      <c r="L43" s="220">
        <v>0</v>
      </c>
      <c r="N43" s="221"/>
    </row>
    <row r="44" spans="1:14" x14ac:dyDescent="0.2">
      <c r="A44" s="222" t="s">
        <v>1448</v>
      </c>
      <c r="B44" s="1506" t="s">
        <v>1457</v>
      </c>
      <c r="C44" s="95"/>
      <c r="D44" s="95"/>
      <c r="E44" s="95"/>
      <c r="F44" s="95"/>
      <c r="G44" s="95">
        <v>-10326.66</v>
      </c>
      <c r="H44" s="95">
        <v>-6783.72</v>
      </c>
      <c r="I44" s="95">
        <v>-13217.08</v>
      </c>
      <c r="J44" s="95">
        <v>-7397.46</v>
      </c>
      <c r="K44" s="220">
        <v>-9431.2300000000014</v>
      </c>
      <c r="L44" s="220">
        <v>-9431.2300000000014</v>
      </c>
      <c r="N44" s="221"/>
    </row>
    <row r="45" spans="1:14" x14ac:dyDescent="0.2">
      <c r="A45" s="222" t="s">
        <v>1449</v>
      </c>
      <c r="B45" s="1506" t="s">
        <v>1485</v>
      </c>
      <c r="C45" s="95"/>
      <c r="D45" s="95"/>
      <c r="E45" s="95"/>
      <c r="F45" s="95"/>
      <c r="G45" s="95">
        <v>0</v>
      </c>
      <c r="H45" s="95">
        <v>0</v>
      </c>
      <c r="I45" s="95">
        <v>0</v>
      </c>
      <c r="J45" s="95">
        <v>0</v>
      </c>
      <c r="K45" s="220">
        <v>0</v>
      </c>
      <c r="L45" s="220">
        <v>0</v>
      </c>
      <c r="N45" s="221"/>
    </row>
    <row r="46" spans="1:14" x14ac:dyDescent="0.2">
      <c r="A46" s="222" t="s">
        <v>1450</v>
      </c>
      <c r="B46" s="1507" t="s">
        <v>1456</v>
      </c>
      <c r="C46" s="223"/>
      <c r="D46" s="223"/>
      <c r="E46" s="223"/>
      <c r="F46" s="223"/>
      <c r="G46" s="95">
        <v>0</v>
      </c>
      <c r="H46" s="95">
        <v>0</v>
      </c>
      <c r="I46" s="95">
        <v>0</v>
      </c>
      <c r="J46" s="95">
        <v>0</v>
      </c>
      <c r="K46" s="220">
        <v>0</v>
      </c>
      <c r="L46" s="220">
        <v>0</v>
      </c>
      <c r="N46" s="221"/>
    </row>
    <row r="47" spans="1:14" x14ac:dyDescent="0.2">
      <c r="A47" s="222" t="s">
        <v>1451</v>
      </c>
      <c r="B47" s="1507" t="s">
        <v>1455</v>
      </c>
      <c r="C47" s="223"/>
      <c r="D47" s="223"/>
      <c r="E47" s="223"/>
      <c r="F47" s="223"/>
      <c r="G47" s="95">
        <v>-6208.41</v>
      </c>
      <c r="H47" s="95">
        <v>-13183.130000000001</v>
      </c>
      <c r="I47" s="95">
        <v>-12142.380000000001</v>
      </c>
      <c r="J47" s="95">
        <v>-4289.42</v>
      </c>
      <c r="K47" s="220">
        <v>-4289.42</v>
      </c>
      <c r="L47" s="220">
        <v>-4289.42</v>
      </c>
      <c r="N47" s="221"/>
    </row>
    <row r="48" spans="1:14" x14ac:dyDescent="0.2">
      <c r="A48" s="222" t="s">
        <v>1452</v>
      </c>
      <c r="B48" s="1507" t="s">
        <v>1454</v>
      </c>
      <c r="C48" s="223"/>
      <c r="D48" s="223"/>
      <c r="E48" s="223"/>
      <c r="F48" s="223"/>
      <c r="G48" s="95">
        <v>0</v>
      </c>
      <c r="H48" s="95">
        <v>0</v>
      </c>
      <c r="I48" s="95">
        <v>0</v>
      </c>
      <c r="J48" s="95">
        <v>0</v>
      </c>
      <c r="K48" s="220">
        <v>0</v>
      </c>
      <c r="L48" s="220">
        <v>0</v>
      </c>
      <c r="N48" s="221"/>
    </row>
    <row r="49" spans="1:14" x14ac:dyDescent="0.2">
      <c r="A49" s="222">
        <v>4086</v>
      </c>
      <c r="B49" s="1507" t="s">
        <v>1608</v>
      </c>
      <c r="C49" s="27"/>
      <c r="D49" s="27"/>
      <c r="E49" s="27"/>
      <c r="F49" s="27"/>
      <c r="G49" s="95">
        <v>-25255.499999999996</v>
      </c>
      <c r="H49" s="95">
        <v>-25987.78</v>
      </c>
      <c r="I49" s="95">
        <v>-26735.8</v>
      </c>
      <c r="J49" s="95">
        <v>-27714.32</v>
      </c>
      <c r="K49" s="220">
        <v>-28423.647656635421</v>
      </c>
      <c r="L49" s="220">
        <v>-28971.125</v>
      </c>
      <c r="N49" s="221"/>
    </row>
    <row r="50" spans="1:14" x14ac:dyDescent="0.2">
      <c r="A50" s="222"/>
      <c r="B50" s="1507"/>
      <c r="C50" s="27"/>
      <c r="D50" s="27"/>
      <c r="E50" s="27"/>
      <c r="F50" s="27"/>
      <c r="G50" s="95"/>
      <c r="H50" s="95"/>
      <c r="I50" s="95"/>
      <c r="J50" s="95"/>
      <c r="K50" s="220"/>
      <c r="L50" s="221"/>
      <c r="N50" s="221"/>
    </row>
    <row r="51" spans="1:14" x14ac:dyDescent="0.2">
      <c r="A51" s="222"/>
      <c r="B51" s="223"/>
      <c r="C51" s="223"/>
      <c r="D51" s="223"/>
      <c r="E51" s="223"/>
      <c r="F51" s="223"/>
      <c r="G51" s="95"/>
      <c r="H51" s="95"/>
      <c r="I51" s="95"/>
      <c r="J51" s="95"/>
      <c r="K51" s="220"/>
      <c r="L51" s="221"/>
      <c r="N51" s="221"/>
    </row>
    <row r="52" spans="1:14" ht="7.5" customHeight="1" x14ac:dyDescent="0.2">
      <c r="A52" s="1866"/>
      <c r="B52" s="1867"/>
      <c r="C52" s="1867"/>
      <c r="D52" s="1867"/>
      <c r="E52" s="1867"/>
      <c r="F52" s="1867"/>
      <c r="G52" s="1867"/>
      <c r="H52" s="1867"/>
      <c r="I52" s="1867"/>
      <c r="J52" s="1867"/>
      <c r="K52" s="1868"/>
      <c r="L52" s="1869"/>
      <c r="N52" s="1175"/>
    </row>
    <row r="53" spans="1:14" x14ac:dyDescent="0.2">
      <c r="A53" s="1863" t="s">
        <v>24</v>
      </c>
      <c r="B53" s="1864"/>
      <c r="C53" s="1176">
        <f t="shared" ref="C53:L53" si="8">C15</f>
        <v>0</v>
      </c>
      <c r="D53" s="1176">
        <f t="shared" si="8"/>
        <v>0</v>
      </c>
      <c r="E53" s="1176">
        <f t="shared" si="8"/>
        <v>0</v>
      </c>
      <c r="F53" s="1176">
        <f t="shared" si="8"/>
        <v>0</v>
      </c>
      <c r="G53" s="1176">
        <f t="shared" si="8"/>
        <v>-62396.99</v>
      </c>
      <c r="H53" s="1176">
        <f t="shared" si="8"/>
        <v>-72345.62000000001</v>
      </c>
      <c r="I53" s="1176">
        <f t="shared" si="8"/>
        <v>-80629.649999999994</v>
      </c>
      <c r="J53" s="1176">
        <f t="shared" si="8"/>
        <v>-82555.78</v>
      </c>
      <c r="K53" s="1176">
        <f t="shared" si="8"/>
        <v>-78463.75499999999</v>
      </c>
      <c r="L53" s="1176">
        <f t="shared" si="8"/>
        <v>-63854.490769230761</v>
      </c>
      <c r="N53" s="1176">
        <f>N15</f>
        <v>0</v>
      </c>
    </row>
    <row r="54" spans="1:14" x14ac:dyDescent="0.2">
      <c r="A54" s="1863" t="s">
        <v>25</v>
      </c>
      <c r="B54" s="1864"/>
      <c r="C54" s="1177">
        <f t="shared" ref="C54:L54" si="9">C16</f>
        <v>0</v>
      </c>
      <c r="D54" s="1177">
        <f t="shared" si="9"/>
        <v>0</v>
      </c>
      <c r="E54" s="1177">
        <f t="shared" si="9"/>
        <v>0</v>
      </c>
      <c r="F54" s="1177">
        <f t="shared" si="9"/>
        <v>0</v>
      </c>
      <c r="G54" s="1177">
        <f t="shared" si="9"/>
        <v>-46082.97</v>
      </c>
      <c r="H54" s="1177">
        <f t="shared" si="9"/>
        <v>-60801.81</v>
      </c>
      <c r="I54" s="1177">
        <f t="shared" si="9"/>
        <v>-64838.15</v>
      </c>
      <c r="J54" s="1177">
        <f t="shared" si="9"/>
        <v>-45412.42</v>
      </c>
      <c r="K54" s="1177">
        <f t="shared" si="9"/>
        <v>-54283.837500000001</v>
      </c>
      <c r="L54" s="1178">
        <f t="shared" si="9"/>
        <v>-54283.837500000001</v>
      </c>
      <c r="N54" s="1178">
        <f>N16</f>
        <v>0</v>
      </c>
    </row>
    <row r="55" spans="1:14" x14ac:dyDescent="0.2">
      <c r="A55" s="1863" t="s">
        <v>198</v>
      </c>
      <c r="B55" s="1864"/>
      <c r="C55" s="224"/>
      <c r="D55" s="224"/>
      <c r="E55" s="224"/>
      <c r="F55" s="224"/>
      <c r="G55" s="95">
        <v>-110062.53</v>
      </c>
      <c r="H55" s="95">
        <v>-110074.54999999999</v>
      </c>
      <c r="I55" s="95">
        <v>-156473.81</v>
      </c>
      <c r="J55" s="95">
        <v>-178103.4</v>
      </c>
      <c r="K55" s="95">
        <v>-201277.04153586621</v>
      </c>
      <c r="L55" s="95">
        <v>-313375.16304319742</v>
      </c>
      <c r="N55" s="225"/>
    </row>
    <row r="56" spans="1:14" ht="13.5" thickBot="1" x14ac:dyDescent="0.25">
      <c r="A56" s="1859" t="s">
        <v>199</v>
      </c>
      <c r="B56" s="1860"/>
      <c r="C56" s="224"/>
      <c r="D56" s="224"/>
      <c r="E56" s="224"/>
      <c r="F56" s="224"/>
      <c r="G56" s="95">
        <v>262982.26999999996</v>
      </c>
      <c r="H56" s="95">
        <v>-5693.1800000001922</v>
      </c>
      <c r="I56" s="95">
        <v>-16930.669999999962</v>
      </c>
      <c r="J56" s="95">
        <v>68796.679999999935</v>
      </c>
      <c r="K56" s="95">
        <v>226293.016885875</v>
      </c>
      <c r="L56" s="95">
        <v>-50933.999999999978</v>
      </c>
      <c r="N56" s="923"/>
    </row>
    <row r="57" spans="1:14" ht="14.25" thickTop="1" thickBot="1" x14ac:dyDescent="0.25">
      <c r="A57" s="1861" t="s">
        <v>272</v>
      </c>
      <c r="B57" s="1862"/>
      <c r="C57" s="1179">
        <f>SUM(C53:C56)</f>
        <v>0</v>
      </c>
      <c r="D57" s="1179">
        <f>SUM(D53:D56)</f>
        <v>0</v>
      </c>
      <c r="E57" s="1179">
        <f>SUM(E53:E56)</f>
        <v>0</v>
      </c>
      <c r="F57" s="1179">
        <f>SUM(F53:F56)</f>
        <v>0</v>
      </c>
      <c r="G57" s="1179">
        <f t="shared" ref="G57:L57" si="10">SUM(G53:G56)</f>
        <v>44439.77999999997</v>
      </c>
      <c r="H57" s="1179">
        <f t="shared" si="10"/>
        <v>-248915.16000000018</v>
      </c>
      <c r="I57" s="1179">
        <f t="shared" si="10"/>
        <v>-318872.27999999997</v>
      </c>
      <c r="J57" s="1179">
        <f t="shared" si="10"/>
        <v>-237274.92000000004</v>
      </c>
      <c r="K57" s="1179">
        <f t="shared" si="10"/>
        <v>-107731.61714999125</v>
      </c>
      <c r="L57" s="1180">
        <f t="shared" si="10"/>
        <v>-482447.49131242814</v>
      </c>
      <c r="N57" s="1181">
        <f t="shared" ref="N57" si="11">SUM(N53:N56)</f>
        <v>0</v>
      </c>
    </row>
    <row r="59" spans="1:14" x14ac:dyDescent="0.2">
      <c r="A59" s="1865" t="s">
        <v>1316</v>
      </c>
      <c r="B59" s="1865"/>
      <c r="C59" s="1865"/>
      <c r="D59" s="1865"/>
      <c r="E59" s="1865"/>
      <c r="F59" s="1865"/>
      <c r="G59" s="1865"/>
      <c r="H59" s="1865"/>
      <c r="I59" s="1865"/>
      <c r="J59" s="1865"/>
      <c r="K59" s="1865"/>
      <c r="L59" s="1865"/>
    </row>
    <row r="60" spans="1:14" x14ac:dyDescent="0.2">
      <c r="A60" s="1660" t="s">
        <v>1315</v>
      </c>
      <c r="B60" s="1660"/>
      <c r="C60" s="1660"/>
      <c r="D60" s="1660"/>
      <c r="E60" s="1660"/>
      <c r="F60" s="1660"/>
      <c r="G60" s="1660"/>
      <c r="H60" s="1660"/>
      <c r="I60" s="1660"/>
      <c r="J60" s="1660"/>
      <c r="K60" s="1660"/>
      <c r="L60" s="1660"/>
    </row>
    <row r="61" spans="1:14" x14ac:dyDescent="0.2">
      <c r="A61" s="1660" t="s">
        <v>1314</v>
      </c>
      <c r="B61" s="1660"/>
      <c r="C61" s="1660"/>
      <c r="D61" s="1660"/>
      <c r="E61" s="1660"/>
      <c r="F61" s="1660"/>
      <c r="G61" s="1660"/>
      <c r="H61" s="1660"/>
      <c r="I61" s="1660"/>
      <c r="J61" s="1660"/>
      <c r="K61" s="1660"/>
      <c r="L61" s="1660"/>
    </row>
    <row r="62" spans="1:14" x14ac:dyDescent="0.2">
      <c r="A62" s="1660" t="s">
        <v>1313</v>
      </c>
      <c r="B62" s="1660"/>
      <c r="C62" s="1660"/>
      <c r="D62" s="1660"/>
      <c r="E62" s="1660"/>
      <c r="F62" s="1660"/>
      <c r="G62" s="1660"/>
      <c r="H62" s="1660"/>
      <c r="I62" s="1660"/>
      <c r="J62" s="1660"/>
      <c r="K62" s="1660"/>
      <c r="L62" s="1660"/>
    </row>
    <row r="63" spans="1:14" ht="26.25" customHeight="1" x14ac:dyDescent="0.2">
      <c r="A63" s="1660" t="s">
        <v>1312</v>
      </c>
      <c r="B63" s="1660"/>
      <c r="C63" s="1660"/>
      <c r="D63" s="1660"/>
      <c r="E63" s="1660"/>
      <c r="F63" s="1660"/>
      <c r="G63" s="1660"/>
      <c r="H63" s="1660"/>
      <c r="I63" s="1660"/>
      <c r="J63" s="1660"/>
      <c r="K63" s="1660"/>
      <c r="L63" s="1660"/>
    </row>
    <row r="64" spans="1:14" x14ac:dyDescent="0.2">
      <c r="G64" s="961"/>
      <c r="H64" s="961"/>
      <c r="I64" s="961"/>
      <c r="J64" s="961"/>
      <c r="K64" s="961"/>
      <c r="L64" s="961"/>
    </row>
    <row r="66" spans="1:14" ht="15.75" x14ac:dyDescent="0.25">
      <c r="A66" s="1182" t="s">
        <v>200</v>
      </c>
      <c r="B66" s="964"/>
      <c r="C66" s="964"/>
      <c r="D66" s="964"/>
      <c r="E66" s="964"/>
      <c r="F66" s="964"/>
      <c r="G66" s="1183"/>
      <c r="H66" s="1184"/>
      <c r="I66" s="1184"/>
      <c r="J66" s="1184"/>
      <c r="K66" s="1184"/>
      <c r="L66" s="1184"/>
    </row>
    <row r="67" spans="1:14" x14ac:dyDescent="0.2">
      <c r="A67" s="1886"/>
      <c r="B67" s="1886"/>
      <c r="C67" s="1886"/>
      <c r="D67" s="1886"/>
      <c r="E67" s="1886"/>
      <c r="F67" s="1886"/>
      <c r="G67" s="1886"/>
      <c r="H67" s="1886"/>
      <c r="I67" s="1886"/>
      <c r="J67" s="1886"/>
      <c r="K67" s="1886"/>
      <c r="L67" s="1886"/>
    </row>
    <row r="68" spans="1:14" ht="12.75" customHeight="1" x14ac:dyDescent="0.2">
      <c r="A68" s="1185" t="s">
        <v>201</v>
      </c>
      <c r="B68" s="1186"/>
      <c r="C68" s="1186"/>
      <c r="D68" s="1186"/>
      <c r="E68" s="1186"/>
      <c r="F68" s="1186"/>
      <c r="G68" s="1186"/>
      <c r="H68" s="1186"/>
      <c r="I68" s="1186"/>
      <c r="J68" s="1186"/>
      <c r="K68" s="1186"/>
      <c r="L68" s="1186"/>
    </row>
    <row r="69" spans="1:14" x14ac:dyDescent="0.2">
      <c r="A69" s="1186"/>
      <c r="B69" s="1186"/>
      <c r="C69" s="1186"/>
      <c r="D69" s="1186"/>
      <c r="E69" s="1186"/>
      <c r="F69" s="1186"/>
      <c r="G69" s="1186"/>
      <c r="H69" s="1186"/>
      <c r="I69" s="1186"/>
      <c r="J69" s="1186"/>
      <c r="K69" s="1186"/>
      <c r="L69" s="1186"/>
    </row>
    <row r="70" spans="1:14" x14ac:dyDescent="0.2">
      <c r="A70" s="1874" t="s">
        <v>202</v>
      </c>
      <c r="B70" s="1874"/>
      <c r="C70" s="1874"/>
      <c r="D70" s="1874"/>
      <c r="E70" s="1874"/>
      <c r="F70" s="1874"/>
      <c r="G70" s="1874"/>
      <c r="H70" s="1874"/>
      <c r="I70" s="1874"/>
      <c r="J70" s="1874"/>
      <c r="K70" s="1874"/>
      <c r="L70" s="1874"/>
    </row>
    <row r="71" spans="1:14" x14ac:dyDescent="0.2">
      <c r="A71" s="1874"/>
      <c r="B71" s="1874"/>
      <c r="C71" s="1874"/>
      <c r="D71" s="1874"/>
      <c r="E71" s="1874"/>
      <c r="F71" s="1874"/>
      <c r="G71" s="1874"/>
      <c r="H71" s="1874"/>
      <c r="I71" s="1874"/>
      <c r="J71" s="1874"/>
      <c r="K71" s="1874"/>
      <c r="L71" s="1874"/>
    </row>
    <row r="73" spans="1:14" ht="13.5" thickBot="1" x14ac:dyDescent="0.25">
      <c r="A73" s="967" t="s">
        <v>101</v>
      </c>
    </row>
    <row r="74" spans="1:14" x14ac:dyDescent="0.2">
      <c r="A74" s="1187"/>
      <c r="B74" s="1188"/>
      <c r="C74" s="1163" t="str">
        <f t="shared" ref="C74:L74" si="12">C12</f>
        <v>2010 Actual²</v>
      </c>
      <c r="D74" s="1163" t="str">
        <f t="shared" si="12"/>
        <v>2011 Actual²</v>
      </c>
      <c r="E74" s="1163" t="str">
        <f t="shared" si="12"/>
        <v>2012 Actual²</v>
      </c>
      <c r="F74" s="1163" t="str">
        <f t="shared" si="12"/>
        <v>2013 Actual²</v>
      </c>
      <c r="G74" s="1163" t="str">
        <f t="shared" si="12"/>
        <v>2014 Actual²</v>
      </c>
      <c r="H74" s="1163" t="str">
        <f t="shared" si="12"/>
        <v>2015 Actual²</v>
      </c>
      <c r="I74" s="1163" t="str">
        <f t="shared" si="12"/>
        <v>2016 Actual²</v>
      </c>
      <c r="J74" s="1163" t="str">
        <f t="shared" si="12"/>
        <v>2017 Actual</v>
      </c>
      <c r="K74" s="1163" t="str">
        <f t="shared" si="12"/>
        <v>Bridge Year</v>
      </c>
      <c r="L74" s="1189" t="str">
        <f t="shared" si="12"/>
        <v>Test Year</v>
      </c>
      <c r="N74" s="1189" t="str">
        <f t="shared" ref="N74" si="13">N12</f>
        <v>CGAAP</v>
      </c>
    </row>
    <row r="75" spans="1:14" x14ac:dyDescent="0.2">
      <c r="A75" s="1190"/>
      <c r="B75" s="1191"/>
      <c r="C75" s="1192">
        <f t="shared" ref="C75:I75" si="14">C13</f>
        <v>2010</v>
      </c>
      <c r="D75" s="1192">
        <f t="shared" si="14"/>
        <v>2011</v>
      </c>
      <c r="E75" s="1192">
        <f t="shared" si="14"/>
        <v>2012</v>
      </c>
      <c r="F75" s="1192">
        <f t="shared" si="14"/>
        <v>2013</v>
      </c>
      <c r="G75" s="1192">
        <f t="shared" si="14"/>
        <v>2014</v>
      </c>
      <c r="H75" s="1192">
        <f t="shared" si="14"/>
        <v>2015</v>
      </c>
      <c r="I75" s="1192">
        <f t="shared" si="14"/>
        <v>2016</v>
      </c>
      <c r="J75" s="1192">
        <f>J13</f>
        <v>2017</v>
      </c>
      <c r="K75" s="1192">
        <f>K13</f>
        <v>2018</v>
      </c>
      <c r="L75" s="1193">
        <f>L13</f>
        <v>2019</v>
      </c>
      <c r="N75" s="921" t="str">
        <f>N13</f>
        <v>Enter Transition Year</v>
      </c>
    </row>
    <row r="76" spans="1:14" x14ac:dyDescent="0.2">
      <c r="A76" s="1875" t="s">
        <v>93</v>
      </c>
      <c r="B76" s="1876"/>
      <c r="C76" s="1172" t="str">
        <f t="shared" ref="C76:L76" si="15">IF(C14=0, "", C14)</f>
        <v/>
      </c>
      <c r="D76" s="1172" t="str">
        <f t="shared" si="15"/>
        <v/>
      </c>
      <c r="E76" s="1172" t="str">
        <f t="shared" si="15"/>
        <v/>
      </c>
      <c r="F76" s="1172" t="str">
        <f t="shared" si="15"/>
        <v/>
      </c>
      <c r="G76" s="1172" t="str">
        <f t="shared" si="15"/>
        <v/>
      </c>
      <c r="H76" s="1172" t="str">
        <f t="shared" si="15"/>
        <v/>
      </c>
      <c r="I76" s="1172" t="str">
        <f t="shared" si="15"/>
        <v/>
      </c>
      <c r="J76" s="1172" t="str">
        <f t="shared" si="15"/>
        <v/>
      </c>
      <c r="K76" s="1172" t="str">
        <f t="shared" si="15"/>
        <v/>
      </c>
      <c r="L76" s="1172" t="str">
        <f t="shared" si="15"/>
        <v/>
      </c>
      <c r="N76" s="1172" t="str">
        <f t="shared" ref="N76" si="16">IF(N14=0, "", N14)</f>
        <v>CGAAP</v>
      </c>
    </row>
    <row r="77" spans="1:14" x14ac:dyDescent="0.2">
      <c r="A77" s="1872" t="s">
        <v>98</v>
      </c>
      <c r="B77" s="1873"/>
      <c r="C77" s="95"/>
      <c r="D77" s="95"/>
      <c r="E77" s="95"/>
      <c r="F77" s="95"/>
      <c r="G77" s="95"/>
      <c r="H77" s="95"/>
      <c r="I77" s="95"/>
      <c r="J77" s="95"/>
      <c r="K77" s="95"/>
      <c r="L77" s="221"/>
      <c r="N77" s="221"/>
    </row>
    <row r="78" spans="1:14" x14ac:dyDescent="0.2">
      <c r="A78" s="1879" t="s">
        <v>99</v>
      </c>
      <c r="B78" s="1880"/>
      <c r="C78" s="95"/>
      <c r="D78" s="95"/>
      <c r="E78" s="95"/>
      <c r="F78" s="95"/>
      <c r="G78" s="95"/>
      <c r="H78" s="95"/>
      <c r="I78" s="95"/>
      <c r="J78" s="95"/>
      <c r="K78" s="228"/>
      <c r="L78" s="221"/>
      <c r="N78" s="221"/>
    </row>
    <row r="79" spans="1:14" x14ac:dyDescent="0.2">
      <c r="A79" s="1881" t="s">
        <v>100</v>
      </c>
      <c r="B79" s="1881"/>
      <c r="C79" s="95"/>
      <c r="D79" s="95"/>
      <c r="E79" s="95"/>
      <c r="F79" s="98"/>
      <c r="G79" s="98"/>
      <c r="H79" s="98"/>
      <c r="I79" s="98"/>
      <c r="J79" s="98"/>
      <c r="K79" s="98"/>
      <c r="L79" s="221"/>
      <c r="N79" s="221"/>
    </row>
    <row r="80" spans="1:14" ht="14.25" x14ac:dyDescent="0.2">
      <c r="A80" s="1881" t="s">
        <v>82</v>
      </c>
      <c r="B80" s="1881"/>
      <c r="C80" s="98"/>
      <c r="D80" s="98"/>
      <c r="E80" s="98"/>
      <c r="F80" s="98"/>
      <c r="G80" s="98"/>
      <c r="H80" s="98"/>
      <c r="I80" s="98"/>
      <c r="J80" s="98"/>
      <c r="K80" s="98"/>
      <c r="L80" s="221"/>
      <c r="N80" s="221"/>
    </row>
    <row r="81" spans="1:14" x14ac:dyDescent="0.2">
      <c r="A81" s="1881"/>
      <c r="B81" s="1881"/>
      <c r="C81" s="98"/>
      <c r="D81" s="98"/>
      <c r="E81" s="98"/>
      <c r="F81" s="98"/>
      <c r="G81" s="98"/>
      <c r="H81" s="98"/>
      <c r="I81" s="98"/>
      <c r="J81" s="98"/>
      <c r="K81" s="98"/>
      <c r="L81" s="221"/>
      <c r="N81" s="221"/>
    </row>
    <row r="82" spans="1:14" x14ac:dyDescent="0.2">
      <c r="A82" s="1882" t="s">
        <v>1599</v>
      </c>
      <c r="B82" s="1883"/>
      <c r="C82" s="98"/>
      <c r="D82" s="98"/>
      <c r="E82" s="98"/>
      <c r="F82" s="98"/>
      <c r="G82" s="98"/>
      <c r="H82" s="98"/>
      <c r="I82" s="98"/>
      <c r="J82" s="98"/>
      <c r="K82" s="98"/>
      <c r="L82" s="221"/>
      <c r="N82" s="221"/>
    </row>
    <row r="83" spans="1:14" x14ac:dyDescent="0.2">
      <c r="A83" s="1881" t="s">
        <v>1640</v>
      </c>
      <c r="B83" s="1881"/>
      <c r="C83" s="98"/>
      <c r="D83" s="98"/>
      <c r="E83" s="98"/>
      <c r="F83" s="98"/>
      <c r="G83" s="98">
        <v>72168.06</v>
      </c>
      <c r="H83" s="98">
        <v>72017.2</v>
      </c>
      <c r="I83" s="98">
        <v>74062.22</v>
      </c>
      <c r="J83" s="98">
        <v>73363.789999999994</v>
      </c>
      <c r="K83" s="98">
        <v>73363.789999999994</v>
      </c>
      <c r="L83" s="221">
        <v>147578.30906935123</v>
      </c>
      <c r="N83" s="221"/>
    </row>
    <row r="84" spans="1:14" x14ac:dyDescent="0.2">
      <c r="A84" s="1881" t="s">
        <v>1641</v>
      </c>
      <c r="B84" s="1881"/>
      <c r="C84" s="98"/>
      <c r="D84" s="98"/>
      <c r="E84" s="98"/>
      <c r="F84" s="98"/>
      <c r="G84" s="98">
        <v>5531.97</v>
      </c>
      <c r="H84" s="98">
        <v>4700.62</v>
      </c>
      <c r="I84" s="98">
        <v>4174.49</v>
      </c>
      <c r="J84" s="98">
        <v>4234.75</v>
      </c>
      <c r="K84" s="98">
        <v>4234.75</v>
      </c>
      <c r="L84" s="221">
        <v>4234.75</v>
      </c>
      <c r="N84" s="221"/>
    </row>
    <row r="85" spans="1:14" x14ac:dyDescent="0.2">
      <c r="A85" s="1881" t="s">
        <v>1642</v>
      </c>
      <c r="B85" s="1881"/>
      <c r="C85" s="98"/>
      <c r="D85" s="98"/>
      <c r="E85" s="98"/>
      <c r="F85" s="98"/>
      <c r="G85" s="98">
        <v>0</v>
      </c>
      <c r="H85" s="98">
        <v>0</v>
      </c>
      <c r="I85" s="98">
        <v>0</v>
      </c>
      <c r="J85" s="98">
        <v>0</v>
      </c>
      <c r="K85" s="98">
        <v>2800</v>
      </c>
      <c r="L85" s="221">
        <v>2800</v>
      </c>
      <c r="N85" s="221"/>
    </row>
    <row r="86" spans="1:14" x14ac:dyDescent="0.2">
      <c r="A86" s="1884"/>
      <c r="B86" s="1885"/>
      <c r="C86" s="98"/>
      <c r="D86" s="98"/>
      <c r="E86" s="98"/>
      <c r="F86" s="98"/>
      <c r="G86" s="98"/>
      <c r="H86" s="98"/>
      <c r="I86" s="98"/>
      <c r="J86" s="98"/>
      <c r="K86" s="98"/>
      <c r="L86" s="221"/>
      <c r="N86" s="221"/>
    </row>
    <row r="87" spans="1:14" x14ac:dyDescent="0.2">
      <c r="A87" s="1882" t="s">
        <v>1600</v>
      </c>
      <c r="B87" s="1883"/>
      <c r="C87" s="98"/>
      <c r="D87" s="98"/>
      <c r="E87" s="98"/>
      <c r="F87" s="98"/>
      <c r="G87" s="98"/>
      <c r="H87" s="98"/>
      <c r="I87" s="98"/>
      <c r="J87" s="98"/>
      <c r="K87" s="98"/>
      <c r="L87" s="221"/>
      <c r="N87" s="221"/>
    </row>
    <row r="88" spans="1:14" x14ac:dyDescent="0.2">
      <c r="A88" s="1881" t="s">
        <v>1643</v>
      </c>
      <c r="B88" s="1881"/>
      <c r="C88" s="98"/>
      <c r="D88" s="98"/>
      <c r="E88" s="98"/>
      <c r="F88" s="98"/>
      <c r="G88" s="98">
        <v>-223973.78</v>
      </c>
      <c r="H88" s="98">
        <v>-18904.87</v>
      </c>
      <c r="I88" s="98">
        <v>0</v>
      </c>
      <c r="J88" s="98">
        <v>0</v>
      </c>
      <c r="K88" s="98">
        <v>0</v>
      </c>
      <c r="L88" s="221">
        <v>0</v>
      </c>
      <c r="N88" s="221"/>
    </row>
    <row r="89" spans="1:14" x14ac:dyDescent="0.2">
      <c r="A89" s="1881" t="s">
        <v>1644</v>
      </c>
      <c r="B89" s="1881"/>
      <c r="C89" s="98"/>
      <c r="D89" s="98"/>
      <c r="E89" s="98"/>
      <c r="F89" s="98"/>
      <c r="G89" s="98">
        <v>-96075.39</v>
      </c>
      <c r="H89" s="98">
        <v>-145981.35</v>
      </c>
      <c r="I89" s="98">
        <v>-200949.82</v>
      </c>
      <c r="J89" s="98">
        <v>-239781.83</v>
      </c>
      <c r="K89" s="98">
        <v>-277227.01688587503</v>
      </c>
      <c r="L89" s="221">
        <v>0</v>
      </c>
      <c r="N89" s="221"/>
    </row>
    <row r="90" spans="1:14" x14ac:dyDescent="0.2">
      <c r="A90" s="1884"/>
      <c r="B90" s="1885"/>
      <c r="C90" s="98"/>
      <c r="D90" s="98"/>
      <c r="E90" s="98"/>
      <c r="F90" s="98"/>
      <c r="G90" s="98"/>
      <c r="H90" s="98"/>
      <c r="I90" s="98"/>
      <c r="J90" s="98"/>
      <c r="K90" s="98"/>
      <c r="L90" s="221"/>
      <c r="N90" s="221"/>
    </row>
    <row r="91" spans="1:14" x14ac:dyDescent="0.2">
      <c r="A91" s="1882" t="s">
        <v>1601</v>
      </c>
      <c r="B91" s="1883"/>
      <c r="C91" s="98"/>
      <c r="D91" s="98"/>
      <c r="E91" s="98"/>
      <c r="F91" s="98"/>
      <c r="G91" s="98"/>
      <c r="H91" s="98"/>
      <c r="I91" s="98"/>
      <c r="J91" s="98"/>
      <c r="K91" s="98"/>
      <c r="L91" s="221"/>
      <c r="N91" s="221"/>
    </row>
    <row r="92" spans="1:14" x14ac:dyDescent="0.2">
      <c r="A92" s="1881" t="s">
        <v>1645</v>
      </c>
      <c r="B92" s="1881"/>
      <c r="C92" s="98"/>
      <c r="D92" s="98"/>
      <c r="E92" s="98"/>
      <c r="F92" s="98"/>
      <c r="G92" s="98">
        <v>4754.1000000000004</v>
      </c>
      <c r="H92" s="98">
        <v>0</v>
      </c>
      <c r="I92" s="98">
        <v>6254.5</v>
      </c>
      <c r="J92" s="98">
        <v>3019.5</v>
      </c>
      <c r="K92" s="98">
        <v>3507.0250000000001</v>
      </c>
      <c r="L92" s="221">
        <v>3507.0250000000001</v>
      </c>
      <c r="N92" s="221"/>
    </row>
    <row r="93" spans="1:14" x14ac:dyDescent="0.2">
      <c r="A93" s="1881" t="s">
        <v>1646</v>
      </c>
      <c r="B93" s="1881"/>
      <c r="C93" s="98"/>
      <c r="D93" s="98"/>
      <c r="E93" s="98"/>
      <c r="F93" s="98"/>
      <c r="G93" s="98">
        <v>5572.56</v>
      </c>
      <c r="H93" s="98">
        <v>6783.72</v>
      </c>
      <c r="I93" s="98">
        <v>6962.58</v>
      </c>
      <c r="J93" s="98">
        <v>4377.96</v>
      </c>
      <c r="K93" s="98">
        <v>5924.2050000000008</v>
      </c>
      <c r="L93" s="221">
        <v>5924.2050000000008</v>
      </c>
      <c r="N93" s="221"/>
    </row>
    <row r="94" spans="1:14" x14ac:dyDescent="0.2">
      <c r="A94" s="1884"/>
      <c r="B94" s="1885"/>
      <c r="C94" s="98"/>
      <c r="D94" s="98"/>
      <c r="E94" s="98"/>
      <c r="F94" s="98"/>
      <c r="G94" s="98"/>
      <c r="H94" s="98"/>
      <c r="I94" s="98"/>
      <c r="J94" s="98"/>
      <c r="K94" s="98"/>
      <c r="L94" s="221"/>
      <c r="N94" s="221"/>
    </row>
    <row r="95" spans="1:14" x14ac:dyDescent="0.2">
      <c r="A95" s="1882" t="s">
        <v>101</v>
      </c>
      <c r="B95" s="1883"/>
      <c r="C95" s="98"/>
      <c r="D95" s="98"/>
      <c r="E95" s="98"/>
      <c r="F95" s="98"/>
      <c r="G95" s="98"/>
      <c r="H95" s="98"/>
      <c r="I95" s="98"/>
      <c r="J95" s="98"/>
      <c r="K95" s="98"/>
      <c r="L95" s="221"/>
      <c r="N95" s="221"/>
    </row>
    <row r="96" spans="1:14" x14ac:dyDescent="0.2">
      <c r="A96" s="1884" t="s">
        <v>1647</v>
      </c>
      <c r="B96" s="1885"/>
      <c r="C96" s="98"/>
      <c r="D96" s="98"/>
      <c r="E96" s="98"/>
      <c r="F96" s="98"/>
      <c r="G96" s="98">
        <v>0</v>
      </c>
      <c r="H96" s="98">
        <v>3679.7300000000005</v>
      </c>
      <c r="I96" s="98">
        <v>9779.83</v>
      </c>
      <c r="J96" s="98">
        <v>0</v>
      </c>
      <c r="K96" s="98">
        <v>0</v>
      </c>
      <c r="L96" s="221">
        <v>0</v>
      </c>
      <c r="N96" s="221"/>
    </row>
    <row r="97" spans="1:14" x14ac:dyDescent="0.2">
      <c r="A97" s="1884" t="s">
        <v>1648</v>
      </c>
      <c r="B97" s="1885"/>
      <c r="C97" s="98"/>
      <c r="D97" s="98"/>
      <c r="E97" s="98"/>
      <c r="F97" s="98"/>
      <c r="G97" s="98">
        <v>0</v>
      </c>
      <c r="H97" s="98">
        <v>0</v>
      </c>
      <c r="I97" s="98">
        <v>0</v>
      </c>
      <c r="J97" s="98">
        <v>1170.23</v>
      </c>
      <c r="K97" s="98">
        <v>1170.23</v>
      </c>
      <c r="L97" s="221">
        <v>1170.23</v>
      </c>
      <c r="N97" s="221"/>
    </row>
    <row r="98" spans="1:14" x14ac:dyDescent="0.2">
      <c r="A98" s="1884" t="s">
        <v>1649</v>
      </c>
      <c r="B98" s="1885"/>
      <c r="C98" s="98"/>
      <c r="D98" s="98"/>
      <c r="E98" s="98"/>
      <c r="F98" s="98"/>
      <c r="G98" s="98">
        <v>6208.41</v>
      </c>
      <c r="H98" s="98">
        <v>9503.4</v>
      </c>
      <c r="I98" s="98">
        <v>2362.5500000000002</v>
      </c>
      <c r="J98" s="98">
        <v>3119.19</v>
      </c>
      <c r="K98" s="98">
        <v>3119.19</v>
      </c>
      <c r="L98" s="221">
        <v>3119.19</v>
      </c>
      <c r="N98" s="221"/>
    </row>
    <row r="99" spans="1:14" x14ac:dyDescent="0.2">
      <c r="A99" s="1884" t="s">
        <v>1650</v>
      </c>
      <c r="B99" s="1885"/>
      <c r="C99" s="98"/>
      <c r="D99" s="98"/>
      <c r="E99" s="98"/>
      <c r="F99" s="98"/>
      <c r="G99" s="98">
        <v>0</v>
      </c>
      <c r="H99" s="98">
        <v>0</v>
      </c>
      <c r="I99" s="98">
        <v>0</v>
      </c>
      <c r="J99" s="98">
        <v>0</v>
      </c>
      <c r="K99" s="98">
        <v>0</v>
      </c>
      <c r="L99" s="221">
        <v>0</v>
      </c>
      <c r="N99" s="221"/>
    </row>
    <row r="100" spans="1:14" x14ac:dyDescent="0.2">
      <c r="A100" s="1884"/>
      <c r="B100" s="1885"/>
      <c r="C100" s="98"/>
      <c r="D100" s="98"/>
      <c r="E100" s="98"/>
      <c r="F100" s="98"/>
      <c r="G100" s="98"/>
      <c r="H100" s="98"/>
      <c r="I100" s="98"/>
      <c r="J100" s="98"/>
      <c r="K100" s="98"/>
      <c r="L100" s="221"/>
      <c r="N100" s="221"/>
    </row>
    <row r="101" spans="1:14" x14ac:dyDescent="0.2">
      <c r="A101" s="1884"/>
      <c r="B101" s="1885"/>
      <c r="C101" s="98"/>
      <c r="D101" s="98"/>
      <c r="E101" s="98"/>
      <c r="F101" s="98"/>
      <c r="G101" s="98"/>
      <c r="H101" s="98"/>
      <c r="I101" s="98"/>
      <c r="J101" s="98"/>
      <c r="K101" s="98"/>
      <c r="L101" s="221"/>
      <c r="N101" s="221"/>
    </row>
    <row r="102" spans="1:14" x14ac:dyDescent="0.2">
      <c r="A102" s="1884"/>
      <c r="B102" s="1885"/>
      <c r="C102" s="98"/>
      <c r="D102" s="98"/>
      <c r="E102" s="98"/>
      <c r="F102" s="98"/>
      <c r="G102" s="98"/>
      <c r="H102" s="98"/>
      <c r="I102" s="98"/>
      <c r="J102" s="98"/>
      <c r="K102" s="98"/>
      <c r="L102" s="221"/>
      <c r="N102" s="221"/>
    </row>
    <row r="103" spans="1:14" x14ac:dyDescent="0.2">
      <c r="A103" s="1881"/>
      <c r="B103" s="1881"/>
      <c r="C103" s="98"/>
      <c r="D103" s="98"/>
      <c r="E103" s="98"/>
      <c r="F103" s="98"/>
      <c r="G103" s="98"/>
      <c r="H103" s="98"/>
      <c r="I103" s="98"/>
      <c r="J103" s="98"/>
      <c r="K103" s="98"/>
      <c r="L103" s="221"/>
      <c r="N103" s="221"/>
    </row>
    <row r="104" spans="1:14" x14ac:dyDescent="0.2">
      <c r="A104" s="1881"/>
      <c r="B104" s="1881"/>
      <c r="C104" s="98"/>
      <c r="D104" s="98"/>
      <c r="E104" s="98"/>
      <c r="F104" s="98"/>
      <c r="G104" s="98"/>
      <c r="H104" s="98"/>
      <c r="I104" s="98"/>
      <c r="J104" s="98"/>
      <c r="K104" s="98"/>
      <c r="L104" s="221"/>
      <c r="N104" s="221"/>
    </row>
    <row r="105" spans="1:14" x14ac:dyDescent="0.2">
      <c r="A105" s="1881"/>
      <c r="B105" s="1881"/>
      <c r="C105" s="98"/>
      <c r="D105" s="98"/>
      <c r="E105" s="98"/>
      <c r="F105" s="98"/>
      <c r="G105" s="98"/>
      <c r="H105" s="98"/>
      <c r="I105" s="98"/>
      <c r="J105" s="98"/>
      <c r="K105" s="98"/>
      <c r="L105" s="221"/>
      <c r="N105" s="221"/>
    </row>
    <row r="106" spans="1:14" x14ac:dyDescent="0.2">
      <c r="A106" s="1881"/>
      <c r="B106" s="1881"/>
      <c r="C106" s="98"/>
      <c r="D106" s="98"/>
      <c r="E106" s="98"/>
      <c r="F106" s="98"/>
      <c r="G106" s="98"/>
      <c r="H106" s="98"/>
      <c r="I106" s="98"/>
      <c r="J106" s="98"/>
      <c r="K106" s="98"/>
      <c r="L106" s="221"/>
      <c r="N106" s="221"/>
    </row>
    <row r="107" spans="1:14" x14ac:dyDescent="0.2">
      <c r="A107" s="1881"/>
      <c r="B107" s="1881"/>
      <c r="C107" s="98"/>
      <c r="D107" s="98"/>
      <c r="E107" s="98"/>
      <c r="F107" s="98"/>
      <c r="G107" s="98"/>
      <c r="H107" s="98"/>
      <c r="I107" s="98"/>
      <c r="J107" s="98"/>
      <c r="K107" s="98"/>
      <c r="L107" s="221"/>
      <c r="N107" s="221"/>
    </row>
    <row r="108" spans="1:14" x14ac:dyDescent="0.2">
      <c r="A108" s="1881"/>
      <c r="B108" s="1881"/>
      <c r="C108" s="98"/>
      <c r="D108" s="98"/>
      <c r="E108" s="98"/>
      <c r="F108" s="98"/>
      <c r="G108" s="98"/>
      <c r="H108" s="98"/>
      <c r="I108" s="98"/>
      <c r="J108" s="98"/>
      <c r="K108" s="98"/>
      <c r="L108" s="221"/>
      <c r="N108" s="221"/>
    </row>
    <row r="109" spans="1:14" x14ac:dyDescent="0.2">
      <c r="A109" s="1881"/>
      <c r="B109" s="1881"/>
      <c r="C109" s="98"/>
      <c r="D109" s="98"/>
      <c r="E109" s="98"/>
      <c r="F109" s="98"/>
      <c r="G109" s="98"/>
      <c r="H109" s="98"/>
      <c r="I109" s="98"/>
      <c r="J109" s="98"/>
      <c r="K109" s="98"/>
      <c r="L109" s="221"/>
      <c r="N109" s="221"/>
    </row>
    <row r="110" spans="1:14" x14ac:dyDescent="0.2">
      <c r="A110" s="1881"/>
      <c r="B110" s="1881"/>
      <c r="C110" s="98"/>
      <c r="D110" s="98"/>
      <c r="E110" s="98"/>
      <c r="F110" s="98"/>
      <c r="G110" s="98"/>
      <c r="H110" s="98"/>
      <c r="I110" s="98"/>
      <c r="J110" s="98"/>
      <c r="K110" s="98"/>
      <c r="L110" s="221"/>
      <c r="N110" s="221"/>
    </row>
    <row r="111" spans="1:14" x14ac:dyDescent="0.2">
      <c r="A111" s="1881"/>
      <c r="B111" s="1881"/>
      <c r="C111" s="98"/>
      <c r="D111" s="98"/>
      <c r="E111" s="98"/>
      <c r="F111" s="98"/>
      <c r="G111" s="98"/>
      <c r="H111" s="98"/>
      <c r="I111" s="98"/>
      <c r="J111" s="98"/>
      <c r="K111" s="98"/>
      <c r="L111" s="221"/>
      <c r="N111" s="221"/>
    </row>
    <row r="112" spans="1:14" x14ac:dyDescent="0.2">
      <c r="A112" s="1881"/>
      <c r="B112" s="1881"/>
      <c r="C112" s="98"/>
      <c r="D112" s="98"/>
      <c r="E112" s="98"/>
      <c r="F112" s="98"/>
      <c r="G112" s="98"/>
      <c r="H112" s="98"/>
      <c r="I112" s="98"/>
      <c r="J112" s="98"/>
      <c r="K112" s="98"/>
      <c r="L112" s="221"/>
      <c r="N112" s="221"/>
    </row>
    <row r="113" spans="1:14" x14ac:dyDescent="0.2">
      <c r="A113" s="1881"/>
      <c r="B113" s="1881"/>
      <c r="C113" s="98"/>
      <c r="D113" s="98"/>
      <c r="E113" s="98"/>
      <c r="F113" s="98"/>
      <c r="G113" s="98"/>
      <c r="H113" s="98"/>
      <c r="I113" s="98"/>
      <c r="J113" s="98"/>
      <c r="K113" s="98"/>
      <c r="L113" s="221"/>
      <c r="N113" s="221"/>
    </row>
    <row r="114" spans="1:14" x14ac:dyDescent="0.2">
      <c r="A114" s="1881"/>
      <c r="B114" s="1881"/>
      <c r="C114" s="98"/>
      <c r="D114" s="98"/>
      <c r="E114" s="98"/>
      <c r="F114" s="98"/>
      <c r="G114" s="98"/>
      <c r="H114" s="98"/>
      <c r="I114" s="98"/>
      <c r="J114" s="98"/>
      <c r="K114" s="98"/>
      <c r="L114" s="221"/>
      <c r="N114" s="221"/>
    </row>
    <row r="115" spans="1:14" x14ac:dyDescent="0.2">
      <c r="A115" s="1881"/>
      <c r="B115" s="1881"/>
      <c r="C115" s="98"/>
      <c r="D115" s="98"/>
      <c r="E115" s="98"/>
      <c r="F115" s="98"/>
      <c r="G115" s="98"/>
      <c r="H115" s="98"/>
      <c r="I115" s="98"/>
      <c r="J115" s="98"/>
      <c r="K115" s="98"/>
      <c r="L115" s="221"/>
      <c r="N115" s="221"/>
    </row>
    <row r="116" spans="1:14" x14ac:dyDescent="0.2">
      <c r="A116" s="1881"/>
      <c r="B116" s="1881"/>
      <c r="C116" s="98"/>
      <c r="D116" s="98"/>
      <c r="E116" s="98"/>
      <c r="F116" s="98"/>
      <c r="G116" s="98"/>
      <c r="H116" s="98"/>
      <c r="I116" s="98"/>
      <c r="J116" s="98"/>
      <c r="K116" s="98"/>
      <c r="L116" s="221"/>
      <c r="N116" s="221"/>
    </row>
    <row r="117" spans="1:14" x14ac:dyDescent="0.2">
      <c r="A117" s="1881"/>
      <c r="B117" s="1881"/>
      <c r="C117" s="98"/>
      <c r="D117" s="98"/>
      <c r="E117" s="98"/>
      <c r="F117" s="98"/>
      <c r="G117" s="98"/>
      <c r="H117" s="98"/>
      <c r="I117" s="98"/>
      <c r="J117" s="98"/>
      <c r="K117" s="98"/>
      <c r="L117" s="221"/>
      <c r="N117" s="221"/>
    </row>
    <row r="118" spans="1:14" x14ac:dyDescent="0.2">
      <c r="A118" s="1881"/>
      <c r="B118" s="1881"/>
      <c r="C118" s="98"/>
      <c r="D118" s="98"/>
      <c r="E118" s="98"/>
      <c r="F118" s="98"/>
      <c r="G118" s="98"/>
      <c r="H118" s="98"/>
      <c r="I118" s="98"/>
      <c r="J118" s="98"/>
      <c r="K118" s="98"/>
      <c r="L118" s="221"/>
      <c r="N118" s="221"/>
    </row>
    <row r="119" spans="1:14" x14ac:dyDescent="0.2">
      <c r="A119" s="1881"/>
      <c r="B119" s="1881"/>
      <c r="C119" s="98"/>
      <c r="D119" s="98"/>
      <c r="E119" s="98"/>
      <c r="F119" s="98"/>
      <c r="G119" s="98"/>
      <c r="H119" s="98"/>
      <c r="I119" s="98"/>
      <c r="J119" s="98"/>
      <c r="K119" s="98"/>
      <c r="L119" s="221"/>
      <c r="N119" s="221"/>
    </row>
    <row r="120" spans="1:14" x14ac:dyDescent="0.2">
      <c r="A120" s="1881"/>
      <c r="B120" s="1881"/>
      <c r="C120" s="98"/>
      <c r="D120" s="98"/>
      <c r="E120" s="98"/>
      <c r="F120" s="98"/>
      <c r="G120" s="98"/>
      <c r="H120" s="98"/>
      <c r="I120" s="98"/>
      <c r="J120" s="98"/>
      <c r="K120" s="98"/>
      <c r="L120" s="221"/>
      <c r="N120" s="221"/>
    </row>
    <row r="121" spans="1:14" x14ac:dyDescent="0.2">
      <c r="A121" s="1881"/>
      <c r="B121" s="1881"/>
      <c r="C121" s="98"/>
      <c r="D121" s="98"/>
      <c r="E121" s="98"/>
      <c r="F121" s="98"/>
      <c r="G121" s="98"/>
      <c r="H121" s="98"/>
      <c r="I121" s="98"/>
      <c r="J121" s="98"/>
      <c r="K121" s="98"/>
      <c r="L121" s="221"/>
      <c r="N121" s="221"/>
    </row>
    <row r="122" spans="1:14" x14ac:dyDescent="0.2">
      <c r="A122" s="1881"/>
      <c r="B122" s="1881"/>
      <c r="C122" s="98"/>
      <c r="D122" s="98"/>
      <c r="E122" s="98"/>
      <c r="F122" s="98"/>
      <c r="G122" s="98"/>
      <c r="H122" s="98"/>
      <c r="I122" s="98"/>
      <c r="J122" s="98"/>
      <c r="K122" s="98"/>
      <c r="L122" s="221"/>
      <c r="N122" s="221"/>
    </row>
    <row r="123" spans="1:14" x14ac:dyDescent="0.2">
      <c r="A123" s="1881"/>
      <c r="B123" s="1881"/>
      <c r="C123" s="98"/>
      <c r="D123" s="98"/>
      <c r="E123" s="98"/>
      <c r="F123" s="98"/>
      <c r="G123" s="98"/>
      <c r="H123" s="98"/>
      <c r="I123" s="98"/>
      <c r="J123" s="98"/>
      <c r="K123" s="98"/>
      <c r="L123" s="221"/>
      <c r="N123" s="221"/>
    </row>
    <row r="124" spans="1:14" x14ac:dyDescent="0.2">
      <c r="A124" s="1881"/>
      <c r="B124" s="1881"/>
      <c r="C124" s="98"/>
      <c r="D124" s="98"/>
      <c r="E124" s="98"/>
      <c r="F124" s="98"/>
      <c r="G124" s="98"/>
      <c r="H124" s="98"/>
      <c r="I124" s="98"/>
      <c r="J124" s="98"/>
      <c r="K124" s="98"/>
      <c r="L124" s="221"/>
      <c r="N124" s="221"/>
    </row>
    <row r="125" spans="1:14" x14ac:dyDescent="0.2">
      <c r="A125" s="1881"/>
      <c r="B125" s="1881"/>
      <c r="C125" s="98"/>
      <c r="D125" s="98"/>
      <c r="E125" s="98"/>
      <c r="F125" s="98"/>
      <c r="G125" s="98"/>
      <c r="H125" s="98"/>
      <c r="I125" s="98"/>
      <c r="J125" s="98"/>
      <c r="K125" s="98"/>
      <c r="L125" s="221"/>
      <c r="N125" s="221"/>
    </row>
    <row r="126" spans="1:14" x14ac:dyDescent="0.2">
      <c r="A126" s="1881"/>
      <c r="B126" s="1881"/>
      <c r="C126" s="98"/>
      <c r="D126" s="98"/>
      <c r="E126" s="98"/>
      <c r="F126" s="98"/>
      <c r="G126" s="98"/>
      <c r="H126" s="98"/>
      <c r="I126" s="98"/>
      <c r="J126" s="98"/>
      <c r="K126" s="98"/>
      <c r="L126" s="221"/>
      <c r="N126" s="221"/>
    </row>
    <row r="127" spans="1:14" x14ac:dyDescent="0.2">
      <c r="A127" s="1881"/>
      <c r="B127" s="1881"/>
      <c r="C127" s="98"/>
      <c r="D127" s="98"/>
      <c r="E127" s="98"/>
      <c r="F127" s="98"/>
      <c r="G127" s="98"/>
      <c r="H127" s="98"/>
      <c r="I127" s="98"/>
      <c r="J127" s="98"/>
      <c r="K127" s="98"/>
      <c r="L127" s="221"/>
      <c r="N127" s="221"/>
    </row>
    <row r="128" spans="1:14" x14ac:dyDescent="0.2">
      <c r="A128" s="1881"/>
      <c r="B128" s="1881"/>
      <c r="C128" s="98"/>
      <c r="D128" s="98"/>
      <c r="E128" s="98"/>
      <c r="F128" s="98"/>
      <c r="G128" s="98"/>
      <c r="H128" s="98"/>
      <c r="I128" s="98"/>
      <c r="J128" s="98"/>
      <c r="K128" s="98"/>
      <c r="L128" s="221"/>
      <c r="N128" s="221"/>
    </row>
    <row r="129" spans="1:14" x14ac:dyDescent="0.2">
      <c r="A129" s="1881"/>
      <c r="B129" s="1881"/>
      <c r="C129" s="98"/>
      <c r="D129" s="98"/>
      <c r="E129" s="98"/>
      <c r="F129" s="98"/>
      <c r="G129" s="229"/>
      <c r="H129" s="229"/>
      <c r="I129" s="229"/>
      <c r="J129" s="229"/>
      <c r="K129" s="230"/>
      <c r="L129" s="231"/>
      <c r="N129" s="231"/>
    </row>
    <row r="130" spans="1:14" x14ac:dyDescent="0.2">
      <c r="A130" s="1881"/>
      <c r="B130" s="1881"/>
      <c r="C130" s="917"/>
      <c r="D130" s="917"/>
      <c r="E130" s="917"/>
      <c r="F130" s="917"/>
      <c r="G130" s="95"/>
      <c r="H130" s="95"/>
      <c r="I130" s="95"/>
      <c r="J130" s="95"/>
      <c r="K130" s="228"/>
      <c r="L130" s="221"/>
      <c r="N130" s="221"/>
    </row>
    <row r="131" spans="1:14" ht="13.5" thickBot="1" x14ac:dyDescent="0.25">
      <c r="A131" s="1881"/>
      <c r="B131" s="1881"/>
      <c r="C131" s="918"/>
      <c r="D131" s="918"/>
      <c r="E131" s="918"/>
      <c r="F131" s="918"/>
      <c r="G131" s="123"/>
      <c r="H131" s="123"/>
      <c r="I131" s="123"/>
      <c r="J131" s="123"/>
      <c r="K131" s="232"/>
      <c r="L131" s="233"/>
      <c r="N131" s="922"/>
    </row>
    <row r="132" spans="1:14" ht="14.25" thickTop="1" thickBot="1" x14ac:dyDescent="0.25">
      <c r="A132" s="1877" t="s">
        <v>272</v>
      </c>
      <c r="B132" s="1878"/>
      <c r="C132" s="1179">
        <f>SUM(C77:C131)</f>
        <v>0</v>
      </c>
      <c r="D132" s="1179">
        <f>SUM(D77:D131)</f>
        <v>0</v>
      </c>
      <c r="E132" s="1179">
        <f>SUM(E77:E131)</f>
        <v>0</v>
      </c>
      <c r="F132" s="1179">
        <f>SUM(F77:F131)</f>
        <v>0</v>
      </c>
      <c r="G132" s="1179">
        <f t="shared" ref="G132:L132" si="17">SUM(G77:G131)</f>
        <v>-225814.07</v>
      </c>
      <c r="H132" s="1179">
        <f t="shared" si="17"/>
        <v>-68201.550000000017</v>
      </c>
      <c r="I132" s="1179">
        <f t="shared" si="17"/>
        <v>-97353.65</v>
      </c>
      <c r="J132" s="1179">
        <f t="shared" si="17"/>
        <v>-150496.40999999997</v>
      </c>
      <c r="K132" s="1179">
        <f t="shared" si="17"/>
        <v>-183107.82688587505</v>
      </c>
      <c r="L132" s="1194">
        <f t="shared" si="17"/>
        <v>168333.70906935123</v>
      </c>
      <c r="N132" s="1181">
        <f t="shared" ref="N132" si="18">SUM(N77:N131)</f>
        <v>0</v>
      </c>
    </row>
    <row r="135" spans="1:14" x14ac:dyDescent="0.2">
      <c r="A135" s="1039" t="s">
        <v>6</v>
      </c>
    </row>
    <row r="136" spans="1:14" x14ac:dyDescent="0.2">
      <c r="A136" s="1195">
        <v>1</v>
      </c>
      <c r="B136" s="1196" t="s">
        <v>807</v>
      </c>
      <c r="C136" s="1196"/>
      <c r="D136" s="1196"/>
      <c r="E136" s="1196"/>
      <c r="F136" s="1196"/>
      <c r="G136" s="950"/>
      <c r="H136" s="950"/>
      <c r="I136" s="950"/>
      <c r="J136" s="950"/>
      <c r="K136" s="950"/>
      <c r="L136" s="950"/>
    </row>
    <row r="137" spans="1:14" ht="44.25" customHeight="1" x14ac:dyDescent="0.2">
      <c r="A137" s="1195">
        <v>2</v>
      </c>
      <c r="B137" s="1660" t="s">
        <v>1268</v>
      </c>
      <c r="C137" s="1660"/>
      <c r="D137" s="1660"/>
      <c r="E137" s="1660"/>
      <c r="F137" s="1660"/>
      <c r="G137" s="1660"/>
      <c r="H137" s="1660"/>
      <c r="I137" s="1660"/>
      <c r="J137" s="1660"/>
      <c r="K137" s="1660"/>
      <c r="L137" s="1660"/>
    </row>
    <row r="138" spans="1:14" ht="30.75" customHeight="1" x14ac:dyDescent="0.2">
      <c r="A138" s="1197"/>
    </row>
    <row r="139" spans="1:14" ht="31.5" customHeight="1" x14ac:dyDescent="0.2">
      <c r="A139" s="1197"/>
    </row>
    <row r="141" spans="1:14" x14ac:dyDescent="0.2">
      <c r="B141" s="1870"/>
      <c r="C141" s="1870"/>
      <c r="D141" s="1870"/>
      <c r="E141" s="1870"/>
      <c r="F141" s="1870"/>
      <c r="G141" s="1871"/>
      <c r="H141" s="1871"/>
      <c r="I141" s="1871"/>
      <c r="J141" s="1871"/>
      <c r="K141" s="1871"/>
      <c r="L141" s="1871"/>
    </row>
    <row r="142" spans="1:14" x14ac:dyDescent="0.2">
      <c r="B142" s="1870"/>
      <c r="C142" s="1870"/>
      <c r="D142" s="1870"/>
      <c r="E142" s="1870"/>
      <c r="F142" s="1870"/>
      <c r="G142" s="1871"/>
      <c r="H142" s="1871"/>
      <c r="I142" s="1871"/>
      <c r="J142" s="1871"/>
      <c r="K142" s="1871"/>
      <c r="L142" s="1871"/>
    </row>
    <row r="143" spans="1:14" x14ac:dyDescent="0.2">
      <c r="B143" s="1870"/>
      <c r="C143" s="1870"/>
      <c r="D143" s="1870"/>
      <c r="E143" s="1870"/>
      <c r="F143" s="1870"/>
      <c r="G143" s="1871"/>
      <c r="H143" s="1871"/>
      <c r="I143" s="1871"/>
      <c r="J143" s="1871"/>
      <c r="K143" s="1871"/>
      <c r="L143" s="1871"/>
    </row>
  </sheetData>
  <sheetProtection algorithmName="SHA-512" hashValue="cVLlkjVxNuqiqexUyfmDwRtYFY6WQD19FfVXyaynTKZS/HV9gHdc5V6ySEX6ZhMhrUaJxyfPHYdS6iIVAuFsJw==" saltValue="WzMdfcgdtOdi1Fy1YMEi7g==" spinCount="100000" sheet="1" objects="1" scenarios="1"/>
  <mergeCells count="76">
    <mergeCell ref="A83:B83"/>
    <mergeCell ref="A84:B84"/>
    <mergeCell ref="A67:L67"/>
    <mergeCell ref="A119:B119"/>
    <mergeCell ref="A125:B125"/>
    <mergeCell ref="A114:B114"/>
    <mergeCell ref="A115:B115"/>
    <mergeCell ref="A116:B116"/>
    <mergeCell ref="A117:B117"/>
    <mergeCell ref="A118:B118"/>
    <mergeCell ref="A109:B109"/>
    <mergeCell ref="A110:B110"/>
    <mergeCell ref="A111:B111"/>
    <mergeCell ref="A112:B112"/>
    <mergeCell ref="A113:B113"/>
    <mergeCell ref="A94:B94"/>
    <mergeCell ref="A126:B126"/>
    <mergeCell ref="A127:B127"/>
    <mergeCell ref="A128:B128"/>
    <mergeCell ref="A120:B120"/>
    <mergeCell ref="A121:B121"/>
    <mergeCell ref="A122:B122"/>
    <mergeCell ref="A123:B123"/>
    <mergeCell ref="A124:B124"/>
    <mergeCell ref="A95:B95"/>
    <mergeCell ref="A106:B106"/>
    <mergeCell ref="A107:B107"/>
    <mergeCell ref="A108:B108"/>
    <mergeCell ref="A102:B102"/>
    <mergeCell ref="A96:B96"/>
    <mergeCell ref="A97:B97"/>
    <mergeCell ref="A98:B98"/>
    <mergeCell ref="A99:B99"/>
    <mergeCell ref="A100:B100"/>
    <mergeCell ref="A101:B101"/>
    <mergeCell ref="A129:B129"/>
    <mergeCell ref="A130:B130"/>
    <mergeCell ref="A81:B81"/>
    <mergeCell ref="A82:B82"/>
    <mergeCell ref="A103:B103"/>
    <mergeCell ref="A104:B104"/>
    <mergeCell ref="A105:B105"/>
    <mergeCell ref="A85:B85"/>
    <mergeCell ref="A86:B86"/>
    <mergeCell ref="A87:B87"/>
    <mergeCell ref="A88:B88"/>
    <mergeCell ref="A89:B89"/>
    <mergeCell ref="A90:B90"/>
    <mergeCell ref="A91:B91"/>
    <mergeCell ref="A92:B92"/>
    <mergeCell ref="A93:B93"/>
    <mergeCell ref="A9:L9"/>
    <mergeCell ref="A10:L10"/>
    <mergeCell ref="A52:L52"/>
    <mergeCell ref="A53:B53"/>
    <mergeCell ref="B143:L143"/>
    <mergeCell ref="B141:L141"/>
    <mergeCell ref="B142:L142"/>
    <mergeCell ref="A77:B77"/>
    <mergeCell ref="A70:L71"/>
    <mergeCell ref="A76:B76"/>
    <mergeCell ref="A132:B132"/>
    <mergeCell ref="A78:B78"/>
    <mergeCell ref="A79:B79"/>
    <mergeCell ref="A80:B80"/>
    <mergeCell ref="A131:B131"/>
    <mergeCell ref="B137:L137"/>
    <mergeCell ref="A56:B56"/>
    <mergeCell ref="A57:B57"/>
    <mergeCell ref="A63:L63"/>
    <mergeCell ref="A54:B54"/>
    <mergeCell ref="A55:B55"/>
    <mergeCell ref="A62:L62"/>
    <mergeCell ref="A61:L61"/>
    <mergeCell ref="A60:L60"/>
    <mergeCell ref="A59:L59"/>
  </mergeCells>
  <phoneticPr fontId="16" type="noConversion"/>
  <dataValidations count="1">
    <dataValidation type="list" allowBlank="1" showInputMessage="1" showErrorMessage="1" sqref="C14:L14 N14" xr:uid="{00000000-0002-0000-1800-000000000000}">
      <formula1>"CGAAP, MIFRS, USGAAP, ASPE"</formula1>
    </dataValidation>
  </dataValidations>
  <pageMargins left="0.75" right="0.75" top="1" bottom="1" header="0.5" footer="0.5"/>
  <pageSetup scale="36" orientation="portrait"/>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0">
    <tabColor theme="9" tint="0.39997558519241921"/>
  </sheetPr>
  <dimension ref="A1:H41"/>
  <sheetViews>
    <sheetView workbookViewId="0"/>
  </sheetViews>
  <sheetFormatPr defaultRowHeight="12.75" x14ac:dyDescent="0.2"/>
  <cols>
    <col min="1" max="1" width="10.5703125" bestFit="1" customWidth="1"/>
    <col min="2" max="2" width="10.28515625" bestFit="1" customWidth="1"/>
    <col min="4" max="4" width="10.7109375" bestFit="1" customWidth="1"/>
    <col min="5" max="5" width="17" bestFit="1" customWidth="1"/>
    <col min="6" max="6" width="24.28515625" bestFit="1" customWidth="1"/>
  </cols>
  <sheetData>
    <row r="1" spans="1:8" x14ac:dyDescent="0.2">
      <c r="A1" t="s">
        <v>1208</v>
      </c>
      <c r="B1" t="s">
        <v>1209</v>
      </c>
      <c r="C1" t="s">
        <v>290</v>
      </c>
      <c r="D1" t="s">
        <v>289</v>
      </c>
      <c r="E1" t="s">
        <v>288</v>
      </c>
      <c r="F1" t="s">
        <v>1270</v>
      </c>
      <c r="G1" t="s">
        <v>10</v>
      </c>
      <c r="H1" t="s">
        <v>1271</v>
      </c>
    </row>
    <row r="2" spans="1:8" x14ac:dyDescent="0.2">
      <c r="A2" t="str">
        <f>'LDC Info'!$E$14</f>
        <v>Niagara-on-the-Lake Hydro Inc.</v>
      </c>
      <c r="B2" t="str">
        <f t="shared" ref="B2:B41" si="0">EBNUMBER</f>
        <v>EB-2018-0056</v>
      </c>
      <c r="C2">
        <f t="shared" ref="C2:C41" si="1">TestYear</f>
        <v>2019</v>
      </c>
      <c r="D2">
        <f t="shared" ref="D2:D41" si="2">BridgeYear</f>
        <v>2018</v>
      </c>
      <c r="E2">
        <f t="shared" ref="E2:E41" si="3">RebaseYear</f>
        <v>2014</v>
      </c>
      <c r="F2" t="s">
        <v>24</v>
      </c>
      <c r="G2">
        <v>2010</v>
      </c>
      <c r="H2">
        <f>'App.2-H_Other_Oper_Rev'!C53</f>
        <v>0</v>
      </c>
    </row>
    <row r="3" spans="1:8" x14ac:dyDescent="0.2">
      <c r="A3" t="str">
        <f>'LDC Info'!$E$14</f>
        <v>Niagara-on-the-Lake Hydro Inc.</v>
      </c>
      <c r="B3" t="str">
        <f t="shared" si="0"/>
        <v>EB-2018-0056</v>
      </c>
      <c r="C3">
        <f t="shared" si="1"/>
        <v>2019</v>
      </c>
      <c r="D3">
        <f t="shared" si="2"/>
        <v>2018</v>
      </c>
      <c r="E3">
        <f t="shared" si="3"/>
        <v>2014</v>
      </c>
      <c r="F3" t="s">
        <v>25</v>
      </c>
      <c r="G3">
        <v>2010</v>
      </c>
      <c r="H3">
        <f>'App.2-H_Other_Oper_Rev'!C54</f>
        <v>0</v>
      </c>
    </row>
    <row r="4" spans="1:8" x14ac:dyDescent="0.2">
      <c r="A4" t="str">
        <f>'LDC Info'!$E$14</f>
        <v>Niagara-on-the-Lake Hydro Inc.</v>
      </c>
      <c r="B4" t="str">
        <f t="shared" si="0"/>
        <v>EB-2018-0056</v>
      </c>
      <c r="C4">
        <f t="shared" si="1"/>
        <v>2019</v>
      </c>
      <c r="D4">
        <f t="shared" si="2"/>
        <v>2018</v>
      </c>
      <c r="E4">
        <f t="shared" si="3"/>
        <v>2014</v>
      </c>
      <c r="F4" t="s">
        <v>198</v>
      </c>
      <c r="G4">
        <v>2010</v>
      </c>
      <c r="H4">
        <f>'App.2-H_Other_Oper_Rev'!C55</f>
        <v>0</v>
      </c>
    </row>
    <row r="5" spans="1:8" x14ac:dyDescent="0.2">
      <c r="A5" t="str">
        <f>'LDC Info'!$E$14</f>
        <v>Niagara-on-the-Lake Hydro Inc.</v>
      </c>
      <c r="B5" t="str">
        <f t="shared" si="0"/>
        <v>EB-2018-0056</v>
      </c>
      <c r="C5">
        <f t="shared" si="1"/>
        <v>2019</v>
      </c>
      <c r="D5">
        <f t="shared" si="2"/>
        <v>2018</v>
      </c>
      <c r="E5">
        <f t="shared" si="3"/>
        <v>2014</v>
      </c>
      <c r="F5" t="s">
        <v>199</v>
      </c>
      <c r="G5">
        <v>2010</v>
      </c>
      <c r="H5">
        <f>'App.2-H_Other_Oper_Rev'!C56</f>
        <v>0</v>
      </c>
    </row>
    <row r="6" spans="1:8" x14ac:dyDescent="0.2">
      <c r="A6" t="str">
        <f>'LDC Info'!$E$14</f>
        <v>Niagara-on-the-Lake Hydro Inc.</v>
      </c>
      <c r="B6" t="str">
        <f t="shared" si="0"/>
        <v>EB-2018-0056</v>
      </c>
      <c r="C6">
        <f t="shared" si="1"/>
        <v>2019</v>
      </c>
      <c r="D6">
        <f t="shared" si="2"/>
        <v>2018</v>
      </c>
      <c r="E6">
        <f t="shared" si="3"/>
        <v>2014</v>
      </c>
      <c r="F6" t="s">
        <v>24</v>
      </c>
      <c r="G6">
        <v>2011</v>
      </c>
      <c r="H6">
        <f>'App.2-H_Other_Oper_Rev'!D53</f>
        <v>0</v>
      </c>
    </row>
    <row r="7" spans="1:8" x14ac:dyDescent="0.2">
      <c r="A7" t="str">
        <f>'LDC Info'!$E$14</f>
        <v>Niagara-on-the-Lake Hydro Inc.</v>
      </c>
      <c r="B7" t="str">
        <f t="shared" si="0"/>
        <v>EB-2018-0056</v>
      </c>
      <c r="C7">
        <f t="shared" si="1"/>
        <v>2019</v>
      </c>
      <c r="D7">
        <f t="shared" si="2"/>
        <v>2018</v>
      </c>
      <c r="E7">
        <f t="shared" si="3"/>
        <v>2014</v>
      </c>
      <c r="F7" t="s">
        <v>25</v>
      </c>
      <c r="G7">
        <v>2011</v>
      </c>
      <c r="H7">
        <f>'App.2-H_Other_Oper_Rev'!D54</f>
        <v>0</v>
      </c>
    </row>
    <row r="8" spans="1:8" x14ac:dyDescent="0.2">
      <c r="A8" t="str">
        <f>'LDC Info'!$E$14</f>
        <v>Niagara-on-the-Lake Hydro Inc.</v>
      </c>
      <c r="B8" t="str">
        <f t="shared" si="0"/>
        <v>EB-2018-0056</v>
      </c>
      <c r="C8">
        <f t="shared" si="1"/>
        <v>2019</v>
      </c>
      <c r="D8">
        <f t="shared" si="2"/>
        <v>2018</v>
      </c>
      <c r="E8">
        <f t="shared" si="3"/>
        <v>2014</v>
      </c>
      <c r="F8" t="s">
        <v>198</v>
      </c>
      <c r="G8">
        <v>2011</v>
      </c>
      <c r="H8">
        <f>'App.2-H_Other_Oper_Rev'!D55</f>
        <v>0</v>
      </c>
    </row>
    <row r="9" spans="1:8" x14ac:dyDescent="0.2">
      <c r="A9" t="str">
        <f>'LDC Info'!$E$14</f>
        <v>Niagara-on-the-Lake Hydro Inc.</v>
      </c>
      <c r="B9" t="str">
        <f t="shared" si="0"/>
        <v>EB-2018-0056</v>
      </c>
      <c r="C9">
        <f t="shared" si="1"/>
        <v>2019</v>
      </c>
      <c r="D9">
        <f t="shared" si="2"/>
        <v>2018</v>
      </c>
      <c r="E9">
        <f t="shared" si="3"/>
        <v>2014</v>
      </c>
      <c r="F9" t="s">
        <v>199</v>
      </c>
      <c r="G9">
        <v>2011</v>
      </c>
      <c r="H9">
        <f>'App.2-H_Other_Oper_Rev'!D56</f>
        <v>0</v>
      </c>
    </row>
    <row r="10" spans="1:8" x14ac:dyDescent="0.2">
      <c r="A10" t="str">
        <f>'LDC Info'!$E$14</f>
        <v>Niagara-on-the-Lake Hydro Inc.</v>
      </c>
      <c r="B10" t="str">
        <f t="shared" si="0"/>
        <v>EB-2018-0056</v>
      </c>
      <c r="C10">
        <f t="shared" si="1"/>
        <v>2019</v>
      </c>
      <c r="D10">
        <f t="shared" si="2"/>
        <v>2018</v>
      </c>
      <c r="E10">
        <f t="shared" si="3"/>
        <v>2014</v>
      </c>
      <c r="F10" t="s">
        <v>24</v>
      </c>
      <c r="G10">
        <v>2012</v>
      </c>
      <c r="H10">
        <f>'App.2-H_Other_Oper_Rev'!E53</f>
        <v>0</v>
      </c>
    </row>
    <row r="11" spans="1:8" x14ac:dyDescent="0.2">
      <c r="A11" t="str">
        <f>'LDC Info'!$E$14</f>
        <v>Niagara-on-the-Lake Hydro Inc.</v>
      </c>
      <c r="B11" t="str">
        <f t="shared" si="0"/>
        <v>EB-2018-0056</v>
      </c>
      <c r="C11">
        <f t="shared" si="1"/>
        <v>2019</v>
      </c>
      <c r="D11">
        <f t="shared" si="2"/>
        <v>2018</v>
      </c>
      <c r="E11">
        <f t="shared" si="3"/>
        <v>2014</v>
      </c>
      <c r="F11" t="s">
        <v>25</v>
      </c>
      <c r="G11">
        <v>2012</v>
      </c>
      <c r="H11">
        <f>'App.2-H_Other_Oper_Rev'!E54</f>
        <v>0</v>
      </c>
    </row>
    <row r="12" spans="1:8" x14ac:dyDescent="0.2">
      <c r="A12" t="str">
        <f>'LDC Info'!$E$14</f>
        <v>Niagara-on-the-Lake Hydro Inc.</v>
      </c>
      <c r="B12" t="str">
        <f t="shared" si="0"/>
        <v>EB-2018-0056</v>
      </c>
      <c r="C12">
        <f t="shared" si="1"/>
        <v>2019</v>
      </c>
      <c r="D12">
        <f t="shared" si="2"/>
        <v>2018</v>
      </c>
      <c r="E12">
        <f t="shared" si="3"/>
        <v>2014</v>
      </c>
      <c r="F12" t="s">
        <v>198</v>
      </c>
      <c r="G12">
        <v>2012</v>
      </c>
      <c r="H12">
        <f>'App.2-H_Other_Oper_Rev'!E55</f>
        <v>0</v>
      </c>
    </row>
    <row r="13" spans="1:8" x14ac:dyDescent="0.2">
      <c r="A13" t="str">
        <f>'LDC Info'!$E$14</f>
        <v>Niagara-on-the-Lake Hydro Inc.</v>
      </c>
      <c r="B13" t="str">
        <f t="shared" si="0"/>
        <v>EB-2018-0056</v>
      </c>
      <c r="C13">
        <f t="shared" si="1"/>
        <v>2019</v>
      </c>
      <c r="D13">
        <f t="shared" si="2"/>
        <v>2018</v>
      </c>
      <c r="E13">
        <f t="shared" si="3"/>
        <v>2014</v>
      </c>
      <c r="F13" t="s">
        <v>199</v>
      </c>
      <c r="G13">
        <v>2012</v>
      </c>
      <c r="H13">
        <f>'App.2-H_Other_Oper_Rev'!E56</f>
        <v>0</v>
      </c>
    </row>
    <row r="14" spans="1:8" x14ac:dyDescent="0.2">
      <c r="A14" t="str">
        <f>'LDC Info'!$E$14</f>
        <v>Niagara-on-the-Lake Hydro Inc.</v>
      </c>
      <c r="B14" t="str">
        <f t="shared" si="0"/>
        <v>EB-2018-0056</v>
      </c>
      <c r="C14">
        <f t="shared" si="1"/>
        <v>2019</v>
      </c>
      <c r="D14">
        <f t="shared" si="2"/>
        <v>2018</v>
      </c>
      <c r="E14">
        <f t="shared" si="3"/>
        <v>2014</v>
      </c>
      <c r="F14" t="s">
        <v>24</v>
      </c>
      <c r="G14">
        <v>2013</v>
      </c>
      <c r="H14">
        <f>'App.2-H_Other_Oper_Rev'!F53</f>
        <v>0</v>
      </c>
    </row>
    <row r="15" spans="1:8" x14ac:dyDescent="0.2">
      <c r="A15" t="str">
        <f>'LDC Info'!$E$14</f>
        <v>Niagara-on-the-Lake Hydro Inc.</v>
      </c>
      <c r="B15" t="str">
        <f t="shared" si="0"/>
        <v>EB-2018-0056</v>
      </c>
      <c r="C15">
        <f t="shared" si="1"/>
        <v>2019</v>
      </c>
      <c r="D15">
        <f t="shared" si="2"/>
        <v>2018</v>
      </c>
      <c r="E15">
        <f t="shared" si="3"/>
        <v>2014</v>
      </c>
      <c r="F15" t="s">
        <v>25</v>
      </c>
      <c r="G15">
        <v>2013</v>
      </c>
      <c r="H15">
        <f>'App.2-H_Other_Oper_Rev'!F54</f>
        <v>0</v>
      </c>
    </row>
    <row r="16" spans="1:8" x14ac:dyDescent="0.2">
      <c r="A16" t="str">
        <f>'LDC Info'!$E$14</f>
        <v>Niagara-on-the-Lake Hydro Inc.</v>
      </c>
      <c r="B16" t="str">
        <f t="shared" si="0"/>
        <v>EB-2018-0056</v>
      </c>
      <c r="C16">
        <f t="shared" si="1"/>
        <v>2019</v>
      </c>
      <c r="D16">
        <f t="shared" si="2"/>
        <v>2018</v>
      </c>
      <c r="E16">
        <f t="shared" si="3"/>
        <v>2014</v>
      </c>
      <c r="F16" t="s">
        <v>198</v>
      </c>
      <c r="G16">
        <v>2013</v>
      </c>
      <c r="H16">
        <f>'App.2-H_Other_Oper_Rev'!F55</f>
        <v>0</v>
      </c>
    </row>
    <row r="17" spans="1:8" x14ac:dyDescent="0.2">
      <c r="A17" t="str">
        <f>'LDC Info'!$E$14</f>
        <v>Niagara-on-the-Lake Hydro Inc.</v>
      </c>
      <c r="B17" t="str">
        <f t="shared" si="0"/>
        <v>EB-2018-0056</v>
      </c>
      <c r="C17">
        <f t="shared" si="1"/>
        <v>2019</v>
      </c>
      <c r="D17">
        <f t="shared" si="2"/>
        <v>2018</v>
      </c>
      <c r="E17">
        <f t="shared" si="3"/>
        <v>2014</v>
      </c>
      <c r="F17" t="s">
        <v>199</v>
      </c>
      <c r="G17">
        <v>2013</v>
      </c>
      <c r="H17">
        <f>'App.2-H_Other_Oper_Rev'!F56</f>
        <v>0</v>
      </c>
    </row>
    <row r="18" spans="1:8" x14ac:dyDescent="0.2">
      <c r="A18" t="str">
        <f>'LDC Info'!$E$14</f>
        <v>Niagara-on-the-Lake Hydro Inc.</v>
      </c>
      <c r="B18" t="str">
        <f t="shared" si="0"/>
        <v>EB-2018-0056</v>
      </c>
      <c r="C18">
        <f t="shared" si="1"/>
        <v>2019</v>
      </c>
      <c r="D18">
        <f t="shared" si="2"/>
        <v>2018</v>
      </c>
      <c r="E18">
        <f t="shared" si="3"/>
        <v>2014</v>
      </c>
      <c r="F18" t="s">
        <v>24</v>
      </c>
      <c r="G18">
        <v>2014</v>
      </c>
      <c r="H18">
        <f>'App.2-H_Other_Oper_Rev'!G53</f>
        <v>-62396.99</v>
      </c>
    </row>
    <row r="19" spans="1:8" x14ac:dyDescent="0.2">
      <c r="A19" t="str">
        <f>'LDC Info'!$E$14</f>
        <v>Niagara-on-the-Lake Hydro Inc.</v>
      </c>
      <c r="B19" t="str">
        <f t="shared" si="0"/>
        <v>EB-2018-0056</v>
      </c>
      <c r="C19">
        <f t="shared" si="1"/>
        <v>2019</v>
      </c>
      <c r="D19">
        <f t="shared" si="2"/>
        <v>2018</v>
      </c>
      <c r="E19">
        <f t="shared" si="3"/>
        <v>2014</v>
      </c>
      <c r="F19" t="s">
        <v>25</v>
      </c>
      <c r="G19">
        <v>2014</v>
      </c>
      <c r="H19">
        <f>'App.2-H_Other_Oper_Rev'!G54</f>
        <v>-46082.97</v>
      </c>
    </row>
    <row r="20" spans="1:8" x14ac:dyDescent="0.2">
      <c r="A20" t="str">
        <f>'LDC Info'!$E$14</f>
        <v>Niagara-on-the-Lake Hydro Inc.</v>
      </c>
      <c r="B20" t="str">
        <f t="shared" si="0"/>
        <v>EB-2018-0056</v>
      </c>
      <c r="C20">
        <f t="shared" si="1"/>
        <v>2019</v>
      </c>
      <c r="D20">
        <f t="shared" si="2"/>
        <v>2018</v>
      </c>
      <c r="E20">
        <f t="shared" si="3"/>
        <v>2014</v>
      </c>
      <c r="F20" t="s">
        <v>198</v>
      </c>
      <c r="G20">
        <v>2014</v>
      </c>
      <c r="H20">
        <f>'App.2-H_Other_Oper_Rev'!G55</f>
        <v>-110062.53</v>
      </c>
    </row>
    <row r="21" spans="1:8" x14ac:dyDescent="0.2">
      <c r="A21" t="str">
        <f>'LDC Info'!$E$14</f>
        <v>Niagara-on-the-Lake Hydro Inc.</v>
      </c>
      <c r="B21" t="str">
        <f t="shared" si="0"/>
        <v>EB-2018-0056</v>
      </c>
      <c r="C21">
        <f t="shared" si="1"/>
        <v>2019</v>
      </c>
      <c r="D21">
        <f t="shared" si="2"/>
        <v>2018</v>
      </c>
      <c r="E21">
        <f t="shared" si="3"/>
        <v>2014</v>
      </c>
      <c r="F21" t="s">
        <v>199</v>
      </c>
      <c r="G21">
        <v>2014</v>
      </c>
      <c r="H21">
        <f>'App.2-H_Other_Oper_Rev'!G56</f>
        <v>262982.26999999996</v>
      </c>
    </row>
    <row r="22" spans="1:8" x14ac:dyDescent="0.2">
      <c r="A22" t="str">
        <f>'LDC Info'!$E$14</f>
        <v>Niagara-on-the-Lake Hydro Inc.</v>
      </c>
      <c r="B22" t="str">
        <f t="shared" si="0"/>
        <v>EB-2018-0056</v>
      </c>
      <c r="C22">
        <f t="shared" si="1"/>
        <v>2019</v>
      </c>
      <c r="D22">
        <f t="shared" si="2"/>
        <v>2018</v>
      </c>
      <c r="E22">
        <f t="shared" si="3"/>
        <v>2014</v>
      </c>
      <c r="F22" t="s">
        <v>24</v>
      </c>
      <c r="G22">
        <v>2015</v>
      </c>
      <c r="H22">
        <f>'App.2-H_Other_Oper_Rev'!H53</f>
        <v>-72345.62000000001</v>
      </c>
    </row>
    <row r="23" spans="1:8" x14ac:dyDescent="0.2">
      <c r="A23" t="str">
        <f>'LDC Info'!$E$14</f>
        <v>Niagara-on-the-Lake Hydro Inc.</v>
      </c>
      <c r="B23" t="str">
        <f t="shared" si="0"/>
        <v>EB-2018-0056</v>
      </c>
      <c r="C23">
        <f t="shared" si="1"/>
        <v>2019</v>
      </c>
      <c r="D23">
        <f t="shared" si="2"/>
        <v>2018</v>
      </c>
      <c r="E23">
        <f t="shared" si="3"/>
        <v>2014</v>
      </c>
      <c r="F23" t="s">
        <v>25</v>
      </c>
      <c r="G23">
        <v>2015</v>
      </c>
      <c r="H23">
        <f>'App.2-H_Other_Oper_Rev'!H54</f>
        <v>-60801.81</v>
      </c>
    </row>
    <row r="24" spans="1:8" x14ac:dyDescent="0.2">
      <c r="A24" t="str">
        <f>'LDC Info'!$E$14</f>
        <v>Niagara-on-the-Lake Hydro Inc.</v>
      </c>
      <c r="B24" t="str">
        <f t="shared" si="0"/>
        <v>EB-2018-0056</v>
      </c>
      <c r="C24">
        <f t="shared" si="1"/>
        <v>2019</v>
      </c>
      <c r="D24">
        <f t="shared" si="2"/>
        <v>2018</v>
      </c>
      <c r="E24">
        <f t="shared" si="3"/>
        <v>2014</v>
      </c>
      <c r="F24" t="s">
        <v>198</v>
      </c>
      <c r="G24">
        <v>2015</v>
      </c>
      <c r="H24">
        <f>'App.2-H_Other_Oper_Rev'!H55</f>
        <v>-110074.54999999999</v>
      </c>
    </row>
    <row r="25" spans="1:8" x14ac:dyDescent="0.2">
      <c r="A25" t="str">
        <f>'LDC Info'!$E$14</f>
        <v>Niagara-on-the-Lake Hydro Inc.</v>
      </c>
      <c r="B25" t="str">
        <f t="shared" si="0"/>
        <v>EB-2018-0056</v>
      </c>
      <c r="C25">
        <f t="shared" si="1"/>
        <v>2019</v>
      </c>
      <c r="D25">
        <f t="shared" si="2"/>
        <v>2018</v>
      </c>
      <c r="E25">
        <f t="shared" si="3"/>
        <v>2014</v>
      </c>
      <c r="F25" t="s">
        <v>199</v>
      </c>
      <c r="G25">
        <v>2015</v>
      </c>
      <c r="H25">
        <f>'App.2-H_Other_Oper_Rev'!H56</f>
        <v>-5693.1800000001922</v>
      </c>
    </row>
    <row r="26" spans="1:8" x14ac:dyDescent="0.2">
      <c r="A26" t="str">
        <f>'LDC Info'!$E$14</f>
        <v>Niagara-on-the-Lake Hydro Inc.</v>
      </c>
      <c r="B26" t="str">
        <f t="shared" si="0"/>
        <v>EB-2018-0056</v>
      </c>
      <c r="C26">
        <f t="shared" si="1"/>
        <v>2019</v>
      </c>
      <c r="D26">
        <f t="shared" si="2"/>
        <v>2018</v>
      </c>
      <c r="E26">
        <f t="shared" si="3"/>
        <v>2014</v>
      </c>
      <c r="F26" t="s">
        <v>24</v>
      </c>
      <c r="G26">
        <v>2016</v>
      </c>
      <c r="H26">
        <f>'App.2-H_Other_Oper_Rev'!I53</f>
        <v>-80629.649999999994</v>
      </c>
    </row>
    <row r="27" spans="1:8" x14ac:dyDescent="0.2">
      <c r="A27" t="str">
        <f>'LDC Info'!$E$14</f>
        <v>Niagara-on-the-Lake Hydro Inc.</v>
      </c>
      <c r="B27" t="str">
        <f t="shared" si="0"/>
        <v>EB-2018-0056</v>
      </c>
      <c r="C27">
        <f t="shared" si="1"/>
        <v>2019</v>
      </c>
      <c r="D27">
        <f t="shared" si="2"/>
        <v>2018</v>
      </c>
      <c r="E27">
        <f t="shared" si="3"/>
        <v>2014</v>
      </c>
      <c r="F27" t="s">
        <v>25</v>
      </c>
      <c r="G27">
        <v>2016</v>
      </c>
      <c r="H27">
        <f>'App.2-H_Other_Oper_Rev'!I54</f>
        <v>-64838.15</v>
      </c>
    </row>
    <row r="28" spans="1:8" x14ac:dyDescent="0.2">
      <c r="A28" t="str">
        <f>'LDC Info'!$E$14</f>
        <v>Niagara-on-the-Lake Hydro Inc.</v>
      </c>
      <c r="B28" t="str">
        <f t="shared" si="0"/>
        <v>EB-2018-0056</v>
      </c>
      <c r="C28">
        <f t="shared" si="1"/>
        <v>2019</v>
      </c>
      <c r="D28">
        <f t="shared" si="2"/>
        <v>2018</v>
      </c>
      <c r="E28">
        <f t="shared" si="3"/>
        <v>2014</v>
      </c>
      <c r="F28" t="s">
        <v>198</v>
      </c>
      <c r="G28">
        <v>2016</v>
      </c>
      <c r="H28">
        <f>'App.2-H_Other_Oper_Rev'!I55</f>
        <v>-156473.81</v>
      </c>
    </row>
    <row r="29" spans="1:8" x14ac:dyDescent="0.2">
      <c r="A29" t="str">
        <f>'LDC Info'!$E$14</f>
        <v>Niagara-on-the-Lake Hydro Inc.</v>
      </c>
      <c r="B29" t="str">
        <f t="shared" si="0"/>
        <v>EB-2018-0056</v>
      </c>
      <c r="C29">
        <f t="shared" si="1"/>
        <v>2019</v>
      </c>
      <c r="D29">
        <f t="shared" si="2"/>
        <v>2018</v>
      </c>
      <c r="E29">
        <f t="shared" si="3"/>
        <v>2014</v>
      </c>
      <c r="F29" t="s">
        <v>199</v>
      </c>
      <c r="G29">
        <v>2016</v>
      </c>
      <c r="H29">
        <f>'App.2-H_Other_Oper_Rev'!I56</f>
        <v>-16930.669999999962</v>
      </c>
    </row>
    <row r="30" spans="1:8" x14ac:dyDescent="0.2">
      <c r="A30" t="str">
        <f>'LDC Info'!$E$14</f>
        <v>Niagara-on-the-Lake Hydro Inc.</v>
      </c>
      <c r="B30" t="str">
        <f t="shared" si="0"/>
        <v>EB-2018-0056</v>
      </c>
      <c r="C30">
        <f t="shared" si="1"/>
        <v>2019</v>
      </c>
      <c r="D30">
        <f t="shared" si="2"/>
        <v>2018</v>
      </c>
      <c r="E30">
        <f t="shared" si="3"/>
        <v>2014</v>
      </c>
      <c r="F30" t="s">
        <v>24</v>
      </c>
      <c r="G30">
        <v>2017</v>
      </c>
      <c r="H30">
        <f>'App.2-H_Other_Oper_Rev'!J53</f>
        <v>-82555.78</v>
      </c>
    </row>
    <row r="31" spans="1:8" x14ac:dyDescent="0.2">
      <c r="A31" t="str">
        <f>'LDC Info'!$E$14</f>
        <v>Niagara-on-the-Lake Hydro Inc.</v>
      </c>
      <c r="B31" t="str">
        <f t="shared" si="0"/>
        <v>EB-2018-0056</v>
      </c>
      <c r="C31">
        <f t="shared" si="1"/>
        <v>2019</v>
      </c>
      <c r="D31">
        <f t="shared" si="2"/>
        <v>2018</v>
      </c>
      <c r="E31">
        <f t="shared" si="3"/>
        <v>2014</v>
      </c>
      <c r="F31" t="s">
        <v>25</v>
      </c>
      <c r="G31">
        <v>2017</v>
      </c>
      <c r="H31">
        <f>'App.2-H_Other_Oper_Rev'!J54</f>
        <v>-45412.42</v>
      </c>
    </row>
    <row r="32" spans="1:8" x14ac:dyDescent="0.2">
      <c r="A32" t="str">
        <f>'LDC Info'!$E$14</f>
        <v>Niagara-on-the-Lake Hydro Inc.</v>
      </c>
      <c r="B32" t="str">
        <f t="shared" si="0"/>
        <v>EB-2018-0056</v>
      </c>
      <c r="C32">
        <f t="shared" si="1"/>
        <v>2019</v>
      </c>
      <c r="D32">
        <f t="shared" si="2"/>
        <v>2018</v>
      </c>
      <c r="E32">
        <f t="shared" si="3"/>
        <v>2014</v>
      </c>
      <c r="F32" t="s">
        <v>198</v>
      </c>
      <c r="G32">
        <v>2017</v>
      </c>
      <c r="H32">
        <f>'App.2-H_Other_Oper_Rev'!J55</f>
        <v>-178103.4</v>
      </c>
    </row>
    <row r="33" spans="1:8" x14ac:dyDescent="0.2">
      <c r="A33" t="str">
        <f>'LDC Info'!$E$14</f>
        <v>Niagara-on-the-Lake Hydro Inc.</v>
      </c>
      <c r="B33" t="str">
        <f t="shared" si="0"/>
        <v>EB-2018-0056</v>
      </c>
      <c r="C33">
        <f t="shared" si="1"/>
        <v>2019</v>
      </c>
      <c r="D33">
        <f t="shared" si="2"/>
        <v>2018</v>
      </c>
      <c r="E33">
        <f t="shared" si="3"/>
        <v>2014</v>
      </c>
      <c r="F33" t="s">
        <v>199</v>
      </c>
      <c r="G33">
        <v>2017</v>
      </c>
      <c r="H33">
        <f>'App.2-H_Other_Oper_Rev'!J56</f>
        <v>68796.679999999935</v>
      </c>
    </row>
    <row r="34" spans="1:8" x14ac:dyDescent="0.2">
      <c r="A34" t="str">
        <f>'LDC Info'!$E$14</f>
        <v>Niagara-on-the-Lake Hydro Inc.</v>
      </c>
      <c r="B34" t="str">
        <f t="shared" si="0"/>
        <v>EB-2018-0056</v>
      </c>
      <c r="C34">
        <f t="shared" si="1"/>
        <v>2019</v>
      </c>
      <c r="D34">
        <f t="shared" si="2"/>
        <v>2018</v>
      </c>
      <c r="E34">
        <f t="shared" si="3"/>
        <v>2014</v>
      </c>
      <c r="F34" t="s">
        <v>24</v>
      </c>
      <c r="G34">
        <v>2018</v>
      </c>
      <c r="H34">
        <f>'App.2-H_Other_Oper_Rev'!K53</f>
        <v>-78463.75499999999</v>
      </c>
    </row>
    <row r="35" spans="1:8" x14ac:dyDescent="0.2">
      <c r="A35" t="str">
        <f>'LDC Info'!$E$14</f>
        <v>Niagara-on-the-Lake Hydro Inc.</v>
      </c>
      <c r="B35" t="str">
        <f t="shared" si="0"/>
        <v>EB-2018-0056</v>
      </c>
      <c r="C35">
        <f t="shared" si="1"/>
        <v>2019</v>
      </c>
      <c r="D35">
        <f t="shared" si="2"/>
        <v>2018</v>
      </c>
      <c r="E35">
        <f t="shared" si="3"/>
        <v>2014</v>
      </c>
      <c r="F35" t="s">
        <v>25</v>
      </c>
      <c r="G35">
        <v>2018</v>
      </c>
      <c r="H35">
        <f>'App.2-H_Other_Oper_Rev'!K54</f>
        <v>-54283.837500000001</v>
      </c>
    </row>
    <row r="36" spans="1:8" x14ac:dyDescent="0.2">
      <c r="A36" t="str">
        <f>'LDC Info'!$E$14</f>
        <v>Niagara-on-the-Lake Hydro Inc.</v>
      </c>
      <c r="B36" t="str">
        <f t="shared" si="0"/>
        <v>EB-2018-0056</v>
      </c>
      <c r="C36">
        <f t="shared" si="1"/>
        <v>2019</v>
      </c>
      <c r="D36">
        <f t="shared" si="2"/>
        <v>2018</v>
      </c>
      <c r="E36">
        <f t="shared" si="3"/>
        <v>2014</v>
      </c>
      <c r="F36" t="s">
        <v>198</v>
      </c>
      <c r="G36">
        <v>2018</v>
      </c>
      <c r="H36">
        <f>'App.2-H_Other_Oper_Rev'!K55</f>
        <v>-201277.04153586621</v>
      </c>
    </row>
    <row r="37" spans="1:8" x14ac:dyDescent="0.2">
      <c r="A37" t="str">
        <f>'LDC Info'!$E$14</f>
        <v>Niagara-on-the-Lake Hydro Inc.</v>
      </c>
      <c r="B37" t="str">
        <f t="shared" si="0"/>
        <v>EB-2018-0056</v>
      </c>
      <c r="C37">
        <f t="shared" si="1"/>
        <v>2019</v>
      </c>
      <c r="D37">
        <f t="shared" si="2"/>
        <v>2018</v>
      </c>
      <c r="E37">
        <f t="shared" si="3"/>
        <v>2014</v>
      </c>
      <c r="F37" t="s">
        <v>199</v>
      </c>
      <c r="G37">
        <v>2018</v>
      </c>
      <c r="H37">
        <f>'App.2-H_Other_Oper_Rev'!K56</f>
        <v>226293.016885875</v>
      </c>
    </row>
    <row r="38" spans="1:8" x14ac:dyDescent="0.2">
      <c r="A38" t="str">
        <f>'LDC Info'!$E$14</f>
        <v>Niagara-on-the-Lake Hydro Inc.</v>
      </c>
      <c r="B38" t="str">
        <f t="shared" si="0"/>
        <v>EB-2018-0056</v>
      </c>
      <c r="C38">
        <f t="shared" si="1"/>
        <v>2019</v>
      </c>
      <c r="D38">
        <f t="shared" si="2"/>
        <v>2018</v>
      </c>
      <c r="E38">
        <f t="shared" si="3"/>
        <v>2014</v>
      </c>
      <c r="F38" t="s">
        <v>24</v>
      </c>
      <c r="G38">
        <v>2019</v>
      </c>
      <c r="H38">
        <f>'App.2-H_Other_Oper_Rev'!L53</f>
        <v>-63854.490769230761</v>
      </c>
    </row>
    <row r="39" spans="1:8" x14ac:dyDescent="0.2">
      <c r="A39" t="str">
        <f>'LDC Info'!$E$14</f>
        <v>Niagara-on-the-Lake Hydro Inc.</v>
      </c>
      <c r="B39" t="str">
        <f t="shared" si="0"/>
        <v>EB-2018-0056</v>
      </c>
      <c r="C39">
        <f t="shared" si="1"/>
        <v>2019</v>
      </c>
      <c r="D39">
        <f t="shared" si="2"/>
        <v>2018</v>
      </c>
      <c r="E39">
        <f t="shared" si="3"/>
        <v>2014</v>
      </c>
      <c r="F39" t="s">
        <v>25</v>
      </c>
      <c r="G39">
        <v>2019</v>
      </c>
      <c r="H39">
        <f>'App.2-H_Other_Oper_Rev'!L54</f>
        <v>-54283.837500000001</v>
      </c>
    </row>
    <row r="40" spans="1:8" x14ac:dyDescent="0.2">
      <c r="A40" t="str">
        <f>'LDC Info'!$E$14</f>
        <v>Niagara-on-the-Lake Hydro Inc.</v>
      </c>
      <c r="B40" t="str">
        <f t="shared" si="0"/>
        <v>EB-2018-0056</v>
      </c>
      <c r="C40">
        <f t="shared" si="1"/>
        <v>2019</v>
      </c>
      <c r="D40">
        <f t="shared" si="2"/>
        <v>2018</v>
      </c>
      <c r="E40">
        <f t="shared" si="3"/>
        <v>2014</v>
      </c>
      <c r="F40" t="s">
        <v>198</v>
      </c>
      <c r="G40">
        <v>2019</v>
      </c>
      <c r="H40">
        <f>'App.2-H_Other_Oper_Rev'!L55</f>
        <v>-313375.16304319742</v>
      </c>
    </row>
    <row r="41" spans="1:8" x14ac:dyDescent="0.2">
      <c r="A41" t="str">
        <f>'LDC Info'!$E$14</f>
        <v>Niagara-on-the-Lake Hydro Inc.</v>
      </c>
      <c r="B41" t="str">
        <f t="shared" si="0"/>
        <v>EB-2018-0056</v>
      </c>
      <c r="C41">
        <f t="shared" si="1"/>
        <v>2019</v>
      </c>
      <c r="D41">
        <f t="shared" si="2"/>
        <v>2018</v>
      </c>
      <c r="E41">
        <f t="shared" si="3"/>
        <v>2014</v>
      </c>
      <c r="F41" t="s">
        <v>199</v>
      </c>
      <c r="G41">
        <v>2019</v>
      </c>
      <c r="H41">
        <f>'App.2-H_Other_Oper_Rev'!L56</f>
        <v>-50933.999999999978</v>
      </c>
    </row>
  </sheetData>
  <sheetProtection algorithmName="SHA-512" hashValue="8DzJ/vXM8siUnsTJrDRP76MbADBe3o2s82GCpo/bERUH5fo+6NnmToKUKeOkcBbVmko1H/9/gyG8BgkCO43esw==" saltValue="XfMZEu2Ko9T8YrBR14NjDQ==" spinCount="100000" sheet="1" objects="1" scenarios="1"/>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4">
    <tabColor theme="9" tint="0.39997558519241921"/>
    <pageSetUpPr fitToPage="1"/>
  </sheetPr>
  <dimension ref="A1:N131"/>
  <sheetViews>
    <sheetView showGridLines="0" zoomScaleNormal="100" workbookViewId="0"/>
  </sheetViews>
  <sheetFormatPr defaultColWidth="9.28515625" defaultRowHeight="15" x14ac:dyDescent="0.25"/>
  <cols>
    <col min="1" max="1" width="30.42578125" style="640" customWidth="1"/>
    <col min="2" max="2" width="22.7109375" style="640" customWidth="1"/>
    <col min="3" max="6" width="18.7109375" style="640" customWidth="1"/>
    <col min="7" max="8" width="15.28515625" style="640" customWidth="1"/>
    <col min="9" max="9" width="12.42578125" style="640" customWidth="1"/>
    <col min="10" max="12" width="9.28515625" style="640" hidden="1" customWidth="1"/>
    <col min="13" max="14" width="0" style="640" hidden="1" customWidth="1"/>
    <col min="15" max="16384" width="9.28515625" style="640"/>
  </cols>
  <sheetData>
    <row r="1" spans="1:10" s="637" customFormat="1" x14ac:dyDescent="0.25">
      <c r="A1" s="637">
        <f>+G71+1</f>
        <v>2021</v>
      </c>
      <c r="G1" s="638" t="s">
        <v>277</v>
      </c>
      <c r="H1" s="639" t="str">
        <f>EBNUMBER</f>
        <v>EB-2018-0056</v>
      </c>
      <c r="I1" s="640"/>
      <c r="J1" s="641"/>
    </row>
    <row r="2" spans="1:10" s="637" customFormat="1" x14ac:dyDescent="0.25">
      <c r="G2" s="638" t="s">
        <v>278</v>
      </c>
      <c r="H2" s="642"/>
      <c r="I2" s="640"/>
      <c r="J2" s="639"/>
    </row>
    <row r="3" spans="1:10" s="637" customFormat="1" x14ac:dyDescent="0.25">
      <c r="G3" s="638" t="s">
        <v>279</v>
      </c>
      <c r="H3" s="642"/>
      <c r="I3" s="640"/>
      <c r="J3" s="639"/>
    </row>
    <row r="4" spans="1:10" s="637" customFormat="1" x14ac:dyDescent="0.25">
      <c r="G4" s="638" t="s">
        <v>280</v>
      </c>
      <c r="H4" s="642"/>
      <c r="I4" s="640"/>
      <c r="J4" s="639"/>
    </row>
    <row r="5" spans="1:10" s="637" customFormat="1" x14ac:dyDescent="0.25">
      <c r="G5" s="638" t="s">
        <v>281</v>
      </c>
      <c r="H5" s="643"/>
      <c r="I5" s="640"/>
      <c r="J5" s="641"/>
    </row>
    <row r="6" spans="1:10" s="637" customFormat="1" x14ac:dyDescent="0.25">
      <c r="G6" s="638"/>
      <c r="H6" s="641"/>
      <c r="I6" s="640"/>
      <c r="J6" s="641"/>
    </row>
    <row r="7" spans="1:10" s="637" customFormat="1" x14ac:dyDescent="0.25">
      <c r="G7" s="638" t="s">
        <v>282</v>
      </c>
      <c r="H7" s="643"/>
      <c r="I7" s="640"/>
      <c r="J7" s="641"/>
    </row>
    <row r="8" spans="1:10" s="637" customFormat="1" ht="12.75" x14ac:dyDescent="0.2">
      <c r="G8" s="644"/>
    </row>
    <row r="9" spans="1:10" s="637" customFormat="1" ht="18" x14ac:dyDescent="0.25">
      <c r="A9" s="1909" t="s">
        <v>154</v>
      </c>
      <c r="B9" s="1909"/>
      <c r="C9" s="1909"/>
      <c r="D9" s="1909"/>
      <c r="E9" s="1909"/>
      <c r="F9" s="1909"/>
      <c r="G9" s="1909"/>
      <c r="H9" s="1909"/>
    </row>
    <row r="10" spans="1:10" s="637" customFormat="1" ht="18" x14ac:dyDescent="0.25">
      <c r="A10" s="1909" t="s">
        <v>1099</v>
      </c>
      <c r="B10" s="1909"/>
      <c r="C10" s="1909"/>
      <c r="D10" s="1909"/>
      <c r="E10" s="1909"/>
      <c r="F10" s="1909"/>
      <c r="G10" s="1909"/>
      <c r="H10" s="1909"/>
    </row>
    <row r="12" spans="1:10" x14ac:dyDescent="0.25">
      <c r="A12" s="1899" t="s">
        <v>1100</v>
      </c>
      <c r="B12" s="1895"/>
      <c r="C12" s="1895"/>
      <c r="D12" s="1895"/>
      <c r="E12" s="1895"/>
      <c r="F12" s="1895"/>
      <c r="G12" s="1895"/>
      <c r="H12" s="1895"/>
    </row>
    <row r="13" spans="1:10" x14ac:dyDescent="0.25">
      <c r="A13" s="645"/>
      <c r="B13" s="645"/>
      <c r="C13" s="645"/>
      <c r="D13" s="645"/>
      <c r="E13" s="645"/>
      <c r="F13" s="645"/>
      <c r="G13" s="645"/>
      <c r="H13" s="645"/>
    </row>
    <row r="14" spans="1:10" x14ac:dyDescent="0.25">
      <c r="A14" s="1899" t="s">
        <v>1101</v>
      </c>
      <c r="B14" s="1895"/>
      <c r="C14" s="1895"/>
      <c r="D14" s="1895"/>
      <c r="E14" s="1895"/>
      <c r="F14" s="1895"/>
      <c r="G14" s="1895"/>
      <c r="H14" s="1895"/>
    </row>
    <row r="15" spans="1:10" x14ac:dyDescent="0.25">
      <c r="A15" s="646"/>
      <c r="B15" s="646"/>
      <c r="C15" s="646"/>
      <c r="D15" s="646"/>
      <c r="E15" s="646"/>
      <c r="F15" s="646"/>
      <c r="G15" s="646"/>
      <c r="H15" s="646"/>
    </row>
    <row r="16" spans="1:10" x14ac:dyDescent="0.25">
      <c r="A16" s="1899" t="s">
        <v>1102</v>
      </c>
      <c r="B16" s="1895"/>
      <c r="C16" s="1895"/>
      <c r="D16" s="1895"/>
      <c r="E16" s="1895"/>
      <c r="F16" s="1895"/>
      <c r="G16" s="1895"/>
      <c r="H16" s="1895"/>
    </row>
    <row r="17" spans="1:8" x14ac:dyDescent="0.25">
      <c r="A17" s="646"/>
      <c r="B17" s="646"/>
      <c r="C17" s="646"/>
      <c r="D17" s="646"/>
      <c r="E17" s="646"/>
      <c r="F17" s="646"/>
      <c r="G17" s="646"/>
      <c r="H17" s="646"/>
    </row>
    <row r="18" spans="1:8" ht="18.75" x14ac:dyDescent="0.25">
      <c r="A18" s="1908" t="s">
        <v>1103</v>
      </c>
      <c r="B18" s="1908"/>
      <c r="C18" s="1908"/>
      <c r="D18" s="1908"/>
      <c r="E18" s="1908"/>
      <c r="F18" s="1908"/>
    </row>
    <row r="19" spans="1:8" x14ac:dyDescent="0.25">
      <c r="A19" s="647"/>
      <c r="B19" s="648"/>
      <c r="C19" s="648"/>
      <c r="D19" s="648"/>
      <c r="E19" s="648"/>
      <c r="F19" s="648"/>
    </row>
    <row r="20" spans="1:8" x14ac:dyDescent="0.25">
      <c r="A20" s="1901" t="s">
        <v>1104</v>
      </c>
      <c r="B20" s="1901"/>
      <c r="C20" s="1901"/>
      <c r="D20" s="1901"/>
      <c r="E20" s="1901"/>
      <c r="F20" s="1901"/>
      <c r="G20" s="1901"/>
      <c r="H20" s="1901"/>
    </row>
    <row r="21" spans="1:8" ht="15.75" thickBot="1" x14ac:dyDescent="0.3">
      <c r="A21" s="647"/>
      <c r="B21" s="648"/>
      <c r="C21" s="648"/>
      <c r="D21" s="648"/>
      <c r="E21" s="648"/>
      <c r="F21" s="648"/>
    </row>
    <row r="22" spans="1:8" x14ac:dyDescent="0.25">
      <c r="A22" s="1902" t="s">
        <v>873</v>
      </c>
      <c r="B22" s="1903"/>
      <c r="C22" s="1903"/>
      <c r="D22" s="1903"/>
      <c r="E22" s="1903"/>
      <c r="F22" s="1903"/>
      <c r="G22" s="1903"/>
      <c r="H22" s="1904"/>
    </row>
    <row r="23" spans="1:8" x14ac:dyDescent="0.25">
      <c r="A23" s="1905">
        <v>11680000</v>
      </c>
      <c r="B23" s="1906"/>
      <c r="C23" s="1906"/>
      <c r="D23" s="1906"/>
      <c r="E23" s="1906"/>
      <c r="F23" s="1906"/>
      <c r="G23" s="1906"/>
      <c r="H23" s="1907"/>
    </row>
    <row r="24" spans="1:8" x14ac:dyDescent="0.25">
      <c r="A24" s="649"/>
      <c r="B24" s="650">
        <v>2015</v>
      </c>
      <c r="C24" s="650">
        <v>2016</v>
      </c>
      <c r="D24" s="650">
        <v>2017</v>
      </c>
      <c r="E24" s="650">
        <v>2018</v>
      </c>
      <c r="F24" s="650">
        <v>2019</v>
      </c>
      <c r="G24" s="650">
        <v>2020</v>
      </c>
      <c r="H24" s="651" t="s">
        <v>272</v>
      </c>
    </row>
    <row r="25" spans="1:8" x14ac:dyDescent="0.25">
      <c r="A25" s="1887" t="s">
        <v>153</v>
      </c>
      <c r="B25" s="1888"/>
      <c r="C25" s="1888"/>
      <c r="D25" s="1888"/>
      <c r="E25" s="1888"/>
      <c r="F25" s="1888"/>
      <c r="G25" s="1888"/>
      <c r="H25" s="1889"/>
    </row>
    <row r="26" spans="1:8" x14ac:dyDescent="0.25">
      <c r="A26" s="652" t="s">
        <v>874</v>
      </c>
      <c r="B26" s="1536">
        <f t="shared" ref="B26:H26" si="0">+B34/$H$40</f>
        <v>5.2004312493195273E-2</v>
      </c>
      <c r="C26" s="1536">
        <f t="shared" si="0"/>
        <v>5.1935954239410484E-2</v>
      </c>
      <c r="D26" s="1536">
        <f t="shared" si="0"/>
        <v>5.1934420720915433E-2</v>
      </c>
      <c r="E26" s="1536">
        <f t="shared" si="0"/>
        <v>5.1118788905700298E-2</v>
      </c>
      <c r="F26" s="1536">
        <f t="shared" si="0"/>
        <v>5.1105037245282724E-2</v>
      </c>
      <c r="G26" s="1536">
        <f t="shared" si="0"/>
        <v>5.1064332330446723E-2</v>
      </c>
      <c r="H26" s="1536">
        <f t="shared" si="0"/>
        <v>0.30916284593495091</v>
      </c>
    </row>
    <row r="27" spans="1:8" x14ac:dyDescent="0.25">
      <c r="A27" s="652" t="s">
        <v>875</v>
      </c>
      <c r="B27" s="653"/>
      <c r="C27" s="1536">
        <f t="shared" ref="C27:H27" si="1">+C35/$H$40</f>
        <v>6.7165759799414887E-2</v>
      </c>
      <c r="D27" s="1536">
        <f t="shared" si="1"/>
        <v>6.7165759799414887E-2</v>
      </c>
      <c r="E27" s="1536">
        <f t="shared" si="1"/>
        <v>6.7152424855979664E-2</v>
      </c>
      <c r="F27" s="1536">
        <f t="shared" si="1"/>
        <v>6.7054329678334343E-2</v>
      </c>
      <c r="G27" s="1536">
        <f t="shared" si="1"/>
        <v>6.6476659928720677E-2</v>
      </c>
      <c r="H27" s="1536">
        <f t="shared" si="1"/>
        <v>0.3350149340618645</v>
      </c>
    </row>
    <row r="28" spans="1:8" x14ac:dyDescent="0.25">
      <c r="A28" s="652" t="s">
        <v>876</v>
      </c>
      <c r="B28" s="653"/>
      <c r="C28" s="653"/>
      <c r="D28" s="1536">
        <f>+D36/$H$40</f>
        <v>6.2055859481077058E-2</v>
      </c>
      <c r="E28" s="1536">
        <f>+E36/$H$40</f>
        <v>5.7475939820892698E-2</v>
      </c>
      <c r="F28" s="1536">
        <f>+F36/$H$40</f>
        <v>5.7468272228417445E-2</v>
      </c>
      <c r="G28" s="1536">
        <f>+G36/$H$40</f>
        <v>5.7424550282629223E-2</v>
      </c>
      <c r="H28" s="1536">
        <f>+H36/$H$40</f>
        <v>0.23442462181301643</v>
      </c>
    </row>
    <row r="29" spans="1:8" x14ac:dyDescent="0.25">
      <c r="A29" s="652" t="s">
        <v>877</v>
      </c>
      <c r="B29" s="653"/>
      <c r="C29" s="653"/>
      <c r="D29" s="654"/>
      <c r="E29" s="1536">
        <f>+E37/$H$40</f>
        <v>2.5562025932067491E-2</v>
      </c>
      <c r="F29" s="1536">
        <f>+F37/$H$40</f>
        <v>2.5409568520941839E-2</v>
      </c>
      <c r="G29" s="1536">
        <f>+G37/$H$40</f>
        <v>2.5258020398550539E-2</v>
      </c>
      <c r="H29" s="1536">
        <f>+H37/$H$40</f>
        <v>7.6229614851559865E-2</v>
      </c>
    </row>
    <row r="30" spans="1:8" x14ac:dyDescent="0.25">
      <c r="A30" s="652" t="s">
        <v>878</v>
      </c>
      <c r="B30" s="653"/>
      <c r="C30" s="653"/>
      <c r="D30" s="654"/>
      <c r="E30" s="654"/>
      <c r="F30" s="1536">
        <f>+F38/$H$40</f>
        <v>1.7422895313568023E-2</v>
      </c>
      <c r="G30" s="1536">
        <f>+G38/$H$40</f>
        <v>1.7318981425017917E-2</v>
      </c>
      <c r="H30" s="1536">
        <f>+H38/$H$40</f>
        <v>3.474187673858594E-2</v>
      </c>
    </row>
    <row r="31" spans="1:8" ht="15.75" thickBot="1" x14ac:dyDescent="0.3">
      <c r="A31" s="655" t="s">
        <v>879</v>
      </c>
      <c r="B31" s="656"/>
      <c r="C31" s="656"/>
      <c r="D31" s="656"/>
      <c r="E31" s="656"/>
      <c r="F31" s="656"/>
      <c r="G31" s="1536">
        <f>+G39/$H$40</f>
        <v>1.0426106600022453E-2</v>
      </c>
      <c r="H31" s="1536">
        <f>+H39/$H$40</f>
        <v>1.0426106600022453E-2</v>
      </c>
    </row>
    <row r="32" spans="1:8" ht="15.75" thickTop="1" x14ac:dyDescent="0.25">
      <c r="A32" s="657" t="s">
        <v>431</v>
      </c>
      <c r="B32" s="658">
        <f t="shared" ref="B32:H32" si="2">SUM(B26:B31)</f>
        <v>5.2004312493195273E-2</v>
      </c>
      <c r="C32" s="658">
        <f t="shared" si="2"/>
        <v>0.11910171403882537</v>
      </c>
      <c r="D32" s="658">
        <f t="shared" si="2"/>
        <v>0.18115604000140739</v>
      </c>
      <c r="E32" s="658">
        <f t="shared" si="2"/>
        <v>0.20130917951464014</v>
      </c>
      <c r="F32" s="658">
        <f t="shared" si="2"/>
        <v>0.21846010298654436</v>
      </c>
      <c r="G32" s="658">
        <f t="shared" si="2"/>
        <v>0.22796865096538754</v>
      </c>
      <c r="H32" s="659">
        <f t="shared" si="2"/>
        <v>1</v>
      </c>
    </row>
    <row r="33" spans="1:14" x14ac:dyDescent="0.25">
      <c r="A33" s="1890" t="s">
        <v>70</v>
      </c>
      <c r="B33" s="1891"/>
      <c r="C33" s="1891"/>
      <c r="D33" s="1891"/>
      <c r="E33" s="1891"/>
      <c r="F33" s="1891"/>
      <c r="G33" s="1891"/>
      <c r="H33" s="1892"/>
    </row>
    <row r="34" spans="1:14" x14ac:dyDescent="0.25">
      <c r="A34" s="652" t="str">
        <f t="shared" ref="A34:A39" si="3">A26</f>
        <v>2015 CDM Programs</v>
      </c>
      <c r="B34" s="660">
        <v>3119882</v>
      </c>
      <c r="C34" s="660">
        <v>3115781</v>
      </c>
      <c r="D34" s="660">
        <v>3115689</v>
      </c>
      <c r="E34" s="660">
        <v>3066757</v>
      </c>
      <c r="F34" s="660">
        <v>3065932</v>
      </c>
      <c r="G34" s="660">
        <v>3063490</v>
      </c>
      <c r="H34" s="661">
        <f t="shared" ref="H34:H39" si="4">SUM(B34:G34)</f>
        <v>18547531</v>
      </c>
    </row>
    <row r="35" spans="1:14" x14ac:dyDescent="0.25">
      <c r="A35" s="652" t="str">
        <f t="shared" si="3"/>
        <v>2016 CDM Programs</v>
      </c>
      <c r="B35" s="662"/>
      <c r="C35" s="663">
        <v>4029459</v>
      </c>
      <c r="D35" s="663">
        <v>4029459</v>
      </c>
      <c r="E35" s="663">
        <v>4028659</v>
      </c>
      <c r="F35" s="663">
        <v>4022774</v>
      </c>
      <c r="G35" s="663">
        <v>3988118</v>
      </c>
      <c r="H35" s="661">
        <f t="shared" si="4"/>
        <v>20098469</v>
      </c>
      <c r="K35" s="640">
        <v>2011</v>
      </c>
      <c r="L35" s="640">
        <v>2012</v>
      </c>
      <c r="M35" s="640">
        <v>2013</v>
      </c>
      <c r="N35" s="640">
        <v>2014</v>
      </c>
    </row>
    <row r="36" spans="1:14" x14ac:dyDescent="0.25">
      <c r="A36" s="652" t="str">
        <f t="shared" si="3"/>
        <v>2017 CDM Programs</v>
      </c>
      <c r="B36" s="662"/>
      <c r="C36" s="664"/>
      <c r="D36" s="663">
        <v>3722902</v>
      </c>
      <c r="E36" s="663">
        <v>3448140</v>
      </c>
      <c r="F36" s="663">
        <v>3447680</v>
      </c>
      <c r="G36" s="663">
        <v>3445057</v>
      </c>
      <c r="H36" s="661">
        <f t="shared" si="4"/>
        <v>14063779</v>
      </c>
      <c r="J36" s="640" t="s">
        <v>1072</v>
      </c>
      <c r="K36" s="665">
        <f>50%</f>
        <v>0.5</v>
      </c>
      <c r="L36" s="666">
        <v>1</v>
      </c>
      <c r="M36" s="667">
        <v>1</v>
      </c>
      <c r="N36" s="667">
        <v>1</v>
      </c>
    </row>
    <row r="37" spans="1:14" x14ac:dyDescent="0.25">
      <c r="A37" s="652" t="str">
        <f t="shared" si="3"/>
        <v>2018 CDM Programs</v>
      </c>
      <c r="B37" s="662"/>
      <c r="C37" s="664"/>
      <c r="D37" s="664"/>
      <c r="E37" s="663">
        <v>1533536.3696890692</v>
      </c>
      <c r="F37" s="663">
        <v>1524390.0295119972</v>
      </c>
      <c r="G37" s="663">
        <v>1515298.2400715679</v>
      </c>
      <c r="H37" s="661">
        <f t="shared" si="4"/>
        <v>4573224.6392726339</v>
      </c>
      <c r="J37" s="640" t="s">
        <v>1073</v>
      </c>
      <c r="L37" s="666">
        <v>0.5</v>
      </c>
      <c r="M37" s="667">
        <v>1</v>
      </c>
      <c r="N37" s="667">
        <v>1</v>
      </c>
    </row>
    <row r="38" spans="1:14" x14ac:dyDescent="0.25">
      <c r="A38" s="652" t="str">
        <f t="shared" si="3"/>
        <v>2019 CDM Programs</v>
      </c>
      <c r="B38" s="662"/>
      <c r="C38" s="664"/>
      <c r="D38" s="664"/>
      <c r="E38" s="664"/>
      <c r="F38" s="663">
        <v>1045247.4971916581</v>
      </c>
      <c r="G38" s="663">
        <v>1039013.4166915091</v>
      </c>
      <c r="H38" s="661">
        <f t="shared" si="4"/>
        <v>2084260.9138831673</v>
      </c>
      <c r="J38" s="640" t="s">
        <v>1074</v>
      </c>
      <c r="M38" s="667">
        <v>0.5</v>
      </c>
      <c r="N38" s="667">
        <v>1</v>
      </c>
    </row>
    <row r="39" spans="1:14" ht="15.75" thickBot="1" x14ac:dyDescent="0.3">
      <c r="A39" s="655" t="str">
        <f t="shared" si="3"/>
        <v>2020 CDM Programs</v>
      </c>
      <c r="B39" s="668"/>
      <c r="C39" s="669"/>
      <c r="D39" s="669"/>
      <c r="E39" s="669"/>
      <c r="F39" s="669"/>
      <c r="G39" s="663">
        <v>625490.86319999991</v>
      </c>
      <c r="H39" s="661">
        <f t="shared" si="4"/>
        <v>625490.86319999991</v>
      </c>
      <c r="J39" s="640" t="s">
        <v>1075</v>
      </c>
      <c r="N39" s="667">
        <v>0.5</v>
      </c>
    </row>
    <row r="40" spans="1:14" ht="16.5" thickTop="1" thickBot="1" x14ac:dyDescent="0.3">
      <c r="A40" s="670" t="s">
        <v>431</v>
      </c>
      <c r="B40" s="671">
        <f>SUM(B34:B39)</f>
        <v>3119882</v>
      </c>
      <c r="C40" s="671">
        <f>SUM(C34:C39)</f>
        <v>7145240</v>
      </c>
      <c r="D40" s="671">
        <f>SUM(D34:D39)</f>
        <v>10868050</v>
      </c>
      <c r="E40" s="671">
        <f>SUM(E34:E37)</f>
        <v>12077092.36968907</v>
      </c>
      <c r="F40" s="671">
        <f>SUM(F34:F38)</f>
        <v>13106023.526703656</v>
      </c>
      <c r="G40" s="672">
        <f>SUM(G34:G39)</f>
        <v>13676467.519963076</v>
      </c>
      <c r="H40" s="673">
        <f>SUM(H34:H39)</f>
        <v>59992755.416355796</v>
      </c>
    </row>
    <row r="41" spans="1:14" x14ac:dyDescent="0.25">
      <c r="A41" s="647"/>
      <c r="B41" s="648"/>
      <c r="C41" s="648"/>
      <c r="D41" s="648"/>
      <c r="E41" s="648"/>
      <c r="F41" s="648"/>
      <c r="G41" s="1896" t="str">
        <f>IF(G40-H40&lt;&gt;0,"Inputs do no match 2015-20 CDM target","")</f>
        <v>Inputs do no match 2015-20 CDM target</v>
      </c>
      <c r="H41" s="1896"/>
    </row>
    <row r="42" spans="1:14" x14ac:dyDescent="0.25">
      <c r="A42" s="647"/>
      <c r="B42" s="648"/>
      <c r="C42" s="648"/>
      <c r="D42" s="648"/>
      <c r="E42" s="648"/>
      <c r="F42" s="648"/>
      <c r="G42" s="674"/>
      <c r="H42" s="674"/>
    </row>
    <row r="43" spans="1:14" ht="103.5" customHeight="1" x14ac:dyDescent="0.25">
      <c r="A43" s="1897" t="s">
        <v>1105</v>
      </c>
      <c r="B43" s="1897"/>
      <c r="C43" s="1897"/>
      <c r="D43" s="1897"/>
      <c r="E43" s="1897"/>
      <c r="F43" s="1897"/>
      <c r="G43" s="1897"/>
      <c r="H43" s="1897"/>
    </row>
    <row r="44" spans="1:14" x14ac:dyDescent="0.25">
      <c r="A44" s="647"/>
      <c r="B44" s="648"/>
      <c r="C44" s="648"/>
      <c r="D44" s="648"/>
      <c r="E44" s="648"/>
      <c r="F44" s="648"/>
    </row>
    <row r="45" spans="1:14" ht="18.75" x14ac:dyDescent="0.3">
      <c r="A45" s="1898" t="s">
        <v>1106</v>
      </c>
      <c r="B45" s="1898"/>
      <c r="C45" s="1898"/>
      <c r="D45" s="1898"/>
      <c r="E45" s="1898"/>
      <c r="F45" s="1898"/>
      <c r="G45" s="1898"/>
      <c r="H45" s="1898"/>
    </row>
    <row r="46" spans="1:14" x14ac:dyDescent="0.25">
      <c r="A46" s="647"/>
      <c r="B46" s="648"/>
      <c r="C46" s="648"/>
      <c r="D46" s="648"/>
      <c r="E46" s="648"/>
      <c r="F46" s="648"/>
    </row>
    <row r="47" spans="1:14" x14ac:dyDescent="0.25">
      <c r="A47" s="1899" t="s">
        <v>1078</v>
      </c>
      <c r="B47" s="1893"/>
      <c r="C47" s="1893"/>
      <c r="D47" s="1893"/>
      <c r="E47" s="1893"/>
      <c r="F47" s="1893"/>
      <c r="G47" s="1893"/>
      <c r="H47" s="1893"/>
    </row>
    <row r="48" spans="1:14" x14ac:dyDescent="0.25">
      <c r="A48" s="647"/>
      <c r="B48" s="648"/>
      <c r="C48" s="648"/>
      <c r="D48" s="648"/>
      <c r="E48" s="648"/>
      <c r="F48" s="648"/>
    </row>
    <row r="49" spans="1:8" x14ac:dyDescent="0.25">
      <c r="A49" s="1899" t="s">
        <v>1107</v>
      </c>
      <c r="B49" s="1895"/>
      <c r="C49" s="1895"/>
      <c r="D49" s="1895"/>
      <c r="E49" s="1895"/>
      <c r="F49" s="1895"/>
      <c r="G49" s="1895"/>
      <c r="H49" s="1895"/>
    </row>
    <row r="50" spans="1:8" ht="15.75" thickBot="1" x14ac:dyDescent="0.3">
      <c r="A50" s="675"/>
      <c r="B50" s="675"/>
      <c r="C50" s="675"/>
      <c r="D50" s="675"/>
      <c r="E50" s="675"/>
      <c r="F50" s="675"/>
    </row>
    <row r="51" spans="1:8" x14ac:dyDescent="0.25">
      <c r="A51" s="1911" t="s">
        <v>432</v>
      </c>
      <c r="B51" s="1912"/>
      <c r="C51" s="1912"/>
      <c r="D51" s="1912"/>
      <c r="E51" s="1912"/>
      <c r="F51" s="1913"/>
    </row>
    <row r="52" spans="1:8" x14ac:dyDescent="0.25">
      <c r="A52" s="676"/>
      <c r="B52" s="677"/>
      <c r="C52" s="677"/>
      <c r="D52" s="677"/>
      <c r="E52" s="677"/>
      <c r="F52" s="678"/>
    </row>
    <row r="53" spans="1:8" x14ac:dyDescent="0.25">
      <c r="A53" s="1914" t="s">
        <v>562</v>
      </c>
      <c r="B53" s="1915"/>
      <c r="C53" s="1915"/>
      <c r="D53" s="1915"/>
      <c r="E53" s="1915"/>
      <c r="F53" s="679" t="s">
        <v>563</v>
      </c>
    </row>
    <row r="54" spans="1:8" x14ac:dyDescent="0.25">
      <c r="A54" s="680"/>
      <c r="B54" s="681"/>
      <c r="C54" s="681"/>
      <c r="D54" s="681"/>
      <c r="E54" s="681"/>
      <c r="F54" s="682"/>
    </row>
    <row r="55" spans="1:8" ht="30" x14ac:dyDescent="0.25">
      <c r="A55" s="683"/>
      <c r="B55" s="684"/>
      <c r="C55" s="677" t="s">
        <v>439</v>
      </c>
      <c r="D55" s="677" t="s">
        <v>440</v>
      </c>
      <c r="E55" s="677" t="s">
        <v>69</v>
      </c>
      <c r="F55" s="685" t="s">
        <v>441</v>
      </c>
    </row>
    <row r="56" spans="1:8" x14ac:dyDescent="0.25">
      <c r="A56" s="1916" t="s">
        <v>970</v>
      </c>
      <c r="B56" s="1917"/>
      <c r="C56" s="686" t="s">
        <v>70</v>
      </c>
      <c r="D56" s="686" t="s">
        <v>70</v>
      </c>
      <c r="E56" s="686" t="s">
        <v>70</v>
      </c>
      <c r="F56" s="687" t="s">
        <v>442</v>
      </c>
    </row>
    <row r="57" spans="1:8" x14ac:dyDescent="0.25">
      <c r="A57" s="688" t="s">
        <v>443</v>
      </c>
      <c r="B57" s="689"/>
      <c r="C57" s="690"/>
      <c r="D57" s="690"/>
      <c r="E57" s="691" t="str">
        <f>IF(ISBLANK(D57),"",C57-D57)</f>
        <v/>
      </c>
      <c r="F57" s="692"/>
    </row>
    <row r="58" spans="1:8" x14ac:dyDescent="0.25">
      <c r="A58" s="688" t="s">
        <v>444</v>
      </c>
      <c r="B58" s="689"/>
      <c r="C58" s="693"/>
      <c r="D58" s="693"/>
      <c r="E58" s="691" t="str">
        <f t="shared" ref="E58:E63" si="5">IF(ISBLANK(D58),"",C58-D58)</f>
        <v/>
      </c>
      <c r="F58" s="692"/>
    </row>
    <row r="59" spans="1:8" x14ac:dyDescent="0.25">
      <c r="A59" s="688" t="s">
        <v>445</v>
      </c>
      <c r="B59" s="689"/>
      <c r="C59" s="690"/>
      <c r="D59" s="690"/>
      <c r="E59" s="691" t="str">
        <f t="shared" si="5"/>
        <v/>
      </c>
      <c r="F59" s="692"/>
    </row>
    <row r="60" spans="1:8" x14ac:dyDescent="0.25">
      <c r="A60" s="688" t="s">
        <v>880</v>
      </c>
      <c r="B60" s="689"/>
      <c r="C60" s="690"/>
      <c r="D60" s="690"/>
      <c r="E60" s="691" t="str">
        <f t="shared" si="5"/>
        <v/>
      </c>
      <c r="F60" s="692"/>
    </row>
    <row r="61" spans="1:8" x14ac:dyDescent="0.25">
      <c r="A61" s="688" t="s">
        <v>936</v>
      </c>
      <c r="B61" s="689"/>
      <c r="C61" s="690"/>
      <c r="D61" s="690"/>
      <c r="E61" s="691" t="str">
        <f t="shared" si="5"/>
        <v/>
      </c>
      <c r="F61" s="692"/>
    </row>
    <row r="62" spans="1:8" x14ac:dyDescent="0.25">
      <c r="A62" s="688" t="s">
        <v>971</v>
      </c>
      <c r="B62" s="689"/>
      <c r="C62" s="690"/>
      <c r="D62" s="690"/>
      <c r="E62" s="691"/>
      <c r="F62" s="692"/>
    </row>
    <row r="63" spans="1:8" ht="15.75" thickBot="1" x14ac:dyDescent="0.3">
      <c r="A63" s="694" t="s">
        <v>1108</v>
      </c>
      <c r="B63" s="695"/>
      <c r="C63" s="696"/>
      <c r="D63" s="696"/>
      <c r="E63" s="697" t="str">
        <f t="shared" si="5"/>
        <v/>
      </c>
      <c r="F63" s="698"/>
    </row>
    <row r="64" spans="1:8" ht="16.5" thickTop="1" thickBot="1" x14ac:dyDescent="0.3">
      <c r="A64" s="1918" t="s">
        <v>1109</v>
      </c>
      <c r="B64" s="1919"/>
      <c r="C64" s="699">
        <f>SUM(C57:C63)</f>
        <v>0</v>
      </c>
      <c r="D64" s="699">
        <f>SUM(D57:D63)</f>
        <v>0</v>
      </c>
      <c r="E64" s="699">
        <f>C64-D64</f>
        <v>0</v>
      </c>
      <c r="F64" s="700">
        <f>IF(D64=0,0,IF(F53="net",0,E64/D64))</f>
        <v>0</v>
      </c>
    </row>
    <row r="65" spans="1:8" x14ac:dyDescent="0.25">
      <c r="A65" s="701"/>
      <c r="B65" s="701"/>
      <c r="F65" s="702"/>
    </row>
    <row r="66" spans="1:8" x14ac:dyDescent="0.25">
      <c r="A66" s="1893" t="s">
        <v>1079</v>
      </c>
      <c r="B66" s="1893"/>
      <c r="C66" s="1893"/>
      <c r="D66" s="1893"/>
      <c r="E66" s="1893"/>
      <c r="F66" s="1893"/>
      <c r="G66" s="1893"/>
      <c r="H66" s="1893"/>
    </row>
    <row r="67" spans="1:8" x14ac:dyDescent="0.25">
      <c r="A67" s="645"/>
      <c r="B67" s="645"/>
      <c r="C67" s="645"/>
      <c r="D67" s="645"/>
      <c r="E67" s="645"/>
      <c r="F67" s="645"/>
      <c r="G67" s="645"/>
      <c r="H67" s="645"/>
    </row>
    <row r="68" spans="1:8" x14ac:dyDescent="0.25">
      <c r="A68" s="1895" t="s">
        <v>1110</v>
      </c>
      <c r="B68" s="1895"/>
      <c r="C68" s="1895"/>
      <c r="D68" s="1895"/>
      <c r="E68" s="1895"/>
      <c r="F68" s="1895"/>
      <c r="G68" s="1895"/>
      <c r="H68" s="1895"/>
    </row>
    <row r="69" spans="1:8" x14ac:dyDescent="0.25">
      <c r="A69" s="701"/>
      <c r="B69" s="701"/>
      <c r="F69" s="702"/>
    </row>
    <row r="70" spans="1:8" ht="15.75" thickBot="1" x14ac:dyDescent="0.3">
      <c r="A70" s="1900" t="s">
        <v>1111</v>
      </c>
      <c r="B70" s="1900"/>
      <c r="C70" s="1900"/>
      <c r="D70" s="1900"/>
      <c r="E70" s="1900"/>
      <c r="F70" s="1900"/>
    </row>
    <row r="71" spans="1:8" x14ac:dyDescent="0.25">
      <c r="A71" s="703"/>
      <c r="B71" s="704">
        <v>2015</v>
      </c>
      <c r="C71" s="704">
        <v>2016</v>
      </c>
      <c r="D71" s="704">
        <v>2017</v>
      </c>
      <c r="E71" s="704">
        <v>2018</v>
      </c>
      <c r="F71" s="705">
        <v>2019</v>
      </c>
      <c r="G71" s="705">
        <v>2020</v>
      </c>
      <c r="H71" s="706"/>
    </row>
    <row r="72" spans="1:8" ht="51" x14ac:dyDescent="0.25">
      <c r="A72" s="707" t="s">
        <v>1112</v>
      </c>
      <c r="B72" s="708">
        <v>0</v>
      </c>
      <c r="C72" s="708">
        <v>0</v>
      </c>
      <c r="D72" s="709">
        <v>0.5</v>
      </c>
      <c r="E72" s="709">
        <v>1</v>
      </c>
      <c r="F72" s="709">
        <v>0.5</v>
      </c>
      <c r="G72" s="708">
        <v>0</v>
      </c>
      <c r="H72" s="710" t="s">
        <v>881</v>
      </c>
    </row>
    <row r="73" spans="1:8" ht="210.75" thickBot="1" x14ac:dyDescent="0.3">
      <c r="A73" s="711" t="s">
        <v>433</v>
      </c>
      <c r="B73" s="712" t="s">
        <v>1113</v>
      </c>
      <c r="C73" s="713" t="s">
        <v>1114</v>
      </c>
      <c r="D73" s="714" t="s">
        <v>1115</v>
      </c>
      <c r="E73" s="715" t="s">
        <v>1116</v>
      </c>
      <c r="F73" s="716" t="s">
        <v>1117</v>
      </c>
      <c r="G73" s="717"/>
      <c r="H73" s="700"/>
    </row>
    <row r="74" spans="1:8" x14ac:dyDescent="0.25">
      <c r="A74" s="718"/>
      <c r="B74" s="719"/>
      <c r="C74" s="719"/>
      <c r="D74" s="719"/>
      <c r="E74" s="719"/>
      <c r="F74" s="719"/>
      <c r="G74" s="702"/>
    </row>
    <row r="75" spans="1:8" ht="18.75" x14ac:dyDescent="0.25">
      <c r="A75" s="1894" t="s">
        <v>1118</v>
      </c>
      <c r="B75" s="1894"/>
      <c r="C75" s="1894"/>
      <c r="D75" s="1894"/>
      <c r="E75" s="1894"/>
      <c r="F75" s="1894"/>
      <c r="G75" s="1894"/>
      <c r="H75" s="1894"/>
    </row>
    <row r="76" spans="1:8" ht="18.75" x14ac:dyDescent="0.25">
      <c r="A76" s="720"/>
      <c r="B76" s="720"/>
      <c r="C76" s="720"/>
      <c r="D76" s="720"/>
      <c r="E76" s="720"/>
      <c r="F76" s="720"/>
      <c r="G76" s="720"/>
      <c r="H76" s="720"/>
    </row>
    <row r="77" spans="1:8" ht="30" customHeight="1" x14ac:dyDescent="0.25">
      <c r="A77" s="1895" t="s">
        <v>1119</v>
      </c>
      <c r="B77" s="1895"/>
      <c r="C77" s="1895"/>
      <c r="D77" s="1895"/>
      <c r="E77" s="1895"/>
      <c r="F77" s="1895"/>
      <c r="G77" s="1895"/>
      <c r="H77" s="1895"/>
    </row>
    <row r="78" spans="1:8" ht="9" customHeight="1" x14ac:dyDescent="0.25">
      <c r="A78" s="701"/>
      <c r="B78" s="719"/>
      <c r="C78" s="719"/>
      <c r="D78" s="719"/>
      <c r="E78" s="719"/>
      <c r="F78" s="702"/>
    </row>
    <row r="79" spans="1:8" ht="32.25" customHeight="1" x14ac:dyDescent="0.25">
      <c r="A79" s="1893" t="s">
        <v>1120</v>
      </c>
      <c r="B79" s="1893"/>
      <c r="C79" s="1893"/>
      <c r="D79" s="1893"/>
      <c r="E79" s="1893"/>
      <c r="F79" s="1893"/>
      <c r="G79" s="1893"/>
      <c r="H79" s="1893"/>
    </row>
    <row r="80" spans="1:8" ht="9" customHeight="1" x14ac:dyDescent="0.25"/>
    <row r="81" spans="1:8" ht="30.75" customHeight="1" x14ac:dyDescent="0.25">
      <c r="A81" s="1895" t="s">
        <v>1121</v>
      </c>
      <c r="B81" s="1895"/>
      <c r="C81" s="1895"/>
      <c r="D81" s="1895"/>
      <c r="E81" s="1895"/>
      <c r="F81" s="1895"/>
      <c r="G81" s="1895"/>
      <c r="H81" s="1895"/>
    </row>
    <row r="82" spans="1:8" ht="9" customHeight="1" x14ac:dyDescent="0.25"/>
    <row r="83" spans="1:8" ht="59.25" customHeight="1" x14ac:dyDescent="0.25">
      <c r="A83" s="1893" t="s">
        <v>1122</v>
      </c>
      <c r="B83" s="1893"/>
      <c r="C83" s="1893"/>
      <c r="D83" s="1893"/>
      <c r="E83" s="1893"/>
      <c r="F83" s="1893"/>
      <c r="G83" s="1893"/>
      <c r="H83" s="1893"/>
    </row>
    <row r="85" spans="1:8" ht="31.5" customHeight="1" x14ac:dyDescent="0.25">
      <c r="A85" s="1893" t="s">
        <v>972</v>
      </c>
      <c r="B85" s="1893"/>
      <c r="C85" s="1893"/>
      <c r="D85" s="1893"/>
      <c r="E85" s="1893"/>
      <c r="F85" s="1893"/>
      <c r="G85" s="1893"/>
      <c r="H85" s="1893"/>
    </row>
    <row r="86" spans="1:8" ht="15.75" thickBot="1" x14ac:dyDescent="0.3">
      <c r="A86" s="701"/>
      <c r="B86" s="701"/>
      <c r="F86" s="702"/>
    </row>
    <row r="87" spans="1:8" x14ac:dyDescent="0.25">
      <c r="A87" s="721"/>
      <c r="B87" s="722">
        <v>2015</v>
      </c>
      <c r="C87" s="722">
        <v>2016</v>
      </c>
      <c r="D87" s="723">
        <v>2017</v>
      </c>
      <c r="E87" s="724">
        <v>2018</v>
      </c>
      <c r="F87" s="724">
        <v>2019</v>
      </c>
      <c r="G87" s="722">
        <v>2020</v>
      </c>
      <c r="H87" s="725" t="s">
        <v>1123</v>
      </c>
    </row>
    <row r="88" spans="1:8" x14ac:dyDescent="0.25">
      <c r="A88" s="726"/>
      <c r="B88" s="727"/>
      <c r="C88" s="727"/>
      <c r="D88" s="727"/>
      <c r="E88" s="727"/>
      <c r="F88" s="727"/>
      <c r="G88" s="727"/>
      <c r="H88" s="728"/>
    </row>
    <row r="89" spans="1:8" ht="27" thickBot="1" x14ac:dyDescent="0.3">
      <c r="A89" s="729" t="s">
        <v>1489</v>
      </c>
      <c r="B89" s="730">
        <v>0</v>
      </c>
      <c r="C89" s="731">
        <v>0</v>
      </c>
      <c r="D89" s="731">
        <f>F36</f>
        <v>3447680</v>
      </c>
      <c r="E89" s="731">
        <f>F37</f>
        <v>1524390.0295119972</v>
      </c>
      <c r="F89" s="731">
        <f>F38</f>
        <v>1045247.4971916581</v>
      </c>
      <c r="G89" s="732"/>
      <c r="H89" s="733">
        <f>SUM(B89:G89)</f>
        <v>6017317.5267036557</v>
      </c>
    </row>
    <row r="90" spans="1:8" ht="16.5" thickTop="1" thickBot="1" x14ac:dyDescent="0.3">
      <c r="A90" s="734"/>
      <c r="B90" s="735"/>
      <c r="C90" s="736"/>
      <c r="D90" s="736"/>
      <c r="E90" s="736"/>
      <c r="F90" s="737"/>
      <c r="G90" s="737"/>
      <c r="H90" s="738"/>
    </row>
    <row r="91" spans="1:8" ht="27" thickTop="1" x14ac:dyDescent="0.25">
      <c r="A91" s="739" t="s">
        <v>1487</v>
      </c>
      <c r="B91" s="740">
        <f>B89*(1+F64)*B72</f>
        <v>0</v>
      </c>
      <c r="C91" s="741">
        <f>C89*(1+F64)*C72</f>
        <v>0</v>
      </c>
      <c r="D91" s="741">
        <f>D89*(1+F64)*D72</f>
        <v>1723840</v>
      </c>
      <c r="E91" s="741">
        <f t="shared" ref="E91:F91" si="6">E89*(1+G64)*E72</f>
        <v>1524390.0295119972</v>
      </c>
      <c r="F91" s="741">
        <f t="shared" si="6"/>
        <v>522623.74859582906</v>
      </c>
      <c r="G91" s="742"/>
      <c r="H91" s="743">
        <f>SUM(B91:G91)</f>
        <v>3770853.7781078266</v>
      </c>
    </row>
    <row r="92" spans="1:8" ht="26.25" x14ac:dyDescent="0.25">
      <c r="A92" s="744" t="s">
        <v>1488</v>
      </c>
      <c r="B92" s="745"/>
      <c r="C92" s="746"/>
      <c r="D92" s="746"/>
      <c r="E92" s="747"/>
      <c r="F92" s="748"/>
      <c r="G92" s="748"/>
      <c r="H92" s="749"/>
    </row>
    <row r="93" spans="1:8" ht="26.25" x14ac:dyDescent="0.25">
      <c r="A93" s="750" t="s">
        <v>1124</v>
      </c>
      <c r="B93" s="751">
        <f>B91+B92</f>
        <v>0</v>
      </c>
      <c r="C93" s="752">
        <f>C91+C92</f>
        <v>0</v>
      </c>
      <c r="D93" s="752">
        <f>D91+D92</f>
        <v>1723840</v>
      </c>
      <c r="E93" s="752">
        <f>E91+E92</f>
        <v>1524390.0295119972</v>
      </c>
      <c r="F93" s="752">
        <f>F91+F92</f>
        <v>522623.74859582906</v>
      </c>
      <c r="G93" s="748"/>
      <c r="H93" s="753">
        <f>SUM(B93:G93)</f>
        <v>3770853.7781078266</v>
      </c>
    </row>
    <row r="94" spans="1:8" x14ac:dyDescent="0.25">
      <c r="A94" s="726"/>
      <c r="B94" s="754"/>
      <c r="C94" s="754"/>
      <c r="D94" s="754"/>
      <c r="E94" s="754"/>
      <c r="F94" s="755"/>
      <c r="G94" s="754"/>
      <c r="H94" s="756"/>
    </row>
    <row r="95" spans="1:8" x14ac:dyDescent="0.25">
      <c r="A95" s="757" t="s">
        <v>446</v>
      </c>
      <c r="B95" s="758">
        <v>0</v>
      </c>
      <c r="C95" s="759" t="s">
        <v>447</v>
      </c>
      <c r="D95" s="760"/>
      <c r="E95" s="759"/>
      <c r="F95" s="759"/>
      <c r="G95" s="761"/>
      <c r="H95" s="762"/>
    </row>
    <row r="96" spans="1:8" ht="39.75" thickBot="1" x14ac:dyDescent="0.3">
      <c r="A96" s="763" t="s">
        <v>1490</v>
      </c>
      <c r="B96" s="764">
        <f>B93*(1+$B95)</f>
        <v>0</v>
      </c>
      <c r="C96" s="764">
        <f>C93*(1+$B95)</f>
        <v>0</v>
      </c>
      <c r="D96" s="764">
        <f>D93*(1+$B95)</f>
        <v>1723840</v>
      </c>
      <c r="E96" s="764">
        <f>E93*(1+$B95)</f>
        <v>1524390.0295119972</v>
      </c>
      <c r="F96" s="764">
        <f>F93*(1+$B95)</f>
        <v>522623.74859582906</v>
      </c>
      <c r="G96" s="765"/>
      <c r="H96" s="766">
        <f>SUM(B96:G96)</f>
        <v>3770853.7781078266</v>
      </c>
    </row>
    <row r="97" spans="1:8" x14ac:dyDescent="0.25">
      <c r="A97" s="646"/>
      <c r="B97" s="767"/>
      <c r="C97" s="767"/>
      <c r="D97" s="767"/>
      <c r="E97" s="767"/>
      <c r="F97" s="767"/>
      <c r="G97" s="767"/>
      <c r="H97" s="767"/>
    </row>
    <row r="98" spans="1:8" x14ac:dyDescent="0.25">
      <c r="A98" s="1910" t="s">
        <v>1125</v>
      </c>
      <c r="B98" s="1910"/>
      <c r="C98" s="1910"/>
      <c r="D98" s="1910"/>
      <c r="E98" s="1910"/>
      <c r="F98" s="1910"/>
      <c r="G98" s="1910"/>
      <c r="H98" s="1910"/>
    </row>
    <row r="127" spans="9:9" x14ac:dyDescent="0.25">
      <c r="I127" s="652"/>
    </row>
    <row r="131" spans="1:1" x14ac:dyDescent="0.25">
      <c r="A131" s="647"/>
    </row>
  </sheetData>
  <mergeCells count="30">
    <mergeCell ref="A98:H98"/>
    <mergeCell ref="A51:F51"/>
    <mergeCell ref="A53:E53"/>
    <mergeCell ref="A56:B56"/>
    <mergeCell ref="A64:B64"/>
    <mergeCell ref="A68:H68"/>
    <mergeCell ref="A20:H20"/>
    <mergeCell ref="A22:H22"/>
    <mergeCell ref="A23:H23"/>
    <mergeCell ref="A18:F18"/>
    <mergeCell ref="A9:H9"/>
    <mergeCell ref="A10:H10"/>
    <mergeCell ref="A12:H12"/>
    <mergeCell ref="A14:H14"/>
    <mergeCell ref="A16:H16"/>
    <mergeCell ref="A25:H25"/>
    <mergeCell ref="A33:H33"/>
    <mergeCell ref="A85:H85"/>
    <mergeCell ref="A66:H66"/>
    <mergeCell ref="A75:H75"/>
    <mergeCell ref="A77:H77"/>
    <mergeCell ref="A79:H79"/>
    <mergeCell ref="A81:H81"/>
    <mergeCell ref="A83:H83"/>
    <mergeCell ref="G41:H41"/>
    <mergeCell ref="A43:H43"/>
    <mergeCell ref="A45:H45"/>
    <mergeCell ref="A47:H47"/>
    <mergeCell ref="A49:H49"/>
    <mergeCell ref="A70:F70"/>
  </mergeCells>
  <conditionalFormatting sqref="H40">
    <cfRule type="expression" dxfId="118" priority="2">
      <formula>$H$40=$A$23</formula>
    </cfRule>
  </conditionalFormatting>
  <conditionalFormatting sqref="G41:G42">
    <cfRule type="expression" dxfId="117" priority="1">
      <formula>$G$40&lt;&gt;$H$40</formula>
    </cfRule>
  </conditionalFormatting>
  <dataValidations count="2">
    <dataValidation type="list" allowBlank="1" showInputMessage="1" showErrorMessage="1" sqref="F53" xr:uid="{00000000-0002-0000-1A00-000000000000}">
      <formula1>"net,gross"</formula1>
    </dataValidation>
    <dataValidation type="list" allowBlank="1" showInputMessage="1" showErrorMessage="1" sqref="D72:E72" xr:uid="{00000000-0002-0000-1A00-000001000000}">
      <formula1>"0, 0.5, 1"</formula1>
    </dataValidation>
  </dataValidations>
  <pageMargins left="0.70866141732283472" right="0.70866141732283472" top="0.74803149606299213" bottom="0.74803149606299213" header="0.31496062992125984" footer="0.31496062992125984"/>
  <pageSetup scale="29" orientation="portrait"/>
  <rowBreaks count="3" manualBreakCount="3">
    <brk id="47" max="16383" man="1"/>
    <brk id="89" max="16383" man="1"/>
    <brk id="99" max="16383" man="1"/>
  </row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
    <tabColor theme="9" tint="0.39997558519241921"/>
    <pageSetUpPr fitToPage="1"/>
  </sheetPr>
  <dimension ref="B1:R45"/>
  <sheetViews>
    <sheetView showGridLines="0" workbookViewId="0"/>
  </sheetViews>
  <sheetFormatPr defaultRowHeight="12.75" x14ac:dyDescent="0.2"/>
  <cols>
    <col min="1" max="1" width="2.5703125" style="1" customWidth="1"/>
    <col min="2" max="2" width="4.5703125" style="1" customWidth="1"/>
    <col min="3" max="3" width="24" style="1" customWidth="1"/>
    <col min="4" max="4" width="14.7109375" style="1" customWidth="1"/>
    <col min="5" max="5" width="2.28515625" style="1" customWidth="1"/>
    <col min="6" max="6" width="8.7109375" style="1" customWidth="1"/>
    <col min="7" max="7" width="16.42578125" style="1" customWidth="1"/>
    <col min="8" max="8" width="2.28515625" style="1" customWidth="1"/>
    <col min="9" max="9" width="13.7109375" style="1" customWidth="1"/>
    <col min="10" max="10" width="9.140625" style="1"/>
    <col min="11" max="11" width="15.42578125" style="1" customWidth="1"/>
    <col min="12" max="12" width="3.42578125" style="1" customWidth="1"/>
    <col min="13" max="13" width="12.28515625" style="1" customWidth="1"/>
    <col min="14" max="14" width="10.7109375" style="1" customWidth="1"/>
    <col min="15" max="15" width="15.28515625" style="1" customWidth="1"/>
    <col min="16" max="16" width="3.28515625" style="1" customWidth="1"/>
    <col min="17" max="17" width="13.5703125" style="1" customWidth="1"/>
    <col min="18" max="18" width="18" style="1" customWidth="1"/>
    <col min="19" max="16384" width="9.140625" style="1"/>
  </cols>
  <sheetData>
    <row r="1" spans="2:18" x14ac:dyDescent="0.2">
      <c r="Q1" s="1016" t="s">
        <v>277</v>
      </c>
      <c r="R1" s="1198" t="str">
        <f>EBNUMBER</f>
        <v>EB-2018-0056</v>
      </c>
    </row>
    <row r="2" spans="2:18" x14ac:dyDescent="0.2">
      <c r="Q2" s="1016" t="s">
        <v>278</v>
      </c>
      <c r="R2" s="70"/>
    </row>
    <row r="3" spans="2:18" x14ac:dyDescent="0.2">
      <c r="Q3" s="1016" t="s">
        <v>279</v>
      </c>
      <c r="R3" s="70"/>
    </row>
    <row r="4" spans="2:18" x14ac:dyDescent="0.2">
      <c r="Q4" s="1016" t="s">
        <v>280</v>
      </c>
      <c r="R4" s="70"/>
    </row>
    <row r="5" spans="2:18" x14ac:dyDescent="0.2">
      <c r="Q5" s="1016" t="s">
        <v>281</v>
      </c>
      <c r="R5" s="71"/>
    </row>
    <row r="6" spans="2:18" x14ac:dyDescent="0.2">
      <c r="Q6" s="1016"/>
      <c r="R6" s="1026"/>
    </row>
    <row r="7" spans="2:18" x14ac:dyDescent="0.2">
      <c r="Q7" s="1016" t="s">
        <v>282</v>
      </c>
      <c r="R7" s="71"/>
    </row>
    <row r="9" spans="2:18" ht="18" x14ac:dyDescent="0.25">
      <c r="B9" s="1667" t="s">
        <v>887</v>
      </c>
      <c r="C9" s="1667"/>
      <c r="D9" s="1667"/>
      <c r="E9" s="1667"/>
      <c r="F9" s="1667"/>
      <c r="G9" s="1667"/>
      <c r="H9" s="1667"/>
      <c r="I9" s="1667"/>
      <c r="J9" s="1667"/>
      <c r="K9" s="1667"/>
      <c r="L9" s="1667"/>
      <c r="M9" s="1667"/>
      <c r="N9" s="1667"/>
      <c r="O9" s="1667"/>
      <c r="P9" s="1667"/>
      <c r="Q9" s="1667"/>
      <c r="R9" s="1667"/>
    </row>
    <row r="10" spans="2:18" ht="18" x14ac:dyDescent="0.2">
      <c r="B10" s="1933" t="s">
        <v>996</v>
      </c>
      <c r="C10" s="1933"/>
      <c r="D10" s="1933"/>
      <c r="E10" s="1933"/>
      <c r="F10" s="1933"/>
      <c r="G10" s="1933"/>
      <c r="H10" s="1933"/>
      <c r="I10" s="1933"/>
      <c r="J10" s="1933"/>
      <c r="K10" s="1933"/>
      <c r="L10" s="1933"/>
      <c r="M10" s="1933"/>
      <c r="N10" s="1933"/>
      <c r="O10" s="1933"/>
      <c r="P10" s="1933"/>
      <c r="Q10" s="1933"/>
      <c r="R10" s="1933"/>
    </row>
    <row r="12" spans="2:18" x14ac:dyDescent="0.2">
      <c r="B12" s="951" t="s">
        <v>997</v>
      </c>
    </row>
    <row r="14" spans="2:18" x14ac:dyDescent="0.2">
      <c r="B14" s="951" t="s">
        <v>998</v>
      </c>
      <c r="C14" s="951" t="s">
        <v>999</v>
      </c>
    </row>
    <row r="15" spans="2:18" x14ac:dyDescent="0.2">
      <c r="B15" s="951" t="s">
        <v>1000</v>
      </c>
      <c r="C15" s="951" t="s">
        <v>935</v>
      </c>
    </row>
    <row r="16" spans="2:18" x14ac:dyDescent="0.2">
      <c r="B16" s="951" t="s">
        <v>1001</v>
      </c>
      <c r="C16" s="951" t="s">
        <v>1002</v>
      </c>
    </row>
    <row r="17" spans="2:18" x14ac:dyDescent="0.2">
      <c r="B17" s="951" t="s">
        <v>1003</v>
      </c>
      <c r="C17" s="951" t="s">
        <v>1004</v>
      </c>
    </row>
    <row r="19" spans="2:18" ht="27" customHeight="1" x14ac:dyDescent="0.2">
      <c r="B19" s="1660" t="s">
        <v>1013</v>
      </c>
      <c r="C19" s="1660"/>
      <c r="D19" s="1660"/>
      <c r="E19" s="1660"/>
      <c r="F19" s="1660"/>
      <c r="G19" s="1660"/>
      <c r="H19" s="1660"/>
      <c r="I19" s="1660"/>
      <c r="J19" s="1660"/>
      <c r="K19" s="1660"/>
      <c r="L19" s="1660"/>
      <c r="M19" s="1660"/>
      <c r="N19" s="1660"/>
      <c r="O19" s="1660"/>
      <c r="P19" s="1660"/>
      <c r="Q19" s="1660"/>
      <c r="R19" s="1660"/>
    </row>
    <row r="21" spans="2:18" ht="27.75" customHeight="1" x14ac:dyDescent="0.2">
      <c r="B21" s="1660" t="s">
        <v>1005</v>
      </c>
      <c r="C21" s="1660"/>
      <c r="D21" s="1660"/>
      <c r="E21" s="1660"/>
      <c r="F21" s="1660"/>
      <c r="G21" s="1660"/>
      <c r="H21" s="1660"/>
      <c r="I21" s="1660"/>
      <c r="J21" s="1660"/>
      <c r="K21" s="1660"/>
      <c r="L21" s="1660"/>
      <c r="M21" s="1660"/>
      <c r="N21" s="1660"/>
      <c r="O21" s="1660"/>
      <c r="P21" s="1660"/>
      <c r="Q21" s="1660"/>
      <c r="R21" s="1660"/>
    </row>
    <row r="23" spans="2:18" ht="24.75" customHeight="1" x14ac:dyDescent="0.2">
      <c r="B23" s="1660" t="s">
        <v>1006</v>
      </c>
      <c r="C23" s="1660"/>
      <c r="D23" s="1660"/>
      <c r="E23" s="1660"/>
      <c r="F23" s="1660"/>
      <c r="G23" s="1660"/>
      <c r="H23" s="1660"/>
      <c r="I23" s="1660"/>
      <c r="J23" s="1660"/>
      <c r="K23" s="1660"/>
      <c r="L23" s="1660"/>
      <c r="M23" s="1660"/>
      <c r="N23" s="1660"/>
      <c r="O23" s="1660"/>
      <c r="P23" s="1660"/>
      <c r="Q23" s="1660"/>
      <c r="R23" s="1660"/>
    </row>
    <row r="25" spans="2:18" ht="26.25" customHeight="1" x14ac:dyDescent="0.2">
      <c r="B25" s="1660" t="s">
        <v>1007</v>
      </c>
      <c r="C25" s="1660"/>
      <c r="D25" s="1660"/>
      <c r="E25" s="1660"/>
      <c r="F25" s="1660"/>
      <c r="G25" s="1660"/>
      <c r="H25" s="1660"/>
      <c r="I25" s="1660"/>
      <c r="J25" s="1660"/>
      <c r="K25" s="1660"/>
      <c r="L25" s="1660"/>
      <c r="M25" s="1660"/>
      <c r="N25" s="1660"/>
      <c r="O25" s="1660"/>
      <c r="P25" s="1660"/>
      <c r="Q25" s="1660"/>
      <c r="R25" s="1660"/>
    </row>
    <row r="27" spans="2:18" ht="30.75" customHeight="1" x14ac:dyDescent="0.2">
      <c r="B27" s="1920" t="s">
        <v>1008</v>
      </c>
      <c r="C27" s="1920"/>
      <c r="D27" s="1920"/>
      <c r="E27" s="1920"/>
      <c r="F27" s="1920"/>
      <c r="G27" s="1920"/>
      <c r="H27" s="1920"/>
      <c r="I27" s="1920"/>
      <c r="J27" s="1920"/>
      <c r="K27" s="1920"/>
      <c r="L27" s="1920"/>
      <c r="M27" s="1920"/>
      <c r="N27" s="1920"/>
      <c r="O27" s="1920"/>
      <c r="P27" s="1920"/>
      <c r="Q27" s="1920"/>
      <c r="R27" s="1920"/>
    </row>
    <row r="28" spans="2:18" ht="13.5" thickBot="1" x14ac:dyDescent="0.25"/>
    <row r="29" spans="2:18" x14ac:dyDescent="0.2">
      <c r="C29" s="1199"/>
      <c r="D29" s="1200" t="s">
        <v>1011</v>
      </c>
      <c r="E29" s="1200"/>
      <c r="F29" s="1201" t="s">
        <v>869</v>
      </c>
      <c r="G29" s="1202"/>
      <c r="H29" s="1200"/>
      <c r="I29" s="1921" t="s">
        <v>1018</v>
      </c>
      <c r="J29" s="1922"/>
      <c r="K29" s="1923"/>
      <c r="L29" s="1203"/>
      <c r="M29" s="1924" t="s">
        <v>1017</v>
      </c>
      <c r="N29" s="1925"/>
      <c r="O29" s="1926"/>
      <c r="P29" s="1202"/>
      <c r="Q29" s="1931" t="s">
        <v>1004</v>
      </c>
      <c r="R29" s="1932"/>
    </row>
    <row r="30" spans="2:18" ht="38.25" customHeight="1" thickBot="1" x14ac:dyDescent="0.25">
      <c r="C30" s="1204"/>
      <c r="D30" s="1205" t="str">
        <f>"(for "&amp;TestYear&amp;" Cost of Service)"</f>
        <v>(for 2019 Cost of Service)</v>
      </c>
      <c r="E30" s="1206"/>
      <c r="F30" s="1207"/>
      <c r="G30" s="1208"/>
      <c r="H30" s="1206"/>
      <c r="I30" s="1209" t="s">
        <v>1014</v>
      </c>
      <c r="J30" s="1929" t="s">
        <v>1015</v>
      </c>
      <c r="K30" s="1930"/>
      <c r="L30" s="1206"/>
      <c r="M30" s="1209" t="s">
        <v>1014</v>
      </c>
      <c r="N30" s="1927" t="s">
        <v>1015</v>
      </c>
      <c r="O30" s="1928"/>
      <c r="P30" s="1206"/>
      <c r="Q30" s="1209" t="s">
        <v>1014</v>
      </c>
      <c r="R30" s="1210" t="s">
        <v>1015</v>
      </c>
    </row>
    <row r="31" spans="2:18" ht="14.25" x14ac:dyDescent="0.2">
      <c r="C31" s="1206" t="s">
        <v>830</v>
      </c>
      <c r="D31" s="1211">
        <f t="shared" ref="D31:D36" si="0">D32-1</f>
        <v>2013</v>
      </c>
      <c r="E31" s="1212"/>
      <c r="F31" s="1213" t="s">
        <v>370</v>
      </c>
      <c r="G31" s="1214"/>
      <c r="H31" s="1212"/>
      <c r="I31" s="1215" t="s">
        <v>370</v>
      </c>
      <c r="J31" s="1216" t="s">
        <v>1016</v>
      </c>
      <c r="K31" s="1217"/>
      <c r="L31" s="1212"/>
      <c r="M31" s="1215" t="s">
        <v>370</v>
      </c>
      <c r="N31" s="1218" t="s">
        <v>1016</v>
      </c>
      <c r="O31" s="1217"/>
      <c r="P31" s="1212"/>
      <c r="Q31" s="1215" t="s">
        <v>370</v>
      </c>
      <c r="R31" s="1214"/>
    </row>
    <row r="32" spans="2:18" ht="14.25" x14ac:dyDescent="0.2">
      <c r="C32" s="1206" t="s">
        <v>830</v>
      </c>
      <c r="D32" s="1211">
        <f t="shared" si="0"/>
        <v>2014</v>
      </c>
      <c r="E32" s="1212"/>
      <c r="F32" s="1215" t="s">
        <v>370</v>
      </c>
      <c r="G32" s="1214"/>
      <c r="H32" s="1212"/>
      <c r="I32" s="1215" t="s">
        <v>370</v>
      </c>
      <c r="J32" s="1216" t="s">
        <v>1016</v>
      </c>
      <c r="K32" s="1214"/>
      <c r="L32" s="1212"/>
      <c r="M32" s="1215" t="s">
        <v>370</v>
      </c>
      <c r="N32" s="1218" t="s">
        <v>1016</v>
      </c>
      <c r="O32" s="1214"/>
      <c r="P32" s="1212"/>
      <c r="Q32" s="1215" t="s">
        <v>370</v>
      </c>
      <c r="R32" s="1214"/>
    </row>
    <row r="33" spans="2:18" ht="14.25" x14ac:dyDescent="0.2">
      <c r="C33" s="1206" t="s">
        <v>830</v>
      </c>
      <c r="D33" s="1211">
        <f t="shared" si="0"/>
        <v>2015</v>
      </c>
      <c r="E33" s="1212"/>
      <c r="F33" s="1215" t="s">
        <v>370</v>
      </c>
      <c r="G33" s="1219" t="s">
        <v>1012</v>
      </c>
      <c r="H33" s="1212"/>
      <c r="I33" s="1215" t="s">
        <v>370</v>
      </c>
      <c r="J33" s="1216" t="s">
        <v>1016</v>
      </c>
      <c r="K33" s="1219" t="s">
        <v>1012</v>
      </c>
      <c r="L33" s="1212"/>
      <c r="M33" s="1215" t="s">
        <v>370</v>
      </c>
      <c r="N33" s="1218" t="s">
        <v>1016</v>
      </c>
      <c r="O33" s="1219" t="s">
        <v>1012</v>
      </c>
      <c r="P33" s="1212"/>
      <c r="Q33" s="1215" t="s">
        <v>370</v>
      </c>
      <c r="R33" s="1214"/>
    </row>
    <row r="34" spans="2:18" ht="14.25" x14ac:dyDescent="0.2">
      <c r="C34" s="1206" t="s">
        <v>830</v>
      </c>
      <c r="D34" s="1211">
        <f t="shared" si="0"/>
        <v>2016</v>
      </c>
      <c r="E34" s="1212"/>
      <c r="F34" s="1215" t="s">
        <v>370</v>
      </c>
      <c r="G34" s="1214"/>
      <c r="H34" s="1212"/>
      <c r="I34" s="1215" t="s">
        <v>370</v>
      </c>
      <c r="J34" s="1216" t="s">
        <v>1016</v>
      </c>
      <c r="K34" s="1214"/>
      <c r="L34" s="1212"/>
      <c r="M34" s="1215" t="s">
        <v>370</v>
      </c>
      <c r="N34" s="1218" t="s">
        <v>1016</v>
      </c>
      <c r="O34" s="1214"/>
      <c r="P34" s="1212"/>
      <c r="Q34" s="1215" t="s">
        <v>370</v>
      </c>
      <c r="R34" s="1214"/>
    </row>
    <row r="35" spans="2:18" ht="14.25" x14ac:dyDescent="0.2">
      <c r="C35" s="1206" t="s">
        <v>830</v>
      </c>
      <c r="D35" s="1211">
        <f t="shared" si="0"/>
        <v>2017</v>
      </c>
      <c r="E35" s="1212"/>
      <c r="F35" s="1215" t="s">
        <v>370</v>
      </c>
      <c r="G35" s="1214"/>
      <c r="H35" s="1212"/>
      <c r="I35" s="1215" t="s">
        <v>370</v>
      </c>
      <c r="J35" s="1216" t="s">
        <v>1016</v>
      </c>
      <c r="K35" s="1214"/>
      <c r="L35" s="1212"/>
      <c r="M35" s="1215" t="s">
        <v>370</v>
      </c>
      <c r="N35" s="1218" t="s">
        <v>1016</v>
      </c>
      <c r="O35" s="1214"/>
      <c r="P35" s="1212"/>
      <c r="Q35" s="1215" t="s">
        <v>370</v>
      </c>
      <c r="R35" s="1214"/>
    </row>
    <row r="36" spans="2:18" x14ac:dyDescent="0.2">
      <c r="C36" s="1206" t="s">
        <v>1009</v>
      </c>
      <c r="D36" s="1211">
        <f t="shared" si="0"/>
        <v>2018</v>
      </c>
      <c r="E36" s="1212"/>
      <c r="F36" s="1215" t="s">
        <v>80</v>
      </c>
      <c r="G36" s="1214"/>
      <c r="H36" s="1212"/>
      <c r="I36" s="1220"/>
      <c r="J36" s="1216" t="s">
        <v>80</v>
      </c>
      <c r="K36" s="1214"/>
      <c r="L36" s="1212"/>
      <c r="M36" s="1220"/>
      <c r="N36" s="1218" t="s">
        <v>80</v>
      </c>
      <c r="O36" s="1214"/>
      <c r="P36" s="1212"/>
      <c r="Q36" s="1220"/>
      <c r="R36" s="1219" t="s">
        <v>80</v>
      </c>
    </row>
    <row r="37" spans="2:18" ht="13.5" thickBot="1" x14ac:dyDescent="0.25">
      <c r="C37" s="1221" t="s">
        <v>1010</v>
      </c>
      <c r="D37" s="1222">
        <f>TestYear</f>
        <v>2019</v>
      </c>
      <c r="E37" s="1204"/>
      <c r="F37" s="1223" t="s">
        <v>80</v>
      </c>
      <c r="G37" s="1224"/>
      <c r="H37" s="1204"/>
      <c r="I37" s="1225"/>
      <c r="J37" s="1226" t="s">
        <v>80</v>
      </c>
      <c r="K37" s="1224"/>
      <c r="L37" s="1204"/>
      <c r="M37" s="1225"/>
      <c r="N37" s="1227" t="s">
        <v>80</v>
      </c>
      <c r="O37" s="1224"/>
      <c r="P37" s="1204"/>
      <c r="Q37" s="1225"/>
      <c r="R37" s="1228" t="s">
        <v>80</v>
      </c>
    </row>
    <row r="40" spans="2:18" x14ac:dyDescent="0.2">
      <c r="B40" s="967" t="s">
        <v>6</v>
      </c>
    </row>
    <row r="41" spans="2:18" ht="6" customHeight="1" x14ac:dyDescent="0.2"/>
    <row r="42" spans="2:18" ht="31.5" customHeight="1" x14ac:dyDescent="0.2">
      <c r="B42" s="1229" t="s">
        <v>286</v>
      </c>
      <c r="C42" s="1920" t="s">
        <v>1022</v>
      </c>
      <c r="D42" s="1920"/>
      <c r="E42" s="1920"/>
      <c r="F42" s="1920"/>
      <c r="G42" s="1920"/>
      <c r="H42" s="1920"/>
      <c r="I42" s="1920"/>
      <c r="J42" s="1920"/>
      <c r="K42" s="1920"/>
      <c r="L42" s="1920"/>
      <c r="M42" s="1920"/>
      <c r="N42" s="1920"/>
      <c r="O42" s="1920"/>
      <c r="P42" s="1920"/>
      <c r="Q42" s="1920"/>
      <c r="R42" s="1920"/>
    </row>
    <row r="43" spans="2:18" ht="30.75" customHeight="1" x14ac:dyDescent="0.2">
      <c r="B43" s="1229" t="s">
        <v>5</v>
      </c>
      <c r="C43" s="1920" t="s">
        <v>1023</v>
      </c>
      <c r="D43" s="1920"/>
      <c r="E43" s="1920"/>
      <c r="F43" s="1920"/>
      <c r="G43" s="1920"/>
      <c r="H43" s="1920"/>
      <c r="I43" s="1920"/>
      <c r="J43" s="1920"/>
      <c r="K43" s="1920"/>
      <c r="L43" s="1920"/>
      <c r="M43" s="1920"/>
      <c r="N43" s="1920"/>
      <c r="O43" s="1920"/>
      <c r="P43" s="1920"/>
      <c r="Q43" s="1920"/>
      <c r="R43" s="1920"/>
    </row>
    <row r="44" spans="2:18" ht="15" x14ac:dyDescent="0.2">
      <c r="B44" s="1229" t="s">
        <v>30</v>
      </c>
      <c r="C44" s="1920" t="s">
        <v>1024</v>
      </c>
      <c r="D44" s="1920"/>
      <c r="E44" s="1920"/>
      <c r="F44" s="1920"/>
      <c r="G44" s="1920"/>
      <c r="H44" s="1920"/>
      <c r="I44" s="1920"/>
      <c r="J44" s="1920"/>
      <c r="K44" s="1920"/>
      <c r="L44" s="1920"/>
      <c r="M44" s="1920"/>
      <c r="N44" s="1920"/>
      <c r="O44" s="1920"/>
      <c r="P44" s="1920"/>
      <c r="Q44" s="1920"/>
      <c r="R44" s="1920"/>
    </row>
    <row r="45" spans="2:18" ht="15" x14ac:dyDescent="0.2">
      <c r="B45" s="1229" t="s">
        <v>31</v>
      </c>
      <c r="C45" s="1920" t="s">
        <v>1025</v>
      </c>
      <c r="D45" s="1920"/>
      <c r="E45" s="1920"/>
      <c r="F45" s="1920"/>
      <c r="G45" s="1920"/>
      <c r="H45" s="1920"/>
      <c r="I45" s="1920"/>
      <c r="J45" s="1920"/>
      <c r="K45" s="1920"/>
      <c r="L45" s="1920"/>
      <c r="M45" s="1920"/>
      <c r="N45" s="1920"/>
      <c r="O45" s="1920"/>
      <c r="P45" s="1920"/>
      <c r="Q45" s="1920"/>
      <c r="R45" s="1920"/>
    </row>
  </sheetData>
  <sheetProtection algorithmName="SHA-512" hashValue="nYNYOh6wrtpSROaAGUTXviZVftX5qLUN7vtz4253vwGH0fmavDmGoq+AET3i/3OJYRW/GycHNWw2oJWTaocT2g==" saltValue="p3SUvVZWqT+MuAINIB7RfQ==" spinCount="100000" sheet="1" objects="1" scenarios="1"/>
  <mergeCells count="16">
    <mergeCell ref="B10:R10"/>
    <mergeCell ref="B9:R9"/>
    <mergeCell ref="B19:R19"/>
    <mergeCell ref="B21:R21"/>
    <mergeCell ref="B23:R23"/>
    <mergeCell ref="B25:R25"/>
    <mergeCell ref="B27:R27"/>
    <mergeCell ref="C44:R44"/>
    <mergeCell ref="C45:R45"/>
    <mergeCell ref="I29:K29"/>
    <mergeCell ref="M29:O29"/>
    <mergeCell ref="N30:O30"/>
    <mergeCell ref="J30:K30"/>
    <mergeCell ref="C42:R42"/>
    <mergeCell ref="C43:R43"/>
    <mergeCell ref="Q29:R29"/>
  </mergeCells>
  <pageMargins left="0.7" right="0.7" top="0.75" bottom="0.75" header="0.3" footer="0.3"/>
  <pageSetup scale="65" orientation="landscape" verticalDpi="12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8">
    <tabColor theme="9" tint="0.39997558519241921"/>
    <pageSetUpPr fitToPage="1"/>
  </sheetPr>
  <dimension ref="A1:W489"/>
  <sheetViews>
    <sheetView showGridLines="0" workbookViewId="0"/>
  </sheetViews>
  <sheetFormatPr defaultRowHeight="12.75" x14ac:dyDescent="0.2"/>
  <cols>
    <col min="1" max="1" width="1.7109375" customWidth="1"/>
    <col min="2" max="2" width="3.7109375" customWidth="1"/>
    <col min="3" max="3" width="17.5703125" customWidth="1"/>
    <col min="4" max="4" width="14.7109375" customWidth="1"/>
    <col min="5" max="5" width="2.28515625" customWidth="1"/>
    <col min="6" max="6" width="9.7109375" customWidth="1"/>
    <col min="7" max="8" width="14.7109375" customWidth="1"/>
    <col min="9" max="9" width="14.42578125" customWidth="1"/>
    <col min="10" max="10" width="2.7109375" customWidth="1"/>
    <col min="11" max="11" width="9.7109375" customWidth="1"/>
    <col min="12" max="13" width="13.7109375" customWidth="1"/>
    <col min="14" max="14" width="14.5703125" customWidth="1"/>
    <col min="15" max="15" width="15.42578125" customWidth="1"/>
    <col min="16" max="16" width="2.28515625" customWidth="1"/>
    <col min="17" max="17" width="12.7109375" customWidth="1"/>
    <col min="18" max="18" width="10.5703125" customWidth="1"/>
    <col min="19" max="19" width="11.42578125" customWidth="1"/>
    <col min="20" max="20" width="14" customWidth="1"/>
    <col min="21" max="21" width="13.7109375" customWidth="1"/>
    <col min="22" max="22" width="3.28515625" customWidth="1"/>
  </cols>
  <sheetData>
    <row r="1" spans="1:22" ht="18" x14ac:dyDescent="0.25">
      <c r="A1" s="1578" t="s">
        <v>1605</v>
      </c>
      <c r="B1" s="27"/>
      <c r="C1" s="27"/>
      <c r="D1" s="27"/>
      <c r="E1" s="27"/>
      <c r="F1" s="27"/>
      <c r="G1" s="27"/>
      <c r="H1" s="27"/>
      <c r="I1" s="27"/>
      <c r="J1" s="27"/>
      <c r="K1" s="27"/>
      <c r="L1" s="27"/>
      <c r="M1" s="27"/>
      <c r="N1" s="27"/>
      <c r="O1" s="27"/>
      <c r="P1" s="27"/>
      <c r="Q1" s="27"/>
      <c r="R1" s="27"/>
      <c r="S1" s="27"/>
      <c r="T1" s="77" t="s">
        <v>277</v>
      </c>
      <c r="U1" s="69" t="str">
        <f>EBNUMBER</f>
        <v>EB-2018-0056</v>
      </c>
    </row>
    <row r="2" spans="1:22" x14ac:dyDescent="0.2">
      <c r="B2" s="27"/>
      <c r="C2" s="27"/>
      <c r="D2" s="27"/>
      <c r="E2" s="27"/>
      <c r="F2" s="27"/>
      <c r="G2" s="27"/>
      <c r="H2" s="27"/>
      <c r="I2" s="27"/>
      <c r="J2" s="27"/>
      <c r="K2" s="27"/>
      <c r="L2" s="27"/>
      <c r="M2" s="27"/>
      <c r="N2" s="27"/>
      <c r="O2" s="27"/>
      <c r="P2" s="27"/>
      <c r="Q2" s="27"/>
      <c r="R2" s="27"/>
      <c r="S2" s="27"/>
      <c r="T2" s="77" t="s">
        <v>278</v>
      </c>
      <c r="U2" s="70"/>
    </row>
    <row r="3" spans="1:22" x14ac:dyDescent="0.2">
      <c r="B3" s="27"/>
      <c r="C3" s="27"/>
      <c r="D3" s="27"/>
      <c r="E3" s="27"/>
      <c r="F3" s="27"/>
      <c r="G3" s="27"/>
      <c r="H3" s="27"/>
      <c r="I3" s="27"/>
      <c r="J3" s="27"/>
      <c r="K3" s="27"/>
      <c r="L3" s="27"/>
      <c r="M3" s="27"/>
      <c r="N3" s="27"/>
      <c r="O3" s="27"/>
      <c r="P3" s="27"/>
      <c r="Q3" s="27"/>
      <c r="R3" s="27"/>
      <c r="S3" s="27"/>
      <c r="T3" s="77" t="s">
        <v>279</v>
      </c>
      <c r="U3" s="70"/>
    </row>
    <row r="4" spans="1:22" x14ac:dyDescent="0.2">
      <c r="B4" s="27"/>
      <c r="C4" s="27"/>
      <c r="D4" s="27"/>
      <c r="E4" s="27"/>
      <c r="F4" s="27"/>
      <c r="G4" s="27"/>
      <c r="H4" s="27"/>
      <c r="I4" s="27"/>
      <c r="J4" s="27"/>
      <c r="K4" s="27"/>
      <c r="L4" s="27"/>
      <c r="M4" s="27"/>
      <c r="N4" s="27"/>
      <c r="O4" s="27"/>
      <c r="P4" s="27"/>
      <c r="Q4" s="27"/>
      <c r="R4" s="27"/>
      <c r="S4" s="27"/>
      <c r="T4" s="77" t="s">
        <v>280</v>
      </c>
      <c r="U4" s="70"/>
    </row>
    <row r="5" spans="1:22" x14ac:dyDescent="0.2">
      <c r="B5" s="27"/>
      <c r="C5" s="27"/>
      <c r="D5" s="27"/>
      <c r="E5" s="27"/>
      <c r="F5" s="27"/>
      <c r="G5" s="27"/>
      <c r="H5" s="27"/>
      <c r="I5" s="27"/>
      <c r="J5" s="27"/>
      <c r="K5" s="27"/>
      <c r="L5" s="27"/>
      <c r="M5" s="27"/>
      <c r="N5" s="27"/>
      <c r="O5" s="27"/>
      <c r="P5" s="27"/>
      <c r="Q5" s="27"/>
      <c r="R5" s="27"/>
      <c r="S5" s="27"/>
      <c r="T5" s="77" t="s">
        <v>281</v>
      </c>
      <c r="U5" s="71"/>
    </row>
    <row r="6" spans="1:22" x14ac:dyDescent="0.2">
      <c r="B6" s="27"/>
      <c r="C6" s="27"/>
      <c r="D6" s="27"/>
      <c r="E6" s="27"/>
      <c r="F6" s="27"/>
      <c r="G6" s="27"/>
      <c r="H6" s="27"/>
      <c r="I6" s="27"/>
      <c r="J6" s="27"/>
      <c r="K6" s="27"/>
      <c r="L6" s="27"/>
      <c r="M6" s="27"/>
      <c r="N6" s="27"/>
      <c r="O6" s="27"/>
      <c r="P6" s="27"/>
      <c r="Q6" s="27"/>
      <c r="R6" s="27"/>
      <c r="S6" s="27"/>
      <c r="T6" s="77"/>
      <c r="U6" s="479"/>
    </row>
    <row r="7" spans="1:22" x14ac:dyDescent="0.2">
      <c r="B7" s="27"/>
      <c r="C7" s="27"/>
      <c r="D7" s="27"/>
      <c r="E7" s="27"/>
      <c r="F7" s="27"/>
      <c r="G7" s="27"/>
      <c r="H7" s="27"/>
      <c r="I7" s="27"/>
      <c r="J7" s="27"/>
      <c r="K7" s="27"/>
      <c r="L7" s="27"/>
      <c r="M7" s="27"/>
      <c r="N7" s="27"/>
      <c r="O7" s="27"/>
      <c r="P7" s="27"/>
      <c r="Q7" s="27"/>
      <c r="R7" s="27"/>
      <c r="S7" s="27"/>
      <c r="T7" s="77" t="s">
        <v>282</v>
      </c>
      <c r="U7" s="71"/>
    </row>
    <row r="8" spans="1:22" x14ac:dyDescent="0.2">
      <c r="B8" s="27"/>
      <c r="C8" s="27"/>
      <c r="D8" s="27"/>
      <c r="E8" s="27"/>
      <c r="F8" s="27"/>
      <c r="G8" s="27"/>
      <c r="H8" s="27"/>
      <c r="I8" s="27"/>
      <c r="J8" s="27"/>
      <c r="K8" s="27"/>
      <c r="L8" s="27"/>
      <c r="M8" s="27"/>
    </row>
    <row r="9" spans="1:22" ht="18" x14ac:dyDescent="0.25">
      <c r="B9" s="1760" t="s">
        <v>1019</v>
      </c>
      <c r="C9" s="1760"/>
      <c r="D9" s="1760"/>
      <c r="E9" s="1760"/>
      <c r="F9" s="1760"/>
      <c r="G9" s="1760"/>
      <c r="H9" s="1760"/>
      <c r="I9" s="1760"/>
      <c r="J9" s="1760"/>
      <c r="K9" s="1760"/>
      <c r="L9" s="1760"/>
      <c r="M9" s="1760"/>
      <c r="N9" s="1760"/>
      <c r="O9" s="1760"/>
      <c r="P9" s="1760"/>
      <c r="Q9" s="1760"/>
      <c r="R9" s="1760"/>
      <c r="S9" s="1760"/>
      <c r="T9" s="1760"/>
      <c r="U9" s="1760"/>
      <c r="V9" s="1760"/>
    </row>
    <row r="10" spans="1:22" ht="18" x14ac:dyDescent="0.2">
      <c r="B10" s="1954" t="s">
        <v>1030</v>
      </c>
      <c r="C10" s="1954"/>
      <c r="D10" s="1954"/>
      <c r="E10" s="1954"/>
      <c r="F10" s="1954"/>
      <c r="G10" s="1954"/>
      <c r="H10" s="1954"/>
      <c r="I10" s="1954"/>
      <c r="J10" s="1954"/>
      <c r="K10" s="1954"/>
      <c r="L10" s="1954"/>
      <c r="M10" s="1954"/>
      <c r="N10" s="1954"/>
      <c r="O10" s="1954"/>
      <c r="P10" s="1954"/>
      <c r="Q10" s="1954"/>
      <c r="R10" s="1954"/>
      <c r="S10" s="1954"/>
      <c r="T10" s="1954"/>
      <c r="U10" s="1954"/>
      <c r="V10" s="1954"/>
    </row>
    <row r="12" spans="1:22" hidden="1" x14ac:dyDescent="0.2">
      <c r="B12" s="496" t="s">
        <v>997</v>
      </c>
      <c r="C12" s="497"/>
      <c r="D12" s="497"/>
      <c r="E12" s="497"/>
      <c r="F12" s="497"/>
      <c r="G12" s="497"/>
      <c r="H12" s="497"/>
      <c r="I12" s="497"/>
      <c r="J12" s="497"/>
      <c r="K12" s="497"/>
      <c r="L12" s="497"/>
      <c r="M12" s="497"/>
      <c r="N12" s="497"/>
      <c r="O12" s="497"/>
      <c r="P12" s="497"/>
      <c r="Q12" s="497"/>
      <c r="R12" s="497"/>
      <c r="S12" s="497"/>
      <c r="T12" s="497"/>
      <c r="U12" s="497"/>
      <c r="V12" s="497"/>
    </row>
    <row r="13" spans="1:22" hidden="1" x14ac:dyDescent="0.2">
      <c r="B13" s="497"/>
      <c r="C13" s="497"/>
      <c r="D13" s="497"/>
      <c r="E13" s="497"/>
      <c r="F13" s="497"/>
      <c r="G13" s="497"/>
      <c r="H13" s="497"/>
      <c r="I13" s="497"/>
      <c r="J13" s="497"/>
      <c r="K13" s="497"/>
      <c r="L13" s="497"/>
      <c r="M13" s="497"/>
      <c r="N13" s="497"/>
      <c r="O13" s="497"/>
      <c r="P13" s="497"/>
      <c r="Q13" s="497"/>
      <c r="R13" s="497"/>
      <c r="S13" s="497"/>
      <c r="T13" s="497"/>
      <c r="U13" s="497"/>
      <c r="V13" s="497"/>
    </row>
    <row r="14" spans="1:22" hidden="1" x14ac:dyDescent="0.2">
      <c r="B14" s="496" t="s">
        <v>998</v>
      </c>
      <c r="C14" s="496" t="s">
        <v>999</v>
      </c>
      <c r="D14" s="497"/>
      <c r="E14" s="497"/>
      <c r="F14" s="497"/>
      <c r="G14" s="497"/>
      <c r="H14" s="497"/>
      <c r="I14" s="497"/>
      <c r="J14" s="497"/>
      <c r="K14" s="497"/>
      <c r="L14" s="497"/>
      <c r="M14" s="497"/>
      <c r="N14" s="497"/>
      <c r="O14" s="497"/>
      <c r="P14" s="497"/>
      <c r="Q14" s="497"/>
      <c r="R14" s="497"/>
      <c r="S14" s="497"/>
      <c r="T14" s="497"/>
      <c r="U14" s="497"/>
      <c r="V14" s="497"/>
    </row>
    <row r="15" spans="1:22" hidden="1" x14ac:dyDescent="0.2">
      <c r="B15" s="496" t="s">
        <v>1000</v>
      </c>
      <c r="C15" s="496" t="s">
        <v>935</v>
      </c>
      <c r="D15" s="497"/>
      <c r="E15" s="497"/>
      <c r="F15" s="497"/>
      <c r="G15" s="497"/>
      <c r="H15" s="497"/>
      <c r="I15" s="497"/>
      <c r="J15" s="497"/>
      <c r="K15" s="497"/>
      <c r="L15" s="497"/>
      <c r="M15" s="497"/>
      <c r="N15" s="497"/>
      <c r="O15" s="497"/>
      <c r="P15" s="497"/>
      <c r="Q15" s="497"/>
      <c r="R15" s="497"/>
      <c r="S15" s="497"/>
      <c r="T15" s="497"/>
      <c r="U15" s="497"/>
      <c r="V15" s="497"/>
    </row>
    <row r="16" spans="1:22" hidden="1" x14ac:dyDescent="0.2">
      <c r="B16" s="496" t="s">
        <v>1001</v>
      </c>
      <c r="C16" s="496" t="s">
        <v>1002</v>
      </c>
      <c r="D16" s="497"/>
      <c r="E16" s="497"/>
      <c r="F16" s="497"/>
      <c r="G16" s="497"/>
      <c r="H16" s="497"/>
      <c r="I16" s="497"/>
      <c r="J16" s="497"/>
      <c r="K16" s="497"/>
      <c r="L16" s="497"/>
      <c r="M16" s="497"/>
      <c r="N16" s="497"/>
      <c r="O16" s="497"/>
      <c r="P16" s="497"/>
      <c r="Q16" s="497"/>
      <c r="R16" s="497"/>
      <c r="S16" s="497"/>
      <c r="T16" s="497"/>
      <c r="U16" s="497"/>
      <c r="V16" s="497"/>
    </row>
    <row r="17" spans="2:22" hidden="1" x14ac:dyDescent="0.2">
      <c r="B17" s="496" t="s">
        <v>1003</v>
      </c>
      <c r="C17" s="496" t="s">
        <v>1004</v>
      </c>
      <c r="D17" s="497"/>
      <c r="E17" s="497"/>
      <c r="F17" s="497"/>
      <c r="G17" s="497"/>
      <c r="H17" s="497"/>
      <c r="I17" s="497"/>
      <c r="J17" s="497"/>
      <c r="K17" s="497"/>
      <c r="L17" s="497"/>
      <c r="M17" s="497"/>
      <c r="N17" s="497"/>
      <c r="O17" s="497"/>
      <c r="P17" s="497"/>
      <c r="Q17" s="497"/>
      <c r="R17" s="497"/>
      <c r="S17" s="497"/>
      <c r="T17" s="497"/>
      <c r="U17" s="497"/>
      <c r="V17" s="497"/>
    </row>
    <row r="18" spans="2:22" hidden="1" x14ac:dyDescent="0.2">
      <c r="B18" s="497"/>
      <c r="C18" s="497"/>
      <c r="D18" s="497"/>
      <c r="E18" s="497"/>
      <c r="F18" s="497"/>
      <c r="G18" s="497"/>
      <c r="H18" s="497"/>
      <c r="I18" s="497"/>
      <c r="J18" s="497"/>
      <c r="K18" s="497"/>
      <c r="L18" s="497"/>
      <c r="M18" s="497"/>
      <c r="N18" s="497"/>
      <c r="O18" s="497"/>
      <c r="P18" s="497"/>
      <c r="Q18" s="497"/>
      <c r="R18" s="497"/>
      <c r="S18" s="497"/>
      <c r="T18" s="497"/>
      <c r="U18" s="497"/>
      <c r="V18" s="497"/>
    </row>
    <row r="19" spans="2:22" ht="27" hidden="1" customHeight="1" x14ac:dyDescent="0.2">
      <c r="B19" s="1953" t="s">
        <v>1013</v>
      </c>
      <c r="C19" s="1953"/>
      <c r="D19" s="1953"/>
      <c r="E19" s="1953"/>
      <c r="F19" s="1953"/>
      <c r="G19" s="1953"/>
      <c r="H19" s="1953"/>
      <c r="I19" s="1953"/>
      <c r="J19" s="1953"/>
      <c r="K19" s="1953"/>
      <c r="L19" s="1953"/>
      <c r="M19" s="1953"/>
      <c r="N19" s="1953"/>
      <c r="O19" s="1953"/>
      <c r="P19" s="1953"/>
      <c r="Q19" s="1953"/>
      <c r="R19" s="1953"/>
      <c r="S19" s="1953"/>
      <c r="T19" s="1953"/>
      <c r="U19" s="1953"/>
      <c r="V19" s="1953"/>
    </row>
    <row r="20" spans="2:22" hidden="1" x14ac:dyDescent="0.2">
      <c r="B20" s="497"/>
      <c r="C20" s="497"/>
      <c r="D20" s="497"/>
      <c r="E20" s="497"/>
      <c r="F20" s="497"/>
      <c r="G20" s="497"/>
      <c r="H20" s="497"/>
      <c r="I20" s="497"/>
      <c r="J20" s="497"/>
      <c r="K20" s="497"/>
      <c r="L20" s="497"/>
      <c r="M20" s="497"/>
      <c r="N20" s="497"/>
      <c r="O20" s="497"/>
      <c r="P20" s="497"/>
      <c r="Q20" s="497"/>
      <c r="R20" s="497"/>
      <c r="S20" s="497"/>
      <c r="T20" s="497"/>
      <c r="U20" s="497"/>
      <c r="V20" s="497"/>
    </row>
    <row r="21" spans="2:22" ht="27.75" hidden="1" customHeight="1" x14ac:dyDescent="0.2">
      <c r="B21" s="1953" t="s">
        <v>1005</v>
      </c>
      <c r="C21" s="1953"/>
      <c r="D21" s="1953"/>
      <c r="E21" s="1953"/>
      <c r="F21" s="1953"/>
      <c r="G21" s="1953"/>
      <c r="H21" s="1953"/>
      <c r="I21" s="1953"/>
      <c r="J21" s="1953"/>
      <c r="K21" s="1953"/>
      <c r="L21" s="1953"/>
      <c r="M21" s="1953"/>
      <c r="N21" s="1953"/>
      <c r="O21" s="1953"/>
      <c r="P21" s="1953"/>
      <c r="Q21" s="1953"/>
      <c r="R21" s="1953"/>
      <c r="S21" s="1953"/>
      <c r="T21" s="1953"/>
      <c r="U21" s="1953"/>
      <c r="V21" s="1953"/>
    </row>
    <row r="22" spans="2:22" hidden="1" x14ac:dyDescent="0.2">
      <c r="B22" s="497"/>
      <c r="C22" s="497"/>
      <c r="D22" s="497"/>
      <c r="E22" s="497"/>
      <c r="F22" s="497"/>
      <c r="G22" s="497"/>
      <c r="H22" s="497"/>
      <c r="I22" s="497"/>
      <c r="J22" s="497"/>
      <c r="K22" s="497"/>
      <c r="L22" s="497"/>
      <c r="M22" s="497"/>
      <c r="N22" s="497"/>
      <c r="O22" s="497"/>
      <c r="P22" s="497"/>
      <c r="Q22" s="497"/>
      <c r="R22" s="497"/>
      <c r="S22" s="497"/>
      <c r="T22" s="497"/>
      <c r="U22" s="497"/>
      <c r="V22" s="497"/>
    </row>
    <row r="23" spans="2:22" ht="24.75" hidden="1" customHeight="1" x14ac:dyDescent="0.2">
      <c r="B23" s="1953" t="s">
        <v>1006</v>
      </c>
      <c r="C23" s="1953"/>
      <c r="D23" s="1953"/>
      <c r="E23" s="1953"/>
      <c r="F23" s="1953"/>
      <c r="G23" s="1953"/>
      <c r="H23" s="1953"/>
      <c r="I23" s="1953"/>
      <c r="J23" s="1953"/>
      <c r="K23" s="1953"/>
      <c r="L23" s="1953"/>
      <c r="M23" s="1953"/>
      <c r="N23" s="1953"/>
      <c r="O23" s="1953"/>
      <c r="P23" s="1953"/>
      <c r="Q23" s="1953"/>
      <c r="R23" s="1953"/>
      <c r="S23" s="1953"/>
      <c r="T23" s="1953"/>
      <c r="U23" s="1953"/>
      <c r="V23" s="1953"/>
    </row>
    <row r="24" spans="2:22" hidden="1" x14ac:dyDescent="0.2">
      <c r="B24" s="497"/>
      <c r="C24" s="497"/>
      <c r="D24" s="497"/>
      <c r="E24" s="497"/>
      <c r="F24" s="497"/>
      <c r="G24" s="497"/>
      <c r="H24" s="497"/>
      <c r="I24" s="497"/>
      <c r="J24" s="497"/>
      <c r="K24" s="497"/>
      <c r="L24" s="497"/>
      <c r="M24" s="497"/>
      <c r="N24" s="497"/>
      <c r="O24" s="497"/>
      <c r="P24" s="497"/>
      <c r="Q24" s="497"/>
      <c r="R24" s="497"/>
      <c r="S24" s="497"/>
      <c r="T24" s="497"/>
      <c r="U24" s="497"/>
      <c r="V24" s="497"/>
    </row>
    <row r="25" spans="2:22" ht="26.25" hidden="1" customHeight="1" x14ac:dyDescent="0.2">
      <c r="B25" s="1953" t="s">
        <v>1007</v>
      </c>
      <c r="C25" s="1953"/>
      <c r="D25" s="1953"/>
      <c r="E25" s="1953"/>
      <c r="F25" s="1953"/>
      <c r="G25" s="1953"/>
      <c r="H25" s="1953"/>
      <c r="I25" s="1953"/>
      <c r="J25" s="1953"/>
      <c r="K25" s="1953"/>
      <c r="L25" s="1953"/>
      <c r="M25" s="1953"/>
      <c r="N25" s="1953"/>
      <c r="O25" s="1953"/>
      <c r="P25" s="1953"/>
      <c r="Q25" s="1953"/>
      <c r="R25" s="1953"/>
      <c r="S25" s="1953"/>
      <c r="T25" s="1953"/>
      <c r="U25" s="1953"/>
      <c r="V25" s="1953"/>
    </row>
    <row r="26" spans="2:22" hidden="1" x14ac:dyDescent="0.2">
      <c r="B26" s="497"/>
      <c r="C26" s="497"/>
      <c r="D26" s="497"/>
      <c r="E26" s="497"/>
      <c r="F26" s="497"/>
      <c r="G26" s="497"/>
      <c r="H26" s="497"/>
      <c r="I26" s="497"/>
      <c r="J26" s="497"/>
      <c r="K26" s="497"/>
      <c r="L26" s="497"/>
      <c r="M26" s="497"/>
      <c r="N26" s="497"/>
      <c r="O26" s="497"/>
      <c r="P26" s="497"/>
      <c r="Q26" s="497"/>
      <c r="R26" s="497"/>
      <c r="S26" s="497"/>
      <c r="T26" s="497"/>
      <c r="U26" s="497"/>
      <c r="V26" s="497"/>
    </row>
    <row r="27" spans="2:22" ht="30.75" hidden="1" customHeight="1" x14ac:dyDescent="0.2">
      <c r="B27" s="1955" t="s">
        <v>1008</v>
      </c>
      <c r="C27" s="1955"/>
      <c r="D27" s="1955"/>
      <c r="E27" s="1955"/>
      <c r="F27" s="1955"/>
      <c r="G27" s="1955"/>
      <c r="H27" s="1955"/>
      <c r="I27" s="1955"/>
      <c r="J27" s="1955"/>
      <c r="K27" s="1955"/>
      <c r="L27" s="1955"/>
      <c r="M27" s="1955"/>
      <c r="N27" s="1955"/>
      <c r="O27" s="1955"/>
      <c r="P27" s="1955"/>
      <c r="Q27" s="1955"/>
      <c r="R27" s="1955"/>
      <c r="S27" s="1955"/>
      <c r="T27" s="1955"/>
      <c r="U27" s="1955"/>
      <c r="V27" s="1955"/>
    </row>
    <row r="28" spans="2:22" ht="13.5" customHeight="1" x14ac:dyDescent="0.2">
      <c r="B28" s="480"/>
      <c r="C28" s="480"/>
      <c r="D28" s="480"/>
      <c r="E28" s="480"/>
      <c r="F28" s="480"/>
      <c r="G28" s="480"/>
      <c r="H28" s="480"/>
      <c r="I28" s="480"/>
      <c r="J28" s="480"/>
      <c r="K28" s="480"/>
      <c r="L28" s="480"/>
      <c r="M28" s="480"/>
      <c r="N28" s="480"/>
      <c r="O28" s="480"/>
      <c r="P28" s="480"/>
      <c r="Q28" s="480"/>
      <c r="R28" s="480"/>
      <c r="S28" s="480"/>
      <c r="T28" s="480"/>
      <c r="U28" s="480"/>
      <c r="V28" s="480"/>
    </row>
    <row r="29" spans="2:22" ht="15.75" customHeight="1" x14ac:dyDescent="0.2">
      <c r="B29" s="1957" t="s">
        <v>1032</v>
      </c>
      <c r="C29" s="1957"/>
      <c r="D29" s="1957"/>
      <c r="E29" s="1957"/>
      <c r="F29" s="1957"/>
      <c r="G29" s="1957"/>
      <c r="H29" s="1957"/>
      <c r="I29" s="1957"/>
      <c r="J29" s="1957"/>
      <c r="K29" s="1957"/>
      <c r="L29" s="1957"/>
      <c r="M29" s="1957"/>
      <c r="N29" s="1957"/>
      <c r="O29" s="1957"/>
      <c r="P29" s="1957"/>
      <c r="Q29" s="1957"/>
      <c r="R29" s="1957"/>
      <c r="S29" s="1957"/>
      <c r="T29" s="1957"/>
      <c r="U29" s="1957"/>
      <c r="V29" s="1957"/>
    </row>
    <row r="30" spans="2:22" ht="15.75" customHeight="1" x14ac:dyDescent="0.2">
      <c r="B30" s="498"/>
      <c r="C30" s="498"/>
      <c r="D30" s="498"/>
      <c r="E30" s="498"/>
      <c r="F30" s="498"/>
      <c r="G30" s="498"/>
      <c r="H30" s="498"/>
      <c r="I30" s="498"/>
      <c r="J30" s="498"/>
      <c r="K30" s="498"/>
      <c r="L30" s="498"/>
      <c r="M30" s="498"/>
      <c r="N30" s="498"/>
      <c r="O30" s="498"/>
      <c r="P30" s="498"/>
      <c r="Q30" s="498"/>
      <c r="R30" s="498"/>
      <c r="S30" s="498"/>
      <c r="T30" s="498"/>
      <c r="U30" s="498"/>
      <c r="V30" s="498"/>
    </row>
    <row r="31" spans="2:22" ht="15.75" customHeight="1" x14ac:dyDescent="0.2">
      <c r="B31" s="498" t="s">
        <v>1033</v>
      </c>
      <c r="C31" s="498"/>
      <c r="D31" s="527"/>
      <c r="E31" s="498"/>
      <c r="F31" s="498" t="s">
        <v>1034</v>
      </c>
      <c r="G31" s="498"/>
      <c r="H31" s="529"/>
      <c r="I31" s="528"/>
      <c r="J31" s="498"/>
      <c r="K31" s="498" t="s">
        <v>1035</v>
      </c>
      <c r="L31" s="498"/>
      <c r="M31" s="498"/>
      <c r="N31" s="498"/>
      <c r="O31" s="498"/>
      <c r="P31" s="498"/>
      <c r="Q31" s="498"/>
      <c r="R31" s="498"/>
      <c r="S31" s="498"/>
      <c r="T31" s="498"/>
      <c r="U31" s="498"/>
      <c r="V31" s="498"/>
    </row>
    <row r="32" spans="2:22" ht="15.75" customHeight="1" x14ac:dyDescent="0.2">
      <c r="B32" s="498"/>
      <c r="C32" s="498"/>
      <c r="D32" s="498"/>
      <c r="E32" s="498"/>
      <c r="F32" s="498"/>
      <c r="G32" s="498"/>
      <c r="H32" s="498"/>
      <c r="I32" s="498"/>
      <c r="J32" s="498"/>
      <c r="K32" s="498"/>
      <c r="L32" s="498"/>
      <c r="M32" s="498"/>
      <c r="N32" s="498"/>
      <c r="O32" s="498"/>
      <c r="P32" s="498"/>
      <c r="Q32" s="498"/>
      <c r="R32" s="498"/>
      <c r="S32" s="498"/>
      <c r="T32" s="498"/>
      <c r="U32" s="498"/>
      <c r="V32" s="498"/>
    </row>
    <row r="33" spans="2:23" ht="15.75" customHeight="1" x14ac:dyDescent="0.2">
      <c r="B33" s="498"/>
      <c r="C33" s="498"/>
      <c r="D33" s="530"/>
      <c r="E33" s="498"/>
      <c r="F33" s="498" t="s">
        <v>1036</v>
      </c>
      <c r="G33" s="498"/>
      <c r="H33" s="498"/>
      <c r="I33" s="534"/>
      <c r="J33" s="498"/>
      <c r="K33" s="498" t="s">
        <v>1037</v>
      </c>
      <c r="L33" s="498"/>
      <c r="M33" s="498"/>
      <c r="N33" s="498"/>
      <c r="O33" s="498"/>
      <c r="P33" s="498"/>
      <c r="Q33" s="498"/>
      <c r="R33" s="498"/>
      <c r="S33" s="498"/>
      <c r="T33" s="498"/>
      <c r="U33" s="498"/>
      <c r="V33" s="498"/>
    </row>
    <row r="34" spans="2:23" ht="15.75" customHeight="1" x14ac:dyDescent="0.2">
      <c r="B34" s="498"/>
      <c r="C34" s="498"/>
      <c r="D34" s="498"/>
      <c r="E34" s="498"/>
      <c r="F34" s="498"/>
      <c r="G34" s="498"/>
      <c r="H34" s="498"/>
      <c r="I34" s="498"/>
      <c r="J34" s="498"/>
      <c r="K34" s="498"/>
      <c r="L34" s="498"/>
      <c r="M34" s="498"/>
      <c r="N34" s="498"/>
      <c r="O34" s="498"/>
      <c r="P34" s="498"/>
      <c r="Q34" s="498"/>
      <c r="R34" s="498"/>
      <c r="S34" s="498"/>
      <c r="T34" s="498"/>
      <c r="U34" s="498"/>
      <c r="V34" s="498"/>
    </row>
    <row r="35" spans="2:23" ht="15.75" customHeight="1" x14ac:dyDescent="0.2">
      <c r="B35" s="544" t="s">
        <v>1038</v>
      </c>
      <c r="C35" s="529"/>
      <c r="D35" s="529"/>
      <c r="E35" s="498"/>
      <c r="F35" s="498"/>
      <c r="G35" s="498"/>
      <c r="H35" s="498"/>
      <c r="I35" s="498"/>
      <c r="J35" s="498"/>
      <c r="K35" s="498"/>
      <c r="L35" s="498"/>
      <c r="M35" s="498"/>
      <c r="N35" s="498"/>
      <c r="O35" s="498"/>
      <c r="P35" s="498"/>
      <c r="Q35" s="498"/>
      <c r="R35" s="498"/>
      <c r="S35" s="498"/>
      <c r="T35" s="498"/>
      <c r="U35" s="498"/>
      <c r="V35" s="498"/>
    </row>
    <row r="36" spans="2:23" ht="15.75" customHeight="1" thickBot="1" x14ac:dyDescent="0.25">
      <c r="B36" s="529"/>
      <c r="C36" s="529"/>
      <c r="D36" s="529"/>
      <c r="E36" s="498"/>
      <c r="F36" s="549"/>
      <c r="G36" s="549"/>
      <c r="H36" s="549"/>
      <c r="I36" s="549"/>
      <c r="J36" s="498"/>
      <c r="K36" s="498"/>
      <c r="L36" s="498"/>
      <c r="M36" s="498"/>
      <c r="N36" s="498"/>
      <c r="O36" s="498"/>
      <c r="P36" s="498"/>
      <c r="Q36" s="498"/>
      <c r="R36" s="498"/>
      <c r="S36" s="498"/>
      <c r="T36" s="498"/>
      <c r="U36" s="498"/>
      <c r="V36" s="498"/>
    </row>
    <row r="37" spans="2:23" ht="15.75" customHeight="1" x14ac:dyDescent="0.2">
      <c r="C37" s="483"/>
      <c r="D37" s="487" t="s">
        <v>1011</v>
      </c>
      <c r="E37" s="495"/>
      <c r="F37" s="548"/>
      <c r="G37" s="548"/>
      <c r="H37" s="548"/>
      <c r="I37" s="548"/>
      <c r="J37" s="547"/>
      <c r="K37" s="1941" t="s">
        <v>1018</v>
      </c>
      <c r="L37" s="1942"/>
      <c r="M37" s="1942"/>
      <c r="N37" s="1942"/>
      <c r="O37" s="1943"/>
      <c r="P37" s="498"/>
      <c r="Q37" s="498"/>
      <c r="R37" s="498"/>
      <c r="S37" s="498"/>
      <c r="T37" s="498"/>
      <c r="U37" s="498"/>
      <c r="V37" s="498"/>
      <c r="W37" s="498"/>
    </row>
    <row r="38" spans="2:23" ht="39.75" customHeight="1" thickBot="1" x14ac:dyDescent="0.25">
      <c r="C38" s="488"/>
      <c r="D38" s="490" t="str">
        <f>CONCATENATE("(for ",TestYear," Cost of Service")</f>
        <v>(for 2019 Cost of Service</v>
      </c>
      <c r="E38" s="551"/>
      <c r="F38" s="1956"/>
      <c r="G38" s="1956"/>
      <c r="H38" s="1956"/>
      <c r="I38" s="503"/>
      <c r="J38" s="550"/>
      <c r="K38" s="494"/>
      <c r="L38" s="489" t="s">
        <v>1031</v>
      </c>
      <c r="M38" s="489" t="s">
        <v>1015</v>
      </c>
      <c r="N38" s="512"/>
      <c r="O38" s="513" t="s">
        <v>1015</v>
      </c>
      <c r="P38" s="498"/>
      <c r="Q38" s="498"/>
      <c r="R38" s="498"/>
      <c r="S38" s="498"/>
      <c r="T38" s="498"/>
      <c r="U38" s="498"/>
      <c r="V38" s="498"/>
      <c r="W38" s="498"/>
    </row>
    <row r="39" spans="2:23" ht="15.75" customHeight="1" x14ac:dyDescent="0.2">
      <c r="C39" s="485" t="s">
        <v>830</v>
      </c>
      <c r="D39" s="570">
        <f t="shared" ref="D39:D44" si="0">D40-1</f>
        <v>2013</v>
      </c>
      <c r="E39" s="516"/>
      <c r="F39" s="500"/>
      <c r="G39" s="538"/>
      <c r="H39" s="2"/>
      <c r="I39" s="2"/>
      <c r="J39" s="505"/>
      <c r="K39" s="1537" t="s">
        <v>370</v>
      </c>
      <c r="L39" s="1540">
        <v>189823053.13865024</v>
      </c>
      <c r="M39" s="1541">
        <v>191903721.59167364</v>
      </c>
      <c r="N39" s="566" t="str">
        <f t="shared" ref="N39:N45" si="1">IF(D39=RebaseYear,"Board-approved","")</f>
        <v/>
      </c>
      <c r="O39" s="590"/>
      <c r="P39" s="498"/>
      <c r="Q39" s="498"/>
      <c r="R39" s="498"/>
      <c r="S39" s="498"/>
      <c r="T39" s="498"/>
      <c r="U39" s="498"/>
      <c r="V39" s="498"/>
      <c r="W39" s="498"/>
    </row>
    <row r="40" spans="2:23" ht="15.75" customHeight="1" x14ac:dyDescent="0.2">
      <c r="C40" s="485" t="s">
        <v>830</v>
      </c>
      <c r="D40" s="570">
        <f t="shared" si="0"/>
        <v>2014</v>
      </c>
      <c r="E40" s="516"/>
      <c r="F40" s="500"/>
      <c r="G40" s="538"/>
      <c r="H40" s="2"/>
      <c r="I40" s="2"/>
      <c r="J40" s="505"/>
      <c r="K40" s="1537" t="s">
        <v>370</v>
      </c>
      <c r="L40" s="1542">
        <v>196751647.39219356</v>
      </c>
      <c r="M40" s="508">
        <v>193844611.69432142</v>
      </c>
      <c r="N40" s="505" t="str">
        <f t="shared" si="1"/>
        <v>Board-approved</v>
      </c>
      <c r="O40" s="1543">
        <v>187976750.17647016</v>
      </c>
      <c r="P40" s="498"/>
      <c r="Q40" s="498"/>
      <c r="R40" s="498"/>
      <c r="S40" s="498"/>
      <c r="T40" s="498"/>
      <c r="U40" s="498"/>
      <c r="V40" s="498"/>
      <c r="W40" s="498"/>
    </row>
    <row r="41" spans="2:23" ht="15.75" customHeight="1" x14ac:dyDescent="0.2">
      <c r="C41" s="485" t="s">
        <v>830</v>
      </c>
      <c r="D41" s="570">
        <f t="shared" si="0"/>
        <v>2015</v>
      </c>
      <c r="E41" s="516"/>
      <c r="F41" s="500"/>
      <c r="G41" s="538"/>
      <c r="H41" s="2"/>
      <c r="I41" s="500"/>
      <c r="J41" s="505"/>
      <c r="K41" s="1537" t="s">
        <v>370</v>
      </c>
      <c r="L41" s="1542">
        <v>201773815.25724146</v>
      </c>
      <c r="M41" s="508">
        <v>200603195.59949324</v>
      </c>
      <c r="N41" s="505" t="str">
        <f t="shared" si="1"/>
        <v/>
      </c>
      <c r="O41" s="532"/>
      <c r="P41" s="498"/>
      <c r="Q41" s="498"/>
      <c r="R41" s="498"/>
      <c r="S41" s="498"/>
      <c r="T41" s="498"/>
      <c r="U41" s="498"/>
      <c r="V41" s="498"/>
      <c r="W41" s="498"/>
    </row>
    <row r="42" spans="2:23" ht="15.75" customHeight="1" x14ac:dyDescent="0.2">
      <c r="C42" s="485" t="s">
        <v>830</v>
      </c>
      <c r="D42" s="570">
        <f t="shared" si="0"/>
        <v>2016</v>
      </c>
      <c r="E42" s="516"/>
      <c r="F42" s="500"/>
      <c r="G42" s="538"/>
      <c r="H42" s="2"/>
      <c r="I42" s="2"/>
      <c r="J42" s="505"/>
      <c r="K42" s="1537" t="s">
        <v>370</v>
      </c>
      <c r="L42" s="1542">
        <v>209189301.68894997</v>
      </c>
      <c r="M42" s="508">
        <v>212828670.71166679</v>
      </c>
      <c r="N42" s="505" t="str">
        <f t="shared" si="1"/>
        <v/>
      </c>
      <c r="O42" s="531"/>
      <c r="P42" s="498"/>
      <c r="Q42" s="498"/>
      <c r="R42" s="498"/>
      <c r="S42" s="498"/>
      <c r="T42" s="498"/>
      <c r="U42" s="498"/>
      <c r="V42" s="498"/>
      <c r="W42" s="498"/>
    </row>
    <row r="43" spans="2:23" ht="15.75" customHeight="1" x14ac:dyDescent="0.2">
      <c r="C43" s="485" t="s">
        <v>830</v>
      </c>
      <c r="D43" s="570">
        <f t="shared" si="0"/>
        <v>2017</v>
      </c>
      <c r="E43" s="516"/>
      <c r="F43" s="500"/>
      <c r="G43" s="538"/>
      <c r="H43" s="2"/>
      <c r="I43" s="2"/>
      <c r="J43" s="505"/>
      <c r="K43" s="1537" t="s">
        <v>370</v>
      </c>
      <c r="L43" s="1542">
        <v>203784766.54920003</v>
      </c>
      <c r="M43" s="508">
        <v>207071865.39865404</v>
      </c>
      <c r="N43" s="505" t="str">
        <f t="shared" si="1"/>
        <v/>
      </c>
      <c r="O43" s="531"/>
      <c r="P43" s="498"/>
      <c r="Q43" s="498"/>
      <c r="R43" s="498"/>
      <c r="S43" s="498"/>
      <c r="T43" s="498"/>
      <c r="U43" s="498"/>
      <c r="V43" s="498"/>
      <c r="W43" s="498"/>
    </row>
    <row r="44" spans="2:23" ht="15.75" customHeight="1" x14ac:dyDescent="0.2">
      <c r="C44" s="485" t="s">
        <v>289</v>
      </c>
      <c r="D44" s="570">
        <f t="shared" si="0"/>
        <v>2018</v>
      </c>
      <c r="E44" s="516"/>
      <c r="F44" s="500"/>
      <c r="G44" s="538"/>
      <c r="H44" s="2"/>
      <c r="I44" s="2"/>
      <c r="J44" s="505"/>
      <c r="K44" s="1537" t="s">
        <v>80</v>
      </c>
      <c r="L44" s="1538"/>
      <c r="M44" s="508">
        <v>203217805.39392859</v>
      </c>
      <c r="N44" s="505" t="str">
        <f t="shared" si="1"/>
        <v/>
      </c>
      <c r="O44" s="531"/>
      <c r="P44" s="498"/>
      <c r="Q44" s="498"/>
      <c r="R44" s="498"/>
      <c r="S44" s="498"/>
      <c r="T44" s="498"/>
      <c r="U44" s="498"/>
      <c r="V44" s="498"/>
      <c r="W44" s="498"/>
    </row>
    <row r="45" spans="2:23" ht="15.75" customHeight="1" thickBot="1" x14ac:dyDescent="0.25">
      <c r="C45" s="486" t="s">
        <v>290</v>
      </c>
      <c r="D45" s="571">
        <f>TestYear</f>
        <v>2019</v>
      </c>
      <c r="E45" s="517"/>
      <c r="F45" s="501"/>
      <c r="G45" s="545"/>
      <c r="H45" s="514"/>
      <c r="I45" s="514"/>
      <c r="J45" s="506"/>
      <c r="K45" s="1537" t="s">
        <v>80</v>
      </c>
      <c r="L45" s="1539"/>
      <c r="M45" s="509">
        <v>226450227.76134506</v>
      </c>
      <c r="N45" s="506" t="str">
        <f t="shared" si="1"/>
        <v/>
      </c>
      <c r="O45" s="533"/>
      <c r="P45" s="498"/>
      <c r="Q45" s="498"/>
      <c r="R45" s="498"/>
      <c r="S45" s="498"/>
      <c r="T45" s="498"/>
      <c r="U45" s="498"/>
      <c r="V45" s="498"/>
      <c r="W45" s="498"/>
    </row>
    <row r="46" spans="2:23" ht="15.75" customHeight="1" thickBot="1" x14ac:dyDescent="0.25">
      <c r="C46" s="569"/>
      <c r="D46" s="568"/>
      <c r="F46" s="507"/>
      <c r="G46" s="507"/>
      <c r="H46" s="507"/>
      <c r="I46" s="546"/>
      <c r="J46" s="507"/>
      <c r="K46" s="552"/>
      <c r="O46" s="615">
        <f>SUM(O39:O44)</f>
        <v>187976750.17647016</v>
      </c>
      <c r="P46" s="498"/>
      <c r="Q46" s="498"/>
      <c r="R46" s="498"/>
      <c r="S46" s="498"/>
      <c r="T46" s="498"/>
      <c r="U46" s="498"/>
      <c r="V46" s="498"/>
      <c r="W46" s="498"/>
    </row>
    <row r="47" spans="2:23" ht="33" customHeight="1" thickBot="1" x14ac:dyDescent="0.25">
      <c r="C47" s="553" t="s">
        <v>885</v>
      </c>
      <c r="D47" s="552"/>
      <c r="E47" s="552"/>
      <c r="F47" s="554"/>
      <c r="G47" s="555"/>
      <c r="H47" s="554"/>
      <c r="I47" s="556"/>
      <c r="J47" s="566"/>
      <c r="K47" s="602" t="s">
        <v>10</v>
      </c>
      <c r="L47" s="1936" t="s">
        <v>1027</v>
      </c>
      <c r="M47" s="1936"/>
      <c r="N47" s="600"/>
      <c r="O47" s="601" t="s">
        <v>1028</v>
      </c>
      <c r="P47" s="498"/>
      <c r="Q47" s="498"/>
      <c r="R47" s="498"/>
      <c r="S47" s="498"/>
      <c r="T47" s="498"/>
      <c r="U47" s="498"/>
      <c r="V47" s="498"/>
      <c r="W47" s="498"/>
    </row>
    <row r="48" spans="2:23" ht="15.75" customHeight="1" x14ac:dyDescent="0.2">
      <c r="C48" s="574"/>
      <c r="D48" s="575">
        <f t="shared" ref="D48:D54" si="2">D39</f>
        <v>2013</v>
      </c>
      <c r="E48" s="536"/>
      <c r="F48" s="2"/>
      <c r="G48" s="557"/>
      <c r="H48" s="2"/>
      <c r="I48" s="557"/>
      <c r="J48" s="505"/>
      <c r="K48" s="570">
        <f>D48</f>
        <v>2013</v>
      </c>
      <c r="L48" s="558"/>
      <c r="M48" s="558"/>
      <c r="N48" s="536"/>
      <c r="O48" s="531"/>
      <c r="P48" s="498"/>
      <c r="Q48" s="498"/>
      <c r="R48" s="498"/>
      <c r="S48" s="498"/>
      <c r="T48" s="498"/>
      <c r="U48" s="498"/>
      <c r="V48" s="498"/>
      <c r="W48" s="498"/>
    </row>
    <row r="49" spans="2:23" ht="15.75" customHeight="1" x14ac:dyDescent="0.2">
      <c r="C49" s="574"/>
      <c r="D49" s="575">
        <f t="shared" si="2"/>
        <v>2014</v>
      </c>
      <c r="E49" s="536"/>
      <c r="F49" s="2"/>
      <c r="G49" s="559"/>
      <c r="H49" s="2"/>
      <c r="I49" s="557"/>
      <c r="J49" s="505"/>
      <c r="K49" s="570">
        <f t="shared" ref="K49:K55" si="3">D49</f>
        <v>2014</v>
      </c>
      <c r="L49" s="560">
        <f t="shared" ref="L49:M52" si="4">IF(L39=0,"",L40/L39-1)</f>
        <v>3.6500278227442395E-2</v>
      </c>
      <c r="M49" s="560">
        <f t="shared" si="4"/>
        <v>1.0113874220623709E-2</v>
      </c>
      <c r="N49" s="536"/>
      <c r="O49" s="531"/>
      <c r="P49" s="498"/>
      <c r="Q49" s="498"/>
      <c r="R49" s="498"/>
      <c r="S49" s="498"/>
      <c r="T49" s="498"/>
      <c r="U49" s="498"/>
      <c r="V49" s="498"/>
      <c r="W49" s="498"/>
    </row>
    <row r="50" spans="2:23" ht="15.75" customHeight="1" x14ac:dyDescent="0.2">
      <c r="C50" s="574"/>
      <c r="D50" s="575">
        <f t="shared" si="2"/>
        <v>2015</v>
      </c>
      <c r="E50" s="536"/>
      <c r="F50" s="2"/>
      <c r="G50" s="559"/>
      <c r="H50" s="2"/>
      <c r="I50" s="557"/>
      <c r="J50" s="505"/>
      <c r="K50" s="570">
        <f t="shared" si="3"/>
        <v>2015</v>
      </c>
      <c r="L50" s="560">
        <f t="shared" si="4"/>
        <v>2.5525417101270875E-2</v>
      </c>
      <c r="M50" s="560">
        <f t="shared" si="4"/>
        <v>3.4865987999860515E-2</v>
      </c>
      <c r="N50" s="536"/>
      <c r="O50" s="531"/>
      <c r="P50" s="498"/>
      <c r="Q50" s="498"/>
      <c r="R50" s="498"/>
      <c r="S50" s="498"/>
      <c r="T50" s="498"/>
      <c r="U50" s="498"/>
      <c r="V50" s="498"/>
      <c r="W50" s="498"/>
    </row>
    <row r="51" spans="2:23" ht="15.75" customHeight="1" x14ac:dyDescent="0.2">
      <c r="C51" s="574"/>
      <c r="D51" s="575">
        <f t="shared" si="2"/>
        <v>2016</v>
      </c>
      <c r="E51" s="536"/>
      <c r="F51" s="2"/>
      <c r="G51" s="559"/>
      <c r="H51" s="2"/>
      <c r="I51" s="557"/>
      <c r="J51" s="505"/>
      <c r="K51" s="570">
        <f t="shared" si="3"/>
        <v>2016</v>
      </c>
      <c r="L51" s="560">
        <f t="shared" si="4"/>
        <v>3.6751480474582543E-2</v>
      </c>
      <c r="M51" s="560">
        <f t="shared" si="4"/>
        <v>6.0943571091369275E-2</v>
      </c>
      <c r="N51" s="536"/>
      <c r="O51" s="531"/>
      <c r="P51" s="498"/>
      <c r="Q51" s="498"/>
      <c r="R51" s="498"/>
      <c r="S51" s="498"/>
      <c r="T51" s="498"/>
      <c r="U51" s="498"/>
      <c r="V51" s="498"/>
      <c r="W51" s="498"/>
    </row>
    <row r="52" spans="2:23" ht="15.75" customHeight="1" x14ac:dyDescent="0.2">
      <c r="C52" s="574"/>
      <c r="D52" s="575">
        <f t="shared" si="2"/>
        <v>2017</v>
      </c>
      <c r="E52" s="536"/>
      <c r="F52" s="2"/>
      <c r="G52" s="559"/>
      <c r="H52" s="2"/>
      <c r="I52" s="557"/>
      <c r="J52" s="505"/>
      <c r="K52" s="570">
        <f t="shared" si="3"/>
        <v>2017</v>
      </c>
      <c r="L52" s="560">
        <f t="shared" si="4"/>
        <v>-2.5835619202869697E-2</v>
      </c>
      <c r="M52" s="560">
        <f t="shared" si="4"/>
        <v>-2.7049012211385226E-2</v>
      </c>
      <c r="N52" s="536"/>
      <c r="O52" s="531"/>
      <c r="P52" s="498"/>
      <c r="Q52" s="498"/>
      <c r="R52" s="498"/>
      <c r="S52" s="498"/>
      <c r="T52" s="498"/>
      <c r="U52" s="498"/>
      <c r="V52" s="498"/>
      <c r="W52" s="498"/>
    </row>
    <row r="53" spans="2:23" ht="15.75" customHeight="1" x14ac:dyDescent="0.2">
      <c r="C53" s="574"/>
      <c r="D53" s="575">
        <f t="shared" si="2"/>
        <v>2018</v>
      </c>
      <c r="E53" s="536"/>
      <c r="F53" s="2"/>
      <c r="G53" s="559"/>
      <c r="H53" s="2"/>
      <c r="I53" s="557"/>
      <c r="J53" s="505"/>
      <c r="K53" s="570">
        <f t="shared" si="3"/>
        <v>2018</v>
      </c>
      <c r="L53" s="560" t="str">
        <f>IF(K44="Forecast","",IF(L43=0,"",L44/L43-1))</f>
        <v/>
      </c>
      <c r="M53" s="560">
        <f>IF(M43=0,"",M44/M43-1)</f>
        <v>-1.8612185664651393E-2</v>
      </c>
      <c r="N53" s="536"/>
      <c r="O53" s="531"/>
      <c r="P53" s="498"/>
      <c r="Q53" s="498"/>
      <c r="R53" s="498"/>
      <c r="S53" s="498"/>
      <c r="T53" s="498"/>
      <c r="U53" s="498"/>
      <c r="V53" s="498"/>
      <c r="W53" s="498"/>
    </row>
    <row r="54" spans="2:23" ht="15.75" customHeight="1" x14ac:dyDescent="0.2">
      <c r="C54" s="574"/>
      <c r="D54" s="575">
        <f t="shared" si="2"/>
        <v>2019</v>
      </c>
      <c r="E54" s="536"/>
      <c r="F54" s="2"/>
      <c r="G54" s="559"/>
      <c r="H54" s="2"/>
      <c r="I54" s="559"/>
      <c r="J54" s="505"/>
      <c r="K54" s="570">
        <f t="shared" si="3"/>
        <v>2019</v>
      </c>
      <c r="L54" s="560" t="str">
        <f>IF(K45="Forecast","",IF(L44=0,"",L45/L44-1))</f>
        <v/>
      </c>
      <c r="M54" s="560">
        <f>IF(M44=0,"",M45/M44-1)</f>
        <v>0.11432276971194266</v>
      </c>
      <c r="N54" s="536"/>
      <c r="O54" s="561">
        <f>IF(O46=0,"",M45/O46-1)</f>
        <v>0.20467146893834731</v>
      </c>
      <c r="P54" s="498"/>
      <c r="Q54" s="498"/>
      <c r="R54" s="498"/>
      <c r="S54" s="498"/>
      <c r="T54" s="498"/>
      <c r="U54" s="498"/>
      <c r="V54" s="498"/>
      <c r="W54" s="498"/>
    </row>
    <row r="55" spans="2:23" ht="31.5" customHeight="1" thickBot="1" x14ac:dyDescent="0.25">
      <c r="C55" s="576"/>
      <c r="D55" s="577" t="inlineStr">
        <is>
          <t/>
        </is>
      </c>
      <c r="E55" s="562"/>
      <c r="F55" s="514"/>
      <c r="G55" s="563"/>
      <c r="H55" s="514"/>
      <c r="I55" s="564"/>
      <c r="J55" s="567"/>
      <c r="K55" s="611" t="str">
        <f t="shared" si="3"/>
        <v>Geometric Mean</v>
      </c>
      <c r="L55" s="565">
        <f>IF(L39=0,"",(L43/L39)^(1/($D43-$D39-1))-1)</f>
        <v>2.3939398784088128E-2</v>
      </c>
      <c r="M55" s="565">
        <f>IF(M39=0,"",(M45/M39)^(1/($D45-$D39-1))-1)</f>
        <v>3.3660386607792692E-2</v>
      </c>
      <c r="N55" s="562"/>
      <c r="O55" s="578">
        <f>IF(O46=0,"",(M45/O46)^(1/(TestYear-RebaseYear-1))-1)</f>
        <v>4.7652264831206548E-2</v>
      </c>
      <c r="P55" s="498"/>
      <c r="Q55" s="498"/>
      <c r="R55" s="498"/>
      <c r="S55" s="498"/>
      <c r="T55" s="498"/>
      <c r="U55" s="498"/>
      <c r="V55" s="498"/>
      <c r="W55" s="498"/>
    </row>
    <row r="56" spans="2:23" ht="15.75" customHeight="1" x14ac:dyDescent="0.2">
      <c r="B56" s="498"/>
      <c r="C56" s="498"/>
      <c r="D56" s="498"/>
      <c r="E56" s="498"/>
      <c r="F56" s="498"/>
      <c r="G56" s="498"/>
      <c r="H56" s="498"/>
      <c r="I56" s="498"/>
      <c r="J56" s="498"/>
      <c r="K56" s="498"/>
      <c r="L56" s="498"/>
      <c r="M56" s="498"/>
      <c r="N56" s="498"/>
      <c r="O56" s="498"/>
      <c r="P56" s="498"/>
      <c r="Q56" s="498"/>
      <c r="R56" s="498"/>
      <c r="S56" s="498"/>
      <c r="T56" s="498"/>
      <c r="U56" s="498"/>
      <c r="V56" s="498"/>
    </row>
    <row r="57" spans="2:23" ht="20.25" customHeight="1" x14ac:dyDescent="0.2">
      <c r="B57" s="543" t="s">
        <v>1039</v>
      </c>
      <c r="C57" s="498"/>
      <c r="D57" s="498"/>
      <c r="E57" s="498"/>
      <c r="F57" s="498"/>
      <c r="G57" s="498"/>
      <c r="H57" s="498"/>
      <c r="I57" s="498"/>
      <c r="J57" s="498"/>
      <c r="K57" s="498"/>
      <c r="L57" s="498"/>
      <c r="M57" s="498"/>
      <c r="N57" s="498"/>
      <c r="O57" s="498"/>
      <c r="P57" s="498"/>
      <c r="Q57" s="498"/>
      <c r="R57" s="498"/>
      <c r="S57" s="498"/>
      <c r="T57" s="498"/>
      <c r="U57" s="498"/>
      <c r="V57" s="498"/>
    </row>
    <row r="58" spans="2:23" ht="14.25" customHeight="1" thickBot="1" x14ac:dyDescent="0.25">
      <c r="B58" s="498"/>
      <c r="C58" s="498"/>
      <c r="D58" s="498"/>
      <c r="E58" s="498"/>
      <c r="F58" s="498"/>
      <c r="G58" s="498"/>
      <c r="H58" s="498"/>
      <c r="I58" s="498"/>
      <c r="J58" s="498"/>
      <c r="K58" s="498"/>
      <c r="L58" s="498"/>
      <c r="M58" s="498"/>
      <c r="N58" s="498"/>
      <c r="O58" s="498"/>
      <c r="P58" s="498"/>
      <c r="Q58" s="498"/>
      <c r="R58" s="498"/>
      <c r="S58" s="498"/>
      <c r="T58" s="498"/>
      <c r="U58" s="498"/>
      <c r="V58" s="498"/>
    </row>
    <row r="59" spans="2:23" ht="13.5" thickBot="1" x14ac:dyDescent="0.25">
      <c r="B59" s="525">
        <v>1</v>
      </c>
      <c r="C59" s="3" t="s">
        <v>9</v>
      </c>
      <c r="D59" s="1947" t="s">
        <v>72</v>
      </c>
      <c r="E59" s="1948"/>
      <c r="F59" s="1949"/>
      <c r="G59" s="499"/>
      <c r="H59" s="9" t="s">
        <v>1029</v>
      </c>
      <c r="N59" s="524" t="s">
        <v>70</v>
      </c>
      <c r="O59" s="523"/>
      <c r="P59" s="523"/>
      <c r="Q59" s="523"/>
      <c r="R59" s="523"/>
      <c r="S59" s="523"/>
      <c r="T59" s="523"/>
      <c r="U59" s="523"/>
    </row>
    <row r="60" spans="2:23" ht="13.5" thickBot="1" x14ac:dyDescent="0.25">
      <c r="Q60" s="562"/>
      <c r="R60" s="562"/>
      <c r="S60" s="562"/>
      <c r="T60" s="562"/>
      <c r="U60" s="562"/>
    </row>
    <row r="61" spans="2:23" ht="12.75" customHeight="1" x14ac:dyDescent="0.2">
      <c r="C61" s="483"/>
      <c r="D61" s="487" t="s">
        <v>1011</v>
      </c>
      <c r="E61" s="487"/>
      <c r="F61" s="1950" t="s">
        <v>945</v>
      </c>
      <c r="G61" s="1951"/>
      <c r="H61" s="1951"/>
      <c r="I61" s="1952"/>
      <c r="J61" s="487"/>
      <c r="K61" s="1941" t="s">
        <v>1018</v>
      </c>
      <c r="L61" s="1942"/>
      <c r="M61" s="1942"/>
      <c r="N61" s="1942"/>
      <c r="O61" s="1943"/>
      <c r="P61" s="495"/>
      <c r="Q61" s="1944" t="str">
        <f>CONCATENATE("Consumption (kWh) per ",LEFT(F61,LEN(F61)-1))</f>
        <v>Consumption (kWh) per Customer</v>
      </c>
      <c r="R61" s="1945"/>
      <c r="S61" s="1945"/>
      <c r="T61" s="1945"/>
      <c r="U61" s="1946"/>
      <c r="V61" s="515"/>
    </row>
    <row r="62" spans="2:23" ht="38.25" customHeight="1" thickBot="1" x14ac:dyDescent="0.25">
      <c r="C62" s="488"/>
      <c r="D62" s="490" t="str">
        <f>CONCATENATE("(for ",TestYear," Cost of Service")</f>
        <v>(for 2019 Cost of Service</v>
      </c>
      <c r="E62" s="485"/>
      <c r="F62" s="1934"/>
      <c r="G62" s="1935"/>
      <c r="H62" s="1937"/>
      <c r="I62" s="504"/>
      <c r="J62" s="485"/>
      <c r="K62" s="494"/>
      <c r="L62" s="489" t="s">
        <v>1031</v>
      </c>
      <c r="M62" s="489" t="s">
        <v>1015</v>
      </c>
      <c r="N62" s="512"/>
      <c r="O62" s="513" t="s">
        <v>1015</v>
      </c>
      <c r="P62" s="485"/>
      <c r="Q62" s="596"/>
      <c r="R62" s="597" t="str">
        <f>L62</f>
        <v>Actual (Weather actual)</v>
      </c>
      <c r="S62" s="598" t="str">
        <f>M62</f>
        <v>Weather-normalized</v>
      </c>
      <c r="T62" s="598"/>
      <c r="U62" s="599" t="str">
        <f>O62</f>
        <v>Weather-normalized</v>
      </c>
      <c r="V62" s="515"/>
    </row>
    <row r="63" spans="2:23" x14ac:dyDescent="0.2">
      <c r="C63" s="485" t="s">
        <v>830</v>
      </c>
      <c r="D63" s="570">
        <f t="shared" ref="D63:D68" si="5">D64-1</f>
        <v>2013</v>
      </c>
      <c r="E63" s="484"/>
      <c r="F63" s="520" t="str">
        <f>K39</f>
        <v>Actual</v>
      </c>
      <c r="G63" s="1541">
        <v>6912.458333333333</v>
      </c>
      <c r="H63" s="566" t="str">
        <f t="shared" ref="H63:H69" si="6">IF(D63=RebaseYear,"Board-approved","")</f>
        <v/>
      </c>
      <c r="I63" s="531"/>
      <c r="J63" s="484"/>
      <c r="K63" s="1544" t="str">
        <f>F63</f>
        <v>Actual</v>
      </c>
      <c r="L63" s="1540">
        <v>66976829.959999993</v>
      </c>
      <c r="M63" s="1541">
        <v>68873552.967232019</v>
      </c>
      <c r="N63" s="1546" t="str">
        <f>H63</f>
        <v/>
      </c>
      <c r="O63" s="590"/>
      <c r="P63" s="484"/>
      <c r="Q63" s="592" t="str">
        <f>K63</f>
        <v>Actual</v>
      </c>
      <c r="R63" s="594">
        <f>IF(G63=0,"",L63/G63)</f>
        <v>9689.2923950114218</v>
      </c>
      <c r="S63" s="536">
        <f>IF(G63=0,"",M63/G63)</f>
        <v>9963.6843574317409</v>
      </c>
      <c r="T63" s="536" t="str">
        <f>N63</f>
        <v/>
      </c>
      <c r="U63" s="536" t="str">
        <f>IF(T63="","",IF(I63=0,"",O63/I63))</f>
        <v/>
      </c>
      <c r="V63" s="516"/>
    </row>
    <row r="64" spans="2:23" x14ac:dyDescent="0.2">
      <c r="C64" s="485" t="s">
        <v>830</v>
      </c>
      <c r="D64" s="570">
        <f t="shared" si="5"/>
        <v>2014</v>
      </c>
      <c r="E64" s="484"/>
      <c r="F64" s="521" t="str">
        <f t="shared" ref="F64:F69" si="7">K40</f>
        <v>Actual</v>
      </c>
      <c r="G64" s="508">
        <v>7110.208333333333</v>
      </c>
      <c r="H64" s="505" t="str">
        <f t="shared" si="6"/>
        <v>Board-approved</v>
      </c>
      <c r="I64" s="508">
        <v>7083.3303909601</v>
      </c>
      <c r="J64" s="484"/>
      <c r="K64" s="1544" t="str">
        <f t="shared" ref="K64:K69" si="8">F64</f>
        <v>Actual</v>
      </c>
      <c r="L64" s="1542">
        <v>67086975.060000002</v>
      </c>
      <c r="M64" s="508">
        <v>67585959.397632822</v>
      </c>
      <c r="N64" s="481" t="str">
        <f t="shared" ref="N64:N69" si="9">H64</f>
        <v>Board-approved</v>
      </c>
      <c r="O64" s="1543">
        <v>67753409.927524641</v>
      </c>
      <c r="P64" s="484"/>
      <c r="Q64" s="592" t="str">
        <f t="shared" ref="Q64:Q69" si="10">K64</f>
        <v>Actual</v>
      </c>
      <c r="R64" s="594">
        <f t="shared" ref="R64:R69" si="11">IF(G64=0,"",L64/G64)</f>
        <v>9435.3037091036949</v>
      </c>
      <c r="S64" s="536">
        <f t="shared" ref="S64:S69" si="12">IF(G64=0,"",M64/G64)</f>
        <v>9505.4822909735867</v>
      </c>
      <c r="T64" s="536" t="str">
        <f t="shared" ref="T64:T69" si="13">N64</f>
        <v>Board-approved</v>
      </c>
      <c r="U64" s="536">
        <f t="shared" ref="U64:U69" si="14">IF(T64="","",IF(I64=0,"",O64/I64))</f>
        <v>9565.191257207629</v>
      </c>
      <c r="V64" s="516"/>
    </row>
    <row r="65" spans="2:22" x14ac:dyDescent="0.2">
      <c r="C65" s="485" t="s">
        <v>830</v>
      </c>
      <c r="D65" s="570">
        <f t="shared" si="5"/>
        <v>2015</v>
      </c>
      <c r="E65" s="484"/>
      <c r="F65" s="521" t="str">
        <f t="shared" si="7"/>
        <v>Actual</v>
      </c>
      <c r="G65" s="508">
        <v>7389.208333333333</v>
      </c>
      <c r="H65" s="505" t="str">
        <f t="shared" si="6"/>
        <v/>
      </c>
      <c r="I65" s="532"/>
      <c r="J65" s="484"/>
      <c r="K65" s="1544" t="str">
        <f t="shared" si="8"/>
        <v>Actual</v>
      </c>
      <c r="L65" s="1542">
        <v>68126808.569999993</v>
      </c>
      <c r="M65" s="508">
        <v>69221039.007002905</v>
      </c>
      <c r="N65" s="481" t="str">
        <f t="shared" si="9"/>
        <v/>
      </c>
      <c r="O65" s="532"/>
      <c r="P65" s="484"/>
      <c r="Q65" s="592" t="str">
        <f t="shared" si="10"/>
        <v>Actual</v>
      </c>
      <c r="R65" s="594">
        <f t="shared" si="11"/>
        <v>9219.7709817808627</v>
      </c>
      <c r="S65" s="536">
        <f t="shared" si="12"/>
        <v>9367.8559169513519</v>
      </c>
      <c r="T65" s="536" t="str">
        <f t="shared" si="13"/>
        <v/>
      </c>
      <c r="U65" s="536" t="str">
        <f t="shared" si="14"/>
        <v/>
      </c>
      <c r="V65" s="516"/>
    </row>
    <row r="66" spans="2:22" x14ac:dyDescent="0.2">
      <c r="C66" s="485" t="s">
        <v>830</v>
      </c>
      <c r="D66" s="570">
        <f t="shared" si="5"/>
        <v>2016</v>
      </c>
      <c r="E66" s="484"/>
      <c r="F66" s="521" t="str">
        <f t="shared" si="7"/>
        <v>Actual</v>
      </c>
      <c r="G66" s="508">
        <v>7660.791666666667</v>
      </c>
      <c r="H66" s="505" t="str">
        <f t="shared" si="6"/>
        <v/>
      </c>
      <c r="I66" s="531"/>
      <c r="J66" s="484"/>
      <c r="K66" s="1544" t="str">
        <f t="shared" si="8"/>
        <v>Actual</v>
      </c>
      <c r="L66" s="1542">
        <v>68599527.920000017</v>
      </c>
      <c r="M66" s="508">
        <v>75480375.437930122</v>
      </c>
      <c r="N66" s="481" t="str">
        <f t="shared" si="9"/>
        <v/>
      </c>
      <c r="O66" s="531"/>
      <c r="P66" s="484"/>
      <c r="Q66" s="592" t="str">
        <f t="shared" si="10"/>
        <v>Actual</v>
      </c>
      <c r="R66" s="594">
        <f t="shared" si="11"/>
        <v>8954.6264805095234</v>
      </c>
      <c r="S66" s="536">
        <f t="shared" si="12"/>
        <v>9852.8166176816085</v>
      </c>
      <c r="T66" s="536" t="str">
        <f t="shared" si="13"/>
        <v/>
      </c>
      <c r="U66" s="536" t="str">
        <f t="shared" si="14"/>
        <v/>
      </c>
      <c r="V66" s="516"/>
    </row>
    <row r="67" spans="2:22" x14ac:dyDescent="0.2">
      <c r="C67" s="485" t="s">
        <v>830</v>
      </c>
      <c r="D67" s="570">
        <f t="shared" si="5"/>
        <v>2017</v>
      </c>
      <c r="E67" s="484"/>
      <c r="F67" s="521" t="str">
        <f t="shared" si="7"/>
        <v>Actual</v>
      </c>
      <c r="G67" s="508">
        <v>7838.375</v>
      </c>
      <c r="H67" s="505" t="str">
        <f t="shared" si="6"/>
        <v/>
      </c>
      <c r="I67" s="531"/>
      <c r="J67" s="484"/>
      <c r="K67" s="1544" t="str">
        <f t="shared" si="8"/>
        <v>Actual</v>
      </c>
      <c r="L67" s="1542">
        <v>69624978.280000001</v>
      </c>
      <c r="M67" s="508">
        <v>72162825.197099403</v>
      </c>
      <c r="N67" s="481" t="str">
        <f t="shared" si="9"/>
        <v/>
      </c>
      <c r="O67" s="531"/>
      <c r="P67" s="484"/>
      <c r="Q67" s="592" t="str">
        <f t="shared" si="10"/>
        <v>Actual</v>
      </c>
      <c r="R67" s="594">
        <f t="shared" si="11"/>
        <v>8882.578121102908</v>
      </c>
      <c r="S67" s="536">
        <f t="shared" si="12"/>
        <v>9206.3501933882217</v>
      </c>
      <c r="T67" s="536" t="str">
        <f t="shared" si="13"/>
        <v/>
      </c>
      <c r="U67" s="536" t="str">
        <f t="shared" si="14"/>
        <v/>
      </c>
      <c r="V67" s="516"/>
    </row>
    <row r="68" spans="2:22" x14ac:dyDescent="0.2">
      <c r="C68" s="485" t="s">
        <v>289</v>
      </c>
      <c r="D68" s="570">
        <f t="shared" si="5"/>
        <v>2018</v>
      </c>
      <c r="E68" s="484"/>
      <c r="F68" s="521" t="str">
        <f t="shared" si="7"/>
        <v>Forecast</v>
      </c>
      <c r="G68" s="508">
        <v>7976.375</v>
      </c>
      <c r="H68" s="505" t="str">
        <f t="shared" si="6"/>
        <v/>
      </c>
      <c r="I68" s="531"/>
      <c r="J68" s="484"/>
      <c r="K68" s="1544" t="str">
        <f t="shared" si="8"/>
        <v>Forecast</v>
      </c>
      <c r="L68" s="1547"/>
      <c r="M68" s="508">
        <v>73760865.328503177</v>
      </c>
      <c r="N68" s="481" t="str">
        <f t="shared" si="9"/>
        <v/>
      </c>
      <c r="O68" s="531"/>
      <c r="P68" s="484"/>
      <c r="Q68" s="592" t="str">
        <f t="shared" si="10"/>
        <v>Forecast</v>
      </c>
      <c r="R68" s="594">
        <f t="shared" si="11"/>
        <v>0</v>
      </c>
      <c r="S68" s="536">
        <f t="shared" si="12"/>
        <v>9247.4169442263155</v>
      </c>
      <c r="T68" s="536" t="str">
        <f t="shared" si="13"/>
        <v/>
      </c>
      <c r="U68" s="536" t="str">
        <f t="shared" si="14"/>
        <v/>
      </c>
      <c r="V68" s="516"/>
    </row>
    <row r="69" spans="2:22" ht="13.5" thickBot="1" x14ac:dyDescent="0.25">
      <c r="C69" s="486" t="s">
        <v>290</v>
      </c>
      <c r="D69" s="571">
        <f>TestYear</f>
        <v>2019</v>
      </c>
      <c r="E69" s="488"/>
      <c r="F69" s="522" t="str">
        <f t="shared" si="7"/>
        <v>Forecast</v>
      </c>
      <c r="G69" s="509">
        <v>8152.375</v>
      </c>
      <c r="H69" s="506" t="str">
        <f t="shared" si="6"/>
        <v/>
      </c>
      <c r="I69" s="533"/>
      <c r="J69" s="488"/>
      <c r="K69" s="1545" t="str">
        <f t="shared" si="8"/>
        <v>Forecast</v>
      </c>
      <c r="L69" s="1548"/>
      <c r="M69" s="509">
        <v>74690535.299300596</v>
      </c>
      <c r="N69" s="482" t="str">
        <f t="shared" si="9"/>
        <v/>
      </c>
      <c r="O69" s="533"/>
      <c r="P69" s="488"/>
      <c r="Q69" s="593" t="str">
        <f t="shared" si="10"/>
        <v>Forecast</v>
      </c>
      <c r="R69" s="595">
        <f t="shared" si="11"/>
        <v>0</v>
      </c>
      <c r="S69" s="562">
        <f t="shared" si="12"/>
        <v>9161.8130053267414</v>
      </c>
      <c r="T69" s="562" t="str">
        <f t="shared" si="13"/>
        <v/>
      </c>
      <c r="U69" s="562" t="str">
        <f t="shared" si="14"/>
        <v/>
      </c>
      <c r="V69" s="516"/>
    </row>
    <row r="70" spans="2:22" ht="13.5" thickBot="1" x14ac:dyDescent="0.25">
      <c r="B70" s="536"/>
      <c r="C70" s="573"/>
      <c r="I70" s="615">
        <f>SUM(I63:I68)</f>
        <v>7083.3303909601</v>
      </c>
      <c r="O70" s="615">
        <f>SUM(O63:O68)</f>
        <v>67753409.927524641</v>
      </c>
      <c r="U70" s="615">
        <f>SUM(U63:U68)</f>
        <v>9565.191257207629</v>
      </c>
    </row>
    <row r="71" spans="2:22" ht="39" thickBot="1" x14ac:dyDescent="0.25">
      <c r="C71" s="607" t="s">
        <v>885</v>
      </c>
      <c r="D71" s="606" t="s">
        <v>10</v>
      </c>
      <c r="E71" s="568"/>
      <c r="F71" s="568"/>
      <c r="G71" s="605" t="s">
        <v>1027</v>
      </c>
      <c r="H71" s="568"/>
      <c r="I71" s="601" t="s">
        <v>1040</v>
      </c>
      <c r="J71" s="603"/>
      <c r="K71" s="602" t="s">
        <v>10</v>
      </c>
      <c r="L71" s="1936" t="s">
        <v>1027</v>
      </c>
      <c r="M71" s="1936"/>
      <c r="N71" s="568"/>
      <c r="O71" s="601" t="str">
        <f>I71</f>
        <v>Test Year Versus Board-approved</v>
      </c>
      <c r="P71" s="604"/>
      <c r="Q71" s="602" t="s">
        <v>10</v>
      </c>
      <c r="R71" s="1936" t="s">
        <v>1027</v>
      </c>
      <c r="S71" s="1936"/>
      <c r="T71" s="568"/>
      <c r="U71" s="601" t="str">
        <f>O71</f>
        <v>Test Year Versus Board-approved</v>
      </c>
    </row>
    <row r="72" spans="2:22" x14ac:dyDescent="0.2">
      <c r="C72" s="484"/>
      <c r="D72" s="584">
        <f t="shared" ref="D72:D78" si="15">D63</f>
        <v>2013</v>
      </c>
      <c r="E72" s="536"/>
      <c r="F72" s="536"/>
      <c r="G72" s="579"/>
      <c r="H72" s="536"/>
      <c r="I72" s="585"/>
      <c r="J72" s="591"/>
      <c r="K72" s="570">
        <f>D72</f>
        <v>2013</v>
      </c>
      <c r="L72" s="558"/>
      <c r="M72" s="558"/>
      <c r="N72" s="536"/>
      <c r="O72" s="531"/>
      <c r="P72" s="484"/>
      <c r="Q72" s="570">
        <f>K72</f>
        <v>2013</v>
      </c>
      <c r="R72" s="537"/>
      <c r="S72" s="537"/>
      <c r="T72" s="536"/>
      <c r="U72" s="531"/>
    </row>
    <row r="73" spans="2:22" x14ac:dyDescent="0.2">
      <c r="C73" s="484"/>
      <c r="D73" s="572">
        <f t="shared" si="15"/>
        <v>2014</v>
      </c>
      <c r="E73" s="536"/>
      <c r="F73" s="536"/>
      <c r="G73" s="580">
        <f t="shared" ref="G73:G78" si="16">IF(G63=0,"",G64/G63-1)</f>
        <v>2.8607767376536364E-2</v>
      </c>
      <c r="H73" s="536"/>
      <c r="I73" s="585"/>
      <c r="J73" s="591"/>
      <c r="K73" s="570">
        <f t="shared" ref="K73:K79" si="17">D73</f>
        <v>2014</v>
      </c>
      <c r="L73" s="560">
        <f t="shared" ref="L73:M76" si="18">IF(L63=0,"",L64/L63-1)</f>
        <v>1.6445254286563404E-3</v>
      </c>
      <c r="M73" s="560">
        <f t="shared" si="18"/>
        <v>-1.8695036253056352E-2</v>
      </c>
      <c r="N73" s="536"/>
      <c r="O73" s="531"/>
      <c r="P73" s="484"/>
      <c r="Q73" s="570">
        <f t="shared" ref="Q73:Q79" si="19">K73</f>
        <v>2014</v>
      </c>
      <c r="R73" s="581">
        <f>IF(R63="","",IF(R63=0,"",R64/R63-1))</f>
        <v>-2.6213336903579632E-2</v>
      </c>
      <c r="S73" s="581">
        <f>IF(S63="","",IF(S63=0,"",S64/S63-1))</f>
        <v>-4.598721216177315E-2</v>
      </c>
      <c r="T73" s="536"/>
      <c r="U73" s="531"/>
    </row>
    <row r="74" spans="2:22" x14ac:dyDescent="0.2">
      <c r="C74" s="484"/>
      <c r="D74" s="572">
        <f t="shared" si="15"/>
        <v>2015</v>
      </c>
      <c r="E74" s="536"/>
      <c r="F74" s="536"/>
      <c r="G74" s="580">
        <f t="shared" si="16"/>
        <v>3.9239356558938177E-2</v>
      </c>
      <c r="H74" s="536"/>
      <c r="I74" s="585"/>
      <c r="J74" s="591"/>
      <c r="K74" s="570">
        <f t="shared" si="17"/>
        <v>2015</v>
      </c>
      <c r="L74" s="560">
        <f t="shared" si="18"/>
        <v>1.5499782320934852E-2</v>
      </c>
      <c r="M74" s="560">
        <f t="shared" si="18"/>
        <v>2.4192593016995056E-2</v>
      </c>
      <c r="N74" s="536"/>
      <c r="O74" s="531"/>
      <c r="P74" s="484"/>
      <c r="Q74" s="570">
        <f t="shared" si="19"/>
        <v>2015</v>
      </c>
      <c r="R74" s="581">
        <f t="shared" ref="R74:S76" si="20">IF(R64="","",IF(R64=0,"",R65/R64-1))</f>
        <v>-2.2843220946335285E-2</v>
      </c>
      <c r="S74" s="581">
        <f t="shared" si="20"/>
        <v>-1.4478631363389671E-2</v>
      </c>
      <c r="T74" s="536"/>
      <c r="U74" s="531"/>
    </row>
    <row r="75" spans="2:22" x14ac:dyDescent="0.2">
      <c r="C75" s="484"/>
      <c r="D75" s="572">
        <f t="shared" si="15"/>
        <v>2016</v>
      </c>
      <c r="E75" s="536"/>
      <c r="F75" s="536"/>
      <c r="G75" s="580">
        <f t="shared" si="16"/>
        <v>3.6754050106856395E-2</v>
      </c>
      <c r="H75" s="536"/>
      <c r="I75" s="585"/>
      <c r="J75" s="591"/>
      <c r="K75" s="570">
        <f t="shared" si="17"/>
        <v>2016</v>
      </c>
      <c r="L75" s="560">
        <f t="shared" si="18"/>
        <v>6.9388154226293075E-3</v>
      </c>
      <c r="M75" s="560">
        <f t="shared" si="18"/>
        <v>9.042534640796096E-2</v>
      </c>
      <c r="N75" s="536"/>
      <c r="O75" s="531"/>
      <c r="P75" s="484"/>
      <c r="Q75" s="570">
        <f t="shared" si="19"/>
        <v>2016</v>
      </c>
      <c r="R75" s="581">
        <f t="shared" si="20"/>
        <v>-2.8758252433307763E-2</v>
      </c>
      <c r="S75" s="581">
        <f t="shared" si="20"/>
        <v>5.1768590916594803E-2</v>
      </c>
      <c r="T75" s="536"/>
      <c r="U75" s="531"/>
    </row>
    <row r="76" spans="2:22" x14ac:dyDescent="0.2">
      <c r="C76" s="484"/>
      <c r="D76" s="572">
        <f t="shared" si="15"/>
        <v>2017</v>
      </c>
      <c r="E76" s="536"/>
      <c r="F76" s="536"/>
      <c r="G76" s="580">
        <f t="shared" si="16"/>
        <v>2.3180807031475181E-2</v>
      </c>
      <c r="H76" s="536"/>
      <c r="I76" s="585"/>
      <c r="J76" s="591"/>
      <c r="K76" s="570">
        <f t="shared" si="17"/>
        <v>2017</v>
      </c>
      <c r="L76" s="560">
        <f t="shared" si="18"/>
        <v>1.4948358845790599E-2</v>
      </c>
      <c r="M76" s="560">
        <f t="shared" si="18"/>
        <v>-4.3952487273448249E-2</v>
      </c>
      <c r="N76" s="536"/>
      <c r="O76" s="531"/>
      <c r="P76" s="484"/>
      <c r="Q76" s="570">
        <f t="shared" si="19"/>
        <v>2017</v>
      </c>
      <c r="R76" s="581">
        <f t="shared" si="20"/>
        <v>-8.045936875584303E-3</v>
      </c>
      <c r="S76" s="581">
        <f t="shared" si="20"/>
        <v>-6.5612347146830619E-2</v>
      </c>
      <c r="T76" s="536"/>
      <c r="U76" s="531"/>
    </row>
    <row r="77" spans="2:22" x14ac:dyDescent="0.2">
      <c r="C77" s="484"/>
      <c r="D77" s="572">
        <f t="shared" si="15"/>
        <v>2018</v>
      </c>
      <c r="E77" s="536"/>
      <c r="F77" s="536"/>
      <c r="G77" s="580">
        <f t="shared" si="16"/>
        <v>1.7605689954869552E-2</v>
      </c>
      <c r="H77" s="536"/>
      <c r="I77" s="585"/>
      <c r="J77" s="591"/>
      <c r="K77" s="570">
        <f t="shared" si="17"/>
        <v>2018</v>
      </c>
      <c r="L77" s="560" t="str">
        <f>IF(K68="Forecast","",IF(L67=0,"",L68/L67-1))</f>
        <v/>
      </c>
      <c r="M77" s="560">
        <f>IF(M67=0,"",M68/M67-1)</f>
        <v>2.2144921946154694E-2</v>
      </c>
      <c r="N77" s="536"/>
      <c r="O77" s="531"/>
      <c r="P77" s="484"/>
      <c r="Q77" s="570">
        <f t="shared" si="19"/>
        <v>2018</v>
      </c>
      <c r="R77" s="581" t="str">
        <f>IF(Q68="Forecast","",IF(R67=0,"",R68/R67-1))</f>
        <v/>
      </c>
      <c r="S77" s="581">
        <f>IF(S67="","",IF(S67=0,"",S68/S67-1))</f>
        <v>4.4606983196866512E-3</v>
      </c>
      <c r="T77" s="536"/>
      <c r="U77" s="531"/>
    </row>
    <row r="78" spans="2:22" x14ac:dyDescent="0.2">
      <c r="C78" s="484"/>
      <c r="D78" s="572">
        <f t="shared" si="15"/>
        <v>2019</v>
      </c>
      <c r="E78" s="536"/>
      <c r="F78" s="536"/>
      <c r="G78" s="580">
        <f t="shared" si="16"/>
        <v>2.2065161179106951E-2</v>
      </c>
      <c r="H78" s="536"/>
      <c r="I78" s="586">
        <f>IF(I70=0,"",G69/I70-1)</f>
        <v>0.15092400749854029</v>
      </c>
      <c r="J78" s="591"/>
      <c r="K78" s="570">
        <f t="shared" si="17"/>
        <v>2019</v>
      </c>
      <c r="L78" s="560" t="str">
        <f>IF(K69="Forecast","",IF(L68=0,"",L69/L68-1))</f>
        <v/>
      </c>
      <c r="M78" s="560">
        <f>IF(M68=0,"",M69/M68-1)</f>
        <v>1.2603837640150051E-2</v>
      </c>
      <c r="N78" s="536"/>
      <c r="O78" s="561">
        <f>IF(O70=0,"",M69/O70-1)</f>
        <v>0.1023878411314878</v>
      </c>
      <c r="P78" s="484"/>
      <c r="Q78" s="570">
        <f t="shared" si="19"/>
        <v>2019</v>
      </c>
      <c r="R78" s="581" t="str">
        <f>IF(Q69="Forecast","",IF(R68=0,"",R69/R68-1))</f>
        <v/>
      </c>
      <c r="S78" s="581">
        <f>IF(S68="","",IF(S68=0,"",S69/S68-1))</f>
        <v>-9.2570649096795909E-3</v>
      </c>
      <c r="T78" s="536"/>
      <c r="U78" s="561">
        <f>IF(U70=0,"",S69/U70-1)</f>
        <v>-4.2171477917593236E-2</v>
      </c>
    </row>
    <row r="79" spans="2:22" ht="26.25" thickBot="1" x14ac:dyDescent="0.25">
      <c r="C79" s="488"/>
      <c r="D79" s="612" t="s">
        <v>1026</v>
      </c>
      <c r="E79" s="562"/>
      <c r="F79" s="562"/>
      <c r="G79" s="582">
        <f>IF(G63=0,"",(G69/G63)^(1/($D69-$D63-1))-1)</f>
        <v>3.3547222942833077E-2</v>
      </c>
      <c r="H79" s="562"/>
      <c r="I79" s="613">
        <f>IF(I70=0,"",(G69/I70)^(1/(TestYear-RebaseYear-1))-1)</f>
        <v>3.5766027483647989E-2</v>
      </c>
      <c r="J79" s="567"/>
      <c r="K79" s="611" t="str">
        <f t="shared" si="17"/>
        <v>Geometric Mean</v>
      </c>
      <c r="L79" s="565">
        <f>IF(L63=0,"",(L67/L63)^(1/($D67-$D63-1))-1)</f>
        <v>1.3009445391932939E-2</v>
      </c>
      <c r="M79" s="565">
        <f>IF(M63=0,"",(M69/M63)^(1/($D69-$D63-1))-1)</f>
        <v>1.6348421299549054E-2</v>
      </c>
      <c r="N79" s="562"/>
      <c r="O79" s="578">
        <f>IF(O70=0,"",(M69/O70)^(1/(TestYear-RebaseYear-1))-1)</f>
        <v>2.466901468551419E-2</v>
      </c>
      <c r="P79" s="488"/>
      <c r="Q79" s="611" t="str">
        <f t="shared" si="19"/>
        <v>Geometric Mean</v>
      </c>
      <c r="R79" s="583">
        <f>IF(R63="","",IF(R63=0,"",(R67/R63)^(1/($D67-$D63-1))-1))</f>
        <v>-2.8560724841664942E-2</v>
      </c>
      <c r="S79" s="565">
        <f>IF(S63="","",IF(S63=0,"",(S69/S63)^(1/($D69-$D63-1))-1))</f>
        <v>-1.6640557162268532E-2</v>
      </c>
      <c r="T79" s="562"/>
      <c r="U79" s="578">
        <f>IF(U70=0,"",(S69/U70)^(1/(TestYear-RebaseYear-1))-1)</f>
        <v>-1.0713821947890612E-2</v>
      </c>
    </row>
    <row r="81" spans="3:21" ht="13.5" thickBot="1" x14ac:dyDescent="0.25">
      <c r="Q81" s="562"/>
      <c r="R81" s="562"/>
      <c r="S81" s="562"/>
      <c r="T81" s="562"/>
      <c r="U81" s="562"/>
    </row>
    <row r="82" spans="3:21" x14ac:dyDescent="0.2">
      <c r="C82" s="483"/>
      <c r="D82" s="487" t="s">
        <v>1011</v>
      </c>
      <c r="E82" s="487"/>
      <c r="F82" s="1938" t="s">
        <v>1004</v>
      </c>
      <c r="G82" s="1939"/>
      <c r="H82" s="1939"/>
      <c r="I82" s="1940"/>
      <c r="K82" s="1941" t="str">
        <f>IF(ISBLANK(N59),"",CONCATENATE("Demand (",N59,")"))</f>
        <v>Demand (kWh)</v>
      </c>
      <c r="L82" s="1942"/>
      <c r="M82" s="1942"/>
      <c r="N82" s="1942"/>
      <c r="O82" s="1943"/>
      <c r="Q82" s="1944" t="str">
        <f>CONCATENATE("Demand (",N59,") per ",LEFT(F61,LEN(F61)-1))</f>
        <v>Demand (kWh) per Customer</v>
      </c>
      <c r="R82" s="1945"/>
      <c r="S82" s="1945"/>
      <c r="T82" s="1945"/>
      <c r="U82" s="1946"/>
    </row>
    <row r="83" spans="3:21" ht="39" thickBot="1" x14ac:dyDescent="0.25">
      <c r="C83" s="488"/>
      <c r="D83" s="490" t="str">
        <f>CONCATENATE("(for ",TestYear," Cost of Service")</f>
        <v>(for 2019 Cost of Service</v>
      </c>
      <c r="E83" s="485"/>
      <c r="F83" s="1934"/>
      <c r="G83" s="1935"/>
      <c r="H83" s="1935"/>
      <c r="I83" s="504"/>
      <c r="K83" s="494"/>
      <c r="L83" s="489" t="s">
        <v>1031</v>
      </c>
      <c r="M83" s="489" t="s">
        <v>1015</v>
      </c>
      <c r="N83" s="512"/>
      <c r="O83" s="513" t="str">
        <f>M83</f>
        <v>Weather-normalized</v>
      </c>
      <c r="Q83" s="610"/>
      <c r="R83" s="489" t="str">
        <f>L83</f>
        <v>Actual (Weather actual)</v>
      </c>
      <c r="S83" s="489" t="str">
        <f>M83</f>
        <v>Weather-normalized</v>
      </c>
      <c r="T83" s="489"/>
      <c r="U83" s="491" t="str">
        <f>O83</f>
        <v>Weather-normalized</v>
      </c>
    </row>
    <row r="84" spans="3:21" x14ac:dyDescent="0.2">
      <c r="C84" s="485" t="s">
        <v>830</v>
      </c>
      <c r="D84" s="570">
        <f t="shared" ref="D84:D89" si="21">D85-1</f>
        <v>2013</v>
      </c>
      <c r="E84" s="484"/>
      <c r="F84" s="520" t="str">
        <f t="shared" ref="F84:F90" si="22">F63</f>
        <v>Actual</v>
      </c>
      <c r="G84" s="1549">
        <v>2698997.11</v>
      </c>
      <c r="H84" s="554" t="str">
        <f t="shared" ref="H84:H90" si="23">IF(D84=RebaseYear,"Board-approved","")</f>
        <v/>
      </c>
      <c r="I84" s="590"/>
      <c r="K84" s="492" t="str">
        <f t="shared" ref="K84:K90" si="24">K63</f>
        <v>Actual</v>
      </c>
      <c r="L84" s="502"/>
      <c r="M84" s="502"/>
      <c r="N84" s="481" t="str">
        <f t="shared" ref="N84:N90" si="25">N63</f>
        <v/>
      </c>
      <c r="O84" s="531"/>
      <c r="Q84" s="592" t="str">
        <f>K84</f>
        <v>Actual</v>
      </c>
      <c r="R84" s="536">
        <f>IF(G84=0,"",L84/G84)</f>
        <v>0</v>
      </c>
      <c r="S84" s="516">
        <f>IF(G84=0,"",M84/G84)</f>
        <v>0</v>
      </c>
      <c r="T84" s="516" t="str">
        <f>N84</f>
        <v/>
      </c>
      <c r="U84" s="484" t="str">
        <f>IF(T84="","",IF(I84=0,"",O84/I84))</f>
        <v/>
      </c>
    </row>
    <row r="85" spans="3:21" x14ac:dyDescent="0.2">
      <c r="C85" s="485" t="s">
        <v>830</v>
      </c>
      <c r="D85" s="570">
        <f t="shared" si="21"/>
        <v>2014</v>
      </c>
      <c r="E85" s="484"/>
      <c r="F85" s="521" t="str">
        <f t="shared" si="22"/>
        <v>Actual</v>
      </c>
      <c r="G85" s="518">
        <v>2503185.9199999995</v>
      </c>
      <c r="H85" s="2" t="str">
        <f t="shared" si="23"/>
        <v>Board-approved</v>
      </c>
      <c r="I85" s="1550">
        <v>2378592.3316527009</v>
      </c>
      <c r="K85" s="492" t="str">
        <f t="shared" si="24"/>
        <v>Actual</v>
      </c>
      <c r="L85" s="502"/>
      <c r="M85" s="502"/>
      <c r="N85" s="481" t="str">
        <f t="shared" si="25"/>
        <v>Board-approved</v>
      </c>
      <c r="O85" s="531"/>
      <c r="Q85" s="592" t="str">
        <f t="shared" ref="Q85:Q90" si="26">K85</f>
        <v>Actual</v>
      </c>
      <c r="R85" s="536">
        <f t="shared" ref="R85:R90" si="27">IF(G85=0,"",L85/G85)</f>
        <v>0</v>
      </c>
      <c r="S85" s="516">
        <f t="shared" ref="S85:S90" si="28">IF(G85=0,"",M85/G85)</f>
        <v>0</v>
      </c>
      <c r="T85" s="516" t="str">
        <f t="shared" ref="T85:T90" si="29">N85</f>
        <v>Board-approved</v>
      </c>
      <c r="U85" s="484">
        <f t="shared" ref="U85:U90" si="30">IF(T85="","",IF(I85=0,"",O85/I85))</f>
        <v>0</v>
      </c>
    </row>
    <row r="86" spans="3:21" x14ac:dyDescent="0.2">
      <c r="C86" s="485" t="s">
        <v>830</v>
      </c>
      <c r="D86" s="570">
        <f t="shared" si="21"/>
        <v>2015</v>
      </c>
      <c r="E86" s="484"/>
      <c r="F86" s="521" t="str">
        <f t="shared" si="22"/>
        <v>Actual</v>
      </c>
      <c r="G86" s="518">
        <v>2483876.9999999995</v>
      </c>
      <c r="H86" s="2" t="str">
        <f t="shared" si="23"/>
        <v/>
      </c>
      <c r="I86" s="535"/>
      <c r="K86" s="492" t="str">
        <f t="shared" si="24"/>
        <v>Actual</v>
      </c>
      <c r="L86" s="502"/>
      <c r="M86" s="502"/>
      <c r="N86" s="481" t="str">
        <f t="shared" si="25"/>
        <v/>
      </c>
      <c r="O86" s="532"/>
      <c r="Q86" s="592" t="str">
        <f t="shared" si="26"/>
        <v>Actual</v>
      </c>
      <c r="R86" s="536">
        <f t="shared" si="27"/>
        <v>0</v>
      </c>
      <c r="S86" s="516">
        <f t="shared" si="28"/>
        <v>0</v>
      </c>
      <c r="T86" s="516" t="str">
        <f t="shared" si="29"/>
        <v/>
      </c>
      <c r="U86" s="484" t="str">
        <f t="shared" si="30"/>
        <v/>
      </c>
    </row>
    <row r="87" spans="3:21" x14ac:dyDescent="0.2">
      <c r="C87" s="485" t="s">
        <v>830</v>
      </c>
      <c r="D87" s="570">
        <f t="shared" si="21"/>
        <v>2016</v>
      </c>
      <c r="E87" s="484"/>
      <c r="F87" s="521" t="str">
        <f t="shared" si="22"/>
        <v>Actual</v>
      </c>
      <c r="G87" s="518">
        <v>2597708.8899999997</v>
      </c>
      <c r="H87" s="2" t="str">
        <f t="shared" si="23"/>
        <v/>
      </c>
      <c r="I87" s="531"/>
      <c r="K87" s="492" t="str">
        <f t="shared" si="24"/>
        <v>Actual</v>
      </c>
      <c r="L87" s="502"/>
      <c r="M87" s="502"/>
      <c r="N87" s="481" t="str">
        <f t="shared" si="25"/>
        <v/>
      </c>
      <c r="O87" s="531"/>
      <c r="Q87" s="592" t="str">
        <f t="shared" si="26"/>
        <v>Actual</v>
      </c>
      <c r="R87" s="536">
        <f t="shared" si="27"/>
        <v>0</v>
      </c>
      <c r="S87" s="516">
        <f t="shared" si="28"/>
        <v>0</v>
      </c>
      <c r="T87" s="516" t="str">
        <f t="shared" si="29"/>
        <v/>
      </c>
      <c r="U87" s="484" t="str">
        <f t="shared" si="30"/>
        <v/>
      </c>
    </row>
    <row r="88" spans="3:21" x14ac:dyDescent="0.2">
      <c r="C88" s="485" t="s">
        <v>830</v>
      </c>
      <c r="D88" s="570">
        <f t="shared" si="21"/>
        <v>2017</v>
      </c>
      <c r="E88" s="484"/>
      <c r="F88" s="521" t="str">
        <f t="shared" si="22"/>
        <v>Actual</v>
      </c>
      <c r="G88" s="518">
        <v>2731715.18</v>
      </c>
      <c r="H88" s="2" t="str">
        <f t="shared" si="23"/>
        <v/>
      </c>
      <c r="I88" s="531"/>
      <c r="K88" s="492" t="str">
        <f t="shared" si="24"/>
        <v>Actual</v>
      </c>
      <c r="L88" s="502"/>
      <c r="M88" s="502"/>
      <c r="N88" s="481" t="str">
        <f t="shared" si="25"/>
        <v/>
      </c>
      <c r="O88" s="531"/>
      <c r="Q88" s="592" t="str">
        <f t="shared" si="26"/>
        <v>Actual</v>
      </c>
      <c r="R88" s="536">
        <f t="shared" si="27"/>
        <v>0</v>
      </c>
      <c r="S88" s="516">
        <f t="shared" si="28"/>
        <v>0</v>
      </c>
      <c r="T88" s="516" t="str">
        <f t="shared" si="29"/>
        <v/>
      </c>
      <c r="U88" s="484" t="str">
        <f t="shared" si="30"/>
        <v/>
      </c>
    </row>
    <row r="89" spans="3:21" x14ac:dyDescent="0.2">
      <c r="C89" s="485" t="s">
        <v>1009</v>
      </c>
      <c r="D89" s="570">
        <f t="shared" si="21"/>
        <v>2018</v>
      </c>
      <c r="E89" s="484"/>
      <c r="F89" s="521" t="str">
        <f t="shared" si="22"/>
        <v>Forecast</v>
      </c>
      <c r="G89" s="518">
        <v>2814356.0455840603</v>
      </c>
      <c r="H89" s="2" t="str">
        <f t="shared" si="23"/>
        <v/>
      </c>
      <c r="I89" s="531"/>
      <c r="K89" s="492" t="str">
        <f t="shared" si="24"/>
        <v>Forecast</v>
      </c>
      <c r="L89" s="510"/>
      <c r="M89" s="541"/>
      <c r="N89" s="481" t="str">
        <f t="shared" si="25"/>
        <v/>
      </c>
      <c r="O89" s="531"/>
      <c r="Q89" s="592" t="str">
        <f t="shared" si="26"/>
        <v>Forecast</v>
      </c>
      <c r="R89" s="536">
        <f t="shared" si="27"/>
        <v>0</v>
      </c>
      <c r="S89" s="516">
        <f t="shared" si="28"/>
        <v>0</v>
      </c>
      <c r="T89" s="516" t="str">
        <f t="shared" si="29"/>
        <v/>
      </c>
      <c r="U89" s="484" t="str">
        <f t="shared" si="30"/>
        <v/>
      </c>
    </row>
    <row r="90" spans="3:21" ht="13.5" thickBot="1" x14ac:dyDescent="0.25">
      <c r="C90" s="486" t="s">
        <v>1010</v>
      </c>
      <c r="D90" s="571">
        <f>TestYear</f>
        <v>2019</v>
      </c>
      <c r="E90" s="488"/>
      <c r="F90" s="522" t="str">
        <f t="shared" si="22"/>
        <v>Forecast</v>
      </c>
      <c r="G90" s="519">
        <v>2980834.4</v>
      </c>
      <c r="H90" s="514" t="str">
        <f t="shared" si="23"/>
        <v/>
      </c>
      <c r="I90" s="533"/>
      <c r="K90" s="493" t="str">
        <f t="shared" si="24"/>
        <v>Forecast</v>
      </c>
      <c r="L90" s="511"/>
      <c r="M90" s="542"/>
      <c r="N90" s="482" t="str">
        <f t="shared" si="25"/>
        <v/>
      </c>
      <c r="O90" s="533"/>
      <c r="Q90" s="526" t="str">
        <f t="shared" si="26"/>
        <v>Forecast</v>
      </c>
      <c r="R90" s="517">
        <f t="shared" si="27"/>
        <v>0</v>
      </c>
      <c r="S90" s="517">
        <f t="shared" si="28"/>
        <v>0</v>
      </c>
      <c r="T90" s="517" t="str">
        <f t="shared" si="29"/>
        <v/>
      </c>
      <c r="U90" s="488" t="str">
        <f t="shared" si="30"/>
        <v/>
      </c>
    </row>
    <row r="91" spans="3:21" ht="13.5" thickBot="1" x14ac:dyDescent="0.25">
      <c r="C91" s="573"/>
      <c r="I91" s="615">
        <f>SUM(I84:I89)</f>
        <v>2378592.3316527009</v>
      </c>
      <c r="J91" s="536"/>
      <c r="O91" s="615">
        <f>SUM(O84:O89)</f>
        <v>0</v>
      </c>
      <c r="U91" s="615">
        <f>SUM(U84:U89)</f>
        <v>0</v>
      </c>
    </row>
    <row r="92" spans="3:21" ht="39" customHeight="1" thickBot="1" x14ac:dyDescent="0.25">
      <c r="C92" s="607" t="s">
        <v>885</v>
      </c>
      <c r="D92" s="606" t="s">
        <v>10</v>
      </c>
      <c r="E92" s="605"/>
      <c r="F92" s="605"/>
      <c r="G92" s="605" t="s">
        <v>1027</v>
      </c>
      <c r="H92" s="605"/>
      <c r="I92" s="601" t="str">
        <f>I71</f>
        <v>Test Year Versus Board-approved</v>
      </c>
      <c r="J92" s="614"/>
      <c r="K92" s="602" t="s">
        <v>10</v>
      </c>
      <c r="L92" s="1936" t="s">
        <v>1027</v>
      </c>
      <c r="M92" s="1936"/>
      <c r="N92" s="605"/>
      <c r="O92" s="601" t="str">
        <f>I92</f>
        <v>Test Year Versus Board-approved</v>
      </c>
      <c r="P92" s="587"/>
      <c r="Q92" s="602" t="s">
        <v>10</v>
      </c>
      <c r="R92" s="1936" t="s">
        <v>1027</v>
      </c>
      <c r="S92" s="1936"/>
      <c r="T92" s="605"/>
      <c r="U92" s="601" t="str">
        <f>O92</f>
        <v>Test Year Versus Board-approved</v>
      </c>
    </row>
    <row r="93" spans="3:21" x14ac:dyDescent="0.2">
      <c r="C93" s="484"/>
      <c r="D93" s="609">
        <f t="shared" ref="D93:D99" si="31">D84</f>
        <v>2013</v>
      </c>
      <c r="E93" s="552"/>
      <c r="F93" s="536"/>
      <c r="G93" s="579"/>
      <c r="H93" s="536"/>
      <c r="I93" s="585"/>
      <c r="J93" s="484"/>
      <c r="K93" s="570">
        <f>D93</f>
        <v>2013</v>
      </c>
      <c r="L93" s="558"/>
      <c r="M93" s="558"/>
      <c r="N93" s="536"/>
      <c r="O93" s="588"/>
      <c r="P93" s="484"/>
      <c r="Q93" s="570">
        <f>K93</f>
        <v>2013</v>
      </c>
      <c r="R93" s="537"/>
      <c r="S93" s="537"/>
      <c r="T93" s="536"/>
      <c r="U93" s="531"/>
    </row>
    <row r="94" spans="3:21" x14ac:dyDescent="0.2">
      <c r="C94" s="484"/>
      <c r="D94" s="572">
        <f t="shared" si="31"/>
        <v>2014</v>
      </c>
      <c r="E94" s="536"/>
      <c r="F94" s="536"/>
      <c r="G94" s="580">
        <f t="shared" ref="G94:G99" si="32">IF(G84=0,"",G85/G84-1)</f>
        <v>-7.2549610844155565E-2</v>
      </c>
      <c r="H94" s="536"/>
      <c r="I94" s="585"/>
      <c r="J94" s="484"/>
      <c r="K94" s="570">
        <f t="shared" ref="K94:K100" si="33">D94</f>
        <v>2014</v>
      </c>
      <c r="L94" s="560" t="str">
        <f t="shared" ref="L94:M97" si="34">IF(L84=0,"",L85/L84-1)</f>
        <v/>
      </c>
      <c r="M94" s="560" t="str">
        <f t="shared" si="34"/>
        <v/>
      </c>
      <c r="N94" s="536"/>
      <c r="O94" s="588"/>
      <c r="P94" s="484"/>
      <c r="Q94" s="570">
        <f t="shared" ref="Q94:Q100" si="35">K94</f>
        <v>2014</v>
      </c>
      <c r="R94" s="581" t="str">
        <f>IF(R84="","",IF(R84=0,"",R85/R84-1))</f>
        <v/>
      </c>
      <c r="S94" s="581" t="str">
        <f>IF(S84="","",IF(S84=0,"",S85/S84-1))</f>
        <v/>
      </c>
      <c r="T94" s="536"/>
      <c r="U94" s="531"/>
    </row>
    <row r="95" spans="3:21" x14ac:dyDescent="0.2">
      <c r="C95" s="484"/>
      <c r="D95" s="608">
        <f t="shared" si="31"/>
        <v>2015</v>
      </c>
      <c r="E95" s="536"/>
      <c r="F95" s="536"/>
      <c r="G95" s="580">
        <f t="shared" si="32"/>
        <v>-7.7137378593117312E-3</v>
      </c>
      <c r="H95" s="536"/>
      <c r="I95" s="585"/>
      <c r="J95" s="484"/>
      <c r="K95" s="570">
        <f t="shared" si="33"/>
        <v>2015</v>
      </c>
      <c r="L95" s="560" t="str">
        <f t="shared" si="34"/>
        <v/>
      </c>
      <c r="M95" s="560" t="str">
        <f t="shared" si="34"/>
        <v/>
      </c>
      <c r="N95" s="536"/>
      <c r="O95" s="588"/>
      <c r="P95" s="484"/>
      <c r="Q95" s="570">
        <f t="shared" si="35"/>
        <v>2015</v>
      </c>
      <c r="R95" s="581" t="str">
        <f t="shared" ref="R95:S97" si="36">IF(R85="","",IF(R85=0,"",R86/R85-1))</f>
        <v/>
      </c>
      <c r="S95" s="581" t="str">
        <f t="shared" si="36"/>
        <v/>
      </c>
      <c r="T95" s="536"/>
      <c r="U95" s="531"/>
    </row>
    <row r="96" spans="3:21" x14ac:dyDescent="0.2">
      <c r="C96" s="484"/>
      <c r="D96" s="572">
        <f t="shared" si="31"/>
        <v>2016</v>
      </c>
      <c r="E96" s="536"/>
      <c r="F96" s="536"/>
      <c r="G96" s="580">
        <f t="shared" si="32"/>
        <v>4.5828311949424272E-2</v>
      </c>
      <c r="H96" s="536"/>
      <c r="I96" s="585"/>
      <c r="J96" s="484"/>
      <c r="K96" s="570">
        <f t="shared" si="33"/>
        <v>2016</v>
      </c>
      <c r="L96" s="560" t="str">
        <f t="shared" si="34"/>
        <v/>
      </c>
      <c r="M96" s="560" t="str">
        <f t="shared" si="34"/>
        <v/>
      </c>
      <c r="N96" s="536"/>
      <c r="O96" s="588"/>
      <c r="P96" s="484"/>
      <c r="Q96" s="570">
        <f t="shared" si="35"/>
        <v>2016</v>
      </c>
      <c r="R96" s="581" t="str">
        <f t="shared" si="36"/>
        <v/>
      </c>
      <c r="S96" s="581" t="str">
        <f t="shared" si="36"/>
        <v/>
      </c>
      <c r="T96" s="536"/>
      <c r="U96" s="531"/>
    </row>
    <row r="97" spans="2:22" x14ac:dyDescent="0.2">
      <c r="C97" s="484"/>
      <c r="D97" s="572">
        <f t="shared" si="31"/>
        <v>2017</v>
      </c>
      <c r="E97" s="536"/>
      <c r="F97" s="536"/>
      <c r="G97" s="580">
        <f t="shared" si="32"/>
        <v>5.1586338452266123E-2</v>
      </c>
      <c r="H97" s="536"/>
      <c r="I97" s="585"/>
      <c r="J97" s="484"/>
      <c r="K97" s="570">
        <f t="shared" si="33"/>
        <v>2017</v>
      </c>
      <c r="L97" s="560" t="str">
        <f t="shared" si="34"/>
        <v/>
      </c>
      <c r="M97" s="560" t="str">
        <f t="shared" si="34"/>
        <v/>
      </c>
      <c r="N97" s="536"/>
      <c r="O97" s="588"/>
      <c r="P97" s="484"/>
      <c r="Q97" s="570">
        <f t="shared" si="35"/>
        <v>2017</v>
      </c>
      <c r="R97" s="581" t="str">
        <f t="shared" si="36"/>
        <v/>
      </c>
      <c r="S97" s="581" t="str">
        <f t="shared" si="36"/>
        <v/>
      </c>
      <c r="T97" s="536"/>
      <c r="U97" s="531"/>
    </row>
    <row r="98" spans="2:22" x14ac:dyDescent="0.2">
      <c r="C98" s="484"/>
      <c r="D98" s="572">
        <f t="shared" si="31"/>
        <v>2018</v>
      </c>
      <c r="E98" s="536"/>
      <c r="F98" s="536"/>
      <c r="G98" s="580">
        <f t="shared" si="32"/>
        <v>3.0252372644522962E-2</v>
      </c>
      <c r="H98" s="536"/>
      <c r="I98" s="585"/>
      <c r="J98" s="484"/>
      <c r="K98" s="570">
        <f t="shared" si="33"/>
        <v>2018</v>
      </c>
      <c r="L98" s="560" t="str">
        <f>IF(K89="Forecast","",IF(L88=0,"",L89/L88-1))</f>
        <v/>
      </c>
      <c r="M98" s="560" t="str">
        <f>IF(M88=0,"",M89/M88-1)</f>
        <v/>
      </c>
      <c r="N98" s="536"/>
      <c r="O98" s="588"/>
      <c r="P98" s="484"/>
      <c r="Q98" s="570">
        <f t="shared" si="35"/>
        <v>2018</v>
      </c>
      <c r="R98" s="581" t="str">
        <f>IF(Q89="Forecast","",IF(R88=0,"",R89/R88-1))</f>
        <v/>
      </c>
      <c r="S98" s="581" t="str">
        <f>IF(S88="","",IF(S88=0,"",S89/S88-1))</f>
        <v/>
      </c>
      <c r="T98" s="536"/>
      <c r="U98" s="531"/>
    </row>
    <row r="99" spans="2:22" x14ac:dyDescent="0.2">
      <c r="C99" s="484"/>
      <c r="D99" s="608">
        <f t="shared" si="31"/>
        <v>2019</v>
      </c>
      <c r="E99" s="536"/>
      <c r="F99" s="536"/>
      <c r="G99" s="580">
        <f t="shared" si="32"/>
        <v>5.9153266935488391E-2</v>
      </c>
      <c r="H99" s="536"/>
      <c r="I99" s="586">
        <f>IF(I91=0,"",G90/I91-1)</f>
        <v>0.25319263849171136</v>
      </c>
      <c r="J99" s="484"/>
      <c r="K99" s="570">
        <f t="shared" si="33"/>
        <v>2019</v>
      </c>
      <c r="L99" s="560" t="str">
        <f>IF(K90="Forecast","",IF(L89=0,"",L90/L89-1))</f>
        <v/>
      </c>
      <c r="M99" s="560" t="str">
        <f>IF(M89=0,"",M90/M89-1)</f>
        <v/>
      </c>
      <c r="N99" s="536"/>
      <c r="O99" s="589" t="str">
        <f>IF(O91=0,"",M90/O91-1)</f>
        <v/>
      </c>
      <c r="P99" s="484"/>
      <c r="Q99" s="570">
        <f t="shared" si="35"/>
        <v>2019</v>
      </c>
      <c r="R99" s="581" t="str">
        <f>IF(Q90="Forecast","",IF(R89=0,"",R90/R89-1))</f>
        <v/>
      </c>
      <c r="S99" s="581" t="str">
        <f>IF(S89="","",IF(S89=0,"",S90/S89-1))</f>
        <v/>
      </c>
      <c r="T99" s="536"/>
      <c r="U99" s="561" t="str">
        <f>IF(U91=0,"",S90/U91-1)</f>
        <v/>
      </c>
    </row>
    <row r="100" spans="2:22" ht="26.25" thickBot="1" x14ac:dyDescent="0.25">
      <c r="C100" s="488"/>
      <c r="D100" s="612" t="s">
        <v>1026</v>
      </c>
      <c r="E100" s="562"/>
      <c r="F100" s="562"/>
      <c r="G100" s="582">
        <f>IF(G84=0,"",(G90/G84)^(1/($D90-$D84-1))-1)</f>
        <v>2.0063213720108886E-2</v>
      </c>
      <c r="H100" s="562"/>
      <c r="I100" s="578">
        <f>IF(I91=0,"",(G90/I91)^(1/(TestYear-RebaseYear-1))-1)</f>
        <v>5.804577857813098E-2</v>
      </c>
      <c r="J100" s="484"/>
      <c r="K100" s="611" t="str">
        <f t="shared" si="33"/>
        <v>Geometric Mean</v>
      </c>
      <c r="L100" s="565" t="str">
        <f>IF(L84=0,"",(L88/L84)^(1/($D88-$D84-1))-1)</f>
        <v/>
      </c>
      <c r="M100" s="565" t="str">
        <f>IF(M84=0,"",(M90/M84)^(1/($D90-$D84-1))-1)</f>
        <v/>
      </c>
      <c r="N100" s="562"/>
      <c r="O100" s="578" t="str">
        <f>IF(O91=0,"",(M90/O91)^(1/(TestYear-RebaseYear-1))-1)</f>
        <v/>
      </c>
      <c r="P100" s="488"/>
      <c r="Q100" s="611" t="str">
        <f t="shared" si="35"/>
        <v>Geometric Mean</v>
      </c>
      <c r="R100" s="583" t="str">
        <f>IF(R84="","",IF(R84=0,"",(R88/R84)^(1/($D88-$D84-1))-1))</f>
        <v/>
      </c>
      <c r="S100" s="565" t="str">
        <f>IF(S84="","",IF(S84=0,"",(S90/S84)^(1/($D90-$D84-1))-1))</f>
        <v/>
      </c>
      <c r="T100" s="562"/>
      <c r="U100" s="578" t="str">
        <f>IF(U91=0,"",(S90/U91)^(1/(TestYear-RebaseYear-1))-1)</f>
        <v/>
      </c>
    </row>
    <row r="101" spans="2:22" ht="13.5" thickBot="1" x14ac:dyDescent="0.25"/>
    <row r="102" spans="2:22" ht="13.5" thickBot="1" x14ac:dyDescent="0.25">
      <c r="B102" s="525">
        <v>2</v>
      </c>
      <c r="C102" s="3" t="s">
        <v>9</v>
      </c>
      <c r="D102" s="1947" t="s">
        <v>73</v>
      </c>
      <c r="E102" s="1948"/>
      <c r="F102" s="1949"/>
      <c r="G102" s="499"/>
      <c r="H102" s="9" t="s">
        <v>1029</v>
      </c>
      <c r="N102" s="524" t="s">
        <v>70</v>
      </c>
      <c r="O102" s="523"/>
      <c r="P102" s="523"/>
      <c r="Q102" s="523"/>
      <c r="R102" s="523"/>
      <c r="S102" s="523"/>
      <c r="T102" s="523"/>
      <c r="U102" s="523"/>
    </row>
    <row r="103" spans="2:22" ht="13.5" thickBot="1" x14ac:dyDescent="0.25">
      <c r="Q103" s="562"/>
      <c r="R103" s="562"/>
      <c r="S103" s="562"/>
      <c r="T103" s="562"/>
      <c r="U103" s="562"/>
    </row>
    <row r="104" spans="2:22" ht="12.75" customHeight="1" x14ac:dyDescent="0.2">
      <c r="C104" s="483"/>
      <c r="D104" s="487" t="s">
        <v>1011</v>
      </c>
      <c r="E104" s="487"/>
      <c r="F104" s="1950" t="s">
        <v>945</v>
      </c>
      <c r="G104" s="1951"/>
      <c r="H104" s="1951"/>
      <c r="I104" s="1952"/>
      <c r="J104" s="487"/>
      <c r="K104" s="1941" t="s">
        <v>1018</v>
      </c>
      <c r="L104" s="1942"/>
      <c r="M104" s="1942"/>
      <c r="N104" s="1942"/>
      <c r="O104" s="1943"/>
      <c r="P104" s="495"/>
      <c r="Q104" s="1944" t="str">
        <f>CONCATENATE("Consumption (kWh) per ",LEFT(F104,LEN(F104)-1))</f>
        <v>Consumption (kWh) per Customer</v>
      </c>
      <c r="R104" s="1945"/>
      <c r="S104" s="1945"/>
      <c r="T104" s="1945"/>
      <c r="U104" s="1946"/>
      <c r="V104" s="515"/>
    </row>
    <row r="105" spans="2:22" ht="39" thickBot="1" x14ac:dyDescent="0.25">
      <c r="C105" s="488"/>
      <c r="D105" s="490" t="str">
        <f>CONCATENATE("(for ",TestYear," Cost of Service")</f>
        <v>(for 2019 Cost of Service</v>
      </c>
      <c r="E105" s="485"/>
      <c r="F105" s="1958"/>
      <c r="G105" s="1959"/>
      <c r="H105" s="1960"/>
      <c r="I105" s="504"/>
      <c r="J105" s="485"/>
      <c r="K105" s="494"/>
      <c r="L105" s="628" t="s">
        <v>1031</v>
      </c>
      <c r="M105" s="628" t="s">
        <v>1015</v>
      </c>
      <c r="N105" s="512"/>
      <c r="O105" s="513" t="s">
        <v>1015</v>
      </c>
      <c r="P105" s="485"/>
      <c r="Q105" s="596"/>
      <c r="R105" s="597" t="str">
        <f>L105</f>
        <v>Actual (Weather actual)</v>
      </c>
      <c r="S105" s="598" t="str">
        <f>M105</f>
        <v>Weather-normalized</v>
      </c>
      <c r="T105" s="598"/>
      <c r="U105" s="599" t="str">
        <f>O105</f>
        <v>Weather-normalized</v>
      </c>
      <c r="V105" s="515"/>
    </row>
    <row r="106" spans="2:22" x14ac:dyDescent="0.2">
      <c r="C106" s="485" t="s">
        <v>830</v>
      </c>
      <c r="D106" s="570">
        <f t="shared" ref="D106:D111" si="37">D107-1</f>
        <v>2013</v>
      </c>
      <c r="E106" s="484"/>
      <c r="F106" s="520" t="str">
        <f>F63</f>
        <v>Actual</v>
      </c>
      <c r="G106" s="1541">
        <v>1221.0416666666667</v>
      </c>
      <c r="H106" s="566" t="str">
        <f t="shared" ref="H106:H112" si="38">IF(D106=RebaseYear,"Board-approved","")</f>
        <v/>
      </c>
      <c r="I106" s="590"/>
      <c r="J106" s="484"/>
      <c r="K106" s="1544" t="str">
        <f>F106</f>
        <v>Actual</v>
      </c>
      <c r="L106" s="1540">
        <v>35291130.910000004</v>
      </c>
      <c r="M106" s="1541">
        <v>35677960.336362258</v>
      </c>
      <c r="N106" s="1546" t="str">
        <f>H106</f>
        <v/>
      </c>
      <c r="O106" s="590"/>
      <c r="P106" s="484"/>
      <c r="Q106" s="592" t="str">
        <f>K106</f>
        <v>Actual</v>
      </c>
      <c r="R106" s="594">
        <f>IF(G106=0,"",L106/G106)</f>
        <v>28902.478820679065</v>
      </c>
      <c r="S106" s="536">
        <f>IF(G106=0,"",M106/G106)</f>
        <v>29219.281626776799</v>
      </c>
      <c r="T106" s="536" t="str">
        <f>N106</f>
        <v/>
      </c>
      <c r="U106" s="536" t="str">
        <f>IF(T106="","",IF(I106=0,"",O106/I106))</f>
        <v/>
      </c>
      <c r="V106" s="516"/>
    </row>
    <row r="107" spans="2:22" x14ac:dyDescent="0.2">
      <c r="C107" s="485" t="s">
        <v>830</v>
      </c>
      <c r="D107" s="570">
        <f t="shared" si="37"/>
        <v>2014</v>
      </c>
      <c r="E107" s="484"/>
      <c r="F107" s="521" t="str">
        <f t="shared" ref="F107:F112" si="39">F64</f>
        <v>Actual</v>
      </c>
      <c r="G107" s="508">
        <v>1311.8333333333333</v>
      </c>
      <c r="H107" s="505" t="str">
        <f t="shared" si="38"/>
        <v>Board-approved</v>
      </c>
      <c r="I107" s="1543">
        <v>1291.2228818091148</v>
      </c>
      <c r="J107" s="484"/>
      <c r="K107" s="1544" t="str">
        <f t="shared" ref="K107:K112" si="40">F107</f>
        <v>Actual</v>
      </c>
      <c r="L107" s="1542">
        <v>39288460.370000005</v>
      </c>
      <c r="M107" s="508">
        <v>38707967.355970196</v>
      </c>
      <c r="N107" s="481" t="str">
        <f t="shared" ref="N107:N112" si="41">H107</f>
        <v>Board-approved</v>
      </c>
      <c r="O107" s="1543">
        <v>37260698.236576237</v>
      </c>
      <c r="P107" s="484"/>
      <c r="Q107" s="592" t="str">
        <f t="shared" ref="Q107:Q112" si="42">K107</f>
        <v>Actual</v>
      </c>
      <c r="R107" s="594">
        <f t="shared" ref="R107:R112" si="43">IF(G107=0,"",L107/G107)</f>
        <v>29949.277375174697</v>
      </c>
      <c r="S107" s="536">
        <f t="shared" ref="S107:S112" si="44">IF(G107=0,"",M107/G107)</f>
        <v>29506.772219009174</v>
      </c>
      <c r="T107" s="536" t="str">
        <f t="shared" ref="T107:T112" si="45">N107</f>
        <v>Board-approved</v>
      </c>
      <c r="U107" s="536">
        <f t="shared" ref="U107:U112" si="46">IF(T107="","",IF(I107=0,"",O107/I107))</f>
        <v>28856.906705657802</v>
      </c>
      <c r="V107" s="516"/>
    </row>
    <row r="108" spans="2:22" x14ac:dyDescent="0.2">
      <c r="C108" s="485" t="s">
        <v>830</v>
      </c>
      <c r="D108" s="570">
        <f t="shared" si="37"/>
        <v>2015</v>
      </c>
      <c r="E108" s="484"/>
      <c r="F108" s="521" t="str">
        <f t="shared" si="39"/>
        <v>Actual</v>
      </c>
      <c r="G108" s="508">
        <v>1321.5416666666667</v>
      </c>
      <c r="H108" s="505" t="str">
        <f t="shared" si="38"/>
        <v/>
      </c>
      <c r="I108" s="532"/>
      <c r="J108" s="484"/>
      <c r="K108" s="1544" t="str">
        <f t="shared" si="40"/>
        <v>Actual</v>
      </c>
      <c r="L108" s="1542">
        <v>41172287.869999997</v>
      </c>
      <c r="M108" s="508">
        <v>40933420.951249197</v>
      </c>
      <c r="N108" s="481" t="str">
        <f t="shared" si="41"/>
        <v/>
      </c>
      <c r="O108" s="532"/>
      <c r="P108" s="484"/>
      <c r="Q108" s="592" t="str">
        <f t="shared" si="42"/>
        <v>Actual</v>
      </c>
      <c r="R108" s="594">
        <f t="shared" si="43"/>
        <v>31154.74064003531</v>
      </c>
      <c r="S108" s="536">
        <f t="shared" si="44"/>
        <v>30973.991954787045</v>
      </c>
      <c r="T108" s="536" t="str">
        <f t="shared" si="45"/>
        <v/>
      </c>
      <c r="U108" s="536" t="str">
        <f t="shared" si="46"/>
        <v/>
      </c>
      <c r="V108" s="516"/>
    </row>
    <row r="109" spans="2:22" x14ac:dyDescent="0.2">
      <c r="C109" s="485" t="s">
        <v>830</v>
      </c>
      <c r="D109" s="570">
        <f t="shared" si="37"/>
        <v>2016</v>
      </c>
      <c r="E109" s="484"/>
      <c r="F109" s="521" t="str">
        <f t="shared" si="39"/>
        <v>Actual</v>
      </c>
      <c r="G109" s="508">
        <v>1332.7083333333333</v>
      </c>
      <c r="H109" s="505" t="str">
        <f t="shared" si="38"/>
        <v/>
      </c>
      <c r="I109" s="531"/>
      <c r="J109" s="484"/>
      <c r="K109" s="1544" t="str">
        <f t="shared" si="40"/>
        <v>Actual</v>
      </c>
      <c r="L109" s="1542">
        <v>43510840.949999996</v>
      </c>
      <c r="M109" s="508">
        <v>44267820.419921681</v>
      </c>
      <c r="N109" s="481" t="str">
        <f t="shared" si="41"/>
        <v/>
      </c>
      <c r="O109" s="531"/>
      <c r="P109" s="484"/>
      <c r="Q109" s="592" t="str">
        <f t="shared" si="42"/>
        <v>Actual</v>
      </c>
      <c r="R109" s="594">
        <f t="shared" si="43"/>
        <v>32648.434666249803</v>
      </c>
      <c r="S109" s="536">
        <f t="shared" si="44"/>
        <v>33216.435519090839</v>
      </c>
      <c r="T109" s="536" t="str">
        <f t="shared" si="45"/>
        <v/>
      </c>
      <c r="U109" s="536" t="str">
        <f t="shared" si="46"/>
        <v/>
      </c>
      <c r="V109" s="516"/>
    </row>
    <row r="110" spans="2:22" x14ac:dyDescent="0.2">
      <c r="C110" s="485" t="s">
        <v>830</v>
      </c>
      <c r="D110" s="570">
        <f t="shared" si="37"/>
        <v>2017</v>
      </c>
      <c r="E110" s="484"/>
      <c r="F110" s="521" t="str">
        <f t="shared" si="39"/>
        <v>Actual</v>
      </c>
      <c r="G110" s="508">
        <v>1331.6666666666667</v>
      </c>
      <c r="H110" s="505" t="str">
        <f t="shared" si="38"/>
        <v/>
      </c>
      <c r="I110" s="531"/>
      <c r="J110" s="484"/>
      <c r="K110" s="1544" t="str">
        <f t="shared" si="40"/>
        <v>Actual</v>
      </c>
      <c r="L110" s="1542">
        <v>40733064.149999999</v>
      </c>
      <c r="M110" s="508">
        <v>41390098.581814982</v>
      </c>
      <c r="N110" s="481" t="str">
        <f t="shared" si="41"/>
        <v/>
      </c>
      <c r="O110" s="531"/>
      <c r="P110" s="484"/>
      <c r="Q110" s="592" t="str">
        <f t="shared" si="42"/>
        <v>Actual</v>
      </c>
      <c r="R110" s="594">
        <f t="shared" si="43"/>
        <v>30588.033153942426</v>
      </c>
      <c r="S110" s="536">
        <f t="shared" si="44"/>
        <v>31081.42571850937</v>
      </c>
      <c r="T110" s="536" t="str">
        <f t="shared" si="45"/>
        <v/>
      </c>
      <c r="U110" s="536" t="str">
        <f t="shared" si="46"/>
        <v/>
      </c>
      <c r="V110" s="516"/>
    </row>
    <row r="111" spans="2:22" x14ac:dyDescent="0.2">
      <c r="C111" s="485" t="s">
        <v>289</v>
      </c>
      <c r="D111" s="570">
        <f t="shared" si="37"/>
        <v>2018</v>
      </c>
      <c r="E111" s="484"/>
      <c r="F111" s="521" t="str">
        <f t="shared" si="39"/>
        <v>Forecast</v>
      </c>
      <c r="G111" s="508">
        <v>1336.6666666666667</v>
      </c>
      <c r="H111" s="505" t="str">
        <f t="shared" si="38"/>
        <v/>
      </c>
      <c r="I111" s="531"/>
      <c r="J111" s="484"/>
      <c r="K111" s="1544" t="str">
        <f t="shared" si="40"/>
        <v>Forecast</v>
      </c>
      <c r="L111" s="1551"/>
      <c r="M111" s="508">
        <v>42306679.084252924</v>
      </c>
      <c r="N111" s="481" t="str">
        <f t="shared" si="41"/>
        <v/>
      </c>
      <c r="O111" s="531"/>
      <c r="P111" s="484"/>
      <c r="Q111" s="592" t="str">
        <f t="shared" si="42"/>
        <v>Forecast</v>
      </c>
      <c r="R111" s="594">
        <f t="shared" si="43"/>
        <v>0</v>
      </c>
      <c r="S111" s="536">
        <f t="shared" si="44"/>
        <v>31650.88210791989</v>
      </c>
      <c r="T111" s="536" t="str">
        <f t="shared" si="45"/>
        <v/>
      </c>
      <c r="U111" s="536" t="str">
        <f t="shared" si="46"/>
        <v/>
      </c>
      <c r="V111" s="516"/>
    </row>
    <row r="112" spans="2:22" ht="13.5" thickBot="1" x14ac:dyDescent="0.25">
      <c r="C112" s="486" t="s">
        <v>290</v>
      </c>
      <c r="D112" s="571">
        <f>TestYear</f>
        <v>2019</v>
      </c>
      <c r="E112" s="488"/>
      <c r="F112" s="522" t="str">
        <f t="shared" si="39"/>
        <v>Forecast</v>
      </c>
      <c r="G112" s="509">
        <v>1341.6666666666667</v>
      </c>
      <c r="H112" s="506" t="str">
        <f t="shared" si="38"/>
        <v/>
      </c>
      <c r="I112" s="533"/>
      <c r="J112" s="488"/>
      <c r="K112" s="1545" t="str">
        <f t="shared" si="40"/>
        <v>Forecast</v>
      </c>
      <c r="L112" s="1552"/>
      <c r="M112" s="509">
        <v>42839905.598524772</v>
      </c>
      <c r="N112" s="482" t="str">
        <f t="shared" si="41"/>
        <v/>
      </c>
      <c r="O112" s="533"/>
      <c r="P112" s="488"/>
      <c r="Q112" s="593" t="str">
        <f t="shared" si="42"/>
        <v>Forecast</v>
      </c>
      <c r="R112" s="595">
        <f t="shared" si="43"/>
        <v>0</v>
      </c>
      <c r="S112" s="562">
        <f t="shared" si="44"/>
        <v>31930.364421260696</v>
      </c>
      <c r="T112" s="562" t="str">
        <f t="shared" si="45"/>
        <v/>
      </c>
      <c r="U112" s="562" t="str">
        <f t="shared" si="46"/>
        <v/>
      </c>
      <c r="V112" s="516"/>
    </row>
    <row r="113" spans="2:21" ht="13.5" thickBot="1" x14ac:dyDescent="0.25">
      <c r="B113" s="536"/>
      <c r="C113" s="573"/>
      <c r="I113" s="615">
        <f>SUM(I106:I111)</f>
        <v>1291.2228818091148</v>
      </c>
      <c r="O113" s="615">
        <f>SUM(O106:O111)</f>
        <v>37260698.236576237</v>
      </c>
      <c r="U113" s="615">
        <f>SUM(U106:U111)</f>
        <v>28856.906705657802</v>
      </c>
    </row>
    <row r="114" spans="2:21" ht="39" thickBot="1" x14ac:dyDescent="0.25">
      <c r="C114" s="607" t="s">
        <v>885</v>
      </c>
      <c r="D114" s="606" t="s">
        <v>10</v>
      </c>
      <c r="E114" s="568"/>
      <c r="F114" s="568"/>
      <c r="G114" s="630" t="s">
        <v>1027</v>
      </c>
      <c r="H114" s="568"/>
      <c r="I114" s="601" t="s">
        <v>1040</v>
      </c>
      <c r="J114" s="603"/>
      <c r="K114" s="602" t="s">
        <v>10</v>
      </c>
      <c r="L114" s="1936" t="s">
        <v>1027</v>
      </c>
      <c r="M114" s="1936"/>
      <c r="N114" s="568"/>
      <c r="O114" s="601" t="str">
        <f>I114</f>
        <v>Test Year Versus Board-approved</v>
      </c>
      <c r="P114" s="604"/>
      <c r="Q114" s="602" t="s">
        <v>10</v>
      </c>
      <c r="R114" s="1936" t="s">
        <v>1027</v>
      </c>
      <c r="S114" s="1936"/>
      <c r="T114" s="568"/>
      <c r="U114" s="601" t="str">
        <f>O114</f>
        <v>Test Year Versus Board-approved</v>
      </c>
    </row>
    <row r="115" spans="2:21" x14ac:dyDescent="0.2">
      <c r="C115" s="484"/>
      <c r="D115" s="584">
        <f t="shared" ref="D115:D121" si="47">D106</f>
        <v>2013</v>
      </c>
      <c r="E115" s="536"/>
      <c r="F115" s="536"/>
      <c r="G115" s="579"/>
      <c r="H115" s="536"/>
      <c r="I115" s="585"/>
      <c r="J115" s="591"/>
      <c r="K115" s="570">
        <f>D115</f>
        <v>2013</v>
      </c>
      <c r="L115" s="558"/>
      <c r="M115" s="558"/>
      <c r="N115" s="536"/>
      <c r="O115" s="531"/>
      <c r="P115" s="484"/>
      <c r="Q115" s="570">
        <f>K115</f>
        <v>2013</v>
      </c>
      <c r="R115" s="537"/>
      <c r="S115" s="537"/>
      <c r="T115" s="536"/>
      <c r="U115" s="531"/>
    </row>
    <row r="116" spans="2:21" x14ac:dyDescent="0.2">
      <c r="C116" s="484"/>
      <c r="D116" s="572">
        <f t="shared" si="47"/>
        <v>2014</v>
      </c>
      <c r="E116" s="536"/>
      <c r="F116" s="536"/>
      <c r="G116" s="580">
        <f t="shared" ref="G116:G121" si="48">IF(G106=0,"",G107/G106-1)</f>
        <v>7.4355911960416243E-2</v>
      </c>
      <c r="H116" s="536"/>
      <c r="I116" s="585"/>
      <c r="J116" s="591"/>
      <c r="K116" s="570">
        <f t="shared" ref="K116:K122" si="49">D116</f>
        <v>2014</v>
      </c>
      <c r="L116" s="560">
        <f t="shared" ref="L116:M119" si="50">IF(L106=0,"",L107/L106-1)</f>
        <v>0.11326725318590825</v>
      </c>
      <c r="M116" s="560">
        <f t="shared" si="50"/>
        <v>8.4926576268425702E-2</v>
      </c>
      <c r="N116" s="536"/>
      <c r="O116" s="531"/>
      <c r="P116" s="484"/>
      <c r="Q116" s="570">
        <f t="shared" ref="Q116:Q122" si="51">K116</f>
        <v>2014</v>
      </c>
      <c r="R116" s="581">
        <f t="shared" ref="R116:S118" si="52">IF(R106="","",IF(R106=0,"",R107/R106-1))</f>
        <v>3.6218296741616252E-2</v>
      </c>
      <c r="S116" s="581">
        <f t="shared" si="52"/>
        <v>9.839071196360738E-3</v>
      </c>
      <c r="T116" s="536"/>
      <c r="U116" s="531"/>
    </row>
    <row r="117" spans="2:21" x14ac:dyDescent="0.2">
      <c r="C117" s="484"/>
      <c r="D117" s="572">
        <f t="shared" si="47"/>
        <v>2015</v>
      </c>
      <c r="E117" s="536"/>
      <c r="F117" s="536"/>
      <c r="G117" s="580">
        <f t="shared" si="48"/>
        <v>7.4005844238345109E-3</v>
      </c>
      <c r="H117" s="536"/>
      <c r="I117" s="585"/>
      <c r="J117" s="591"/>
      <c r="K117" s="570">
        <f t="shared" si="49"/>
        <v>2015</v>
      </c>
      <c r="L117" s="560">
        <f t="shared" si="50"/>
        <v>4.7948621102965161E-2</v>
      </c>
      <c r="M117" s="560">
        <f t="shared" si="50"/>
        <v>5.7493424410872684E-2</v>
      </c>
      <c r="N117" s="536"/>
      <c r="O117" s="531"/>
      <c r="P117" s="484"/>
      <c r="Q117" s="570">
        <f t="shared" si="51"/>
        <v>2015</v>
      </c>
      <c r="R117" s="581">
        <f t="shared" si="52"/>
        <v>4.0250161957491315E-2</v>
      </c>
      <c r="S117" s="581">
        <f t="shared" si="52"/>
        <v>4.9724847058420174E-2</v>
      </c>
      <c r="T117" s="536"/>
      <c r="U117" s="531"/>
    </row>
    <row r="118" spans="2:21" x14ac:dyDescent="0.2">
      <c r="C118" s="484"/>
      <c r="D118" s="572">
        <f t="shared" si="47"/>
        <v>2016</v>
      </c>
      <c r="E118" s="536"/>
      <c r="F118" s="536"/>
      <c r="G118" s="580">
        <f t="shared" si="48"/>
        <v>8.4497272755934549E-3</v>
      </c>
      <c r="H118" s="536"/>
      <c r="I118" s="585"/>
      <c r="J118" s="591"/>
      <c r="K118" s="570">
        <f t="shared" si="49"/>
        <v>2016</v>
      </c>
      <c r="L118" s="560">
        <f t="shared" si="50"/>
        <v>5.6799201622797613E-2</v>
      </c>
      <c r="M118" s="560">
        <f t="shared" si="50"/>
        <v>8.1459096043882573E-2</v>
      </c>
      <c r="N118" s="536"/>
      <c r="O118" s="531"/>
      <c r="P118" s="484"/>
      <c r="Q118" s="570">
        <f t="shared" si="51"/>
        <v>2016</v>
      </c>
      <c r="R118" s="581">
        <f t="shared" si="52"/>
        <v>4.794435760107163E-2</v>
      </c>
      <c r="S118" s="581">
        <f t="shared" si="52"/>
        <v>7.2397628551628346E-2</v>
      </c>
      <c r="T118" s="536"/>
      <c r="U118" s="531"/>
    </row>
    <row r="119" spans="2:21" x14ac:dyDescent="0.2">
      <c r="C119" s="484"/>
      <c r="D119" s="572">
        <f t="shared" si="47"/>
        <v>2017</v>
      </c>
      <c r="E119" s="536"/>
      <c r="F119" s="536"/>
      <c r="G119" s="580">
        <f t="shared" si="48"/>
        <v>-7.8161638267926214E-4</v>
      </c>
      <c r="H119" s="536"/>
      <c r="I119" s="585"/>
      <c r="J119" s="591"/>
      <c r="K119" s="570">
        <f t="shared" si="49"/>
        <v>2017</v>
      </c>
      <c r="L119" s="560">
        <f t="shared" si="50"/>
        <v>-6.3841027646237558E-2</v>
      </c>
      <c r="M119" s="560">
        <f t="shared" si="50"/>
        <v>-6.5007082137968797E-2</v>
      </c>
      <c r="N119" s="536"/>
      <c r="O119" s="531"/>
      <c r="P119" s="484"/>
      <c r="Q119" s="570">
        <f t="shared" si="51"/>
        <v>2017</v>
      </c>
      <c r="R119" s="581">
        <f t="shared" ref="R119:S121" si="53">IF(R109="","",IF(R109=0,"",R110/R109-1))</f>
        <v>-6.3108738087137461E-2</v>
      </c>
      <c r="S119" s="581">
        <f t="shared" si="53"/>
        <v>-6.4275704699090608E-2</v>
      </c>
      <c r="T119" s="536"/>
      <c r="U119" s="531"/>
    </row>
    <row r="120" spans="2:21" x14ac:dyDescent="0.2">
      <c r="C120" s="484"/>
      <c r="D120" s="572">
        <f t="shared" si="47"/>
        <v>2018</v>
      </c>
      <c r="E120" s="536"/>
      <c r="F120" s="536"/>
      <c r="G120" s="580">
        <f t="shared" si="48"/>
        <v>3.754693366708306E-3</v>
      </c>
      <c r="H120" s="536"/>
      <c r="I120" s="585"/>
      <c r="J120" s="591"/>
      <c r="K120" s="570">
        <f t="shared" si="49"/>
        <v>2018</v>
      </c>
      <c r="L120" s="560" t="str">
        <f>IF(K111="Forecast","",IF(L110=0,"",L111/L110-1))</f>
        <v/>
      </c>
      <c r="M120" s="560">
        <f>IF(M110=0,"",M111/M110-1)</f>
        <v>2.2144921946154694E-2</v>
      </c>
      <c r="N120" s="536"/>
      <c r="O120" s="531"/>
      <c r="P120" s="484"/>
      <c r="Q120" s="570">
        <f t="shared" si="51"/>
        <v>2018</v>
      </c>
      <c r="R120" s="581" t="str">
        <f>IF(Q111="Forecast","",IF(R110=0,"",R111/R110-1))</f>
        <v/>
      </c>
      <c r="S120" s="581">
        <f t="shared" si="53"/>
        <v>1.8321437200720103E-2</v>
      </c>
      <c r="T120" s="536"/>
      <c r="U120" s="531"/>
    </row>
    <row r="121" spans="2:21" x14ac:dyDescent="0.2">
      <c r="C121" s="484"/>
      <c r="D121" s="572">
        <f t="shared" si="47"/>
        <v>2019</v>
      </c>
      <c r="E121" s="536"/>
      <c r="F121" s="536"/>
      <c r="G121" s="580">
        <f t="shared" si="48"/>
        <v>3.7406483790523026E-3</v>
      </c>
      <c r="H121" s="536"/>
      <c r="I121" s="586">
        <f>IF(I113=0,"",G112/I113-1)</f>
        <v>3.9066675140449592E-2</v>
      </c>
      <c r="J121" s="591"/>
      <c r="K121" s="570">
        <f t="shared" si="49"/>
        <v>2019</v>
      </c>
      <c r="L121" s="560" t="str">
        <f>IF(K112="Forecast","",IF(L111=0,"",L112/L111-1))</f>
        <v/>
      </c>
      <c r="M121" s="560">
        <f>IF(M111=0,"",M112/M111-1)</f>
        <v>1.2603837640149829E-2</v>
      </c>
      <c r="N121" s="536"/>
      <c r="O121" s="561">
        <f>IF(O113=0,"",M112/O113-1)</f>
        <v>0.14973437498473441</v>
      </c>
      <c r="P121" s="484"/>
      <c r="Q121" s="570">
        <f t="shared" si="51"/>
        <v>2019</v>
      </c>
      <c r="R121" s="581" t="str">
        <f>IF(Q112="Forecast","",IF(R111=0,"",R112/R111-1))</f>
        <v/>
      </c>
      <c r="S121" s="581">
        <f t="shared" si="53"/>
        <v>8.8301587421120153E-3</v>
      </c>
      <c r="T121" s="536"/>
      <c r="U121" s="561">
        <f>IF(U113=0,"",S112/U113-1)</f>
        <v>0.10650683203686206</v>
      </c>
    </row>
    <row r="122" spans="2:21" ht="26.25" thickBot="1" x14ac:dyDescent="0.25">
      <c r="C122" s="488"/>
      <c r="D122" s="612" t="s">
        <v>1026</v>
      </c>
      <c r="E122" s="562"/>
      <c r="F122" s="562"/>
      <c r="G122" s="582">
        <f>IF(G106=0,"",(G112/G106)^(1/($D112-$D106-1))-1)</f>
        <v>1.9020284705094426E-2</v>
      </c>
      <c r="H122" s="562"/>
      <c r="I122" s="613">
        <f>IF(I113=0,"",(G112/I113)^(1/(TestYear-RebaseYear-1))-1)</f>
        <v>9.626762643495157E-3</v>
      </c>
      <c r="J122" s="567"/>
      <c r="K122" s="611" t="str">
        <f t="shared" si="49"/>
        <v>Geometric Mean</v>
      </c>
      <c r="L122" s="565">
        <f>IF(L106=0,"",(L110/L106)^(1/($D110-$D106-1))-1)</f>
        <v>4.8963802436713832E-2</v>
      </c>
      <c r="M122" s="565">
        <f>IF(M106=0,"",(M112/M106)^(1/($D112-$D106-1))-1)</f>
        <v>3.7264936553865757E-2</v>
      </c>
      <c r="N122" s="562"/>
      <c r="O122" s="578">
        <f>IF(O113=0,"",(M112/O113)^(1/(TestYear-RebaseYear-1))-1)</f>
        <v>3.5498273307109862E-2</v>
      </c>
      <c r="P122" s="488"/>
      <c r="Q122" s="611" t="str">
        <f t="shared" si="51"/>
        <v>Geometric Mean</v>
      </c>
      <c r="R122" s="583">
        <f>IF(R106="","",IF(R106=0,"",(R110/R106)^(1/($D110-$D106-1))-1))</f>
        <v>1.9073449641535456E-2</v>
      </c>
      <c r="S122" s="565">
        <f>IF(S106="","",IF(S106=0,"",(S112/S106)^(1/($D112-$D106-1))-1))</f>
        <v>1.7904110568369491E-2</v>
      </c>
      <c r="T122" s="562"/>
      <c r="U122" s="578">
        <f>IF(U113=0,"",(S112/U113)^(1/(TestYear-RebaseYear-1))-1)</f>
        <v>2.5624826540726398E-2</v>
      </c>
    </row>
    <row r="124" spans="2:21" ht="13.5" thickBot="1" x14ac:dyDescent="0.25">
      <c r="Q124" s="562"/>
      <c r="R124" s="562"/>
      <c r="S124" s="562"/>
      <c r="T124" s="562"/>
      <c r="U124" s="562"/>
    </row>
    <row r="125" spans="2:21" ht="12.75" customHeight="1" x14ac:dyDescent="0.2">
      <c r="C125" s="483"/>
      <c r="D125" s="487" t="s">
        <v>1011</v>
      </c>
      <c r="E125" s="487"/>
      <c r="F125" s="1938" t="s">
        <v>1004</v>
      </c>
      <c r="G125" s="1939"/>
      <c r="H125" s="1939"/>
      <c r="I125" s="1940"/>
      <c r="K125" s="1941" t="str">
        <f>IF(ISBLANK(N102),"",CONCATENATE("Demand (",N102,")"))</f>
        <v>Demand (kWh)</v>
      </c>
      <c r="L125" s="1942"/>
      <c r="M125" s="1942"/>
      <c r="N125" s="1942"/>
      <c r="O125" s="1943"/>
      <c r="Q125" s="1944" t="str">
        <f>CONCATENATE("Demand (",N102,") per ",LEFT(F104,LEN(F104)-1))</f>
        <v>Demand (kWh) per Customer</v>
      </c>
      <c r="R125" s="1945"/>
      <c r="S125" s="1945"/>
      <c r="T125" s="1945"/>
      <c r="U125" s="1946"/>
    </row>
    <row r="126" spans="2:21" ht="39" thickBot="1" x14ac:dyDescent="0.25">
      <c r="C126" s="488"/>
      <c r="D126" s="490" t="str">
        <f>CONCATENATE("(for ",TestYear," Cost of Service")</f>
        <v>(for 2019 Cost of Service</v>
      </c>
      <c r="E126" s="485"/>
      <c r="F126" s="1934"/>
      <c r="G126" s="1935"/>
      <c r="H126" s="1935"/>
      <c r="I126" s="504"/>
      <c r="K126" s="494"/>
      <c r="L126" s="628" t="s">
        <v>1031</v>
      </c>
      <c r="M126" s="628" t="s">
        <v>1015</v>
      </c>
      <c r="N126" s="512"/>
      <c r="O126" s="513" t="str">
        <f>M126</f>
        <v>Weather-normalized</v>
      </c>
      <c r="Q126" s="610"/>
      <c r="R126" s="628" t="str">
        <f>L126</f>
        <v>Actual (Weather actual)</v>
      </c>
      <c r="S126" s="628" t="str">
        <f>M126</f>
        <v>Weather-normalized</v>
      </c>
      <c r="T126" s="628"/>
      <c r="U126" s="629" t="str">
        <f>O126</f>
        <v>Weather-normalized</v>
      </c>
    </row>
    <row r="127" spans="2:21" x14ac:dyDescent="0.2">
      <c r="C127" s="485" t="s">
        <v>830</v>
      </c>
      <c r="D127" s="570">
        <f t="shared" ref="D127:D132" si="54">D128-1</f>
        <v>2013</v>
      </c>
      <c r="E127" s="484"/>
      <c r="F127" s="520" t="str">
        <f t="shared" ref="F127:F133" si="55">F106</f>
        <v>Actual</v>
      </c>
      <c r="G127" s="1549">
        <v>1266468.2800000003</v>
      </c>
      <c r="H127" s="554" t="str">
        <f t="shared" ref="H127:H133" si="56">IF(D127=RebaseYear,"Board-approved","")</f>
        <v/>
      </c>
      <c r="I127" s="590"/>
      <c r="K127" s="492" t="str">
        <f t="shared" ref="K127:K133" si="57">K106</f>
        <v>Actual</v>
      </c>
      <c r="L127" s="502"/>
      <c r="M127" s="502"/>
      <c r="N127" s="481" t="str">
        <f t="shared" ref="N127:N133" si="58">N106</f>
        <v/>
      </c>
      <c r="O127" s="531"/>
      <c r="Q127" s="592" t="str">
        <f>K127</f>
        <v>Actual</v>
      </c>
      <c r="R127" s="536">
        <f>IF(G127=0,"",L127/G127)</f>
        <v>0</v>
      </c>
      <c r="S127" s="516">
        <f>IF(G127=0,"",M127/G127)</f>
        <v>0</v>
      </c>
      <c r="T127" s="516" t="str">
        <f>N127</f>
        <v/>
      </c>
      <c r="U127" s="484" t="str">
        <f>IF(T127="","",IF(I127=0,"",O127/I127))</f>
        <v/>
      </c>
    </row>
    <row r="128" spans="2:21" x14ac:dyDescent="0.2">
      <c r="C128" s="485" t="s">
        <v>830</v>
      </c>
      <c r="D128" s="570">
        <f t="shared" si="54"/>
        <v>2014</v>
      </c>
      <c r="E128" s="484"/>
      <c r="F128" s="521" t="str">
        <f t="shared" si="55"/>
        <v>Actual</v>
      </c>
      <c r="G128" s="518">
        <v>475884.71000000008</v>
      </c>
      <c r="H128" s="2" t="str">
        <f t="shared" si="56"/>
        <v>Board-approved</v>
      </c>
      <c r="I128" s="1550">
        <v>994961.28865577956</v>
      </c>
      <c r="K128" s="492" t="str">
        <f t="shared" si="57"/>
        <v>Actual</v>
      </c>
      <c r="L128" s="502"/>
      <c r="M128" s="502"/>
      <c r="N128" s="481" t="str">
        <f t="shared" si="58"/>
        <v>Board-approved</v>
      </c>
      <c r="O128" s="531"/>
      <c r="Q128" s="592" t="str">
        <f t="shared" ref="Q128:Q133" si="59">K128</f>
        <v>Actual</v>
      </c>
      <c r="R128" s="536">
        <f t="shared" ref="R128:R133" si="60">IF(G128=0,"",L128/G128)</f>
        <v>0</v>
      </c>
      <c r="S128" s="516">
        <f t="shared" ref="S128:S133" si="61">IF(G128=0,"",M128/G128)</f>
        <v>0</v>
      </c>
      <c r="T128" s="516" t="str">
        <f t="shared" ref="T128:T133" si="62">N128</f>
        <v>Board-approved</v>
      </c>
      <c r="U128" s="484">
        <f t="shared" ref="U128:U133" si="63">IF(T128="","",IF(I128=0,"",O128/I128))</f>
        <v>0</v>
      </c>
    </row>
    <row r="129" spans="3:21" x14ac:dyDescent="0.2">
      <c r="C129" s="485" t="s">
        <v>830</v>
      </c>
      <c r="D129" s="570">
        <f t="shared" si="54"/>
        <v>2015</v>
      </c>
      <c r="E129" s="484"/>
      <c r="F129" s="521" t="str">
        <f t="shared" si="55"/>
        <v>Actual</v>
      </c>
      <c r="G129" s="518">
        <v>1084578.42</v>
      </c>
      <c r="H129" s="2" t="str">
        <f t="shared" si="56"/>
        <v/>
      </c>
      <c r="I129" s="535"/>
      <c r="K129" s="492" t="str">
        <f t="shared" si="57"/>
        <v>Actual</v>
      </c>
      <c r="L129" s="502"/>
      <c r="M129" s="502"/>
      <c r="N129" s="481" t="str">
        <f t="shared" si="58"/>
        <v/>
      </c>
      <c r="O129" s="532"/>
      <c r="Q129" s="592" t="str">
        <f t="shared" si="59"/>
        <v>Actual</v>
      </c>
      <c r="R129" s="536">
        <f t="shared" si="60"/>
        <v>0</v>
      </c>
      <c r="S129" s="516">
        <f t="shared" si="61"/>
        <v>0</v>
      </c>
      <c r="T129" s="516" t="str">
        <f t="shared" si="62"/>
        <v/>
      </c>
      <c r="U129" s="484" t="str">
        <f t="shared" si="63"/>
        <v/>
      </c>
    </row>
    <row r="130" spans="3:21" x14ac:dyDescent="0.2">
      <c r="C130" s="485" t="s">
        <v>830</v>
      </c>
      <c r="D130" s="570">
        <f t="shared" si="54"/>
        <v>2016</v>
      </c>
      <c r="E130" s="484"/>
      <c r="F130" s="521" t="str">
        <f t="shared" si="55"/>
        <v>Actual</v>
      </c>
      <c r="G130" s="518">
        <v>1114648.02</v>
      </c>
      <c r="H130" s="2" t="str">
        <f t="shared" si="56"/>
        <v/>
      </c>
      <c r="I130" s="531"/>
      <c r="K130" s="492" t="str">
        <f t="shared" si="57"/>
        <v>Actual</v>
      </c>
      <c r="L130" s="502"/>
      <c r="M130" s="502"/>
      <c r="N130" s="481" t="str">
        <f t="shared" si="58"/>
        <v/>
      </c>
      <c r="O130" s="531"/>
      <c r="Q130" s="592" t="str">
        <f t="shared" si="59"/>
        <v>Actual</v>
      </c>
      <c r="R130" s="536">
        <f t="shared" si="60"/>
        <v>0</v>
      </c>
      <c r="S130" s="516">
        <f t="shared" si="61"/>
        <v>0</v>
      </c>
      <c r="T130" s="516" t="str">
        <f t="shared" si="62"/>
        <v/>
      </c>
      <c r="U130" s="484" t="str">
        <f t="shared" si="63"/>
        <v/>
      </c>
    </row>
    <row r="131" spans="3:21" x14ac:dyDescent="0.2">
      <c r="C131" s="485" t="s">
        <v>830</v>
      </c>
      <c r="D131" s="570">
        <f t="shared" si="54"/>
        <v>2017</v>
      </c>
      <c r="E131" s="484"/>
      <c r="F131" s="521" t="str">
        <f t="shared" si="55"/>
        <v>Actual</v>
      </c>
      <c r="G131" s="518">
        <v>1097529.2999999998</v>
      </c>
      <c r="H131" s="2" t="str">
        <f t="shared" si="56"/>
        <v/>
      </c>
      <c r="I131" s="531"/>
      <c r="K131" s="492" t="str">
        <f t="shared" si="57"/>
        <v>Actual</v>
      </c>
      <c r="L131" s="502"/>
      <c r="M131" s="502"/>
      <c r="N131" s="481" t="str">
        <f t="shared" si="58"/>
        <v/>
      </c>
      <c r="O131" s="531"/>
      <c r="Q131" s="592" t="str">
        <f t="shared" si="59"/>
        <v>Actual</v>
      </c>
      <c r="R131" s="536">
        <f t="shared" si="60"/>
        <v>0</v>
      </c>
      <c r="S131" s="516">
        <f t="shared" si="61"/>
        <v>0</v>
      </c>
      <c r="T131" s="516" t="str">
        <f t="shared" si="62"/>
        <v/>
      </c>
      <c r="U131" s="484" t="str">
        <f t="shared" si="63"/>
        <v/>
      </c>
    </row>
    <row r="132" spans="3:21" x14ac:dyDescent="0.2">
      <c r="C132" s="485" t="s">
        <v>1009</v>
      </c>
      <c r="D132" s="570">
        <f t="shared" si="54"/>
        <v>2018</v>
      </c>
      <c r="E132" s="484"/>
      <c r="F132" s="521" t="str">
        <f t="shared" si="55"/>
        <v>Forecast</v>
      </c>
      <c r="G132" s="518">
        <v>1132102.1740119315</v>
      </c>
      <c r="H132" s="2" t="str">
        <f t="shared" si="56"/>
        <v/>
      </c>
      <c r="I132" s="531"/>
      <c r="K132" s="492" t="str">
        <f t="shared" si="57"/>
        <v>Forecast</v>
      </c>
      <c r="L132" s="510"/>
      <c r="M132" s="541"/>
      <c r="N132" s="481" t="str">
        <f t="shared" si="58"/>
        <v/>
      </c>
      <c r="O132" s="531"/>
      <c r="Q132" s="592" t="str">
        <f t="shared" si="59"/>
        <v>Forecast</v>
      </c>
      <c r="R132" s="536">
        <f t="shared" si="60"/>
        <v>0</v>
      </c>
      <c r="S132" s="516">
        <f t="shared" si="61"/>
        <v>0</v>
      </c>
      <c r="T132" s="516" t="str">
        <f t="shared" si="62"/>
        <v/>
      </c>
      <c r="U132" s="484" t="str">
        <f t="shared" si="63"/>
        <v/>
      </c>
    </row>
    <row r="133" spans="3:21" ht="13.5" thickBot="1" x14ac:dyDescent="0.25">
      <c r="C133" s="486" t="s">
        <v>1010</v>
      </c>
      <c r="D133" s="571">
        <f>TestYear</f>
        <v>2019</v>
      </c>
      <c r="E133" s="488"/>
      <c r="F133" s="522" t="str">
        <f t="shared" si="55"/>
        <v>Forecast</v>
      </c>
      <c r="G133" s="519">
        <v>1191314.52</v>
      </c>
      <c r="H133" s="514" t="str">
        <f t="shared" si="56"/>
        <v/>
      </c>
      <c r="I133" s="533"/>
      <c r="K133" s="493" t="str">
        <f t="shared" si="57"/>
        <v>Forecast</v>
      </c>
      <c r="L133" s="511"/>
      <c r="M133" s="542"/>
      <c r="N133" s="482" t="str">
        <f t="shared" si="58"/>
        <v/>
      </c>
      <c r="O133" s="533"/>
      <c r="Q133" s="526" t="str">
        <f t="shared" si="59"/>
        <v>Forecast</v>
      </c>
      <c r="R133" s="517">
        <f t="shared" si="60"/>
        <v>0</v>
      </c>
      <c r="S133" s="517">
        <f t="shared" si="61"/>
        <v>0</v>
      </c>
      <c r="T133" s="517" t="str">
        <f t="shared" si="62"/>
        <v/>
      </c>
      <c r="U133" s="488" t="str">
        <f t="shared" si="63"/>
        <v/>
      </c>
    </row>
    <row r="134" spans="3:21" ht="13.5" thickBot="1" x14ac:dyDescent="0.25">
      <c r="C134" s="573"/>
      <c r="I134" s="615">
        <f>SUM(I127:I132)</f>
        <v>994961.28865577956</v>
      </c>
      <c r="J134" s="536"/>
      <c r="O134" s="615">
        <f>SUM(O127:O132)</f>
        <v>0</v>
      </c>
      <c r="U134" s="615">
        <f>SUM(U127:U132)</f>
        <v>0</v>
      </c>
    </row>
    <row r="135" spans="3:21" ht="39" thickBot="1" x14ac:dyDescent="0.25">
      <c r="C135" s="607" t="s">
        <v>885</v>
      </c>
      <c r="D135" s="606" t="s">
        <v>10</v>
      </c>
      <c r="E135" s="630"/>
      <c r="F135" s="630"/>
      <c r="G135" s="630" t="s">
        <v>1027</v>
      </c>
      <c r="H135" s="630"/>
      <c r="I135" s="601" t="str">
        <f>I114</f>
        <v>Test Year Versus Board-approved</v>
      </c>
      <c r="J135" s="614"/>
      <c r="K135" s="602" t="s">
        <v>10</v>
      </c>
      <c r="L135" s="1936" t="s">
        <v>1027</v>
      </c>
      <c r="M135" s="1936"/>
      <c r="N135" s="630"/>
      <c r="O135" s="601" t="str">
        <f>I135</f>
        <v>Test Year Versus Board-approved</v>
      </c>
      <c r="P135" s="587"/>
      <c r="Q135" s="602" t="s">
        <v>10</v>
      </c>
      <c r="R135" s="1936" t="s">
        <v>1027</v>
      </c>
      <c r="S135" s="1936"/>
      <c r="T135" s="630"/>
      <c r="U135" s="601" t="str">
        <f>O135</f>
        <v>Test Year Versus Board-approved</v>
      </c>
    </row>
    <row r="136" spans="3:21" x14ac:dyDescent="0.2">
      <c r="C136" s="484"/>
      <c r="D136" s="609">
        <f t="shared" ref="D136:D142" si="64">D127</f>
        <v>2013</v>
      </c>
      <c r="E136" s="552"/>
      <c r="F136" s="536"/>
      <c r="G136" s="579"/>
      <c r="H136" s="536"/>
      <c r="I136" s="585"/>
      <c r="J136" s="484"/>
      <c r="K136" s="570">
        <f>D136</f>
        <v>2013</v>
      </c>
      <c r="L136" s="558"/>
      <c r="M136" s="558"/>
      <c r="N136" s="536"/>
      <c r="O136" s="588"/>
      <c r="P136" s="484"/>
      <c r="Q136" s="570">
        <f>K136</f>
        <v>2013</v>
      </c>
      <c r="R136" s="537"/>
      <c r="S136" s="537"/>
      <c r="T136" s="536"/>
      <c r="U136" s="531"/>
    </row>
    <row r="137" spans="3:21" x14ac:dyDescent="0.2">
      <c r="C137" s="484"/>
      <c r="D137" s="572">
        <f t="shared" si="64"/>
        <v>2014</v>
      </c>
      <c r="E137" s="536"/>
      <c r="F137" s="536"/>
      <c r="G137" s="580">
        <f t="shared" ref="G137:G142" si="65">IF(G127=0,"",G128/G127-1)</f>
        <v>-0.62424269323192205</v>
      </c>
      <c r="H137" s="536"/>
      <c r="I137" s="585"/>
      <c r="J137" s="484"/>
      <c r="K137" s="570">
        <f t="shared" ref="K137:K143" si="66">D137</f>
        <v>2014</v>
      </c>
      <c r="L137" s="560" t="str">
        <f t="shared" ref="L137:M139" si="67">IF(L127=0,"",L128/L127-1)</f>
        <v/>
      </c>
      <c r="M137" s="560" t="str">
        <f t="shared" si="67"/>
        <v/>
      </c>
      <c r="N137" s="536"/>
      <c r="O137" s="588"/>
      <c r="P137" s="484"/>
      <c r="Q137" s="570">
        <f t="shared" ref="Q137:Q143" si="68">K137</f>
        <v>2014</v>
      </c>
      <c r="R137" s="581" t="str">
        <f t="shared" ref="R137:S139" si="69">IF(R127="","",IF(R127=0,"",R128/R127-1))</f>
        <v/>
      </c>
      <c r="S137" s="581" t="str">
        <f t="shared" si="69"/>
        <v/>
      </c>
      <c r="T137" s="536"/>
      <c r="U137" s="531"/>
    </row>
    <row r="138" spans="3:21" x14ac:dyDescent="0.2">
      <c r="C138" s="484"/>
      <c r="D138" s="608">
        <f t="shared" si="64"/>
        <v>2015</v>
      </c>
      <c r="E138" s="536"/>
      <c r="F138" s="536"/>
      <c r="G138" s="580">
        <f t="shared" si="65"/>
        <v>1.2790780985587871</v>
      </c>
      <c r="H138" s="536"/>
      <c r="I138" s="585"/>
      <c r="J138" s="484"/>
      <c r="K138" s="570">
        <f t="shared" si="66"/>
        <v>2015</v>
      </c>
      <c r="L138" s="560" t="str">
        <f t="shared" si="67"/>
        <v/>
      </c>
      <c r="M138" s="560" t="str">
        <f t="shared" si="67"/>
        <v/>
      </c>
      <c r="N138" s="536"/>
      <c r="O138" s="588"/>
      <c r="P138" s="484"/>
      <c r="Q138" s="570">
        <f t="shared" si="68"/>
        <v>2015</v>
      </c>
      <c r="R138" s="581" t="str">
        <f t="shared" si="69"/>
        <v/>
      </c>
      <c r="S138" s="581" t="str">
        <f t="shared" si="69"/>
        <v/>
      </c>
      <c r="T138" s="536"/>
      <c r="U138" s="531"/>
    </row>
    <row r="139" spans="3:21" x14ac:dyDescent="0.2">
      <c r="C139" s="484"/>
      <c r="D139" s="572">
        <f t="shared" si="64"/>
        <v>2016</v>
      </c>
      <c r="E139" s="536"/>
      <c r="F139" s="536"/>
      <c r="G139" s="580">
        <f t="shared" si="65"/>
        <v>2.77246895618668E-2</v>
      </c>
      <c r="H139" s="536"/>
      <c r="I139" s="585"/>
      <c r="J139" s="484"/>
      <c r="K139" s="570">
        <f t="shared" si="66"/>
        <v>2016</v>
      </c>
      <c r="L139" s="560" t="str">
        <f t="shared" si="67"/>
        <v/>
      </c>
      <c r="M139" s="560" t="str">
        <f t="shared" si="67"/>
        <v/>
      </c>
      <c r="N139" s="536"/>
      <c r="O139" s="588"/>
      <c r="P139" s="484"/>
      <c r="Q139" s="570">
        <f t="shared" si="68"/>
        <v>2016</v>
      </c>
      <c r="R139" s="581" t="str">
        <f t="shared" si="69"/>
        <v/>
      </c>
      <c r="S139" s="581" t="str">
        <f t="shared" si="69"/>
        <v/>
      </c>
      <c r="T139" s="536"/>
      <c r="U139" s="531"/>
    </row>
    <row r="140" spans="3:21" x14ac:dyDescent="0.2">
      <c r="C140" s="484"/>
      <c r="D140" s="572">
        <f t="shared" si="64"/>
        <v>2017</v>
      </c>
      <c r="E140" s="536"/>
      <c r="F140" s="536"/>
      <c r="G140" s="580">
        <f t="shared" si="65"/>
        <v>-1.5357960264443138E-2</v>
      </c>
      <c r="H140" s="536"/>
      <c r="I140" s="585"/>
      <c r="J140" s="484"/>
      <c r="K140" s="570">
        <f t="shared" si="66"/>
        <v>2017</v>
      </c>
      <c r="L140" s="560" t="str">
        <f t="shared" ref="L140:M142" si="70">IF(L130=0,"",L131/L130-1)</f>
        <v/>
      </c>
      <c r="M140" s="560" t="str">
        <f t="shared" si="70"/>
        <v/>
      </c>
      <c r="N140" s="536"/>
      <c r="O140" s="588"/>
      <c r="P140" s="484"/>
      <c r="Q140" s="570">
        <f t="shared" si="68"/>
        <v>2017</v>
      </c>
      <c r="R140" s="581" t="str">
        <f t="shared" ref="R140:S142" si="71">IF(R130="","",IF(R130=0,"",R131/R130-1))</f>
        <v/>
      </c>
      <c r="S140" s="581" t="str">
        <f t="shared" si="71"/>
        <v/>
      </c>
      <c r="T140" s="536"/>
      <c r="U140" s="531"/>
    </row>
    <row r="141" spans="3:21" x14ac:dyDescent="0.2">
      <c r="C141" s="484"/>
      <c r="D141" s="572">
        <f t="shared" si="64"/>
        <v>2018</v>
      </c>
      <c r="E141" s="536"/>
      <c r="F141" s="536"/>
      <c r="G141" s="580">
        <f t="shared" si="65"/>
        <v>3.1500638763750199E-2</v>
      </c>
      <c r="H141" s="536"/>
      <c r="I141" s="585"/>
      <c r="J141" s="484"/>
      <c r="K141" s="570">
        <f t="shared" si="66"/>
        <v>2018</v>
      </c>
      <c r="L141" s="560" t="str">
        <f>IF(K132="Forecast","",IF(L131=0,"",L132/L131-1))</f>
        <v/>
      </c>
      <c r="M141" s="560" t="str">
        <f t="shared" si="70"/>
        <v/>
      </c>
      <c r="N141" s="536"/>
      <c r="O141" s="588"/>
      <c r="P141" s="484"/>
      <c r="Q141" s="570">
        <f t="shared" si="68"/>
        <v>2018</v>
      </c>
      <c r="R141" s="581" t="str">
        <f>IF(Q132="Forecast","",IF(R131=0,"",R132/R131-1))</f>
        <v/>
      </c>
      <c r="S141" s="581" t="str">
        <f t="shared" si="71"/>
        <v/>
      </c>
      <c r="T141" s="536"/>
      <c r="U141" s="531"/>
    </row>
    <row r="142" spans="3:21" x14ac:dyDescent="0.2">
      <c r="C142" s="484"/>
      <c r="D142" s="608">
        <f t="shared" si="64"/>
        <v>2019</v>
      </c>
      <c r="E142" s="536"/>
      <c r="F142" s="536"/>
      <c r="G142" s="580">
        <f t="shared" si="65"/>
        <v>5.2303005282846815E-2</v>
      </c>
      <c r="H142" s="536"/>
      <c r="I142" s="586">
        <f>IF(I134=0,"",G133/I134-1)</f>
        <v>0.19734760898034454</v>
      </c>
      <c r="J142" s="484"/>
      <c r="K142" s="570">
        <f t="shared" si="66"/>
        <v>2019</v>
      </c>
      <c r="L142" s="560" t="str">
        <f>IF(K133="Forecast","",IF(L132=0,"",L133/L132-1))</f>
        <v/>
      </c>
      <c r="M142" s="560" t="str">
        <f t="shared" si="70"/>
        <v/>
      </c>
      <c r="N142" s="536"/>
      <c r="O142" s="589" t="str">
        <f>IF(O134=0,"",M133/O134-1)</f>
        <v/>
      </c>
      <c r="P142" s="484"/>
      <c r="Q142" s="570">
        <f t="shared" si="68"/>
        <v>2019</v>
      </c>
      <c r="R142" s="581" t="str">
        <f>IF(Q133="Forecast","",IF(R132=0,"",R133/R132-1))</f>
        <v/>
      </c>
      <c r="S142" s="581" t="str">
        <f t="shared" si="71"/>
        <v/>
      </c>
      <c r="T142" s="536"/>
      <c r="U142" s="561" t="str">
        <f>IF(U134=0,"",S133/U134-1)</f>
        <v/>
      </c>
    </row>
    <row r="143" spans="3:21" ht="26.25" thickBot="1" x14ac:dyDescent="0.25">
      <c r="C143" s="488"/>
      <c r="D143" s="612" t="s">
        <v>1026</v>
      </c>
      <c r="E143" s="562"/>
      <c r="F143" s="562"/>
      <c r="G143" s="582">
        <f>IF(G127=0,"",(G133/G127)^(1/($D133-$D127-1))-1)</f>
        <v>-1.2160418901163705E-2</v>
      </c>
      <c r="H143" s="562"/>
      <c r="I143" s="578">
        <f>IF(I134=0,"",(G133/I134)^(1/(TestYear-RebaseYear-1))-1)</f>
        <v>4.6056308217911957E-2</v>
      </c>
      <c r="J143" s="484"/>
      <c r="K143" s="611" t="str">
        <f t="shared" si="66"/>
        <v>Geometric Mean</v>
      </c>
      <c r="L143" s="565" t="str">
        <f>IF(L127=0,"",(L131/L127)^(1/($D131-$D127-1))-1)</f>
        <v/>
      </c>
      <c r="M143" s="565" t="str">
        <f>IF(M127=0,"",(M133/M127)^(1/($D133-$D127-1))-1)</f>
        <v/>
      </c>
      <c r="N143" s="562"/>
      <c r="O143" s="578" t="str">
        <f>IF(O134=0,"",(M133/O134)^(1/(TestYear-RebaseYear-1))-1)</f>
        <v/>
      </c>
      <c r="P143" s="488"/>
      <c r="Q143" s="611" t="str">
        <f t="shared" si="68"/>
        <v>Geometric Mean</v>
      </c>
      <c r="R143" s="583" t="str">
        <f>IF(R127="","",IF(R127=0,"",(R131/R127)^(1/($D131-$D127-1))-1))</f>
        <v/>
      </c>
      <c r="S143" s="565" t="str">
        <f>IF(S127="","",IF(S127=0,"",(S133/S127)^(1/($D133-$D127-1))-1))</f>
        <v/>
      </c>
      <c r="T143" s="562"/>
      <c r="U143" s="578" t="str">
        <f>IF(U134=0,"",(S133/U134)^(1/(TestYear-RebaseYear-1))-1)</f>
        <v/>
      </c>
    </row>
    <row r="144" spans="3:21" ht="13.5" thickBot="1" x14ac:dyDescent="0.25"/>
    <row r="145" spans="2:22" ht="13.5" thickBot="1" x14ac:dyDescent="0.25">
      <c r="B145" s="525">
        <v>3</v>
      </c>
      <c r="C145" s="3" t="s">
        <v>9</v>
      </c>
      <c r="D145" s="1947" t="s">
        <v>1041</v>
      </c>
      <c r="E145" s="1948"/>
      <c r="F145" s="1949"/>
      <c r="G145" s="499"/>
      <c r="H145" s="9" t="s">
        <v>1029</v>
      </c>
      <c r="N145" s="524" t="s">
        <v>71</v>
      </c>
      <c r="O145" s="523"/>
      <c r="P145" s="523"/>
      <c r="Q145" s="523"/>
      <c r="R145" s="523"/>
      <c r="S145" s="523"/>
      <c r="T145" s="523"/>
      <c r="U145" s="523"/>
    </row>
    <row r="146" spans="2:22" ht="13.5" thickBot="1" x14ac:dyDescent="0.25">
      <c r="Q146" s="562"/>
      <c r="R146" s="562"/>
      <c r="S146" s="562"/>
      <c r="T146" s="562"/>
      <c r="U146" s="562"/>
    </row>
    <row r="147" spans="2:22" ht="12.75" customHeight="1" x14ac:dyDescent="0.2">
      <c r="C147" s="483"/>
      <c r="D147" s="487" t="s">
        <v>1011</v>
      </c>
      <c r="E147" s="487"/>
      <c r="F147" s="1950" t="s">
        <v>945</v>
      </c>
      <c r="G147" s="1951"/>
      <c r="H147" s="1951"/>
      <c r="I147" s="1952"/>
      <c r="J147" s="487"/>
      <c r="K147" s="1941" t="s">
        <v>1018</v>
      </c>
      <c r="L147" s="1942"/>
      <c r="M147" s="1942"/>
      <c r="N147" s="1942"/>
      <c r="O147" s="1943"/>
      <c r="P147" s="495"/>
      <c r="Q147" s="1944" t="str">
        <f>CONCATENATE("Consumption (kWh) per ",LEFT(F147,LEN(F147)-1))</f>
        <v>Consumption (kWh) per Customer</v>
      </c>
      <c r="R147" s="1945"/>
      <c r="S147" s="1945"/>
      <c r="T147" s="1945"/>
      <c r="U147" s="1946"/>
      <c r="V147" s="515"/>
    </row>
    <row r="148" spans="2:22" ht="39" thickBot="1" x14ac:dyDescent="0.25">
      <c r="C148" s="488"/>
      <c r="D148" s="490" t="str">
        <f>CONCATENATE("(for ",TestYear," Cost of Service")</f>
        <v>(for 2019 Cost of Service</v>
      </c>
      <c r="E148" s="485"/>
      <c r="F148" s="1934"/>
      <c r="G148" s="1935"/>
      <c r="H148" s="1937"/>
      <c r="I148" s="504"/>
      <c r="J148" s="485"/>
      <c r="K148" s="494"/>
      <c r="L148" s="628" t="s">
        <v>1031</v>
      </c>
      <c r="M148" s="628" t="s">
        <v>1015</v>
      </c>
      <c r="N148" s="512"/>
      <c r="O148" s="513" t="s">
        <v>1015</v>
      </c>
      <c r="P148" s="485"/>
      <c r="Q148" s="596"/>
      <c r="R148" s="597" t="str">
        <f>L148</f>
        <v>Actual (Weather actual)</v>
      </c>
      <c r="S148" s="598" t="str">
        <f>M148</f>
        <v>Weather-normalized</v>
      </c>
      <c r="T148" s="598"/>
      <c r="U148" s="599" t="str">
        <f>O148</f>
        <v>Weather-normalized</v>
      </c>
      <c r="V148" s="515"/>
    </row>
    <row r="149" spans="2:22" x14ac:dyDescent="0.2">
      <c r="C149" s="485" t="s">
        <v>830</v>
      </c>
      <c r="D149" s="570">
        <f t="shared" ref="D149:D154" si="72">D150-1</f>
        <v>2013</v>
      </c>
      <c r="E149" s="484"/>
      <c r="F149" s="520" t="str">
        <f>F106</f>
        <v>Actual</v>
      </c>
      <c r="G149" s="1541">
        <v>117.875</v>
      </c>
      <c r="H149" s="566" t="str">
        <f t="shared" ref="H149:H155" si="73">IF(D149=RebaseYear,"Board-approved","")</f>
        <v/>
      </c>
      <c r="I149" s="531"/>
      <c r="J149" s="484"/>
      <c r="K149" s="1544" t="str">
        <f>F149</f>
        <v>Actual</v>
      </c>
      <c r="L149" s="1540">
        <v>77896093.379999995</v>
      </c>
      <c r="M149" s="1541">
        <v>77896093.379999995</v>
      </c>
      <c r="N149" s="1546" t="str">
        <f>H149</f>
        <v/>
      </c>
      <c r="O149" s="590"/>
      <c r="P149" s="484"/>
      <c r="Q149" s="592" t="str">
        <f>K149</f>
        <v>Actual</v>
      </c>
      <c r="R149" s="594">
        <f>IF(G149=0,"",L149/G149)</f>
        <v>660836.42316012725</v>
      </c>
      <c r="S149" s="536">
        <f>IF(G149=0,"",M149/G149)</f>
        <v>660836.42316012725</v>
      </c>
      <c r="T149" s="536" t="str">
        <f>N149</f>
        <v/>
      </c>
      <c r="U149" s="536" t="str">
        <f>IF(T149="","",IF(I149=0,"",O149/I149))</f>
        <v/>
      </c>
      <c r="V149" s="516"/>
    </row>
    <row r="150" spans="2:22" x14ac:dyDescent="0.2">
      <c r="C150" s="485" t="s">
        <v>830</v>
      </c>
      <c r="D150" s="570">
        <f t="shared" si="72"/>
        <v>2014</v>
      </c>
      <c r="E150" s="484"/>
      <c r="F150" s="521" t="str">
        <f t="shared" ref="F150:F155" si="74">F107</f>
        <v>Actual</v>
      </c>
      <c r="G150" s="508">
        <v>129.375</v>
      </c>
      <c r="H150" s="505" t="str">
        <f t="shared" si="73"/>
        <v>Board-approved</v>
      </c>
      <c r="I150" s="508">
        <v>124.9118320241175</v>
      </c>
      <c r="J150" s="484"/>
      <c r="K150" s="1544" t="str">
        <f t="shared" ref="K150:K155" si="75">F150</f>
        <v>Actual</v>
      </c>
      <c r="L150" s="1542">
        <v>80076898.530000001</v>
      </c>
      <c r="M150" s="508">
        <v>80076898.530000001</v>
      </c>
      <c r="N150" s="481" t="str">
        <f t="shared" ref="N150:N155" si="76">H150</f>
        <v>Board-approved</v>
      </c>
      <c r="O150" s="531"/>
      <c r="P150" s="484"/>
      <c r="Q150" s="592" t="str">
        <f t="shared" ref="Q150:Q155" si="77">K150</f>
        <v>Actual</v>
      </c>
      <c r="R150" s="594">
        <f t="shared" ref="R150:R155" si="78">IF(G150=0,"",L150/G150)</f>
        <v>618951.87269565219</v>
      </c>
      <c r="S150" s="536">
        <f t="shared" ref="S150:S155" si="79">IF(G150=0,"",M150/G150)</f>
        <v>618951.87269565219</v>
      </c>
      <c r="T150" s="536" t="str">
        <f t="shared" ref="T150:T155" si="80">N150</f>
        <v>Board-approved</v>
      </c>
      <c r="U150" s="536">
        <f t="shared" ref="U150:U155" si="81">IF(T150="","",IF(I150=0,"",O150/I150))</f>
        <v>0</v>
      </c>
      <c r="V150" s="516"/>
    </row>
    <row r="151" spans="2:22" x14ac:dyDescent="0.2">
      <c r="C151" s="485" t="s">
        <v>830</v>
      </c>
      <c r="D151" s="570">
        <f t="shared" si="72"/>
        <v>2015</v>
      </c>
      <c r="E151" s="484"/>
      <c r="F151" s="521" t="str">
        <f t="shared" si="74"/>
        <v>Actual</v>
      </c>
      <c r="G151" s="508">
        <v>128</v>
      </c>
      <c r="H151" s="505" t="str">
        <f t="shared" si="73"/>
        <v/>
      </c>
      <c r="I151" s="532"/>
      <c r="J151" s="484"/>
      <c r="K151" s="1544" t="str">
        <f t="shared" si="75"/>
        <v>Actual</v>
      </c>
      <c r="L151" s="1542">
        <v>81848511.329999983</v>
      </c>
      <c r="M151" s="508">
        <v>81848511.329999983</v>
      </c>
      <c r="N151" s="481" t="str">
        <f t="shared" si="76"/>
        <v/>
      </c>
      <c r="O151" s="532"/>
      <c r="P151" s="484"/>
      <c r="Q151" s="592" t="str">
        <f t="shared" si="77"/>
        <v>Actual</v>
      </c>
      <c r="R151" s="594">
        <f t="shared" si="78"/>
        <v>639441.49476562487</v>
      </c>
      <c r="S151" s="536">
        <f t="shared" si="79"/>
        <v>639441.49476562487</v>
      </c>
      <c r="T151" s="536" t="str">
        <f t="shared" si="80"/>
        <v/>
      </c>
      <c r="U151" s="536" t="str">
        <f t="shared" si="81"/>
        <v/>
      </c>
      <c r="V151" s="516"/>
    </row>
    <row r="152" spans="2:22" x14ac:dyDescent="0.2">
      <c r="C152" s="485" t="s">
        <v>830</v>
      </c>
      <c r="D152" s="570">
        <f t="shared" si="72"/>
        <v>2016</v>
      </c>
      <c r="E152" s="484"/>
      <c r="F152" s="521" t="str">
        <f t="shared" si="74"/>
        <v>Actual</v>
      </c>
      <c r="G152" s="508">
        <v>121.5</v>
      </c>
      <c r="H152" s="505" t="str">
        <f t="shared" si="73"/>
        <v/>
      </c>
      <c r="I152" s="531"/>
      <c r="J152" s="484"/>
      <c r="K152" s="1544" t="str">
        <f t="shared" si="75"/>
        <v>Actual</v>
      </c>
      <c r="L152" s="1542">
        <v>83681623.590000004</v>
      </c>
      <c r="M152" s="508">
        <v>83681623.590000004</v>
      </c>
      <c r="N152" s="481" t="str">
        <f t="shared" si="76"/>
        <v/>
      </c>
      <c r="O152" s="531"/>
      <c r="P152" s="484"/>
      <c r="Q152" s="592" t="str">
        <f t="shared" si="77"/>
        <v>Actual</v>
      </c>
      <c r="R152" s="594">
        <f t="shared" si="78"/>
        <v>688737.64271604945</v>
      </c>
      <c r="S152" s="536">
        <f t="shared" si="79"/>
        <v>688737.64271604945</v>
      </c>
      <c r="T152" s="536" t="str">
        <f t="shared" si="80"/>
        <v/>
      </c>
      <c r="U152" s="536" t="str">
        <f t="shared" si="81"/>
        <v/>
      </c>
      <c r="V152" s="516"/>
    </row>
    <row r="153" spans="2:22" x14ac:dyDescent="0.2">
      <c r="C153" s="485" t="s">
        <v>830</v>
      </c>
      <c r="D153" s="570">
        <f t="shared" si="72"/>
        <v>2017</v>
      </c>
      <c r="E153" s="484"/>
      <c r="F153" s="521" t="str">
        <f t="shared" si="74"/>
        <v>Actual</v>
      </c>
      <c r="G153" s="508">
        <v>128.95833333333334</v>
      </c>
      <c r="H153" s="505" t="str">
        <f t="shared" si="73"/>
        <v/>
      </c>
      <c r="I153" s="531"/>
      <c r="J153" s="484"/>
      <c r="K153" s="1544" t="str">
        <f t="shared" si="75"/>
        <v>Actual</v>
      </c>
      <c r="L153" s="1542">
        <v>84099297.00999999</v>
      </c>
      <c r="M153" s="508">
        <v>84099297.00999999</v>
      </c>
      <c r="N153" s="481" t="str">
        <f t="shared" si="76"/>
        <v/>
      </c>
      <c r="O153" s="531"/>
      <c r="P153" s="484"/>
      <c r="Q153" s="592" t="str">
        <f t="shared" si="77"/>
        <v>Actual</v>
      </c>
      <c r="R153" s="594">
        <f t="shared" si="78"/>
        <v>652143.17552180926</v>
      </c>
      <c r="S153" s="536">
        <f t="shared" si="79"/>
        <v>652143.17552180926</v>
      </c>
      <c r="T153" s="536" t="str">
        <f t="shared" si="80"/>
        <v/>
      </c>
      <c r="U153" s="536" t="str">
        <f t="shared" si="81"/>
        <v/>
      </c>
      <c r="V153" s="516"/>
    </row>
    <row r="154" spans="2:22" x14ac:dyDescent="0.2">
      <c r="C154" s="485" t="s">
        <v>289</v>
      </c>
      <c r="D154" s="570">
        <f t="shared" si="72"/>
        <v>2018</v>
      </c>
      <c r="E154" s="484"/>
      <c r="F154" s="521" t="str">
        <f t="shared" si="74"/>
        <v>Forecast</v>
      </c>
      <c r="G154" s="508">
        <v>130.50755221180745</v>
      </c>
      <c r="H154" s="505" t="str">
        <f t="shared" si="73"/>
        <v/>
      </c>
      <c r="I154" s="531"/>
      <c r="J154" s="484"/>
      <c r="K154" s="1544" t="str">
        <f t="shared" si="75"/>
        <v>Forecast</v>
      </c>
      <c r="L154" s="1553"/>
      <c r="M154" s="508">
        <v>85961669.378012925</v>
      </c>
      <c r="N154" s="481" t="str">
        <f t="shared" si="76"/>
        <v/>
      </c>
      <c r="O154" s="531"/>
      <c r="P154" s="484"/>
      <c r="Q154" s="592" t="str">
        <f t="shared" si="77"/>
        <v>Forecast</v>
      </c>
      <c r="R154" s="594">
        <f t="shared" si="78"/>
        <v>0</v>
      </c>
      <c r="S154" s="536">
        <f t="shared" si="79"/>
        <v>658671.99193577154</v>
      </c>
      <c r="T154" s="536" t="str">
        <f t="shared" si="80"/>
        <v/>
      </c>
      <c r="U154" s="536" t="str">
        <f t="shared" si="81"/>
        <v/>
      </c>
      <c r="V154" s="516"/>
    </row>
    <row r="155" spans="2:22" ht="13.5" thickBot="1" x14ac:dyDescent="0.25">
      <c r="C155" s="486" t="s">
        <v>290</v>
      </c>
      <c r="D155" s="571">
        <f>TestYear</f>
        <v>2019</v>
      </c>
      <c r="E155" s="488"/>
      <c r="F155" s="522" t="str">
        <f t="shared" si="74"/>
        <v>Forecast</v>
      </c>
      <c r="G155" s="509">
        <v>131</v>
      </c>
      <c r="H155" s="506" t="str">
        <f t="shared" si="73"/>
        <v/>
      </c>
      <c r="I155" s="533"/>
      <c r="J155" s="488"/>
      <c r="K155" s="1545" t="str">
        <f t="shared" si="75"/>
        <v>Forecast</v>
      </c>
      <c r="L155" s="1554"/>
      <c r="M155" s="509">
        <v>84345116.302129641</v>
      </c>
      <c r="N155" s="482" t="str">
        <f t="shared" si="76"/>
        <v/>
      </c>
      <c r="O155" s="533"/>
      <c r="P155" s="488"/>
      <c r="Q155" s="593" t="str">
        <f t="shared" si="77"/>
        <v>Forecast</v>
      </c>
      <c r="R155" s="595">
        <f t="shared" si="78"/>
        <v>0</v>
      </c>
      <c r="S155" s="562">
        <f t="shared" si="79"/>
        <v>643855.8496345774</v>
      </c>
      <c r="T155" s="562" t="str">
        <f t="shared" si="80"/>
        <v/>
      </c>
      <c r="U155" s="562" t="str">
        <f t="shared" si="81"/>
        <v/>
      </c>
      <c r="V155" s="516"/>
    </row>
    <row r="156" spans="2:22" ht="13.5" thickBot="1" x14ac:dyDescent="0.25">
      <c r="B156" s="536"/>
      <c r="C156" s="573"/>
      <c r="I156" s="615">
        <f>SUM(I149:I154)</f>
        <v>124.9118320241175</v>
      </c>
      <c r="O156" s="615">
        <f>SUM(O149:O154)</f>
        <v>0</v>
      </c>
      <c r="U156" s="615">
        <f>SUM(U149:U154)</f>
        <v>0</v>
      </c>
    </row>
    <row r="157" spans="2:22" ht="39" thickBot="1" x14ac:dyDescent="0.25">
      <c r="C157" s="607" t="s">
        <v>885</v>
      </c>
      <c r="D157" s="606" t="s">
        <v>10</v>
      </c>
      <c r="E157" s="568"/>
      <c r="F157" s="568"/>
      <c r="G157" s="630" t="s">
        <v>1027</v>
      </c>
      <c r="H157" s="568"/>
      <c r="I157" s="601" t="s">
        <v>1040</v>
      </c>
      <c r="J157" s="603"/>
      <c r="K157" s="602" t="s">
        <v>10</v>
      </c>
      <c r="L157" s="1936" t="s">
        <v>1027</v>
      </c>
      <c r="M157" s="1936"/>
      <c r="N157" s="568"/>
      <c r="O157" s="601" t="str">
        <f>I157</f>
        <v>Test Year Versus Board-approved</v>
      </c>
      <c r="P157" s="604"/>
      <c r="Q157" s="602" t="s">
        <v>10</v>
      </c>
      <c r="R157" s="1936" t="s">
        <v>1027</v>
      </c>
      <c r="S157" s="1936"/>
      <c r="T157" s="568"/>
      <c r="U157" s="601" t="str">
        <f>O157</f>
        <v>Test Year Versus Board-approved</v>
      </c>
    </row>
    <row r="158" spans="2:22" x14ac:dyDescent="0.2">
      <c r="C158" s="484"/>
      <c r="D158" s="584">
        <f t="shared" ref="D158:D164" si="82">D149</f>
        <v>2013</v>
      </c>
      <c r="E158" s="536"/>
      <c r="F158" s="536"/>
      <c r="G158" s="579"/>
      <c r="H158" s="536"/>
      <c r="I158" s="585"/>
      <c r="J158" s="591"/>
      <c r="K158" s="570">
        <f>D158</f>
        <v>2013</v>
      </c>
      <c r="L158" s="558"/>
      <c r="M158" s="558"/>
      <c r="N158" s="536"/>
      <c r="O158" s="531"/>
      <c r="P158" s="484"/>
      <c r="Q158" s="570">
        <f>K158</f>
        <v>2013</v>
      </c>
      <c r="R158" s="537"/>
      <c r="S158" s="537"/>
      <c r="T158" s="536"/>
      <c r="U158" s="531"/>
    </row>
    <row r="159" spans="2:22" x14ac:dyDescent="0.2">
      <c r="C159" s="484"/>
      <c r="D159" s="572">
        <f t="shared" si="82"/>
        <v>2014</v>
      </c>
      <c r="E159" s="536"/>
      <c r="F159" s="536"/>
      <c r="G159" s="580">
        <f t="shared" ref="G159:G164" si="83">IF(G149=0,"",G150/G149-1)</f>
        <v>9.7560975609756184E-2</v>
      </c>
      <c r="H159" s="536"/>
      <c r="I159" s="585"/>
      <c r="J159" s="591"/>
      <c r="K159" s="570">
        <f t="shared" ref="K159:K165" si="84">D159</f>
        <v>2014</v>
      </c>
      <c r="L159" s="560">
        <f t="shared" ref="L159:M162" si="85">IF(L149=0,"",L150/L149-1)</f>
        <v>2.7996335315063847E-2</v>
      </c>
      <c r="M159" s="560">
        <f t="shared" si="85"/>
        <v>2.7996335315063847E-2</v>
      </c>
      <c r="N159" s="536"/>
      <c r="O159" s="531"/>
      <c r="P159" s="484"/>
      <c r="Q159" s="570">
        <f t="shared" ref="Q159:Q165" si="86">K159</f>
        <v>2014</v>
      </c>
      <c r="R159" s="581">
        <f t="shared" ref="R159:S162" si="87">IF(R149="","",IF(R149=0,"",R150/R149-1))</f>
        <v>-6.3381116712941887E-2</v>
      </c>
      <c r="S159" s="581">
        <f t="shared" si="87"/>
        <v>-6.3381116712941887E-2</v>
      </c>
      <c r="T159" s="536"/>
      <c r="U159" s="531"/>
    </row>
    <row r="160" spans="2:22" x14ac:dyDescent="0.2">
      <c r="C160" s="484"/>
      <c r="D160" s="572">
        <f t="shared" si="82"/>
        <v>2015</v>
      </c>
      <c r="E160" s="536"/>
      <c r="F160" s="536"/>
      <c r="G160" s="580">
        <f t="shared" si="83"/>
        <v>-1.0628019323671523E-2</v>
      </c>
      <c r="H160" s="536"/>
      <c r="I160" s="585"/>
      <c r="J160" s="591"/>
      <c r="K160" s="570">
        <f t="shared" si="84"/>
        <v>2015</v>
      </c>
      <c r="L160" s="560">
        <f t="shared" si="85"/>
        <v>2.2123893813597917E-2</v>
      </c>
      <c r="M160" s="560">
        <f t="shared" si="85"/>
        <v>2.2123893813597917E-2</v>
      </c>
      <c r="N160" s="536"/>
      <c r="O160" s="531"/>
      <c r="P160" s="484"/>
      <c r="Q160" s="570">
        <f t="shared" si="86"/>
        <v>2015</v>
      </c>
      <c r="R160" s="581">
        <f t="shared" si="87"/>
        <v>3.3103740329173847E-2</v>
      </c>
      <c r="S160" s="581">
        <f t="shared" si="87"/>
        <v>3.3103740329173847E-2</v>
      </c>
      <c r="T160" s="536"/>
      <c r="U160" s="531"/>
    </row>
    <row r="161" spans="3:21" x14ac:dyDescent="0.2">
      <c r="C161" s="484"/>
      <c r="D161" s="572">
        <f t="shared" si="82"/>
        <v>2016</v>
      </c>
      <c r="E161" s="536"/>
      <c r="F161" s="536"/>
      <c r="G161" s="580">
        <f t="shared" si="83"/>
        <v>-5.078125E-2</v>
      </c>
      <c r="H161" s="536"/>
      <c r="I161" s="585"/>
      <c r="J161" s="591"/>
      <c r="K161" s="570">
        <f t="shared" si="84"/>
        <v>2016</v>
      </c>
      <c r="L161" s="560">
        <f t="shared" si="85"/>
        <v>2.2396403186970781E-2</v>
      </c>
      <c r="M161" s="560">
        <f t="shared" si="85"/>
        <v>2.2396403186970781E-2</v>
      </c>
      <c r="N161" s="536"/>
      <c r="O161" s="531"/>
      <c r="P161" s="484"/>
      <c r="Q161" s="570">
        <f t="shared" si="86"/>
        <v>2016</v>
      </c>
      <c r="R161" s="581">
        <f t="shared" si="87"/>
        <v>7.7092507061170767E-2</v>
      </c>
      <c r="S161" s="581">
        <f t="shared" si="87"/>
        <v>7.7092507061170767E-2</v>
      </c>
      <c r="T161" s="536"/>
      <c r="U161" s="531"/>
    </row>
    <row r="162" spans="3:21" x14ac:dyDescent="0.2">
      <c r="C162" s="484"/>
      <c r="D162" s="572">
        <f t="shared" si="82"/>
        <v>2017</v>
      </c>
      <c r="E162" s="536"/>
      <c r="F162" s="536"/>
      <c r="G162" s="580">
        <f t="shared" si="83"/>
        <v>6.1385459533607856E-2</v>
      </c>
      <c r="H162" s="536"/>
      <c r="I162" s="585"/>
      <c r="J162" s="591"/>
      <c r="K162" s="570">
        <f t="shared" si="84"/>
        <v>2017</v>
      </c>
      <c r="L162" s="560">
        <f t="shared" si="85"/>
        <v>4.9912203191275761E-3</v>
      </c>
      <c r="M162" s="560">
        <f t="shared" si="85"/>
        <v>4.9912203191275761E-3</v>
      </c>
      <c r="N162" s="536"/>
      <c r="O162" s="531"/>
      <c r="P162" s="484"/>
      <c r="Q162" s="570">
        <f t="shared" si="86"/>
        <v>2017</v>
      </c>
      <c r="R162" s="581">
        <f t="shared" si="87"/>
        <v>-5.3132666090282554E-2</v>
      </c>
      <c r="S162" s="581">
        <f t="shared" si="87"/>
        <v>-5.3132666090282554E-2</v>
      </c>
      <c r="T162" s="536"/>
      <c r="U162" s="531"/>
    </row>
    <row r="163" spans="3:21" x14ac:dyDescent="0.2">
      <c r="C163" s="484"/>
      <c r="D163" s="572">
        <f t="shared" si="82"/>
        <v>2018</v>
      </c>
      <c r="E163" s="536"/>
      <c r="F163" s="536"/>
      <c r="G163" s="580">
        <f t="shared" si="83"/>
        <v>1.2013328944548762E-2</v>
      </c>
      <c r="H163" s="536"/>
      <c r="I163" s="585"/>
      <c r="J163" s="591"/>
      <c r="K163" s="570">
        <f t="shared" si="84"/>
        <v>2018</v>
      </c>
      <c r="L163" s="560" t="str">
        <f>IF(K154="Forecast","",IF(L153=0,"",L154/L153-1))</f>
        <v/>
      </c>
      <c r="M163" s="560">
        <f>IF(M153=0,"",M154/M153-1)</f>
        <v>2.2144921946154694E-2</v>
      </c>
      <c r="N163" s="536"/>
      <c r="O163" s="531"/>
      <c r="P163" s="484"/>
      <c r="Q163" s="570">
        <f t="shared" si="86"/>
        <v>2018</v>
      </c>
      <c r="R163" s="581" t="str">
        <f>IF(Q154="Forecast","",IF(R153=0,"",R154/R153-1))</f>
        <v/>
      </c>
      <c r="S163" s="581">
        <f>IF(S153="","",IF(S153=0,"",S154/S153-1))</f>
        <v>1.0011323677102446E-2</v>
      </c>
      <c r="T163" s="536"/>
      <c r="U163" s="531"/>
    </row>
    <row r="164" spans="3:21" x14ac:dyDescent="0.2">
      <c r="C164" s="484"/>
      <c r="D164" s="572">
        <f t="shared" si="82"/>
        <v>2019</v>
      </c>
      <c r="E164" s="536"/>
      <c r="F164" s="536"/>
      <c r="G164" s="580">
        <f t="shared" si="83"/>
        <v>3.7733279020766286E-3</v>
      </c>
      <c r="H164" s="536"/>
      <c r="I164" s="586">
        <f>IF(I156=0,"",G155/I156-1)</f>
        <v>4.873972206817867E-2</v>
      </c>
      <c r="J164" s="591"/>
      <c r="K164" s="570">
        <f t="shared" si="84"/>
        <v>2019</v>
      </c>
      <c r="L164" s="560" t="str">
        <f>IF(K155="Forecast","",IF(L154=0,"",L155/L154-1))</f>
        <v/>
      </c>
      <c r="M164" s="560">
        <f>IF(M154=0,"",M155/M154-1)</f>
        <v>-1.8805510497644673E-2</v>
      </c>
      <c r="N164" s="536"/>
      <c r="O164" s="561" t="str">
        <f>IF(O156=0,"",M155/O156-1)</f>
        <v/>
      </c>
      <c r="P164" s="484"/>
      <c r="Q164" s="570">
        <f t="shared" si="86"/>
        <v>2019</v>
      </c>
      <c r="R164" s="581" t="str">
        <f>IF(Q155="Forecast","",IF(R154=0,"",R155/R154-1))</f>
        <v/>
      </c>
      <c r="S164" s="581">
        <f>IF(S154="","",IF(S154=0,"",S155/S154-1))</f>
        <v>-2.2493961307890054E-2</v>
      </c>
      <c r="T164" s="536"/>
      <c r="U164" s="561" t="str">
        <f>IF(U156=0,"",S155/U156-1)</f>
        <v/>
      </c>
    </row>
    <row r="165" spans="3:21" ht="26.25" thickBot="1" x14ac:dyDescent="0.25">
      <c r="C165" s="488"/>
      <c r="D165" s="612" t="s">
        <v>1026</v>
      </c>
      <c r="E165" s="562"/>
      <c r="F165" s="562"/>
      <c r="G165" s="582">
        <f>IF(G149=0,"",(G155/G149)^(1/($D155-$D149-1))-1)</f>
        <v>2.1339005057456895E-2</v>
      </c>
      <c r="H165" s="562"/>
      <c r="I165" s="613">
        <f>IF(I156=0,"",(G155/I156)^(1/(TestYear-RebaseYear-1))-1)</f>
        <v>1.1968348959513486E-2</v>
      </c>
      <c r="J165" s="567"/>
      <c r="K165" s="611" t="str">
        <f t="shared" si="84"/>
        <v>Geometric Mean</v>
      </c>
      <c r="L165" s="565">
        <f>IF(L149=0,"",(L153/L149)^(1/($D153-$D149-1))-1)</f>
        <v>2.5869762788043316E-2</v>
      </c>
      <c r="M165" s="565">
        <f>IF(M149=0,"",(M155/M149)^(1/($D155-$D149-1))-1)</f>
        <v>1.6035430785602323E-2</v>
      </c>
      <c r="N165" s="562"/>
      <c r="O165" s="578" t="str">
        <f>IF(O156=0,"",(M155/O156)^(1/(TestYear-RebaseYear-1))-1)</f>
        <v/>
      </c>
      <c r="P165" s="488"/>
      <c r="Q165" s="611" t="str">
        <f t="shared" si="86"/>
        <v>Geometric Mean</v>
      </c>
      <c r="R165" s="583">
        <f>IF(R149="","",IF(R149=0,"",(R153/R149)^(1/($D153-$D149-1))-1))</f>
        <v>-4.4043417483922154E-3</v>
      </c>
      <c r="S165" s="565">
        <f>IF(S149="","",IF(S149=0,"",(S155/S149)^(1/($D155-$D149-1))-1))</f>
        <v>-5.1927658158479328E-3</v>
      </c>
      <c r="T165" s="562"/>
      <c r="U165" s="578" t="str">
        <f>IF(U156=0,"",(S155/U156)^(1/(TestYear-RebaseYear-1))-1)</f>
        <v/>
      </c>
    </row>
    <row r="167" spans="3:21" ht="13.5" thickBot="1" x14ac:dyDescent="0.25">
      <c r="Q167" s="562"/>
      <c r="R167" s="562"/>
      <c r="S167" s="562"/>
      <c r="T167" s="562"/>
      <c r="U167" s="562"/>
    </row>
    <row r="168" spans="3:21" ht="12.75" customHeight="1" x14ac:dyDescent="0.2">
      <c r="C168" s="483"/>
      <c r="D168" s="487" t="s">
        <v>1011</v>
      </c>
      <c r="E168" s="487"/>
      <c r="F168" s="1938" t="s">
        <v>1004</v>
      </c>
      <c r="G168" s="1939"/>
      <c r="H168" s="1939"/>
      <c r="I168" s="1940"/>
      <c r="K168" s="1941" t="str">
        <f>IF(ISBLANK(N145),"",CONCATENATE("Demand (",N145,")"))</f>
        <v>Demand (kW)</v>
      </c>
      <c r="L168" s="1942"/>
      <c r="M168" s="1942"/>
      <c r="N168" s="1942"/>
      <c r="O168" s="1943"/>
      <c r="Q168" s="1944" t="str">
        <f>CONCATENATE("Demand (",N145,") per ",LEFT(F147,LEN(F147)-1))</f>
        <v>Demand (kW) per Customer</v>
      </c>
      <c r="R168" s="1945"/>
      <c r="S168" s="1945"/>
      <c r="T168" s="1945"/>
      <c r="U168" s="1946"/>
    </row>
    <row r="169" spans="3:21" ht="39" thickBot="1" x14ac:dyDescent="0.25">
      <c r="C169" s="488"/>
      <c r="D169" s="490" t="str">
        <f>CONCATENATE("(for ",TestYear," Cost of Service")</f>
        <v>(for 2019 Cost of Service</v>
      </c>
      <c r="E169" s="485"/>
      <c r="F169" s="1934"/>
      <c r="G169" s="1935"/>
      <c r="H169" s="1935"/>
      <c r="I169" s="504"/>
      <c r="K169" s="494"/>
      <c r="L169" s="1556" t="s">
        <v>1031</v>
      </c>
      <c r="M169" s="1556" t="s">
        <v>1015</v>
      </c>
      <c r="N169" s="1557"/>
      <c r="O169" s="1558" t="str">
        <f>M169</f>
        <v>Weather-normalized</v>
      </c>
      <c r="Q169" s="610"/>
      <c r="R169" s="628" t="str">
        <f>L169</f>
        <v>Actual (Weather actual)</v>
      </c>
      <c r="S169" s="628" t="str">
        <f>M169</f>
        <v>Weather-normalized</v>
      </c>
      <c r="T169" s="628"/>
      <c r="U169" s="629" t="str">
        <f>O169</f>
        <v>Weather-normalized</v>
      </c>
    </row>
    <row r="170" spans="3:21" x14ac:dyDescent="0.2">
      <c r="C170" s="485" t="s">
        <v>830</v>
      </c>
      <c r="D170" s="570">
        <f t="shared" ref="D170:D175" si="88">D171-1</f>
        <v>2013</v>
      </c>
      <c r="E170" s="484"/>
      <c r="F170" s="520" t="str">
        <f t="shared" ref="F170:F176" si="89">F149</f>
        <v>Actual</v>
      </c>
      <c r="G170" s="1549">
        <v>947249.65</v>
      </c>
      <c r="H170" s="554" t="str">
        <f t="shared" ref="H170:H176" si="90">IF(D170=RebaseYear,"Board-approved","")</f>
        <v/>
      </c>
      <c r="I170" s="590"/>
      <c r="K170" s="1544" t="str">
        <f t="shared" ref="K170:K176" si="91">K149</f>
        <v>Actual</v>
      </c>
      <c r="L170" s="1540">
        <v>204592.81999999998</v>
      </c>
      <c r="M170" s="1541">
        <v>204592.81999999998</v>
      </c>
      <c r="N170" s="1546" t="str">
        <f t="shared" ref="N170:N176" si="92">N149</f>
        <v/>
      </c>
      <c r="O170" s="590"/>
      <c r="Q170" s="592" t="str">
        <f>K170</f>
        <v>Actual</v>
      </c>
      <c r="R170" s="536">
        <f>IF(G170=0,"",L170/G170)</f>
        <v>0.21598616584339722</v>
      </c>
      <c r="S170" s="516">
        <f>IF(G170=0,"",M170/G170)</f>
        <v>0.21598616584339722</v>
      </c>
      <c r="T170" s="516" t="str">
        <f>N170</f>
        <v/>
      </c>
      <c r="U170" s="484" t="str">
        <f>IF(T170="","",IF(I170=0,"",O170/I170))</f>
        <v/>
      </c>
    </row>
    <row r="171" spans="3:21" x14ac:dyDescent="0.2">
      <c r="C171" s="485" t="s">
        <v>830</v>
      </c>
      <c r="D171" s="570">
        <f t="shared" si="88"/>
        <v>2014</v>
      </c>
      <c r="E171" s="484"/>
      <c r="F171" s="521" t="str">
        <f t="shared" si="89"/>
        <v>Actual</v>
      </c>
      <c r="G171" s="518">
        <v>842669.08</v>
      </c>
      <c r="H171" s="2" t="str">
        <f t="shared" si="90"/>
        <v>Board-approved</v>
      </c>
      <c r="I171" s="531"/>
      <c r="K171" s="1544" t="str">
        <f t="shared" si="91"/>
        <v>Actual</v>
      </c>
      <c r="L171" s="1542">
        <v>208042.52000000002</v>
      </c>
      <c r="M171" s="508">
        <v>208042.52000000002</v>
      </c>
      <c r="N171" s="481" t="str">
        <f t="shared" si="92"/>
        <v>Board-approved</v>
      </c>
      <c r="O171" s="531"/>
      <c r="Q171" s="592" t="str">
        <f t="shared" ref="Q171:Q176" si="93">K171</f>
        <v>Actual</v>
      </c>
      <c r="R171" s="536">
        <f t="shared" ref="R171:R176" si="94">IF(G171=0,"",L171/G171)</f>
        <v>0.24688519483828697</v>
      </c>
      <c r="S171" s="516">
        <f t="shared" ref="S171:S176" si="95">IF(G171=0,"",M171/G171)</f>
        <v>0.24688519483828697</v>
      </c>
      <c r="T171" s="516" t="str">
        <f t="shared" ref="T171:T176" si="96">N171</f>
        <v>Board-approved</v>
      </c>
      <c r="U171" s="484" t="str">
        <f t="shared" ref="U171:U176" si="97">IF(T171="","",IF(I171=0,"",O171/I171))</f>
        <v/>
      </c>
    </row>
    <row r="172" spans="3:21" x14ac:dyDescent="0.2">
      <c r="C172" s="485" t="s">
        <v>830</v>
      </c>
      <c r="D172" s="570">
        <f t="shared" si="88"/>
        <v>2015</v>
      </c>
      <c r="E172" s="484"/>
      <c r="F172" s="521" t="str">
        <f t="shared" si="89"/>
        <v>Actual</v>
      </c>
      <c r="G172" s="518">
        <v>818758.47000000009</v>
      </c>
      <c r="H172" s="2" t="str">
        <f t="shared" si="90"/>
        <v/>
      </c>
      <c r="I172" s="535"/>
      <c r="K172" s="1544" t="str">
        <f t="shared" si="91"/>
        <v>Actual</v>
      </c>
      <c r="L172" s="1542">
        <v>213948.53999999998</v>
      </c>
      <c r="M172" s="508">
        <v>213948.53999999998</v>
      </c>
      <c r="N172" s="481" t="str">
        <f t="shared" si="92"/>
        <v/>
      </c>
      <c r="O172" s="532"/>
      <c r="Q172" s="592" t="str">
        <f t="shared" si="93"/>
        <v>Actual</v>
      </c>
      <c r="R172" s="536">
        <f t="shared" si="94"/>
        <v>0.26130849064682038</v>
      </c>
      <c r="S172" s="516">
        <f t="shared" si="95"/>
        <v>0.26130849064682038</v>
      </c>
      <c r="T172" s="516" t="str">
        <f t="shared" si="96"/>
        <v/>
      </c>
      <c r="U172" s="484" t="str">
        <f t="shared" si="97"/>
        <v/>
      </c>
    </row>
    <row r="173" spans="3:21" x14ac:dyDescent="0.2">
      <c r="C173" s="485" t="s">
        <v>830</v>
      </c>
      <c r="D173" s="570">
        <f t="shared" si="88"/>
        <v>2016</v>
      </c>
      <c r="E173" s="484"/>
      <c r="F173" s="521" t="str">
        <f t="shared" si="89"/>
        <v>Actual</v>
      </c>
      <c r="G173" s="518">
        <v>835661.87000000011</v>
      </c>
      <c r="H173" s="2" t="str">
        <f t="shared" si="90"/>
        <v/>
      </c>
      <c r="I173" s="531"/>
      <c r="K173" s="1544" t="str">
        <f t="shared" si="91"/>
        <v>Actual</v>
      </c>
      <c r="L173" s="1542">
        <v>211155.36</v>
      </c>
      <c r="M173" s="508">
        <v>211155.36</v>
      </c>
      <c r="N173" s="481" t="str">
        <f t="shared" si="92"/>
        <v/>
      </c>
      <c r="O173" s="531"/>
      <c r="Q173" s="592" t="str">
        <f t="shared" si="93"/>
        <v>Actual</v>
      </c>
      <c r="R173" s="536">
        <f t="shared" si="94"/>
        <v>0.25268038136046578</v>
      </c>
      <c r="S173" s="516">
        <f t="shared" si="95"/>
        <v>0.25268038136046578</v>
      </c>
      <c r="T173" s="516" t="str">
        <f t="shared" si="96"/>
        <v/>
      </c>
      <c r="U173" s="484" t="str">
        <f t="shared" si="97"/>
        <v/>
      </c>
    </row>
    <row r="174" spans="3:21" x14ac:dyDescent="0.2">
      <c r="C174" s="485" t="s">
        <v>830</v>
      </c>
      <c r="D174" s="570">
        <f t="shared" si="88"/>
        <v>2017</v>
      </c>
      <c r="E174" s="484"/>
      <c r="F174" s="521" t="str">
        <f t="shared" si="89"/>
        <v>Actual</v>
      </c>
      <c r="G174" s="518">
        <v>876153.74999999988</v>
      </c>
      <c r="H174" s="2" t="str">
        <f t="shared" si="90"/>
        <v/>
      </c>
      <c r="I174" s="531"/>
      <c r="K174" s="1544" t="str">
        <f t="shared" si="91"/>
        <v>Actual</v>
      </c>
      <c r="L174" s="1542">
        <v>211533.96999999997</v>
      </c>
      <c r="M174" s="508">
        <v>211533.96999999997</v>
      </c>
      <c r="N174" s="481" t="str">
        <f t="shared" si="92"/>
        <v/>
      </c>
      <c r="O174" s="531"/>
      <c r="Q174" s="592" t="str">
        <f t="shared" si="93"/>
        <v>Actual</v>
      </c>
      <c r="R174" s="536">
        <f t="shared" si="94"/>
        <v>0.24143475959556185</v>
      </c>
      <c r="S174" s="516">
        <f t="shared" si="95"/>
        <v>0.24143475959556185</v>
      </c>
      <c r="T174" s="516" t="str">
        <f t="shared" si="96"/>
        <v/>
      </c>
      <c r="U174" s="484" t="str">
        <f t="shared" si="97"/>
        <v/>
      </c>
    </row>
    <row r="175" spans="3:21" x14ac:dyDescent="0.2">
      <c r="C175" s="485" t="s">
        <v>1009</v>
      </c>
      <c r="D175" s="570">
        <f t="shared" si="88"/>
        <v>2018</v>
      </c>
      <c r="E175" s="484"/>
      <c r="F175" s="521" t="str">
        <f t="shared" si="89"/>
        <v>Forecast</v>
      </c>
      <c r="G175" s="518">
        <v>921812.92026963853</v>
      </c>
      <c r="H175" s="2" t="str">
        <f t="shared" si="90"/>
        <v/>
      </c>
      <c r="I175" s="531"/>
      <c r="K175" s="1544" t="str">
        <f t="shared" si="91"/>
        <v>Forecast</v>
      </c>
      <c r="L175" s="1542"/>
      <c r="M175" s="508">
        <v>221276.70912632582</v>
      </c>
      <c r="N175" s="481" t="str">
        <f t="shared" si="92"/>
        <v/>
      </c>
      <c r="O175" s="531"/>
      <c r="Q175" s="592" t="str">
        <f t="shared" si="93"/>
        <v>Forecast</v>
      </c>
      <c r="R175" s="536">
        <f t="shared" si="94"/>
        <v>0</v>
      </c>
      <c r="S175" s="516">
        <f t="shared" si="95"/>
        <v>0.24004513742506495</v>
      </c>
      <c r="T175" s="516" t="str">
        <f t="shared" si="96"/>
        <v/>
      </c>
      <c r="U175" s="484" t="str">
        <f t="shared" si="97"/>
        <v/>
      </c>
    </row>
    <row r="176" spans="3:21" ht="13.5" thickBot="1" x14ac:dyDescent="0.25">
      <c r="C176" s="486" t="s">
        <v>1010</v>
      </c>
      <c r="D176" s="571">
        <f>TestYear</f>
        <v>2019</v>
      </c>
      <c r="E176" s="488"/>
      <c r="F176" s="522" t="str">
        <f t="shared" si="89"/>
        <v>Forecast</v>
      </c>
      <c r="G176" s="519">
        <v>987192.81</v>
      </c>
      <c r="H176" s="514" t="str">
        <f t="shared" si="90"/>
        <v/>
      </c>
      <c r="I176" s="533"/>
      <c r="K176" s="1545" t="str">
        <f t="shared" si="91"/>
        <v>Forecast</v>
      </c>
      <c r="L176" s="1559"/>
      <c r="M176" s="509">
        <v>217115.48764996644</v>
      </c>
      <c r="N176" s="482" t="str">
        <f t="shared" si="92"/>
        <v/>
      </c>
      <c r="O176" s="533"/>
      <c r="Q176" s="526" t="str">
        <f t="shared" si="93"/>
        <v>Forecast</v>
      </c>
      <c r="R176" s="517">
        <f t="shared" si="94"/>
        <v>0</v>
      </c>
      <c r="S176" s="517">
        <f t="shared" si="95"/>
        <v>0.21993220113704681</v>
      </c>
      <c r="T176" s="517" t="str">
        <f t="shared" si="96"/>
        <v/>
      </c>
      <c r="U176" s="488" t="str">
        <f t="shared" si="97"/>
        <v/>
      </c>
    </row>
    <row r="177" spans="2:22" ht="13.5" thickBot="1" x14ac:dyDescent="0.25">
      <c r="C177" s="573"/>
      <c r="I177" s="615">
        <f>SUM(I170:I175)</f>
        <v>0</v>
      </c>
      <c r="J177" s="536"/>
      <c r="O177" s="615">
        <f>SUM(O170:O175)</f>
        <v>0</v>
      </c>
      <c r="U177" s="615">
        <f>SUM(U170:U175)</f>
        <v>0</v>
      </c>
    </row>
    <row r="178" spans="2:22" ht="39" thickBot="1" x14ac:dyDescent="0.25">
      <c r="C178" s="607" t="s">
        <v>885</v>
      </c>
      <c r="D178" s="606" t="s">
        <v>10</v>
      </c>
      <c r="E178" s="630"/>
      <c r="F178" s="630"/>
      <c r="G178" s="630" t="s">
        <v>1027</v>
      </c>
      <c r="H178" s="630"/>
      <c r="I178" s="601" t="str">
        <f>I157</f>
        <v>Test Year Versus Board-approved</v>
      </c>
      <c r="J178" s="614"/>
      <c r="K178" s="602" t="s">
        <v>10</v>
      </c>
      <c r="L178" s="1936" t="s">
        <v>1027</v>
      </c>
      <c r="M178" s="1936"/>
      <c r="N178" s="630"/>
      <c r="O178" s="601" t="str">
        <f>I178</f>
        <v>Test Year Versus Board-approved</v>
      </c>
      <c r="P178" s="587"/>
      <c r="Q178" s="602" t="s">
        <v>10</v>
      </c>
      <c r="R178" s="1936" t="s">
        <v>1027</v>
      </c>
      <c r="S178" s="1936"/>
      <c r="T178" s="630"/>
      <c r="U178" s="601" t="str">
        <f>O178</f>
        <v>Test Year Versus Board-approved</v>
      </c>
    </row>
    <row r="179" spans="2:22" x14ac:dyDescent="0.2">
      <c r="C179" s="484"/>
      <c r="D179" s="609">
        <f t="shared" ref="D179:D185" si="98">D170</f>
        <v>2013</v>
      </c>
      <c r="E179" s="552"/>
      <c r="F179" s="536"/>
      <c r="G179" s="579"/>
      <c r="H179" s="536"/>
      <c r="I179" s="585"/>
      <c r="J179" s="484"/>
      <c r="K179" s="570">
        <f>D179</f>
        <v>2013</v>
      </c>
      <c r="L179" s="558"/>
      <c r="M179" s="558"/>
      <c r="N179" s="536"/>
      <c r="O179" s="588"/>
      <c r="P179" s="484"/>
      <c r="Q179" s="570">
        <f>K179</f>
        <v>2013</v>
      </c>
      <c r="R179" s="537"/>
      <c r="S179" s="537"/>
      <c r="T179" s="536"/>
      <c r="U179" s="531"/>
    </row>
    <row r="180" spans="2:22" x14ac:dyDescent="0.2">
      <c r="C180" s="484"/>
      <c r="D180" s="572">
        <f t="shared" si="98"/>
        <v>2014</v>
      </c>
      <c r="E180" s="536"/>
      <c r="F180" s="536"/>
      <c r="G180" s="580">
        <f t="shared" ref="G180:G185" si="99">IF(G170=0,"",G171/G170-1)</f>
        <v>-0.11040444301035113</v>
      </c>
      <c r="H180" s="536"/>
      <c r="I180" s="585"/>
      <c r="J180" s="484"/>
      <c r="K180" s="570">
        <f t="shared" ref="K180:K186" si="100">D180</f>
        <v>2014</v>
      </c>
      <c r="L180" s="560">
        <f t="shared" ref="L180:M183" si="101">IF(L170=0,"",L171/L170-1)</f>
        <v>1.686129552346971E-2</v>
      </c>
      <c r="M180" s="560">
        <f t="shared" si="101"/>
        <v>1.686129552346971E-2</v>
      </c>
      <c r="N180" s="536"/>
      <c r="O180" s="588"/>
      <c r="P180" s="484"/>
      <c r="Q180" s="570">
        <f t="shared" ref="Q180:Q186" si="102">K180</f>
        <v>2014</v>
      </c>
      <c r="R180" s="581">
        <f t="shared" ref="R180:S183" si="103">IF(R170="","",IF(R170=0,"",R171/R170-1))</f>
        <v>0.14306022274266117</v>
      </c>
      <c r="S180" s="581">
        <f t="shared" si="103"/>
        <v>0.14306022274266117</v>
      </c>
      <c r="T180" s="536"/>
      <c r="U180" s="531"/>
    </row>
    <row r="181" spans="2:22" x14ac:dyDescent="0.2">
      <c r="C181" s="484"/>
      <c r="D181" s="608">
        <f t="shared" si="98"/>
        <v>2015</v>
      </c>
      <c r="E181" s="536"/>
      <c r="F181" s="536"/>
      <c r="G181" s="580">
        <f t="shared" si="99"/>
        <v>-2.8374851489744835E-2</v>
      </c>
      <c r="H181" s="536"/>
      <c r="I181" s="585"/>
      <c r="J181" s="484"/>
      <c r="K181" s="570">
        <f t="shared" si="100"/>
        <v>2015</v>
      </c>
      <c r="L181" s="560">
        <f t="shared" si="101"/>
        <v>2.8388523653722242E-2</v>
      </c>
      <c r="M181" s="560">
        <f t="shared" si="101"/>
        <v>2.8388523653722242E-2</v>
      </c>
      <c r="N181" s="536"/>
      <c r="O181" s="588"/>
      <c r="P181" s="484"/>
      <c r="Q181" s="570">
        <f t="shared" si="102"/>
        <v>2015</v>
      </c>
      <c r="R181" s="581">
        <f t="shared" si="103"/>
        <v>5.8421064162963887E-2</v>
      </c>
      <c r="S181" s="581">
        <f t="shared" si="103"/>
        <v>5.8421064162963887E-2</v>
      </c>
      <c r="T181" s="536"/>
      <c r="U181" s="531"/>
    </row>
    <row r="182" spans="2:22" x14ac:dyDescent="0.2">
      <c r="C182" s="484"/>
      <c r="D182" s="572">
        <f t="shared" si="98"/>
        <v>2016</v>
      </c>
      <c r="E182" s="536"/>
      <c r="F182" s="536"/>
      <c r="G182" s="580">
        <f t="shared" si="99"/>
        <v>2.0645160470828428E-2</v>
      </c>
      <c r="H182" s="536"/>
      <c r="I182" s="585"/>
      <c r="J182" s="484"/>
      <c r="K182" s="570">
        <f t="shared" si="100"/>
        <v>2016</v>
      </c>
      <c r="L182" s="560">
        <f t="shared" si="101"/>
        <v>-1.3055382383072134E-2</v>
      </c>
      <c r="M182" s="560">
        <f t="shared" si="101"/>
        <v>-1.3055382383072134E-2</v>
      </c>
      <c r="N182" s="536"/>
      <c r="O182" s="588"/>
      <c r="P182" s="484"/>
      <c r="Q182" s="570">
        <f t="shared" si="102"/>
        <v>2016</v>
      </c>
      <c r="R182" s="581">
        <f t="shared" si="103"/>
        <v>-3.3018863126097919E-2</v>
      </c>
      <c r="S182" s="581">
        <f t="shared" si="103"/>
        <v>-3.3018863126097919E-2</v>
      </c>
      <c r="T182" s="536"/>
      <c r="U182" s="531"/>
    </row>
    <row r="183" spans="2:22" x14ac:dyDescent="0.2">
      <c r="C183" s="484"/>
      <c r="D183" s="572">
        <f t="shared" si="98"/>
        <v>2017</v>
      </c>
      <c r="E183" s="536"/>
      <c r="F183" s="536"/>
      <c r="G183" s="580">
        <f t="shared" si="99"/>
        <v>4.8454861294556562E-2</v>
      </c>
      <c r="H183" s="536"/>
      <c r="I183" s="585"/>
      <c r="J183" s="484"/>
      <c r="K183" s="570">
        <f t="shared" si="100"/>
        <v>2017</v>
      </c>
      <c r="L183" s="560">
        <f t="shared" si="101"/>
        <v>1.7930399682961617E-3</v>
      </c>
      <c r="M183" s="560">
        <f t="shared" si="101"/>
        <v>1.7930399682961617E-3</v>
      </c>
      <c r="N183" s="536"/>
      <c r="O183" s="588"/>
      <c r="P183" s="484"/>
      <c r="Q183" s="570">
        <f t="shared" si="102"/>
        <v>2017</v>
      </c>
      <c r="R183" s="581">
        <f t="shared" si="103"/>
        <v>-4.4505322116248025E-2</v>
      </c>
      <c r="S183" s="581">
        <f t="shared" si="103"/>
        <v>-4.4505322116248025E-2</v>
      </c>
      <c r="T183" s="536"/>
      <c r="U183" s="531"/>
    </row>
    <row r="184" spans="2:22" x14ac:dyDescent="0.2">
      <c r="C184" s="484"/>
      <c r="D184" s="572">
        <f t="shared" si="98"/>
        <v>2018</v>
      </c>
      <c r="E184" s="536"/>
      <c r="F184" s="536"/>
      <c r="G184" s="580">
        <f t="shared" si="99"/>
        <v>5.2113193911044409E-2</v>
      </c>
      <c r="H184" s="536"/>
      <c r="I184" s="585"/>
      <c r="J184" s="484"/>
      <c r="K184" s="570">
        <f t="shared" si="100"/>
        <v>2018</v>
      </c>
      <c r="L184" s="560" t="str">
        <f>IF(K175="Forecast","",IF(L174=0,"",L175/L174-1))</f>
        <v/>
      </c>
      <c r="M184" s="560">
        <f>IF(M174=0,"",M175/M174-1)</f>
        <v>4.6057562888484727E-2</v>
      </c>
      <c r="N184" s="536"/>
      <c r="O184" s="588"/>
      <c r="P184" s="484"/>
      <c r="Q184" s="570">
        <f t="shared" si="102"/>
        <v>2018</v>
      </c>
      <c r="R184" s="581" t="str">
        <f>IF(Q175="Forecast","",IF(R174=0,"",R175/R174-1))</f>
        <v/>
      </c>
      <c r="S184" s="581">
        <f>IF(S174="","",IF(S174=0,"",S175/S174-1))</f>
        <v>-5.7556839488428491E-3</v>
      </c>
      <c r="T184" s="536"/>
      <c r="U184" s="531"/>
    </row>
    <row r="185" spans="2:22" x14ac:dyDescent="0.2">
      <c r="C185" s="484"/>
      <c r="D185" s="608">
        <f t="shared" si="98"/>
        <v>2019</v>
      </c>
      <c r="E185" s="536"/>
      <c r="F185" s="536"/>
      <c r="G185" s="580">
        <f t="shared" si="99"/>
        <v>7.0925334514987393E-2</v>
      </c>
      <c r="H185" s="536"/>
      <c r="I185" s="586" t="str">
        <f>IF(I177=0,"",G176/I177-1)</f>
        <v/>
      </c>
      <c r="J185" s="484"/>
      <c r="K185" s="570">
        <f t="shared" si="100"/>
        <v>2019</v>
      </c>
      <c r="L185" s="560" t="str">
        <f>IF(K176="Forecast","",IF(L175=0,"",L176/L175-1))</f>
        <v/>
      </c>
      <c r="M185" s="560">
        <f>IF(M175=0,"",M176/M175-1)</f>
        <v>-1.8805510497644673E-2</v>
      </c>
      <c r="N185" s="536"/>
      <c r="O185" s="589" t="str">
        <f>IF(O177=0,"",M176/O177-1)</f>
        <v/>
      </c>
      <c r="P185" s="484"/>
      <c r="Q185" s="570">
        <f t="shared" si="102"/>
        <v>2019</v>
      </c>
      <c r="R185" s="581" t="str">
        <f>IF(Q176="Forecast","",IF(R175=0,"",R176/R175-1))</f>
        <v/>
      </c>
      <c r="S185" s="581">
        <f>IF(S175="","",IF(S175=0,"",S176/S175-1))</f>
        <v>-8.3788142945810828E-2</v>
      </c>
      <c r="T185" s="536"/>
      <c r="U185" s="561" t="str">
        <f>IF(U177=0,"",S176/U177-1)</f>
        <v/>
      </c>
    </row>
    <row r="186" spans="2:22" ht="26.25" thickBot="1" x14ac:dyDescent="0.25">
      <c r="C186" s="488"/>
      <c r="D186" s="612" t="s">
        <v>1026</v>
      </c>
      <c r="E186" s="562"/>
      <c r="F186" s="562"/>
      <c r="G186" s="582">
        <f>IF(G170=0,"",(G176/G170)^(1/($D176-$D170-1))-1)</f>
        <v>8.2947502807890761E-3</v>
      </c>
      <c r="H186" s="562"/>
      <c r="I186" s="578" t="str">
        <f>IF(I177=0,"",(G176/I177)^(1/(TestYear-RebaseYear-1))-1)</f>
        <v/>
      </c>
      <c r="J186" s="484"/>
      <c r="K186" s="611" t="str">
        <f t="shared" si="100"/>
        <v>Geometric Mean</v>
      </c>
      <c r="L186" s="565">
        <f>IF(L170=0,"",(L174/L170)^(1/($D174-$D170-1))-1)</f>
        <v>1.118335139556681E-2</v>
      </c>
      <c r="M186" s="565">
        <f>IF(M170=0,"",(M176/M170)^(1/($D176-$D170-1))-1)</f>
        <v>1.1952396388588804E-2</v>
      </c>
      <c r="N186" s="562"/>
      <c r="O186" s="578" t="str">
        <f>IF(O177=0,"",(M176/O177)^(1/(TestYear-RebaseYear-1))-1)</f>
        <v/>
      </c>
      <c r="P186" s="488"/>
      <c r="Q186" s="611" t="str">
        <f t="shared" si="102"/>
        <v>Geometric Mean</v>
      </c>
      <c r="R186" s="583">
        <f>IF(R170="","",IF(R170=0,"",(R174/R170)^(1/($D174-$D170-1))-1))</f>
        <v>3.7826176250289167E-2</v>
      </c>
      <c r="S186" s="565">
        <f>IF(S170="","",IF(S170=0,"",(S176/S170)^(1/($D176-$D170-1))-1))</f>
        <v>3.6275564330578991E-3</v>
      </c>
      <c r="T186" s="562"/>
      <c r="U186" s="578" t="str">
        <f>IF(U177=0,"",(S176/U177)^(1/(TestYear-RebaseYear-1))-1)</f>
        <v/>
      </c>
    </row>
    <row r="187" spans="2:22" ht="13.5" thickBot="1" x14ac:dyDescent="0.25"/>
    <row r="188" spans="2:22" ht="13.5" thickBot="1" x14ac:dyDescent="0.25">
      <c r="B188" s="525">
        <v>4</v>
      </c>
      <c r="C188" s="3" t="s">
        <v>9</v>
      </c>
      <c r="D188" s="1947" t="s">
        <v>74</v>
      </c>
      <c r="E188" s="1948"/>
      <c r="F188" s="1949"/>
      <c r="G188" s="499"/>
      <c r="H188" s="9" t="s">
        <v>1029</v>
      </c>
      <c r="N188" s="524" t="s">
        <v>71</v>
      </c>
      <c r="O188" s="523"/>
      <c r="P188" s="523"/>
      <c r="Q188" s="523"/>
      <c r="R188" s="523"/>
      <c r="S188" s="523"/>
      <c r="T188" s="523"/>
      <c r="U188" s="523"/>
    </row>
    <row r="189" spans="2:22" ht="13.5" thickBot="1" x14ac:dyDescent="0.25">
      <c r="Q189" s="562"/>
      <c r="R189" s="562"/>
      <c r="S189" s="562"/>
      <c r="T189" s="562"/>
      <c r="U189" s="562"/>
    </row>
    <row r="190" spans="2:22" ht="12.75" customHeight="1" x14ac:dyDescent="0.2">
      <c r="C190" s="483"/>
      <c r="D190" s="487" t="s">
        <v>1011</v>
      </c>
      <c r="E190" s="487"/>
      <c r="F190" s="1950" t="s">
        <v>945</v>
      </c>
      <c r="G190" s="1951"/>
      <c r="H190" s="1951"/>
      <c r="I190" s="1952"/>
      <c r="J190" s="487"/>
      <c r="K190" s="1941" t="s">
        <v>1018</v>
      </c>
      <c r="L190" s="1942"/>
      <c r="M190" s="1942"/>
      <c r="N190" s="1942"/>
      <c r="O190" s="1943"/>
      <c r="P190" s="495"/>
      <c r="Q190" s="1944" t="str">
        <f>CONCATENATE("Consumption (kWh) per ",LEFT(F190,LEN(F190)-1))</f>
        <v>Consumption (kWh) per Customer</v>
      </c>
      <c r="R190" s="1945"/>
      <c r="S190" s="1945"/>
      <c r="T190" s="1945"/>
      <c r="U190" s="1946"/>
      <c r="V190" s="515"/>
    </row>
    <row r="191" spans="2:22" ht="39" thickBot="1" x14ac:dyDescent="0.25">
      <c r="C191" s="488"/>
      <c r="D191" s="490" t="str">
        <f>CONCATENATE("(for ",TestYear," Cost of Service")</f>
        <v>(for 2019 Cost of Service</v>
      </c>
      <c r="E191" s="485"/>
      <c r="F191" s="1934"/>
      <c r="G191" s="1935"/>
      <c r="H191" s="1937"/>
      <c r="I191" s="504"/>
      <c r="J191" s="485"/>
      <c r="K191" s="494"/>
      <c r="L191" s="1556" t="s">
        <v>1031</v>
      </c>
      <c r="M191" s="1556" t="s">
        <v>1015</v>
      </c>
      <c r="N191" s="1557"/>
      <c r="O191" s="1558" t="s">
        <v>1015</v>
      </c>
      <c r="P191" s="485"/>
      <c r="Q191" s="596"/>
      <c r="R191" s="597" t="str">
        <f>L191</f>
        <v>Actual (Weather actual)</v>
      </c>
      <c r="S191" s="598" t="str">
        <f>M191</f>
        <v>Weather-normalized</v>
      </c>
      <c r="T191" s="598"/>
      <c r="U191" s="599" t="str">
        <f>O191</f>
        <v>Weather-normalized</v>
      </c>
      <c r="V191" s="515"/>
    </row>
    <row r="192" spans="2:22" x14ac:dyDescent="0.2">
      <c r="C192" s="485" t="s">
        <v>830</v>
      </c>
      <c r="D192" s="570">
        <f t="shared" ref="D192:D197" si="104">D193-1</f>
        <v>2013</v>
      </c>
      <c r="E192" s="484"/>
      <c r="F192" s="520" t="str">
        <f>F149</f>
        <v>Actual</v>
      </c>
      <c r="G192" s="1541">
        <v>1948.75</v>
      </c>
      <c r="H192" s="566" t="str">
        <f t="shared" ref="H192:H198" si="105">IF(D192=RebaseYear,"Board-approved","")</f>
        <v/>
      </c>
      <c r="I192" s="531"/>
      <c r="J192" s="484"/>
      <c r="K192" s="1544" t="str">
        <f>F192</f>
        <v>Actual</v>
      </c>
      <c r="L192" s="1540">
        <v>1160023.9100000001</v>
      </c>
      <c r="M192" s="1541">
        <v>1160023.9100000001</v>
      </c>
      <c r="N192" s="1546" t="str">
        <f>H192</f>
        <v/>
      </c>
      <c r="O192" s="590"/>
      <c r="P192" s="591"/>
      <c r="Q192" s="592" t="str">
        <f>K192</f>
        <v>Actual</v>
      </c>
      <c r="R192" s="594">
        <f>IF(G192=0,"",L192/G192)</f>
        <v>595.26563694676076</v>
      </c>
      <c r="S192" s="536">
        <f>IF(G192=0,"",M192/G192)</f>
        <v>595.26563694676076</v>
      </c>
      <c r="T192" s="536" t="str">
        <f>N192</f>
        <v/>
      </c>
      <c r="U192" s="536" t="str">
        <f>IF(T192="","",IF(I192=0,"",O192/I192))</f>
        <v/>
      </c>
      <c r="V192" s="516"/>
    </row>
    <row r="193" spans="2:22" x14ac:dyDescent="0.2">
      <c r="C193" s="485" t="s">
        <v>830</v>
      </c>
      <c r="D193" s="570">
        <f t="shared" si="104"/>
        <v>2014</v>
      </c>
      <c r="E193" s="484"/>
      <c r="F193" s="521" t="str">
        <f t="shared" ref="F193:F198" si="106">F150</f>
        <v>Actual</v>
      </c>
      <c r="G193" s="508">
        <v>2051.3333333333335</v>
      </c>
      <c r="H193" s="505" t="str">
        <f t="shared" si="105"/>
        <v>Board-approved</v>
      </c>
      <c r="I193" s="508">
        <v>2030.733692721848</v>
      </c>
      <c r="J193" s="484"/>
      <c r="K193" s="1544" t="str">
        <f t="shared" ref="K193:K198" si="107">F193</f>
        <v>Actual</v>
      </c>
      <c r="L193" s="1542">
        <v>1160025.06</v>
      </c>
      <c r="M193" s="508">
        <v>1160025.06</v>
      </c>
      <c r="N193" s="481" t="str">
        <f t="shared" ref="N193:N198" si="108">H193</f>
        <v>Board-approved</v>
      </c>
      <c r="O193" s="531"/>
      <c r="P193" s="591"/>
      <c r="Q193" s="592" t="str">
        <f t="shared" ref="Q193:Q198" si="109">K193</f>
        <v>Actual</v>
      </c>
      <c r="R193" s="594">
        <f t="shared" ref="R193:R198" si="110">IF(G193=0,"",L193/G193)</f>
        <v>565.4980792980175</v>
      </c>
      <c r="S193" s="536">
        <f t="shared" ref="S193:S198" si="111">IF(G193=0,"",M193/G193)</f>
        <v>565.4980792980175</v>
      </c>
      <c r="T193" s="536" t="str">
        <f t="shared" ref="T193:T198" si="112">N193</f>
        <v>Board-approved</v>
      </c>
      <c r="U193" s="536">
        <f t="shared" ref="U193:U198" si="113">IF(T193="","",IF(I193=0,"",O193/I193))</f>
        <v>0</v>
      </c>
      <c r="V193" s="516"/>
    </row>
    <row r="194" spans="2:22" x14ac:dyDescent="0.2">
      <c r="C194" s="485" t="s">
        <v>830</v>
      </c>
      <c r="D194" s="570">
        <f t="shared" si="104"/>
        <v>2015</v>
      </c>
      <c r="E194" s="484"/>
      <c r="F194" s="521" t="str">
        <f t="shared" si="106"/>
        <v>Actual</v>
      </c>
      <c r="G194" s="508">
        <v>2080.75</v>
      </c>
      <c r="H194" s="505" t="str">
        <f t="shared" si="105"/>
        <v/>
      </c>
      <c r="I194" s="532"/>
      <c r="J194" s="484"/>
      <c r="K194" s="1544" t="str">
        <f t="shared" si="107"/>
        <v>Actual</v>
      </c>
      <c r="L194" s="1542">
        <v>974371.32000000007</v>
      </c>
      <c r="M194" s="508">
        <v>974371.32000000007</v>
      </c>
      <c r="N194" s="481" t="str">
        <f t="shared" si="108"/>
        <v/>
      </c>
      <c r="O194" s="532"/>
      <c r="P194" s="591"/>
      <c r="Q194" s="592" t="str">
        <f t="shared" si="109"/>
        <v>Actual</v>
      </c>
      <c r="R194" s="594">
        <f t="shared" si="110"/>
        <v>468.27889943529982</v>
      </c>
      <c r="S194" s="536">
        <f t="shared" si="111"/>
        <v>468.27889943529982</v>
      </c>
      <c r="T194" s="536" t="str">
        <f t="shared" si="112"/>
        <v/>
      </c>
      <c r="U194" s="536" t="str">
        <f t="shared" si="113"/>
        <v/>
      </c>
      <c r="V194" s="516"/>
    </row>
    <row r="195" spans="2:22" x14ac:dyDescent="0.2">
      <c r="C195" s="485" t="s">
        <v>830</v>
      </c>
      <c r="D195" s="570">
        <f t="shared" si="104"/>
        <v>2016</v>
      </c>
      <c r="E195" s="484"/>
      <c r="F195" s="521" t="str">
        <f t="shared" si="106"/>
        <v>Actual</v>
      </c>
      <c r="G195" s="508">
        <v>2120.1666666666665</v>
      </c>
      <c r="H195" s="505" t="str">
        <f t="shared" si="105"/>
        <v/>
      </c>
      <c r="I195" s="531"/>
      <c r="J195" s="484"/>
      <c r="K195" s="1544" t="str">
        <f t="shared" si="107"/>
        <v>Actual</v>
      </c>
      <c r="L195" s="1542">
        <v>861899.34000000008</v>
      </c>
      <c r="M195" s="508">
        <v>861899.34000000008</v>
      </c>
      <c r="N195" s="481" t="str">
        <f t="shared" si="108"/>
        <v/>
      </c>
      <c r="O195" s="531"/>
      <c r="P195" s="591"/>
      <c r="Q195" s="592" t="str">
        <f t="shared" si="109"/>
        <v>Actual</v>
      </c>
      <c r="R195" s="594">
        <f t="shared" si="110"/>
        <v>406.52433299268932</v>
      </c>
      <c r="S195" s="536">
        <f t="shared" si="111"/>
        <v>406.52433299268932</v>
      </c>
      <c r="T195" s="536" t="str">
        <f t="shared" si="112"/>
        <v/>
      </c>
      <c r="U195" s="536" t="str">
        <f t="shared" si="113"/>
        <v/>
      </c>
      <c r="V195" s="516"/>
    </row>
    <row r="196" spans="2:22" x14ac:dyDescent="0.2">
      <c r="C196" s="485" t="s">
        <v>830</v>
      </c>
      <c r="D196" s="570">
        <f t="shared" si="104"/>
        <v>2017</v>
      </c>
      <c r="E196" s="484"/>
      <c r="F196" s="521" t="str">
        <f t="shared" si="106"/>
        <v>Actual</v>
      </c>
      <c r="G196" s="508">
        <v>2123.9166666666665</v>
      </c>
      <c r="H196" s="505" t="str">
        <f t="shared" si="105"/>
        <v/>
      </c>
      <c r="I196" s="531"/>
      <c r="J196" s="484"/>
      <c r="K196" s="1544" t="str">
        <f t="shared" si="107"/>
        <v>Actual</v>
      </c>
      <c r="L196" s="1542">
        <v>858843.55</v>
      </c>
      <c r="M196" s="508">
        <v>858843.55</v>
      </c>
      <c r="N196" s="481" t="str">
        <f t="shared" si="108"/>
        <v/>
      </c>
      <c r="O196" s="531"/>
      <c r="P196" s="591"/>
      <c r="Q196" s="592" t="str">
        <f t="shared" si="109"/>
        <v>Actual</v>
      </c>
      <c r="R196" s="594">
        <f t="shared" si="110"/>
        <v>404.36781888806064</v>
      </c>
      <c r="S196" s="536">
        <f t="shared" si="111"/>
        <v>404.36781888806064</v>
      </c>
      <c r="T196" s="536" t="str">
        <f t="shared" si="112"/>
        <v/>
      </c>
      <c r="U196" s="536" t="str">
        <f t="shared" si="113"/>
        <v/>
      </c>
      <c r="V196" s="516"/>
    </row>
    <row r="197" spans="2:22" x14ac:dyDescent="0.2">
      <c r="C197" s="485" t="s">
        <v>289</v>
      </c>
      <c r="D197" s="570">
        <f t="shared" si="104"/>
        <v>2018</v>
      </c>
      <c r="E197" s="484"/>
      <c r="F197" s="521" t="str">
        <f t="shared" si="106"/>
        <v>Forecast</v>
      </c>
      <c r="G197" s="508">
        <v>2155.1123337847007</v>
      </c>
      <c r="H197" s="505" t="str">
        <f t="shared" si="105"/>
        <v/>
      </c>
      <c r="I197" s="531"/>
      <c r="J197" s="484"/>
      <c r="K197" s="1544" t="str">
        <f t="shared" si="107"/>
        <v>Forecast</v>
      </c>
      <c r="L197" s="1553"/>
      <c r="M197" s="508">
        <v>873781.83894371043</v>
      </c>
      <c r="N197" s="481" t="str">
        <f t="shared" si="108"/>
        <v/>
      </c>
      <c r="O197" s="531"/>
      <c r="P197" s="591"/>
      <c r="Q197" s="592" t="str">
        <f t="shared" si="109"/>
        <v>Forecast</v>
      </c>
      <c r="R197" s="594">
        <f t="shared" si="110"/>
        <v>0</v>
      </c>
      <c r="S197" s="536">
        <f t="shared" si="111"/>
        <v>405.44607594037495</v>
      </c>
      <c r="T197" s="536" t="str">
        <f t="shared" si="112"/>
        <v/>
      </c>
      <c r="U197" s="536" t="str">
        <f t="shared" si="113"/>
        <v/>
      </c>
      <c r="V197" s="516"/>
    </row>
    <row r="198" spans="2:22" ht="13.5" thickBot="1" x14ac:dyDescent="0.25">
      <c r="C198" s="486" t="s">
        <v>290</v>
      </c>
      <c r="D198" s="571">
        <f>TestYear</f>
        <v>2019</v>
      </c>
      <c r="E198" s="488"/>
      <c r="F198" s="522" t="str">
        <f t="shared" si="106"/>
        <v>Forecast</v>
      </c>
      <c r="G198" s="509">
        <v>2186.7661966795336</v>
      </c>
      <c r="H198" s="506" t="str">
        <f t="shared" si="105"/>
        <v/>
      </c>
      <c r="I198" s="533"/>
      <c r="J198" s="488"/>
      <c r="K198" s="1545" t="str">
        <f t="shared" si="107"/>
        <v>Forecast</v>
      </c>
      <c r="L198" s="1552"/>
      <c r="M198" s="509">
        <v>886615.77344277513</v>
      </c>
      <c r="N198" s="482" t="str">
        <f t="shared" si="108"/>
        <v/>
      </c>
      <c r="O198" s="533"/>
      <c r="P198" s="567"/>
      <c r="Q198" s="593" t="str">
        <f t="shared" si="109"/>
        <v>Forecast</v>
      </c>
      <c r="R198" s="595">
        <f t="shared" si="110"/>
        <v>0</v>
      </c>
      <c r="S198" s="562">
        <f t="shared" si="111"/>
        <v>405.44607594037495</v>
      </c>
      <c r="T198" s="562" t="str">
        <f t="shared" si="112"/>
        <v/>
      </c>
      <c r="U198" s="562" t="str">
        <f t="shared" si="113"/>
        <v/>
      </c>
      <c r="V198" s="516"/>
    </row>
    <row r="199" spans="2:22" ht="13.5" thickBot="1" x14ac:dyDescent="0.25">
      <c r="B199" s="536"/>
      <c r="C199" s="573"/>
      <c r="I199" s="615">
        <f>SUM(I192:I197)</f>
        <v>2030.733692721848</v>
      </c>
      <c r="O199" s="615">
        <f>SUM(O192:O197)</f>
        <v>0</v>
      </c>
      <c r="U199" s="615">
        <f>SUM(U192:U197)</f>
        <v>0</v>
      </c>
    </row>
    <row r="200" spans="2:22" ht="39" thickBot="1" x14ac:dyDescent="0.25">
      <c r="C200" s="607" t="s">
        <v>885</v>
      </c>
      <c r="D200" s="606" t="s">
        <v>10</v>
      </c>
      <c r="E200" s="568"/>
      <c r="F200" s="568"/>
      <c r="G200" s="630" t="s">
        <v>1027</v>
      </c>
      <c r="H200" s="568"/>
      <c r="I200" s="601" t="s">
        <v>1040</v>
      </c>
      <c r="J200" s="603"/>
      <c r="K200" s="602" t="s">
        <v>10</v>
      </c>
      <c r="L200" s="1936" t="s">
        <v>1027</v>
      </c>
      <c r="M200" s="1936"/>
      <c r="N200" s="568"/>
      <c r="O200" s="601" t="str">
        <f>I200</f>
        <v>Test Year Versus Board-approved</v>
      </c>
      <c r="P200" s="604"/>
      <c r="Q200" s="602" t="s">
        <v>10</v>
      </c>
      <c r="R200" s="1936" t="s">
        <v>1027</v>
      </c>
      <c r="S200" s="1936"/>
      <c r="T200" s="568"/>
      <c r="U200" s="601" t="str">
        <f>O200</f>
        <v>Test Year Versus Board-approved</v>
      </c>
    </row>
    <row r="201" spans="2:22" x14ac:dyDescent="0.2">
      <c r="C201" s="484"/>
      <c r="D201" s="584">
        <f t="shared" ref="D201:D207" si="114">D192</f>
        <v>2013</v>
      </c>
      <c r="E201" s="536"/>
      <c r="F201" s="536"/>
      <c r="G201" s="579"/>
      <c r="H201" s="536"/>
      <c r="I201" s="585"/>
      <c r="J201" s="591"/>
      <c r="K201" s="570">
        <f>D201</f>
        <v>2013</v>
      </c>
      <c r="L201" s="558"/>
      <c r="M201" s="558"/>
      <c r="N201" s="536"/>
      <c r="O201" s="531"/>
      <c r="P201" s="484"/>
      <c r="Q201" s="570">
        <f>K201</f>
        <v>2013</v>
      </c>
      <c r="R201" s="537"/>
      <c r="S201" s="537"/>
      <c r="T201" s="536"/>
      <c r="U201" s="531"/>
    </row>
    <row r="202" spans="2:22" x14ac:dyDescent="0.2">
      <c r="C202" s="484"/>
      <c r="D202" s="572">
        <f t="shared" si="114"/>
        <v>2014</v>
      </c>
      <c r="E202" s="536"/>
      <c r="F202" s="536"/>
      <c r="G202" s="580">
        <f t="shared" ref="G202:G207" si="115">IF(G192=0,"",G193/G192-1)</f>
        <v>5.2640581569382228E-2</v>
      </c>
      <c r="H202" s="536"/>
      <c r="I202" s="585"/>
      <c r="J202" s="591"/>
      <c r="K202" s="570">
        <f t="shared" ref="K202:K208" si="116">D202</f>
        <v>2014</v>
      </c>
      <c r="L202" s="560">
        <f t="shared" ref="L202:M205" si="117">IF(L192=0,"",L193/L192-1)</f>
        <v>9.9135887632328945E-7</v>
      </c>
      <c r="M202" s="560">
        <f t="shared" si="117"/>
        <v>9.9135887632328945E-7</v>
      </c>
      <c r="N202" s="536"/>
      <c r="O202" s="531"/>
      <c r="P202" s="484"/>
      <c r="Q202" s="570">
        <f t="shared" ref="Q202:Q208" si="118">K202</f>
        <v>2014</v>
      </c>
      <c r="R202" s="581">
        <f t="shared" ref="R202:S205" si="119">IF(R192="","",IF(R192=0,"",R193/R192-1))</f>
        <v>-5.0007183014002199E-2</v>
      </c>
      <c r="S202" s="581">
        <f t="shared" si="119"/>
        <v>-5.0007183014002199E-2</v>
      </c>
      <c r="T202" s="536"/>
      <c r="U202" s="531"/>
    </row>
    <row r="203" spans="2:22" x14ac:dyDescent="0.2">
      <c r="C203" s="484"/>
      <c r="D203" s="572">
        <f t="shared" si="114"/>
        <v>2015</v>
      </c>
      <c r="E203" s="536"/>
      <c r="F203" s="536"/>
      <c r="G203" s="580">
        <f t="shared" si="115"/>
        <v>1.4340266493337639E-2</v>
      </c>
      <c r="H203" s="536"/>
      <c r="I203" s="585"/>
      <c r="J203" s="591"/>
      <c r="K203" s="570">
        <f t="shared" si="116"/>
        <v>2015</v>
      </c>
      <c r="L203" s="560">
        <f t="shared" si="117"/>
        <v>-0.16004287010834062</v>
      </c>
      <c r="M203" s="560">
        <f t="shared" si="117"/>
        <v>-0.16004287010834062</v>
      </c>
      <c r="N203" s="536"/>
      <c r="O203" s="531"/>
      <c r="P203" s="484"/>
      <c r="Q203" s="570">
        <f t="shared" si="118"/>
        <v>2015</v>
      </c>
      <c r="R203" s="581">
        <f t="shared" si="119"/>
        <v>-0.1719177896826829</v>
      </c>
      <c r="S203" s="581">
        <f t="shared" si="119"/>
        <v>-0.1719177896826829</v>
      </c>
      <c r="T203" s="536"/>
      <c r="U203" s="531"/>
    </row>
    <row r="204" spans="2:22" x14ac:dyDescent="0.2">
      <c r="C204" s="484"/>
      <c r="D204" s="572">
        <f t="shared" si="114"/>
        <v>2016</v>
      </c>
      <c r="E204" s="536"/>
      <c r="F204" s="536"/>
      <c r="G204" s="580">
        <f t="shared" si="115"/>
        <v>1.8943489927510049E-2</v>
      </c>
      <c r="H204" s="536"/>
      <c r="I204" s="585"/>
      <c r="J204" s="591"/>
      <c r="K204" s="570">
        <f t="shared" si="116"/>
        <v>2016</v>
      </c>
      <c r="L204" s="560">
        <f t="shared" si="117"/>
        <v>-0.1154303063846337</v>
      </c>
      <c r="M204" s="560">
        <f t="shared" si="117"/>
        <v>-0.1154303063846337</v>
      </c>
      <c r="N204" s="536"/>
      <c r="O204" s="531"/>
      <c r="P204" s="484"/>
      <c r="Q204" s="570">
        <f t="shared" si="118"/>
        <v>2016</v>
      </c>
      <c r="R204" s="581">
        <f t="shared" si="119"/>
        <v>-0.131875611984825</v>
      </c>
      <c r="S204" s="581">
        <f t="shared" si="119"/>
        <v>-0.131875611984825</v>
      </c>
      <c r="T204" s="536"/>
      <c r="U204" s="531"/>
    </row>
    <row r="205" spans="2:22" x14ac:dyDescent="0.2">
      <c r="C205" s="484"/>
      <c r="D205" s="572">
        <f t="shared" si="114"/>
        <v>2017</v>
      </c>
      <c r="E205" s="536"/>
      <c r="F205" s="536"/>
      <c r="G205" s="580">
        <f t="shared" si="115"/>
        <v>1.768728873516201E-3</v>
      </c>
      <c r="H205" s="536"/>
      <c r="I205" s="585"/>
      <c r="J205" s="591"/>
      <c r="K205" s="570">
        <f t="shared" si="116"/>
        <v>2017</v>
      </c>
      <c r="L205" s="560">
        <f t="shared" si="117"/>
        <v>-3.5454140155160019E-3</v>
      </c>
      <c r="M205" s="560">
        <f t="shared" si="117"/>
        <v>-3.5454140155160019E-3</v>
      </c>
      <c r="N205" s="536"/>
      <c r="O205" s="531"/>
      <c r="P205" s="484"/>
      <c r="Q205" s="570">
        <f t="shared" si="118"/>
        <v>2017</v>
      </c>
      <c r="R205" s="581">
        <f t="shared" si="119"/>
        <v>-5.3047602064879573E-3</v>
      </c>
      <c r="S205" s="581">
        <f t="shared" si="119"/>
        <v>-5.3047602064879573E-3</v>
      </c>
      <c r="T205" s="536"/>
      <c r="U205" s="531"/>
    </row>
    <row r="206" spans="2:22" x14ac:dyDescent="0.2">
      <c r="C206" s="484"/>
      <c r="D206" s="572">
        <f t="shared" si="114"/>
        <v>2018</v>
      </c>
      <c r="E206" s="536"/>
      <c r="F206" s="536"/>
      <c r="G206" s="580">
        <f t="shared" si="115"/>
        <v>1.4687801836874126E-2</v>
      </c>
      <c r="H206" s="536"/>
      <c r="I206" s="585"/>
      <c r="J206" s="591"/>
      <c r="K206" s="570">
        <f t="shared" si="116"/>
        <v>2018</v>
      </c>
      <c r="L206" s="560" t="str">
        <f>IF(K197="Forecast","",IF(L196=0,"",L197/L196-1))</f>
        <v/>
      </c>
      <c r="M206" s="560">
        <f>IF(M196=0,"",M197/M196-1)</f>
        <v>1.7393492614237394E-2</v>
      </c>
      <c r="N206" s="536"/>
      <c r="O206" s="531"/>
      <c r="P206" s="484"/>
      <c r="Q206" s="570">
        <f t="shared" si="118"/>
        <v>2018</v>
      </c>
      <c r="R206" s="581" t="str">
        <f>IF(Q197="Forecast","",IF(R196=0,"",R197/R196-1))</f>
        <v/>
      </c>
      <c r="S206" s="581">
        <f>IF(S196="","",IF(S196=0,"",S197/S196-1))</f>
        <v>2.6665253809745604E-3</v>
      </c>
      <c r="T206" s="536"/>
      <c r="U206" s="531"/>
    </row>
    <row r="207" spans="2:22" x14ac:dyDescent="0.2">
      <c r="C207" s="484"/>
      <c r="D207" s="572">
        <f t="shared" si="114"/>
        <v>2019</v>
      </c>
      <c r="E207" s="536"/>
      <c r="F207" s="536"/>
      <c r="G207" s="580">
        <f t="shared" si="115"/>
        <v>1.4687801836874126E-2</v>
      </c>
      <c r="H207" s="536"/>
      <c r="I207" s="586">
        <f>IF(I199=0,"",G198/I199-1)</f>
        <v>7.6835532161063869E-2</v>
      </c>
      <c r="J207" s="591"/>
      <c r="K207" s="570">
        <f t="shared" si="116"/>
        <v>2019</v>
      </c>
      <c r="L207" s="560" t="str">
        <f>IF(K198="Forecast","",IF(L197=0,"",L198/L197-1))</f>
        <v/>
      </c>
      <c r="M207" s="560">
        <f>IF(M197=0,"",M198/M197-1)</f>
        <v>1.4687801836874126E-2</v>
      </c>
      <c r="N207" s="536"/>
      <c r="O207" s="561" t="str">
        <f>IF(O199=0,"",M198/O199-1)</f>
        <v/>
      </c>
      <c r="P207" s="484"/>
      <c r="Q207" s="570">
        <f t="shared" si="118"/>
        <v>2019</v>
      </c>
      <c r="R207" s="581" t="str">
        <f>IF(Q198="Forecast","",IF(R197=0,"",R198/R197-1))</f>
        <v/>
      </c>
      <c r="S207" s="581">
        <f>IF(S197="","",IF(S197=0,"",S198/S197-1))</f>
        <v>0</v>
      </c>
      <c r="T207" s="536"/>
      <c r="U207" s="561" t="str">
        <f>IF(U199=0,"",S198/U199-1)</f>
        <v/>
      </c>
    </row>
    <row r="208" spans="2:22" ht="26.25" thickBot="1" x14ac:dyDescent="0.25">
      <c r="C208" s="488"/>
      <c r="D208" s="612" t="s">
        <v>1026</v>
      </c>
      <c r="E208" s="562"/>
      <c r="F208" s="562"/>
      <c r="G208" s="582">
        <f>IF(G192=0,"",(G198/G192)^(1/($D198-$D192-1))-1)</f>
        <v>2.3314775143134181E-2</v>
      </c>
      <c r="H208" s="562"/>
      <c r="I208" s="613">
        <f>IF(I199=0,"",(G198/I199)^(1/(TestYear-RebaseYear-1))-1)</f>
        <v>1.8678979044194355E-2</v>
      </c>
      <c r="J208" s="567"/>
      <c r="K208" s="611" t="str">
        <f t="shared" si="116"/>
        <v>Geometric Mean</v>
      </c>
      <c r="L208" s="565">
        <f>IF(L192=0,"",(L196/L192)^(1/($D196-$D192-1))-1)</f>
        <v>-9.5346281788439846E-2</v>
      </c>
      <c r="M208" s="565">
        <f>IF(M192=0,"",(M198/M192)^(1/($D198-$D192-1))-1)</f>
        <v>-5.2337484648815491E-2</v>
      </c>
      <c r="N208" s="562"/>
      <c r="O208" s="578" t="str">
        <f>IF(O199=0,"",(M198/O199)^(1/(TestYear-RebaseYear-1))-1)</f>
        <v/>
      </c>
      <c r="P208" s="488"/>
      <c r="Q208" s="611" t="str">
        <f t="shared" si="118"/>
        <v>Geometric Mean</v>
      </c>
      <c r="R208" s="583">
        <f>IF(R192="","",IF(R192=0,"",(R196/R192)^(1/($D196-$D192-1))-1))</f>
        <v>-0.12093310676326752</v>
      </c>
      <c r="S208" s="565">
        <f>IF(S192="","",IF(S192=0,"",(S198/S192)^(1/($D198-$D192-1))-1))</f>
        <v>-7.3928630397590012E-2</v>
      </c>
      <c r="T208" s="562"/>
      <c r="U208" s="578" t="str">
        <f>IF(U199=0,"",(S198/U199)^(1/(TestYear-RebaseYear-1))-1)</f>
        <v/>
      </c>
    </row>
    <row r="210" spans="3:21" ht="13.5" thickBot="1" x14ac:dyDescent="0.25">
      <c r="Q210" s="562"/>
      <c r="R210" s="562"/>
      <c r="S210" s="562"/>
      <c r="T210" s="562"/>
      <c r="U210" s="562"/>
    </row>
    <row r="211" spans="3:21" ht="12.75" customHeight="1" x14ac:dyDescent="0.2">
      <c r="C211" s="483"/>
      <c r="D211" s="487" t="s">
        <v>1011</v>
      </c>
      <c r="E211" s="487"/>
      <c r="F211" s="1938" t="s">
        <v>1004</v>
      </c>
      <c r="G211" s="1939"/>
      <c r="H211" s="1939"/>
      <c r="I211" s="1940"/>
      <c r="K211" s="1941" t="str">
        <f>IF(ISBLANK(N188),"",CONCATENATE("Demand (",N188,")"))</f>
        <v>Demand (kW)</v>
      </c>
      <c r="L211" s="1942"/>
      <c r="M211" s="1942"/>
      <c r="N211" s="1942"/>
      <c r="O211" s="1943"/>
      <c r="Q211" s="1944" t="str">
        <f>CONCATENATE("Demand (",N188,") per ",LEFT(F190,LEN(F190)-1))</f>
        <v>Demand (kW) per Customer</v>
      </c>
      <c r="R211" s="1945"/>
      <c r="S211" s="1945"/>
      <c r="T211" s="1945"/>
      <c r="U211" s="1946"/>
    </row>
    <row r="212" spans="3:21" ht="39" thickBot="1" x14ac:dyDescent="0.25">
      <c r="C212" s="488"/>
      <c r="D212" s="490" t="str">
        <f>CONCATENATE("(for ",TestYear," Cost of Service")</f>
        <v>(for 2019 Cost of Service</v>
      </c>
      <c r="E212" s="485"/>
      <c r="F212" s="1934"/>
      <c r="G212" s="1935"/>
      <c r="H212" s="1935"/>
      <c r="I212" s="504"/>
      <c r="K212" s="494"/>
      <c r="L212" s="628" t="s">
        <v>1031</v>
      </c>
      <c r="M212" s="628" t="s">
        <v>1015</v>
      </c>
      <c r="N212" s="512"/>
      <c r="O212" s="513" t="str">
        <f>M212</f>
        <v>Weather-normalized</v>
      </c>
      <c r="Q212" s="610"/>
      <c r="R212" s="628" t="str">
        <f>L212</f>
        <v>Actual (Weather actual)</v>
      </c>
      <c r="S212" s="628" t="str">
        <f>M212</f>
        <v>Weather-normalized</v>
      </c>
      <c r="T212" s="628"/>
      <c r="U212" s="629" t="str">
        <f>O212</f>
        <v>Weather-normalized</v>
      </c>
    </row>
    <row r="213" spans="3:21" x14ac:dyDescent="0.2">
      <c r="C213" s="485" t="s">
        <v>830</v>
      </c>
      <c r="D213" s="570">
        <f t="shared" ref="D213:D218" si="120">D214-1</f>
        <v>2013</v>
      </c>
      <c r="E213" s="484"/>
      <c r="F213" s="520" t="str">
        <f t="shared" ref="F213:F219" si="121">F192</f>
        <v>Actual</v>
      </c>
      <c r="G213" s="1549">
        <v>177934.02</v>
      </c>
      <c r="H213" s="554" t="str">
        <f t="shared" ref="H213:H219" si="122">IF(D213=RebaseYear,"Board-approved","")</f>
        <v/>
      </c>
      <c r="I213" s="590"/>
      <c r="K213" s="1561" t="str">
        <f t="shared" ref="K213:K219" si="123">K192</f>
        <v>Actual</v>
      </c>
      <c r="L213" s="1562">
        <v>3256.79</v>
      </c>
      <c r="M213" s="1562">
        <v>3256.79</v>
      </c>
      <c r="N213" s="1546" t="str">
        <f t="shared" ref="N213:N219" si="124">N192</f>
        <v/>
      </c>
      <c r="O213" s="590"/>
      <c r="Q213" s="592" t="str">
        <f>K213</f>
        <v>Actual</v>
      </c>
      <c r="R213" s="536">
        <f t="shared" ref="R213:R219" si="125">IF(G213=0,"",L213/G213)</f>
        <v>1.8303357615367766E-2</v>
      </c>
      <c r="S213" s="516">
        <f t="shared" ref="S213:S219" si="126">IF(G213=0,"",M213/G213)</f>
        <v>1.8303357615367766E-2</v>
      </c>
      <c r="T213" s="516" t="str">
        <f>N213</f>
        <v/>
      </c>
      <c r="U213" s="484" t="str">
        <f>IF(T213="","",IF(I213=0,"",O213/I213))</f>
        <v/>
      </c>
    </row>
    <row r="214" spans="3:21" x14ac:dyDescent="0.2">
      <c r="C214" s="485" t="s">
        <v>830</v>
      </c>
      <c r="D214" s="570">
        <f t="shared" si="120"/>
        <v>2014</v>
      </c>
      <c r="E214" s="484"/>
      <c r="F214" s="521" t="str">
        <f t="shared" si="121"/>
        <v>Actual</v>
      </c>
      <c r="G214" s="518">
        <v>709676.46</v>
      </c>
      <c r="H214" s="2" t="str">
        <f t="shared" si="122"/>
        <v>Board-approved</v>
      </c>
      <c r="I214" s="1550">
        <v>278919.24694493599</v>
      </c>
      <c r="K214" s="492" t="str">
        <f t="shared" si="123"/>
        <v>Actual</v>
      </c>
      <c r="L214" s="1555">
        <v>3238.8</v>
      </c>
      <c r="M214" s="1555">
        <v>3238.8</v>
      </c>
      <c r="N214" s="481" t="str">
        <f t="shared" si="124"/>
        <v>Board-approved</v>
      </c>
      <c r="O214" s="531"/>
      <c r="Q214" s="592" t="str">
        <f t="shared" ref="Q214:Q219" si="127">K214</f>
        <v>Actual</v>
      </c>
      <c r="R214" s="536">
        <f t="shared" si="125"/>
        <v>4.5637698057506377E-3</v>
      </c>
      <c r="S214" s="516">
        <f t="shared" si="126"/>
        <v>4.5637698057506377E-3</v>
      </c>
      <c r="T214" s="516" t="str">
        <f t="shared" ref="T214:T219" si="128">N214</f>
        <v>Board-approved</v>
      </c>
      <c r="U214" s="484">
        <f t="shared" ref="U214:U219" si="129">IF(T214="","",IF(I214=0,"",O214/I214))</f>
        <v>0</v>
      </c>
    </row>
    <row r="215" spans="3:21" x14ac:dyDescent="0.2">
      <c r="C215" s="485" t="s">
        <v>830</v>
      </c>
      <c r="D215" s="570">
        <f t="shared" si="120"/>
        <v>2015</v>
      </c>
      <c r="E215" s="484"/>
      <c r="F215" s="521" t="str">
        <f t="shared" si="121"/>
        <v>Actual</v>
      </c>
      <c r="G215" s="518">
        <v>267284.39999999997</v>
      </c>
      <c r="H215" s="2" t="str">
        <f t="shared" si="122"/>
        <v/>
      </c>
      <c r="I215" s="535"/>
      <c r="K215" s="492" t="str">
        <f t="shared" si="123"/>
        <v>Actual</v>
      </c>
      <c r="L215" s="1555">
        <v>2742.9900000000007</v>
      </c>
      <c r="M215" s="1555">
        <v>2742.9900000000007</v>
      </c>
      <c r="N215" s="481" t="str">
        <f t="shared" si="124"/>
        <v/>
      </c>
      <c r="O215" s="532"/>
      <c r="Q215" s="592" t="str">
        <f t="shared" si="127"/>
        <v>Actual</v>
      </c>
      <c r="R215" s="536">
        <f t="shared" si="125"/>
        <v>1.0262439558762132E-2</v>
      </c>
      <c r="S215" s="516">
        <f t="shared" si="126"/>
        <v>1.0262439558762132E-2</v>
      </c>
      <c r="T215" s="516" t="str">
        <f t="shared" si="128"/>
        <v/>
      </c>
      <c r="U215" s="484" t="str">
        <f t="shared" si="129"/>
        <v/>
      </c>
    </row>
    <row r="216" spans="3:21" x14ac:dyDescent="0.2">
      <c r="C216" s="485" t="s">
        <v>830</v>
      </c>
      <c r="D216" s="570">
        <f t="shared" si="120"/>
        <v>2016</v>
      </c>
      <c r="E216" s="484"/>
      <c r="F216" s="521" t="str">
        <f t="shared" si="121"/>
        <v>Actual</v>
      </c>
      <c r="G216" s="518">
        <v>260761.06</v>
      </c>
      <c r="H216" s="2" t="str">
        <f t="shared" si="122"/>
        <v/>
      </c>
      <c r="I216" s="531"/>
      <c r="K216" s="492" t="str">
        <f t="shared" si="123"/>
        <v>Actual</v>
      </c>
      <c r="L216" s="1555">
        <v>2373.42</v>
      </c>
      <c r="M216" s="1555">
        <v>2373.42</v>
      </c>
      <c r="N216" s="481" t="str">
        <f t="shared" si="124"/>
        <v/>
      </c>
      <c r="O216" s="531"/>
      <c r="Q216" s="592" t="str">
        <f t="shared" si="127"/>
        <v>Actual</v>
      </c>
      <c r="R216" s="536">
        <f t="shared" si="125"/>
        <v>9.101895812204476E-3</v>
      </c>
      <c r="S216" s="516">
        <f t="shared" si="126"/>
        <v>9.101895812204476E-3</v>
      </c>
      <c r="T216" s="516" t="str">
        <f t="shared" si="128"/>
        <v/>
      </c>
      <c r="U216" s="484" t="str">
        <f t="shared" si="129"/>
        <v/>
      </c>
    </row>
    <row r="217" spans="3:21" x14ac:dyDescent="0.2">
      <c r="C217" s="485" t="s">
        <v>830</v>
      </c>
      <c r="D217" s="570">
        <f t="shared" si="120"/>
        <v>2017</v>
      </c>
      <c r="E217" s="484"/>
      <c r="F217" s="521" t="str">
        <f t="shared" si="121"/>
        <v>Actual</v>
      </c>
      <c r="G217" s="518">
        <v>271284.06</v>
      </c>
      <c r="H217" s="2" t="str">
        <f t="shared" si="122"/>
        <v/>
      </c>
      <c r="I217" s="531"/>
      <c r="K217" s="492" t="str">
        <f t="shared" si="123"/>
        <v>Actual</v>
      </c>
      <c r="L217" s="1555">
        <v>2399.7999999999997</v>
      </c>
      <c r="M217" s="1555">
        <v>2399.7999999999997</v>
      </c>
      <c r="N217" s="481" t="str">
        <f t="shared" si="124"/>
        <v/>
      </c>
      <c r="O217" s="531"/>
      <c r="Q217" s="592" t="str">
        <f t="shared" si="127"/>
        <v>Actual</v>
      </c>
      <c r="R217" s="536">
        <f t="shared" si="125"/>
        <v>8.8460781661849203E-3</v>
      </c>
      <c r="S217" s="516">
        <f t="shared" si="126"/>
        <v>8.8460781661849203E-3</v>
      </c>
      <c r="T217" s="516" t="str">
        <f t="shared" si="128"/>
        <v/>
      </c>
      <c r="U217" s="484" t="str">
        <f t="shared" si="129"/>
        <v/>
      </c>
    </row>
    <row r="218" spans="3:21" x14ac:dyDescent="0.2">
      <c r="C218" s="485" t="s">
        <v>1009</v>
      </c>
      <c r="D218" s="570">
        <f t="shared" si="120"/>
        <v>2018</v>
      </c>
      <c r="E218" s="484"/>
      <c r="F218" s="521" t="str">
        <f t="shared" si="121"/>
        <v>Forecast</v>
      </c>
      <c r="G218" s="518">
        <v>277870.31581689644</v>
      </c>
      <c r="H218" s="2" t="str">
        <f t="shared" si="122"/>
        <v/>
      </c>
      <c r="I218" s="531"/>
      <c r="K218" s="492" t="str">
        <f t="shared" si="123"/>
        <v>Forecast</v>
      </c>
      <c r="L218" s="1560"/>
      <c r="M218" s="1555">
        <v>2438.9195714511152</v>
      </c>
      <c r="N218" s="481" t="str">
        <f t="shared" si="124"/>
        <v/>
      </c>
      <c r="O218" s="531"/>
      <c r="Q218" s="592" t="str">
        <f t="shared" si="127"/>
        <v>Forecast</v>
      </c>
      <c r="R218" s="536">
        <f t="shared" si="125"/>
        <v>0</v>
      </c>
      <c r="S218" s="516">
        <f t="shared" si="126"/>
        <v>8.7771864521802648E-3</v>
      </c>
      <c r="T218" s="516" t="str">
        <f t="shared" si="128"/>
        <v/>
      </c>
      <c r="U218" s="484" t="str">
        <f t="shared" si="129"/>
        <v/>
      </c>
    </row>
    <row r="219" spans="3:21" ht="13.5" thickBot="1" x14ac:dyDescent="0.25">
      <c r="C219" s="486" t="s">
        <v>1010</v>
      </c>
      <c r="D219" s="571">
        <f>TestYear</f>
        <v>2019</v>
      </c>
      <c r="E219" s="488"/>
      <c r="F219" s="522" t="str">
        <f t="shared" si="121"/>
        <v>Forecast</v>
      </c>
      <c r="G219" s="519">
        <v>224278.5</v>
      </c>
      <c r="H219" s="514" t="str">
        <f t="shared" si="122"/>
        <v/>
      </c>
      <c r="I219" s="533"/>
      <c r="K219" s="493" t="str">
        <f t="shared" si="123"/>
        <v>Forecast</v>
      </c>
      <c r="L219" s="1563"/>
      <c r="M219" s="1564">
        <v>2474.7419388126632</v>
      </c>
      <c r="N219" s="482" t="str">
        <f t="shared" si="124"/>
        <v/>
      </c>
      <c r="O219" s="533"/>
      <c r="Q219" s="526" t="str">
        <f t="shared" si="127"/>
        <v>Forecast</v>
      </c>
      <c r="R219" s="517">
        <f t="shared" si="125"/>
        <v>0</v>
      </c>
      <c r="S219" s="517">
        <f t="shared" si="126"/>
        <v>1.1034236178736095E-2</v>
      </c>
      <c r="T219" s="517" t="str">
        <f t="shared" si="128"/>
        <v/>
      </c>
      <c r="U219" s="488" t="str">
        <f t="shared" si="129"/>
        <v/>
      </c>
    </row>
    <row r="220" spans="3:21" ht="13.5" thickBot="1" x14ac:dyDescent="0.25">
      <c r="C220" s="573"/>
      <c r="I220" s="615">
        <f>SUM(I213:I218)</f>
        <v>278919.24694493599</v>
      </c>
      <c r="J220" s="536"/>
      <c r="O220" s="615">
        <f>SUM(O213:O218)</f>
        <v>0</v>
      </c>
      <c r="U220" s="615">
        <f>SUM(U213:U218)</f>
        <v>0</v>
      </c>
    </row>
    <row r="221" spans="3:21" ht="39" thickBot="1" x14ac:dyDescent="0.25">
      <c r="C221" s="607" t="s">
        <v>885</v>
      </c>
      <c r="D221" s="606" t="s">
        <v>10</v>
      </c>
      <c r="E221" s="630"/>
      <c r="F221" s="630"/>
      <c r="G221" s="630" t="s">
        <v>1027</v>
      </c>
      <c r="H221" s="630"/>
      <c r="I221" s="601" t="str">
        <f>I200</f>
        <v>Test Year Versus Board-approved</v>
      </c>
      <c r="J221" s="614"/>
      <c r="K221" s="602" t="s">
        <v>10</v>
      </c>
      <c r="L221" s="1936" t="s">
        <v>1027</v>
      </c>
      <c r="M221" s="1936"/>
      <c r="N221" s="630"/>
      <c r="O221" s="601" t="str">
        <f>I221</f>
        <v>Test Year Versus Board-approved</v>
      </c>
      <c r="P221" s="587"/>
      <c r="Q221" s="602" t="s">
        <v>10</v>
      </c>
      <c r="R221" s="1936" t="s">
        <v>1027</v>
      </c>
      <c r="S221" s="1936"/>
      <c r="T221" s="630"/>
      <c r="U221" s="601" t="str">
        <f>O221</f>
        <v>Test Year Versus Board-approved</v>
      </c>
    </row>
    <row r="222" spans="3:21" x14ac:dyDescent="0.2">
      <c r="C222" s="484"/>
      <c r="D222" s="609">
        <f t="shared" ref="D222:D228" si="130">D213</f>
        <v>2013</v>
      </c>
      <c r="E222" s="552"/>
      <c r="F222" s="536"/>
      <c r="G222" s="579"/>
      <c r="H222" s="536"/>
      <c r="I222" s="585"/>
      <c r="J222" s="484"/>
      <c r="K222" s="570">
        <f>D222</f>
        <v>2013</v>
      </c>
      <c r="L222" s="558"/>
      <c r="M222" s="558"/>
      <c r="N222" s="536"/>
      <c r="O222" s="588"/>
      <c r="P222" s="484"/>
      <c r="Q222" s="570">
        <f>K222</f>
        <v>2013</v>
      </c>
      <c r="R222" s="537"/>
      <c r="S222" s="537"/>
      <c r="T222" s="536"/>
      <c r="U222" s="531"/>
    </row>
    <row r="223" spans="3:21" x14ac:dyDescent="0.2">
      <c r="C223" s="484"/>
      <c r="D223" s="572">
        <f t="shared" si="130"/>
        <v>2014</v>
      </c>
      <c r="E223" s="536"/>
      <c r="F223" s="536"/>
      <c r="G223" s="580">
        <f t="shared" ref="G223:G228" si="131">IF(G213=0,"",G214/G213-1)</f>
        <v>2.988424810499982</v>
      </c>
      <c r="H223" s="536"/>
      <c r="I223" s="585"/>
      <c r="J223" s="484"/>
      <c r="K223" s="570">
        <f t="shared" ref="K223:K229" si="132">D223</f>
        <v>2014</v>
      </c>
      <c r="L223" s="560">
        <f t="shared" ref="L223:M226" si="133">IF(L213=0,"",L214/L213-1)</f>
        <v>-5.5238440304716807E-3</v>
      </c>
      <c r="M223" s="560">
        <f t="shared" si="133"/>
        <v>-5.5238440304716807E-3</v>
      </c>
      <c r="N223" s="536"/>
      <c r="O223" s="588"/>
      <c r="P223" s="484"/>
      <c r="Q223" s="570">
        <f t="shared" ref="Q223:Q229" si="134">K223</f>
        <v>2014</v>
      </c>
      <c r="R223" s="581">
        <f t="shared" ref="R223:S226" si="135">IF(R213="","",IF(R213=0,"",R214/R213-1))</f>
        <v>-0.7506594198914176</v>
      </c>
      <c r="S223" s="581">
        <f t="shared" si="135"/>
        <v>-0.7506594198914176</v>
      </c>
      <c r="T223" s="536"/>
      <c r="U223" s="531"/>
    </row>
    <row r="224" spans="3:21" x14ac:dyDescent="0.2">
      <c r="C224" s="484"/>
      <c r="D224" s="608">
        <f t="shared" si="130"/>
        <v>2015</v>
      </c>
      <c r="E224" s="536"/>
      <c r="F224" s="536"/>
      <c r="G224" s="580">
        <f t="shared" si="131"/>
        <v>-0.6233714726848909</v>
      </c>
      <c r="H224" s="536"/>
      <c r="I224" s="585"/>
      <c r="J224" s="484"/>
      <c r="K224" s="570">
        <f t="shared" si="132"/>
        <v>2015</v>
      </c>
      <c r="L224" s="560">
        <f t="shared" si="133"/>
        <v>-0.15308447573175232</v>
      </c>
      <c r="M224" s="560">
        <f t="shared" si="133"/>
        <v>-0.15308447573175232</v>
      </c>
      <c r="N224" s="536"/>
      <c r="O224" s="588"/>
      <c r="P224" s="484"/>
      <c r="Q224" s="570">
        <f t="shared" si="134"/>
        <v>2015</v>
      </c>
      <c r="R224" s="581">
        <f t="shared" si="135"/>
        <v>1.2486759840145334</v>
      </c>
      <c r="S224" s="581">
        <f t="shared" si="135"/>
        <v>1.2486759840145334</v>
      </c>
      <c r="T224" s="536"/>
      <c r="U224" s="531"/>
    </row>
    <row r="225" spans="2:22" x14ac:dyDescent="0.2">
      <c r="C225" s="484"/>
      <c r="D225" s="572">
        <f t="shared" si="130"/>
        <v>2016</v>
      </c>
      <c r="E225" s="536"/>
      <c r="F225" s="536"/>
      <c r="G225" s="580">
        <f t="shared" si="131"/>
        <v>-2.4405988527575806E-2</v>
      </c>
      <c r="H225" s="536"/>
      <c r="I225" s="585"/>
      <c r="J225" s="484"/>
      <c r="K225" s="570">
        <f t="shared" si="132"/>
        <v>2016</v>
      </c>
      <c r="L225" s="560">
        <f t="shared" si="133"/>
        <v>-0.13473253639276872</v>
      </c>
      <c r="M225" s="560">
        <f t="shared" si="133"/>
        <v>-0.13473253639276872</v>
      </c>
      <c r="N225" s="536"/>
      <c r="O225" s="588"/>
      <c r="P225" s="484"/>
      <c r="Q225" s="570">
        <f t="shared" si="134"/>
        <v>2016</v>
      </c>
      <c r="R225" s="581">
        <f t="shared" si="135"/>
        <v>-0.11308653657957735</v>
      </c>
      <c r="S225" s="581">
        <f t="shared" si="135"/>
        <v>-0.11308653657957735</v>
      </c>
      <c r="T225" s="536"/>
      <c r="U225" s="531"/>
    </row>
    <row r="226" spans="2:22" x14ac:dyDescent="0.2">
      <c r="C226" s="484"/>
      <c r="D226" s="572">
        <f t="shared" si="130"/>
        <v>2017</v>
      </c>
      <c r="E226" s="536"/>
      <c r="F226" s="536"/>
      <c r="G226" s="580">
        <f t="shared" si="131"/>
        <v>4.0354951770789738E-2</v>
      </c>
      <c r="H226" s="536"/>
      <c r="I226" s="585"/>
      <c r="J226" s="484"/>
      <c r="K226" s="570">
        <f t="shared" si="132"/>
        <v>2017</v>
      </c>
      <c r="L226" s="560">
        <f t="shared" si="133"/>
        <v>1.1114762663161137E-2</v>
      </c>
      <c r="M226" s="560">
        <f t="shared" si="133"/>
        <v>1.1114762663161137E-2</v>
      </c>
      <c r="N226" s="536"/>
      <c r="O226" s="588"/>
      <c r="P226" s="484"/>
      <c r="Q226" s="570">
        <f t="shared" si="134"/>
        <v>2017</v>
      </c>
      <c r="R226" s="581">
        <f t="shared" si="135"/>
        <v>-2.8105973886949687E-2</v>
      </c>
      <c r="S226" s="581">
        <f t="shared" si="135"/>
        <v>-2.8105973886949687E-2</v>
      </c>
      <c r="T226" s="536"/>
      <c r="U226" s="531"/>
    </row>
    <row r="227" spans="2:22" x14ac:dyDescent="0.2">
      <c r="C227" s="484"/>
      <c r="D227" s="572">
        <f t="shared" si="130"/>
        <v>2018</v>
      </c>
      <c r="E227" s="536"/>
      <c r="F227" s="536"/>
      <c r="G227" s="580">
        <f t="shared" si="131"/>
        <v>2.4278078914391266E-2</v>
      </c>
      <c r="H227" s="536"/>
      <c r="I227" s="585"/>
      <c r="J227" s="484"/>
      <c r="K227" s="570">
        <f t="shared" si="132"/>
        <v>2018</v>
      </c>
      <c r="L227" s="560" t="str">
        <f>IF(K218="Forecast","",IF(L217=0,"",L218/L217-1))</f>
        <v/>
      </c>
      <c r="M227" s="560">
        <f>IF(M217=0,"",M218/M217-1)</f>
        <v>1.6301179869620652E-2</v>
      </c>
      <c r="N227" s="536"/>
      <c r="O227" s="588"/>
      <c r="P227" s="484"/>
      <c r="Q227" s="570">
        <f t="shared" si="134"/>
        <v>2018</v>
      </c>
      <c r="R227" s="581" t="str">
        <f>IF(Q218="Forecast","",IF(R217=0,"",R218/R217-1))</f>
        <v/>
      </c>
      <c r="S227" s="581">
        <f>IF(S217="","",IF(S217=0,"",S218/S217-1))</f>
        <v>-7.7878256002757995E-3</v>
      </c>
      <c r="T227" s="536"/>
      <c r="U227" s="531"/>
    </row>
    <row r="228" spans="2:22" x14ac:dyDescent="0.2">
      <c r="C228" s="484"/>
      <c r="D228" s="608">
        <f t="shared" si="130"/>
        <v>2019</v>
      </c>
      <c r="E228" s="536"/>
      <c r="F228" s="536"/>
      <c r="G228" s="580">
        <f t="shared" si="131"/>
        <v>-0.19286628605630174</v>
      </c>
      <c r="H228" s="536"/>
      <c r="I228" s="586">
        <f>IF(I220=0,"",G219/I220-1)</f>
        <v>-0.19590167241389089</v>
      </c>
      <c r="J228" s="484"/>
      <c r="K228" s="570">
        <f t="shared" si="132"/>
        <v>2019</v>
      </c>
      <c r="L228" s="560" t="str">
        <f>IF(K219="Forecast","",IF(L218=0,"",L219/L218-1))</f>
        <v/>
      </c>
      <c r="M228" s="560">
        <f>IF(M218=0,"",M219/M218-1)</f>
        <v>1.4687801836874126E-2</v>
      </c>
      <c r="N228" s="536"/>
      <c r="O228" s="589" t="str">
        <f>IF(O220=0,"",M219/O220-1)</f>
        <v/>
      </c>
      <c r="P228" s="484"/>
      <c r="Q228" s="570">
        <f t="shared" si="134"/>
        <v>2019</v>
      </c>
      <c r="R228" s="581" t="str">
        <f>IF(Q219="Forecast","",IF(R218=0,"",R219/R218-1))</f>
        <v/>
      </c>
      <c r="S228" s="581">
        <f>IF(S218="","",IF(S218=0,"",S219/S218-1))</f>
        <v>0.25714957052042298</v>
      </c>
      <c r="T228" s="536"/>
      <c r="U228" s="561" t="str">
        <f>IF(U220=0,"",S219/U220-1)</f>
        <v/>
      </c>
    </row>
    <row r="229" spans="2:22" ht="26.25" thickBot="1" x14ac:dyDescent="0.25">
      <c r="C229" s="488"/>
      <c r="D229" s="612" t="s">
        <v>1026</v>
      </c>
      <c r="E229" s="562"/>
      <c r="F229" s="562"/>
      <c r="G229" s="582">
        <f>IF(G213=0,"",(G219/G213)^(1/($D219-$D213-1))-1)</f>
        <v>4.738350597427754E-2</v>
      </c>
      <c r="H229" s="562"/>
      <c r="I229" s="578">
        <f>IF(I220=0,"",(G219/I220)^(1/(TestYear-RebaseYear-1))-1)</f>
        <v>-5.304947380026781E-2</v>
      </c>
      <c r="J229" s="484"/>
      <c r="K229" s="611" t="str">
        <f t="shared" si="132"/>
        <v>Geometric Mean</v>
      </c>
      <c r="L229" s="565">
        <f>IF(L213=0,"",(L217/L213)^(1/($D217-$D213-1))-1)</f>
        <v>-9.6776772021138324E-2</v>
      </c>
      <c r="M229" s="565">
        <f>IF(M213=0,"",(M219/M213)^(1/($D219-$D213-1))-1)</f>
        <v>-5.3440251740708433E-2</v>
      </c>
      <c r="N229" s="562"/>
      <c r="O229" s="578" t="str">
        <f>IF(O220=0,"",(M219/O220)^(1/(TestYear-RebaseYear-1))-1)</f>
        <v/>
      </c>
      <c r="P229" s="488"/>
      <c r="Q229" s="611" t="str">
        <f t="shared" si="134"/>
        <v>Geometric Mean</v>
      </c>
      <c r="R229" s="583">
        <f>IF(R213="","",IF(R213=0,"",(R217/R213)^(1/($D217-$D213-1))-1))</f>
        <v>-0.21523431890313416</v>
      </c>
      <c r="S229" s="565">
        <f>IF(S213="","",IF(S213=0,"",(S219/S213)^(1/($D219-$D213-1))-1))</f>
        <v>-9.6262502836723107E-2</v>
      </c>
      <c r="T229" s="562"/>
      <c r="U229" s="578" t="str">
        <f>IF(U220=0,"",(S219/U220)^(1/(TestYear-RebaseYear-1))-1)</f>
        <v/>
      </c>
    </row>
    <row r="230" spans="2:22" ht="13.5" thickBot="1" x14ac:dyDescent="0.25"/>
    <row r="231" spans="2:22" ht="13.5" thickBot="1" x14ac:dyDescent="0.25">
      <c r="B231" s="525">
        <v>5</v>
      </c>
      <c r="C231" s="3" t="s">
        <v>9</v>
      </c>
      <c r="D231" s="1947" t="s">
        <v>1083</v>
      </c>
      <c r="E231" s="1948"/>
      <c r="F231" s="1949"/>
      <c r="G231" s="499"/>
      <c r="H231" s="9" t="s">
        <v>1029</v>
      </c>
      <c r="N231" s="524" t="s">
        <v>70</v>
      </c>
      <c r="O231" s="523"/>
      <c r="P231" s="523"/>
      <c r="Q231" s="523"/>
      <c r="R231" s="523"/>
      <c r="S231" s="523"/>
      <c r="T231" s="523"/>
      <c r="U231" s="523"/>
    </row>
    <row r="232" spans="2:22" ht="13.5" thickBot="1" x14ac:dyDescent="0.25">
      <c r="Q232" s="562"/>
      <c r="R232" s="562"/>
      <c r="S232" s="562"/>
      <c r="T232" s="562"/>
      <c r="U232" s="562"/>
    </row>
    <row r="233" spans="2:22" x14ac:dyDescent="0.2">
      <c r="C233" s="483"/>
      <c r="D233" s="487" t="s">
        <v>1011</v>
      </c>
      <c r="E233" s="487"/>
      <c r="F233" s="1950" t="s">
        <v>945</v>
      </c>
      <c r="G233" s="1951"/>
      <c r="H233" s="1951"/>
      <c r="I233" s="1952"/>
      <c r="J233" s="487"/>
      <c r="K233" s="1941" t="s">
        <v>1018</v>
      </c>
      <c r="L233" s="1942"/>
      <c r="M233" s="1942"/>
      <c r="N233" s="1942"/>
      <c r="O233" s="1943"/>
      <c r="P233" s="495"/>
      <c r="Q233" s="1944" t="str">
        <f>CONCATENATE("Consumption (kWh) per ",LEFT(F233,LEN(F233)-1))</f>
        <v>Consumption (kWh) per Customer</v>
      </c>
      <c r="R233" s="1945"/>
      <c r="S233" s="1945"/>
      <c r="T233" s="1945"/>
      <c r="U233" s="1946"/>
      <c r="V233" s="515"/>
    </row>
    <row r="234" spans="2:22" ht="39" thickBot="1" x14ac:dyDescent="0.25">
      <c r="C234" s="488"/>
      <c r="D234" s="490" t="str">
        <f>CONCATENATE("(for ",TestYear," Cost of Service")</f>
        <v>(for 2019 Cost of Service</v>
      </c>
      <c r="E234" s="485"/>
      <c r="F234" s="1934"/>
      <c r="G234" s="1935"/>
      <c r="H234" s="1937"/>
      <c r="I234" s="504"/>
      <c r="J234" s="485"/>
      <c r="K234" s="494"/>
      <c r="L234" s="628" t="s">
        <v>1031</v>
      </c>
      <c r="M234" s="628" t="s">
        <v>1015</v>
      </c>
      <c r="N234" s="512"/>
      <c r="O234" s="513" t="s">
        <v>1015</v>
      </c>
      <c r="P234" s="485"/>
      <c r="Q234" s="596"/>
      <c r="R234" s="597" t="str">
        <f>L234</f>
        <v>Actual (Weather actual)</v>
      </c>
      <c r="S234" s="598" t="str">
        <f>M234</f>
        <v>Weather-normalized</v>
      </c>
      <c r="T234" s="598"/>
      <c r="U234" s="599" t="str">
        <f>O234</f>
        <v>Weather-normalized</v>
      </c>
      <c r="V234" s="515"/>
    </row>
    <row r="235" spans="2:22" x14ac:dyDescent="0.2">
      <c r="C235" s="485" t="s">
        <v>830</v>
      </c>
      <c r="D235" s="570">
        <f t="shared" ref="D235:D240" si="136">D236-1</f>
        <v>2013</v>
      </c>
      <c r="E235" s="484"/>
      <c r="F235" s="520" t="str">
        <f>F192</f>
        <v>Actual</v>
      </c>
      <c r="G235" s="1541">
        <v>21.375</v>
      </c>
      <c r="H235" s="566" t="str">
        <f t="shared" ref="H235:H241" si="137">IF(D235=RebaseYear,"Board-approved","")</f>
        <v/>
      </c>
      <c r="I235" s="531"/>
      <c r="J235" s="484"/>
      <c r="K235" s="1561" t="str">
        <f>F235</f>
        <v>Actual</v>
      </c>
      <c r="L235" s="1562">
        <v>234467.23</v>
      </c>
      <c r="M235" s="1562">
        <v>234467.23</v>
      </c>
      <c r="N235" s="1546" t="str">
        <f>H235</f>
        <v/>
      </c>
      <c r="O235" s="590"/>
      <c r="P235" s="484"/>
      <c r="Q235" s="592" t="str">
        <f>K235</f>
        <v>Actual</v>
      </c>
      <c r="R235" s="594">
        <f>IF(G235=0,"",L235/G235)</f>
        <v>10969.227134502924</v>
      </c>
      <c r="S235" s="536">
        <f>IF(G235=0,"",M235/G235)</f>
        <v>10969.227134502924</v>
      </c>
      <c r="T235" s="536" t="str">
        <f>N235</f>
        <v/>
      </c>
      <c r="U235" s="536" t="str">
        <f>IF(T235="","",IF(I235=0,"",O235/I235))</f>
        <v/>
      </c>
      <c r="V235" s="516"/>
    </row>
    <row r="236" spans="2:22" x14ac:dyDescent="0.2">
      <c r="C236" s="485" t="s">
        <v>830</v>
      </c>
      <c r="D236" s="570">
        <f t="shared" si="136"/>
        <v>2014</v>
      </c>
      <c r="E236" s="484"/>
      <c r="F236" s="521" t="str">
        <f t="shared" ref="F236:F241" si="138">F193</f>
        <v>Actual</v>
      </c>
      <c r="G236" s="508">
        <v>21.625</v>
      </c>
      <c r="H236" s="505" t="str">
        <f t="shared" si="137"/>
        <v>Board-approved</v>
      </c>
      <c r="I236" s="531"/>
      <c r="J236" s="484"/>
      <c r="K236" s="492" t="str">
        <f t="shared" ref="K236:K241" si="139">F236</f>
        <v>Actual</v>
      </c>
      <c r="L236" s="1555">
        <v>230816.74</v>
      </c>
      <c r="M236" s="1555">
        <v>230816.74</v>
      </c>
      <c r="N236" s="481" t="str">
        <f t="shared" ref="N236:N241" si="140">H236</f>
        <v>Board-approved</v>
      </c>
      <c r="O236" s="531"/>
      <c r="P236" s="484"/>
      <c r="Q236" s="592" t="str">
        <f t="shared" ref="Q236:Q241" si="141">K236</f>
        <v>Actual</v>
      </c>
      <c r="R236" s="594">
        <f t="shared" ref="R236:R241" si="142">IF(G236=0,"",L236/G236)</f>
        <v>10673.606473988439</v>
      </c>
      <c r="S236" s="536">
        <f t="shared" ref="S236:S241" si="143">IF(G236=0,"",M236/G236)</f>
        <v>10673.606473988439</v>
      </c>
      <c r="T236" s="536" t="str">
        <f t="shared" ref="T236:T241" si="144">N236</f>
        <v>Board-approved</v>
      </c>
      <c r="U236" s="536" t="str">
        <f t="shared" ref="U236:U241" si="145">IF(T236="","",IF(I236=0,"",O236/I236))</f>
        <v/>
      </c>
      <c r="V236" s="516"/>
    </row>
    <row r="237" spans="2:22" x14ac:dyDescent="0.2">
      <c r="C237" s="485" t="s">
        <v>830</v>
      </c>
      <c r="D237" s="570">
        <f t="shared" si="136"/>
        <v>2015</v>
      </c>
      <c r="E237" s="484"/>
      <c r="F237" s="521" t="str">
        <f t="shared" si="138"/>
        <v>Actual</v>
      </c>
      <c r="G237" s="508">
        <v>20.208333333333332</v>
      </c>
      <c r="H237" s="505" t="str">
        <f t="shared" si="137"/>
        <v/>
      </c>
      <c r="I237" s="532"/>
      <c r="J237" s="484"/>
      <c r="K237" s="492" t="str">
        <f t="shared" si="139"/>
        <v>Actual</v>
      </c>
      <c r="L237" s="1555">
        <v>224901.2</v>
      </c>
      <c r="M237" s="1555">
        <v>224901.2</v>
      </c>
      <c r="N237" s="481" t="str">
        <f t="shared" si="140"/>
        <v/>
      </c>
      <c r="O237" s="532"/>
      <c r="P237" s="484"/>
      <c r="Q237" s="592" t="str">
        <f t="shared" si="141"/>
        <v>Actual</v>
      </c>
      <c r="R237" s="594">
        <f t="shared" si="142"/>
        <v>11129.131546391754</v>
      </c>
      <c r="S237" s="536">
        <f t="shared" si="143"/>
        <v>11129.131546391754</v>
      </c>
      <c r="T237" s="536" t="str">
        <f t="shared" si="144"/>
        <v/>
      </c>
      <c r="U237" s="536" t="str">
        <f t="shared" si="145"/>
        <v/>
      </c>
      <c r="V237" s="516"/>
    </row>
    <row r="238" spans="2:22" x14ac:dyDescent="0.2">
      <c r="C238" s="485" t="s">
        <v>830</v>
      </c>
      <c r="D238" s="570">
        <f t="shared" si="136"/>
        <v>2016</v>
      </c>
      <c r="E238" s="484"/>
      <c r="F238" s="521" t="str">
        <f t="shared" si="138"/>
        <v>Actual</v>
      </c>
      <c r="G238" s="508">
        <v>17.708333333333332</v>
      </c>
      <c r="H238" s="505" t="str">
        <f t="shared" si="137"/>
        <v/>
      </c>
      <c r="I238" s="531"/>
      <c r="J238" s="484"/>
      <c r="K238" s="492" t="str">
        <f t="shared" si="139"/>
        <v>Actual</v>
      </c>
      <c r="L238" s="1555">
        <v>224075.16999999998</v>
      </c>
      <c r="M238" s="1555">
        <v>224075.16999999998</v>
      </c>
      <c r="N238" s="481" t="str">
        <f t="shared" si="140"/>
        <v/>
      </c>
      <c r="O238" s="531"/>
      <c r="P238" s="484"/>
      <c r="Q238" s="592" t="str">
        <f t="shared" si="141"/>
        <v>Actual</v>
      </c>
      <c r="R238" s="594">
        <f t="shared" si="142"/>
        <v>12653.656658823529</v>
      </c>
      <c r="S238" s="536">
        <f t="shared" si="143"/>
        <v>12653.656658823529</v>
      </c>
      <c r="T238" s="536" t="str">
        <f t="shared" si="144"/>
        <v/>
      </c>
      <c r="U238" s="536" t="str">
        <f t="shared" si="145"/>
        <v/>
      </c>
      <c r="V238" s="516"/>
    </row>
    <row r="239" spans="2:22" x14ac:dyDescent="0.2">
      <c r="C239" s="485" t="s">
        <v>830</v>
      </c>
      <c r="D239" s="570">
        <f t="shared" si="136"/>
        <v>2017</v>
      </c>
      <c r="E239" s="484"/>
      <c r="F239" s="521" t="str">
        <f t="shared" si="138"/>
        <v>Actual</v>
      </c>
      <c r="G239" s="508">
        <v>21.25</v>
      </c>
      <c r="H239" s="505" t="str">
        <f t="shared" si="137"/>
        <v/>
      </c>
      <c r="I239" s="531"/>
      <c r="J239" s="484"/>
      <c r="K239" s="492" t="str">
        <f t="shared" si="139"/>
        <v>Actual</v>
      </c>
      <c r="L239" s="1555">
        <v>250759.37</v>
      </c>
      <c r="M239" s="1555">
        <v>250759.37</v>
      </c>
      <c r="N239" s="481" t="str">
        <f t="shared" si="140"/>
        <v/>
      </c>
      <c r="O239" s="531"/>
      <c r="P239" s="484"/>
      <c r="Q239" s="592" t="str">
        <f t="shared" si="141"/>
        <v>Actual</v>
      </c>
      <c r="R239" s="594">
        <f t="shared" si="142"/>
        <v>11800.44094117647</v>
      </c>
      <c r="S239" s="536">
        <f t="shared" si="143"/>
        <v>11800.44094117647</v>
      </c>
      <c r="T239" s="536" t="str">
        <f t="shared" si="144"/>
        <v/>
      </c>
      <c r="U239" s="536" t="str">
        <f t="shared" si="145"/>
        <v/>
      </c>
      <c r="V239" s="516"/>
    </row>
    <row r="240" spans="2:22" x14ac:dyDescent="0.2">
      <c r="C240" s="485" t="s">
        <v>289</v>
      </c>
      <c r="D240" s="570">
        <f t="shared" si="136"/>
        <v>2018</v>
      </c>
      <c r="E240" s="484"/>
      <c r="F240" s="521" t="str">
        <f t="shared" si="138"/>
        <v>Forecast</v>
      </c>
      <c r="G240" s="508">
        <v>26</v>
      </c>
      <c r="H240" s="505" t="str">
        <f t="shared" si="137"/>
        <v/>
      </c>
      <c r="I240" s="531"/>
      <c r="J240" s="484"/>
      <c r="K240" s="492" t="str">
        <f t="shared" si="139"/>
        <v>Forecast</v>
      </c>
      <c r="L240" s="1560"/>
      <c r="M240" s="1555">
        <v>251508.00000000023</v>
      </c>
      <c r="N240" s="481" t="str">
        <f t="shared" si="140"/>
        <v/>
      </c>
      <c r="O240" s="531"/>
      <c r="P240" s="484"/>
      <c r="Q240" s="592" t="str">
        <f t="shared" si="141"/>
        <v>Forecast</v>
      </c>
      <c r="R240" s="594">
        <f t="shared" si="142"/>
        <v>0</v>
      </c>
      <c r="S240" s="536">
        <f t="shared" si="143"/>
        <v>9673.3846153846243</v>
      </c>
      <c r="T240" s="536" t="str">
        <f t="shared" si="144"/>
        <v/>
      </c>
      <c r="U240" s="536" t="str">
        <f t="shared" si="145"/>
        <v/>
      </c>
      <c r="V240" s="516"/>
    </row>
    <row r="241" spans="2:22" ht="13.5" thickBot="1" x14ac:dyDescent="0.25">
      <c r="C241" s="486" t="s">
        <v>290</v>
      </c>
      <c r="D241" s="571">
        <f>TestYear</f>
        <v>2019</v>
      </c>
      <c r="E241" s="488"/>
      <c r="F241" s="522" t="str">
        <f t="shared" si="138"/>
        <v>Forecast</v>
      </c>
      <c r="G241" s="509">
        <v>26</v>
      </c>
      <c r="H241" s="506" t="str">
        <f t="shared" si="137"/>
        <v/>
      </c>
      <c r="I241" s="533"/>
      <c r="J241" s="488"/>
      <c r="K241" s="493" t="str">
        <f t="shared" si="139"/>
        <v>Forecast</v>
      </c>
      <c r="L241" s="1563"/>
      <c r="M241" s="1564">
        <v>251508.00000000023</v>
      </c>
      <c r="N241" s="482" t="str">
        <f t="shared" si="140"/>
        <v/>
      </c>
      <c r="O241" s="533"/>
      <c r="P241" s="488"/>
      <c r="Q241" s="593" t="str">
        <f t="shared" si="141"/>
        <v>Forecast</v>
      </c>
      <c r="R241" s="595">
        <f t="shared" si="142"/>
        <v>0</v>
      </c>
      <c r="S241" s="562">
        <f t="shared" si="143"/>
        <v>9673.3846153846243</v>
      </c>
      <c r="T241" s="562" t="str">
        <f t="shared" si="144"/>
        <v/>
      </c>
      <c r="U241" s="562" t="str">
        <f t="shared" si="145"/>
        <v/>
      </c>
      <c r="V241" s="516"/>
    </row>
    <row r="242" spans="2:22" ht="13.5" thickBot="1" x14ac:dyDescent="0.25">
      <c r="B242" s="536"/>
      <c r="C242" s="573"/>
      <c r="I242" s="615">
        <f>SUM(I235:I240)</f>
        <v>0</v>
      </c>
      <c r="O242" s="615">
        <f>SUM(O235:O240)</f>
        <v>0</v>
      </c>
      <c r="U242" s="615">
        <f>SUM(U235:U240)</f>
        <v>0</v>
      </c>
    </row>
    <row r="243" spans="2:22" ht="39" thickBot="1" x14ac:dyDescent="0.25">
      <c r="C243" s="607" t="s">
        <v>885</v>
      </c>
      <c r="D243" s="606" t="s">
        <v>10</v>
      </c>
      <c r="E243" s="568"/>
      <c r="F243" s="568"/>
      <c r="G243" s="630" t="s">
        <v>1027</v>
      </c>
      <c r="H243" s="568"/>
      <c r="I243" s="601" t="s">
        <v>1040</v>
      </c>
      <c r="J243" s="603"/>
      <c r="K243" s="602" t="s">
        <v>10</v>
      </c>
      <c r="L243" s="1936" t="s">
        <v>1027</v>
      </c>
      <c r="M243" s="1936"/>
      <c r="N243" s="568"/>
      <c r="O243" s="601" t="str">
        <f>I243</f>
        <v>Test Year Versus Board-approved</v>
      </c>
      <c r="P243" s="604"/>
      <c r="Q243" s="602" t="s">
        <v>10</v>
      </c>
      <c r="R243" s="1936" t="s">
        <v>1027</v>
      </c>
      <c r="S243" s="1936"/>
      <c r="T243" s="568"/>
      <c r="U243" s="601" t="str">
        <f>O243</f>
        <v>Test Year Versus Board-approved</v>
      </c>
    </row>
    <row r="244" spans="2:22" x14ac:dyDescent="0.2">
      <c r="C244" s="484"/>
      <c r="D244" s="584">
        <f t="shared" ref="D244:D250" si="146">D235</f>
        <v>2013</v>
      </c>
      <c r="E244" s="536"/>
      <c r="F244" s="536"/>
      <c r="G244" s="579"/>
      <c r="H244" s="536"/>
      <c r="I244" s="585"/>
      <c r="J244" s="591"/>
      <c r="K244" s="570">
        <f>D244</f>
        <v>2013</v>
      </c>
      <c r="L244" s="558"/>
      <c r="M244" s="558"/>
      <c r="N244" s="536"/>
      <c r="O244" s="531"/>
      <c r="P244" s="484"/>
      <c r="Q244" s="570">
        <f>K244</f>
        <v>2013</v>
      </c>
      <c r="R244" s="537"/>
      <c r="S244" s="537"/>
      <c r="T244" s="536"/>
      <c r="U244" s="531"/>
    </row>
    <row r="245" spans="2:22" x14ac:dyDescent="0.2">
      <c r="C245" s="484"/>
      <c r="D245" s="572">
        <f t="shared" si="146"/>
        <v>2014</v>
      </c>
      <c r="E245" s="536"/>
      <c r="F245" s="536"/>
      <c r="G245" s="580">
        <f t="shared" ref="G245:G250" si="147">IF(G235=0,"",G236/G235-1)</f>
        <v>1.1695906432748648E-2</v>
      </c>
      <c r="H245" s="536"/>
      <c r="I245" s="585"/>
      <c r="J245" s="591"/>
      <c r="K245" s="570">
        <f t="shared" ref="K245:K251" si="148">D245</f>
        <v>2014</v>
      </c>
      <c r="L245" s="560">
        <f t="shared" ref="L245:M248" si="149">IF(L235=0,"",L236/L235-1)</f>
        <v>-1.5569297253181236E-2</v>
      </c>
      <c r="M245" s="560">
        <f t="shared" si="149"/>
        <v>-1.5569297253181236E-2</v>
      </c>
      <c r="N245" s="536"/>
      <c r="O245" s="531"/>
      <c r="P245" s="484"/>
      <c r="Q245" s="570">
        <f t="shared" ref="Q245:Q251" si="150">K245</f>
        <v>2014</v>
      </c>
      <c r="R245" s="581">
        <f t="shared" ref="R245:S248" si="151">IF(R235="","",IF(R235=0,"",R236/R235-1))</f>
        <v>-2.6949999019040383E-2</v>
      </c>
      <c r="S245" s="581">
        <f t="shared" si="151"/>
        <v>-2.6949999019040383E-2</v>
      </c>
      <c r="T245" s="536"/>
      <c r="U245" s="531"/>
    </row>
    <row r="246" spans="2:22" x14ac:dyDescent="0.2">
      <c r="C246" s="484"/>
      <c r="D246" s="572">
        <f t="shared" si="146"/>
        <v>2015</v>
      </c>
      <c r="E246" s="536"/>
      <c r="F246" s="536"/>
      <c r="G246" s="580">
        <f t="shared" si="147"/>
        <v>-6.5510597302504858E-2</v>
      </c>
      <c r="H246" s="536"/>
      <c r="I246" s="585"/>
      <c r="J246" s="591"/>
      <c r="K246" s="570">
        <f t="shared" si="148"/>
        <v>2015</v>
      </c>
      <c r="L246" s="560">
        <f t="shared" si="149"/>
        <v>-2.562873039451119E-2</v>
      </c>
      <c r="M246" s="560">
        <f t="shared" si="149"/>
        <v>-2.562873039451119E-2</v>
      </c>
      <c r="N246" s="536"/>
      <c r="O246" s="531"/>
      <c r="P246" s="484"/>
      <c r="Q246" s="570">
        <f t="shared" si="150"/>
        <v>2015</v>
      </c>
      <c r="R246" s="581">
        <f t="shared" si="151"/>
        <v>4.2677709124224306E-2</v>
      </c>
      <c r="S246" s="581">
        <f t="shared" si="151"/>
        <v>4.2677709124224306E-2</v>
      </c>
      <c r="T246" s="536"/>
      <c r="U246" s="531"/>
    </row>
    <row r="247" spans="2:22" x14ac:dyDescent="0.2">
      <c r="C247" s="484"/>
      <c r="D247" s="572">
        <f t="shared" si="146"/>
        <v>2016</v>
      </c>
      <c r="E247" s="536"/>
      <c r="F247" s="536"/>
      <c r="G247" s="580">
        <f t="shared" si="147"/>
        <v>-0.12371134020618557</v>
      </c>
      <c r="H247" s="536"/>
      <c r="I247" s="585"/>
      <c r="J247" s="591"/>
      <c r="K247" s="570">
        <f t="shared" si="148"/>
        <v>2016</v>
      </c>
      <c r="L247" s="560">
        <f t="shared" si="149"/>
        <v>-3.6728572368668333E-3</v>
      </c>
      <c r="M247" s="560">
        <f t="shared" si="149"/>
        <v>-3.6728572368668333E-3</v>
      </c>
      <c r="N247" s="536"/>
      <c r="O247" s="531"/>
      <c r="P247" s="484"/>
      <c r="Q247" s="570">
        <f t="shared" si="150"/>
        <v>2016</v>
      </c>
      <c r="R247" s="581">
        <f t="shared" si="151"/>
        <v>0.13698509232969314</v>
      </c>
      <c r="S247" s="581">
        <f t="shared" si="151"/>
        <v>0.13698509232969314</v>
      </c>
      <c r="T247" s="536"/>
      <c r="U247" s="531"/>
    </row>
    <row r="248" spans="2:22" x14ac:dyDescent="0.2">
      <c r="C248" s="484"/>
      <c r="D248" s="572">
        <f t="shared" si="146"/>
        <v>2017</v>
      </c>
      <c r="E248" s="536"/>
      <c r="F248" s="536"/>
      <c r="G248" s="580">
        <f t="shared" si="147"/>
        <v>0.20000000000000018</v>
      </c>
      <c r="H248" s="536"/>
      <c r="I248" s="585"/>
      <c r="J248" s="591"/>
      <c r="K248" s="570">
        <f t="shared" si="148"/>
        <v>2017</v>
      </c>
      <c r="L248" s="560">
        <f t="shared" si="149"/>
        <v>0.11908592995823675</v>
      </c>
      <c r="M248" s="560">
        <f t="shared" si="149"/>
        <v>0.11908592995823675</v>
      </c>
      <c r="N248" s="536"/>
      <c r="O248" s="531"/>
      <c r="P248" s="484"/>
      <c r="Q248" s="570">
        <f t="shared" si="150"/>
        <v>2017</v>
      </c>
      <c r="R248" s="581">
        <f t="shared" si="151"/>
        <v>-6.7428391701469415E-2</v>
      </c>
      <c r="S248" s="581">
        <f t="shared" si="151"/>
        <v>-6.7428391701469415E-2</v>
      </c>
      <c r="T248" s="536"/>
      <c r="U248" s="531"/>
    </row>
    <row r="249" spans="2:22" x14ac:dyDescent="0.2">
      <c r="C249" s="484"/>
      <c r="D249" s="572">
        <f t="shared" si="146"/>
        <v>2018</v>
      </c>
      <c r="E249" s="536"/>
      <c r="F249" s="536"/>
      <c r="G249" s="580">
        <f t="shared" si="147"/>
        <v>0.22352941176470598</v>
      </c>
      <c r="H249" s="536"/>
      <c r="I249" s="585"/>
      <c r="J249" s="591"/>
      <c r="K249" s="570">
        <f t="shared" si="148"/>
        <v>2018</v>
      </c>
      <c r="L249" s="560" t="str">
        <f>IF(K240="Forecast","",IF(L239=0,"",L240/L239-1))</f>
        <v/>
      </c>
      <c r="M249" s="560">
        <f>IF(M239=0,"",M240/M239-1)</f>
        <v>2.9854517500194078E-3</v>
      </c>
      <c r="N249" s="536"/>
      <c r="O249" s="531"/>
      <c r="P249" s="484"/>
      <c r="Q249" s="570">
        <f t="shared" si="150"/>
        <v>2018</v>
      </c>
      <c r="R249" s="581" t="str">
        <f>IF(Q240="Forecast","",IF(R239=0,"",R240/R239-1))</f>
        <v/>
      </c>
      <c r="S249" s="581">
        <f>IF(S239="","",IF(S239=0,"",S240/S239-1))</f>
        <v>-0.18025227501200347</v>
      </c>
      <c r="T249" s="536"/>
      <c r="U249" s="531"/>
    </row>
    <row r="250" spans="2:22" x14ac:dyDescent="0.2">
      <c r="C250" s="484"/>
      <c r="D250" s="572">
        <f t="shared" si="146"/>
        <v>2019</v>
      </c>
      <c r="E250" s="536"/>
      <c r="F250" s="536"/>
      <c r="G250" s="580">
        <f t="shared" si="147"/>
        <v>0</v>
      </c>
      <c r="H250" s="536"/>
      <c r="I250" s="586" t="str">
        <f>IF(I242=0,"",G241/I242-1)</f>
        <v/>
      </c>
      <c r="J250" s="591"/>
      <c r="K250" s="570">
        <f t="shared" si="148"/>
        <v>2019</v>
      </c>
      <c r="L250" s="560" t="str">
        <f>IF(K241="Forecast","",IF(L240=0,"",L241/L240-1))</f>
        <v/>
      </c>
      <c r="M250" s="560">
        <f>IF(M240=0,"",M241/M240-1)</f>
        <v>0</v>
      </c>
      <c r="N250" s="536"/>
      <c r="O250" s="561" t="str">
        <f>IF(O242=0,"",M241/O242-1)</f>
        <v/>
      </c>
      <c r="P250" s="484"/>
      <c r="Q250" s="570">
        <f t="shared" si="150"/>
        <v>2019</v>
      </c>
      <c r="R250" s="581" t="str">
        <f>IF(Q241="Forecast","",IF(R240=0,"",R241/R240-1))</f>
        <v/>
      </c>
      <c r="S250" s="581">
        <f>IF(S240="","",IF(S240=0,"",S241/S240-1))</f>
        <v>0</v>
      </c>
      <c r="T250" s="536"/>
      <c r="U250" s="561" t="str">
        <f>IF(U242=0,"",S241/U242-1)</f>
        <v/>
      </c>
    </row>
    <row r="251" spans="2:22" ht="26.25" thickBot="1" x14ac:dyDescent="0.25">
      <c r="C251" s="488"/>
      <c r="D251" s="612" t="s">
        <v>1026</v>
      </c>
      <c r="E251" s="562"/>
      <c r="F251" s="562"/>
      <c r="G251" s="582">
        <f>IF(G235=0,"",(G241/G235)^(1/($D241-$D235-1))-1)</f>
        <v>3.9952360237069939E-2</v>
      </c>
      <c r="H251" s="562"/>
      <c r="I251" s="613" t="str">
        <f>IF(I242=0,"",(G241/I242)^(1/(TestYear-RebaseYear-1))-1)</f>
        <v/>
      </c>
      <c r="J251" s="567"/>
      <c r="K251" s="611" t="str">
        <f t="shared" si="148"/>
        <v>Geometric Mean</v>
      </c>
      <c r="L251" s="565">
        <f>IF(L235=0,"",(L239/L235)^(1/($D239-$D235-1))-1)</f>
        <v>2.2645250732159949E-2</v>
      </c>
      <c r="M251" s="565">
        <f>IF(M235=0,"",(M241/M235)^(1/($D241-$D235-1))-1)</f>
        <v>1.4130700519902728E-2</v>
      </c>
      <c r="N251" s="562"/>
      <c r="O251" s="578" t="str">
        <f>IF(O242=0,"",(M241/O242)^(1/(TestYear-RebaseYear-1))-1)</f>
        <v/>
      </c>
      <c r="P251" s="488"/>
      <c r="Q251" s="611" t="str">
        <f t="shared" si="150"/>
        <v>Geometric Mean</v>
      </c>
      <c r="R251" s="583">
        <f>IF(R235="","",IF(R235=0,"",(R239/R235)^(1/($D239-$D235-1))-1))</f>
        <v>2.4646518558192776E-2</v>
      </c>
      <c r="S251" s="565">
        <f>IF(S235="","",IF(S235=0,"",(S241/S235)^(1/($D241-$D235-1))-1))</f>
        <v>-2.4829656342412521E-2</v>
      </c>
      <c r="T251" s="562"/>
      <c r="U251" s="578" t="str">
        <f>IF(U242=0,"",(S241/U242)^(1/(TestYear-RebaseYear-1))-1)</f>
        <v/>
      </c>
    </row>
    <row r="253" spans="2:22" ht="13.5" thickBot="1" x14ac:dyDescent="0.25">
      <c r="Q253" s="562"/>
      <c r="R253" s="562"/>
      <c r="S253" s="562"/>
      <c r="T253" s="562"/>
      <c r="U253" s="562"/>
    </row>
    <row r="254" spans="2:22" x14ac:dyDescent="0.2">
      <c r="C254" s="483"/>
      <c r="D254" s="487" t="s">
        <v>1011</v>
      </c>
      <c r="E254" s="487"/>
      <c r="F254" s="1938" t="s">
        <v>1004</v>
      </c>
      <c r="G254" s="1939"/>
      <c r="H254" s="1939"/>
      <c r="I254" s="1940"/>
      <c r="K254" s="1941" t="str">
        <f>IF(ISBLANK(N231),"",CONCATENATE("Demand (",N231,")"))</f>
        <v>Demand (kWh)</v>
      </c>
      <c r="L254" s="1942"/>
      <c r="M254" s="1942"/>
      <c r="N254" s="1942"/>
      <c r="O254" s="1943"/>
      <c r="Q254" s="1944" t="str">
        <f>CONCATENATE("Demand (",N231,") per ",LEFT(F233,LEN(F233)-1))</f>
        <v>Demand (kWh) per Customer</v>
      </c>
      <c r="R254" s="1945"/>
      <c r="S254" s="1945"/>
      <c r="T254" s="1945"/>
      <c r="U254" s="1946"/>
    </row>
    <row r="255" spans="2:22" ht="39" thickBot="1" x14ac:dyDescent="0.25">
      <c r="C255" s="488"/>
      <c r="D255" s="490" t="str">
        <f>CONCATENATE("(for ",TestYear," Cost of Service")</f>
        <v>(for 2019 Cost of Service</v>
      </c>
      <c r="E255" s="485"/>
      <c r="F255" s="1934"/>
      <c r="G255" s="1935"/>
      <c r="H255" s="1935"/>
      <c r="I255" s="504"/>
      <c r="K255" s="494"/>
      <c r="L255" s="628" t="s">
        <v>1031</v>
      </c>
      <c r="M255" s="628" t="s">
        <v>1015</v>
      </c>
      <c r="N255" s="512"/>
      <c r="O255" s="513" t="str">
        <f>M255</f>
        <v>Weather-normalized</v>
      </c>
      <c r="Q255" s="610"/>
      <c r="R255" s="628" t="str">
        <f>L255</f>
        <v>Actual (Weather actual)</v>
      </c>
      <c r="S255" s="628" t="str">
        <f>M255</f>
        <v>Weather-normalized</v>
      </c>
      <c r="T255" s="628"/>
      <c r="U255" s="629" t="str">
        <f>O255</f>
        <v>Weather-normalized</v>
      </c>
    </row>
    <row r="256" spans="2:22" x14ac:dyDescent="0.2">
      <c r="C256" s="485" t="s">
        <v>830</v>
      </c>
      <c r="D256" s="570">
        <f t="shared" ref="D256:D261" si="152">D257-1</f>
        <v>2013</v>
      </c>
      <c r="E256" s="484"/>
      <c r="F256" s="520" t="str">
        <f t="shared" ref="F256:F262" si="153">F235</f>
        <v>Actual</v>
      </c>
      <c r="G256" s="1549">
        <v>17526.419999999998</v>
      </c>
      <c r="H256" s="554" t="str">
        <f t="shared" ref="H256:H262" si="154">IF(D256=RebaseYear,"Board-approved","")</f>
        <v/>
      </c>
      <c r="I256" s="590"/>
      <c r="K256" s="492" t="str">
        <f t="shared" ref="K256:K262" si="155">K235</f>
        <v>Actual</v>
      </c>
      <c r="L256" s="502"/>
      <c r="M256" s="502"/>
      <c r="N256" s="481" t="str">
        <f t="shared" ref="N256:N262" si="156">N235</f>
        <v/>
      </c>
      <c r="O256" s="531"/>
      <c r="Q256" s="592" t="str">
        <f>K256</f>
        <v>Actual</v>
      </c>
      <c r="R256" s="536">
        <f>IF(G256=0,"",L256/G256)</f>
        <v>0</v>
      </c>
      <c r="S256" s="516">
        <f>IF(G256=0,"",M256/G256)</f>
        <v>0</v>
      </c>
      <c r="T256" s="516" t="str">
        <f>N256</f>
        <v/>
      </c>
      <c r="U256" s="484" t="str">
        <f>IF(T256="","",IF(I256=0,"",O256/I256))</f>
        <v/>
      </c>
    </row>
    <row r="257" spans="3:21" x14ac:dyDescent="0.2">
      <c r="C257" s="485" t="s">
        <v>830</v>
      </c>
      <c r="D257" s="570">
        <f t="shared" si="152"/>
        <v>2014</v>
      </c>
      <c r="E257" s="484"/>
      <c r="F257" s="521" t="str">
        <f t="shared" si="153"/>
        <v>Actual</v>
      </c>
      <c r="G257" s="518">
        <v>165277.51</v>
      </c>
      <c r="H257" s="2" t="str">
        <f t="shared" si="154"/>
        <v>Board-approved</v>
      </c>
      <c r="I257" s="1550">
        <v>6665.6599839343708</v>
      </c>
      <c r="K257" s="492" t="str">
        <f t="shared" si="155"/>
        <v>Actual</v>
      </c>
      <c r="L257" s="502"/>
      <c r="M257" s="502"/>
      <c r="N257" s="481" t="str">
        <f t="shared" si="156"/>
        <v>Board-approved</v>
      </c>
      <c r="O257" s="531"/>
      <c r="Q257" s="592" t="str">
        <f t="shared" ref="Q257:Q262" si="157">K257</f>
        <v>Actual</v>
      </c>
      <c r="R257" s="536">
        <f t="shared" ref="R257:R262" si="158">IF(G257=0,"",L257/G257)</f>
        <v>0</v>
      </c>
      <c r="S257" s="516">
        <f t="shared" ref="S257:S262" si="159">IF(G257=0,"",M257/G257)</f>
        <v>0</v>
      </c>
      <c r="T257" s="516" t="str">
        <f t="shared" ref="T257:T262" si="160">N257</f>
        <v>Board-approved</v>
      </c>
      <c r="U257" s="484">
        <f t="shared" ref="U257:U262" si="161">IF(T257="","",IF(I257=0,"",O257/I257))</f>
        <v>0</v>
      </c>
    </row>
    <row r="258" spans="3:21" x14ac:dyDescent="0.2">
      <c r="C258" s="485" t="s">
        <v>830</v>
      </c>
      <c r="D258" s="570">
        <f t="shared" si="152"/>
        <v>2015</v>
      </c>
      <c r="E258" s="484"/>
      <c r="F258" s="521" t="str">
        <f t="shared" si="153"/>
        <v>Actual</v>
      </c>
      <c r="G258" s="518">
        <v>5394.71</v>
      </c>
      <c r="H258" s="2" t="str">
        <f t="shared" si="154"/>
        <v/>
      </c>
      <c r="I258" s="535"/>
      <c r="K258" s="492" t="str">
        <f t="shared" si="155"/>
        <v>Actual</v>
      </c>
      <c r="L258" s="502"/>
      <c r="M258" s="502"/>
      <c r="N258" s="481" t="str">
        <f t="shared" si="156"/>
        <v/>
      </c>
      <c r="O258" s="532"/>
      <c r="Q258" s="592" t="str">
        <f t="shared" si="157"/>
        <v>Actual</v>
      </c>
      <c r="R258" s="536">
        <f t="shared" si="158"/>
        <v>0</v>
      </c>
      <c r="S258" s="516">
        <f t="shared" si="159"/>
        <v>0</v>
      </c>
      <c r="T258" s="516" t="str">
        <f t="shared" si="160"/>
        <v/>
      </c>
      <c r="U258" s="484" t="str">
        <f t="shared" si="161"/>
        <v/>
      </c>
    </row>
    <row r="259" spans="3:21" x14ac:dyDescent="0.2">
      <c r="C259" s="485" t="s">
        <v>830</v>
      </c>
      <c r="D259" s="570">
        <f t="shared" si="152"/>
        <v>2016</v>
      </c>
      <c r="E259" s="484"/>
      <c r="F259" s="521" t="str">
        <f t="shared" si="153"/>
        <v>Actual</v>
      </c>
      <c r="G259" s="518">
        <v>2134.0699999999997</v>
      </c>
      <c r="H259" s="2" t="str">
        <f t="shared" si="154"/>
        <v/>
      </c>
      <c r="I259" s="531"/>
      <c r="K259" s="492" t="str">
        <f t="shared" si="155"/>
        <v>Actual</v>
      </c>
      <c r="L259" s="502"/>
      <c r="M259" s="502"/>
      <c r="N259" s="481" t="str">
        <f t="shared" si="156"/>
        <v/>
      </c>
      <c r="O259" s="531"/>
      <c r="Q259" s="592" t="str">
        <f t="shared" si="157"/>
        <v>Actual</v>
      </c>
      <c r="R259" s="536">
        <f t="shared" si="158"/>
        <v>0</v>
      </c>
      <c r="S259" s="516">
        <f t="shared" si="159"/>
        <v>0</v>
      </c>
      <c r="T259" s="516" t="str">
        <f t="shared" si="160"/>
        <v/>
      </c>
      <c r="U259" s="484" t="str">
        <f t="shared" si="161"/>
        <v/>
      </c>
    </row>
    <row r="260" spans="3:21" x14ac:dyDescent="0.2">
      <c r="C260" s="485" t="s">
        <v>830</v>
      </c>
      <c r="D260" s="570">
        <f t="shared" si="152"/>
        <v>2017</v>
      </c>
      <c r="E260" s="484"/>
      <c r="F260" s="521" t="str">
        <f t="shared" si="153"/>
        <v>Actual</v>
      </c>
      <c r="G260" s="518">
        <v>7674.38</v>
      </c>
      <c r="H260" s="2" t="str">
        <f t="shared" si="154"/>
        <v/>
      </c>
      <c r="I260" s="531"/>
      <c r="K260" s="492" t="str">
        <f t="shared" si="155"/>
        <v>Actual</v>
      </c>
      <c r="L260" s="502"/>
      <c r="M260" s="502"/>
      <c r="N260" s="481" t="str">
        <f t="shared" si="156"/>
        <v/>
      </c>
      <c r="O260" s="531"/>
      <c r="Q260" s="592" t="str">
        <f t="shared" si="157"/>
        <v>Actual</v>
      </c>
      <c r="R260" s="536">
        <f t="shared" si="158"/>
        <v>0</v>
      </c>
      <c r="S260" s="516">
        <f t="shared" si="159"/>
        <v>0</v>
      </c>
      <c r="T260" s="516" t="str">
        <f t="shared" si="160"/>
        <v/>
      </c>
      <c r="U260" s="484" t="str">
        <f t="shared" si="161"/>
        <v/>
      </c>
    </row>
    <row r="261" spans="3:21" x14ac:dyDescent="0.2">
      <c r="C261" s="485" t="s">
        <v>1009</v>
      </c>
      <c r="D261" s="570">
        <f t="shared" si="152"/>
        <v>2018</v>
      </c>
      <c r="E261" s="484"/>
      <c r="F261" s="521" t="str">
        <f t="shared" si="153"/>
        <v>Forecast</v>
      </c>
      <c r="G261" s="518">
        <v>8224.0512000000017</v>
      </c>
      <c r="H261" s="2" t="str">
        <f t="shared" si="154"/>
        <v/>
      </c>
      <c r="I261" s="531"/>
      <c r="K261" s="492" t="str">
        <f t="shared" si="155"/>
        <v>Forecast</v>
      </c>
      <c r="L261" s="510"/>
      <c r="M261" s="541"/>
      <c r="N261" s="481" t="str">
        <f t="shared" si="156"/>
        <v/>
      </c>
      <c r="O261" s="531"/>
      <c r="Q261" s="592" t="str">
        <f t="shared" si="157"/>
        <v>Forecast</v>
      </c>
      <c r="R261" s="536">
        <f t="shared" si="158"/>
        <v>0</v>
      </c>
      <c r="S261" s="516">
        <f t="shared" si="159"/>
        <v>0</v>
      </c>
      <c r="T261" s="516" t="str">
        <f t="shared" si="160"/>
        <v/>
      </c>
      <c r="U261" s="484" t="str">
        <f t="shared" si="161"/>
        <v/>
      </c>
    </row>
    <row r="262" spans="3:21" ht="13.5" thickBot="1" x14ac:dyDescent="0.25">
      <c r="C262" s="486" t="s">
        <v>1010</v>
      </c>
      <c r="D262" s="571">
        <f>TestYear</f>
        <v>2019</v>
      </c>
      <c r="E262" s="488"/>
      <c r="F262" s="522" t="str">
        <f t="shared" si="153"/>
        <v>Forecast</v>
      </c>
      <c r="G262" s="519">
        <v>8425.26</v>
      </c>
      <c r="H262" s="514" t="str">
        <f t="shared" si="154"/>
        <v/>
      </c>
      <c r="I262" s="533"/>
      <c r="K262" s="493" t="str">
        <f t="shared" si="155"/>
        <v>Forecast</v>
      </c>
      <c r="L262" s="511"/>
      <c r="M262" s="542"/>
      <c r="N262" s="482" t="str">
        <f t="shared" si="156"/>
        <v/>
      </c>
      <c r="O262" s="533"/>
      <c r="Q262" s="526" t="str">
        <f t="shared" si="157"/>
        <v>Forecast</v>
      </c>
      <c r="R262" s="517">
        <f t="shared" si="158"/>
        <v>0</v>
      </c>
      <c r="S262" s="517">
        <f t="shared" si="159"/>
        <v>0</v>
      </c>
      <c r="T262" s="517" t="str">
        <f t="shared" si="160"/>
        <v/>
      </c>
      <c r="U262" s="488" t="str">
        <f t="shared" si="161"/>
        <v/>
      </c>
    </row>
    <row r="263" spans="3:21" ht="13.5" thickBot="1" x14ac:dyDescent="0.25">
      <c r="C263" s="573"/>
      <c r="I263" s="615">
        <f>SUM(I256:I261)</f>
        <v>6665.6599839343708</v>
      </c>
      <c r="J263" s="536"/>
      <c r="O263" s="615">
        <f>SUM(O256:O261)</f>
        <v>0</v>
      </c>
      <c r="U263" s="615">
        <f>SUM(U256:U261)</f>
        <v>0</v>
      </c>
    </row>
    <row r="264" spans="3:21" ht="39" thickBot="1" x14ac:dyDescent="0.25">
      <c r="C264" s="607" t="s">
        <v>885</v>
      </c>
      <c r="D264" s="606" t="s">
        <v>10</v>
      </c>
      <c r="E264" s="630"/>
      <c r="F264" s="630"/>
      <c r="G264" s="630" t="s">
        <v>1027</v>
      </c>
      <c r="H264" s="630"/>
      <c r="I264" s="601" t="str">
        <f>I243</f>
        <v>Test Year Versus Board-approved</v>
      </c>
      <c r="J264" s="614"/>
      <c r="K264" s="602" t="s">
        <v>10</v>
      </c>
      <c r="L264" s="1936" t="s">
        <v>1027</v>
      </c>
      <c r="M264" s="1936"/>
      <c r="N264" s="630"/>
      <c r="O264" s="601" t="str">
        <f>I264</f>
        <v>Test Year Versus Board-approved</v>
      </c>
      <c r="P264" s="587"/>
      <c r="Q264" s="602" t="s">
        <v>10</v>
      </c>
      <c r="R264" s="1936" t="s">
        <v>1027</v>
      </c>
      <c r="S264" s="1936"/>
      <c r="T264" s="630"/>
      <c r="U264" s="601" t="str">
        <f>O264</f>
        <v>Test Year Versus Board-approved</v>
      </c>
    </row>
    <row r="265" spans="3:21" x14ac:dyDescent="0.2">
      <c r="C265" s="484"/>
      <c r="D265" s="609">
        <f t="shared" ref="D265:D271" si="162">D256</f>
        <v>2013</v>
      </c>
      <c r="E265" s="552"/>
      <c r="F265" s="536"/>
      <c r="G265" s="579"/>
      <c r="H265" s="536"/>
      <c r="I265" s="585"/>
      <c r="J265" s="484"/>
      <c r="K265" s="570">
        <f>D265</f>
        <v>2013</v>
      </c>
      <c r="L265" s="558"/>
      <c r="M265" s="558"/>
      <c r="N265" s="536"/>
      <c r="O265" s="588"/>
      <c r="P265" s="484"/>
      <c r="Q265" s="570">
        <f>K265</f>
        <v>2013</v>
      </c>
      <c r="R265" s="537"/>
      <c r="S265" s="537"/>
      <c r="T265" s="536"/>
      <c r="U265" s="531"/>
    </row>
    <row r="266" spans="3:21" x14ac:dyDescent="0.2">
      <c r="C266" s="484"/>
      <c r="D266" s="572">
        <f t="shared" si="162"/>
        <v>2014</v>
      </c>
      <c r="E266" s="536"/>
      <c r="F266" s="536"/>
      <c r="G266" s="580">
        <f t="shared" ref="G266:G271" si="163">IF(G256=0,"",G257/G256-1)</f>
        <v>8.4301922469049604</v>
      </c>
      <c r="H266" s="536"/>
      <c r="I266" s="585"/>
      <c r="J266" s="484"/>
      <c r="K266" s="570">
        <f t="shared" ref="K266:K272" si="164">D266</f>
        <v>2014</v>
      </c>
      <c r="L266" s="560" t="str">
        <f t="shared" ref="L266:M269" si="165">IF(L256=0,"",L257/L256-1)</f>
        <v/>
      </c>
      <c r="M266" s="560" t="str">
        <f t="shared" si="165"/>
        <v/>
      </c>
      <c r="N266" s="536"/>
      <c r="O266" s="588"/>
      <c r="P266" s="484"/>
      <c r="Q266" s="570">
        <f t="shared" ref="Q266:Q272" si="166">K266</f>
        <v>2014</v>
      </c>
      <c r="R266" s="581" t="str">
        <f t="shared" ref="R266:S269" si="167">IF(R256="","",IF(R256=0,"",R257/R256-1))</f>
        <v/>
      </c>
      <c r="S266" s="581" t="str">
        <f t="shared" si="167"/>
        <v/>
      </c>
      <c r="T266" s="536"/>
      <c r="U266" s="531"/>
    </row>
    <row r="267" spans="3:21" x14ac:dyDescent="0.2">
      <c r="C267" s="484"/>
      <c r="D267" s="608">
        <f t="shared" si="162"/>
        <v>2015</v>
      </c>
      <c r="E267" s="536"/>
      <c r="F267" s="536"/>
      <c r="G267" s="580">
        <f t="shared" si="163"/>
        <v>-0.96735968493232982</v>
      </c>
      <c r="H267" s="536"/>
      <c r="I267" s="585"/>
      <c r="J267" s="484"/>
      <c r="K267" s="570">
        <f t="shared" si="164"/>
        <v>2015</v>
      </c>
      <c r="L267" s="560" t="str">
        <f t="shared" si="165"/>
        <v/>
      </c>
      <c r="M267" s="560" t="str">
        <f t="shared" si="165"/>
        <v/>
      </c>
      <c r="N267" s="536"/>
      <c r="O267" s="588"/>
      <c r="P267" s="484"/>
      <c r="Q267" s="570">
        <f t="shared" si="166"/>
        <v>2015</v>
      </c>
      <c r="R267" s="581" t="str">
        <f t="shared" si="167"/>
        <v/>
      </c>
      <c r="S267" s="581" t="str">
        <f t="shared" si="167"/>
        <v/>
      </c>
      <c r="T267" s="536"/>
      <c r="U267" s="531"/>
    </row>
    <row r="268" spans="3:21" x14ac:dyDescent="0.2">
      <c r="C268" s="484"/>
      <c r="D268" s="572">
        <f t="shared" si="162"/>
        <v>2016</v>
      </c>
      <c r="E268" s="536"/>
      <c r="F268" s="536"/>
      <c r="G268" s="580">
        <f t="shared" si="163"/>
        <v>-0.60441432440298004</v>
      </c>
      <c r="H268" s="536"/>
      <c r="I268" s="585"/>
      <c r="J268" s="484"/>
      <c r="K268" s="570">
        <f t="shared" si="164"/>
        <v>2016</v>
      </c>
      <c r="L268" s="560" t="str">
        <f t="shared" si="165"/>
        <v/>
      </c>
      <c r="M268" s="560" t="str">
        <f t="shared" si="165"/>
        <v/>
      </c>
      <c r="N268" s="536"/>
      <c r="O268" s="588"/>
      <c r="P268" s="484"/>
      <c r="Q268" s="570">
        <f t="shared" si="166"/>
        <v>2016</v>
      </c>
      <c r="R268" s="581" t="str">
        <f t="shared" si="167"/>
        <v/>
      </c>
      <c r="S268" s="581" t="str">
        <f t="shared" si="167"/>
        <v/>
      </c>
      <c r="T268" s="536"/>
      <c r="U268" s="531"/>
    </row>
    <row r="269" spans="3:21" x14ac:dyDescent="0.2">
      <c r="C269" s="484"/>
      <c r="D269" s="572">
        <f t="shared" si="162"/>
        <v>2017</v>
      </c>
      <c r="E269" s="536"/>
      <c r="F269" s="536"/>
      <c r="G269" s="580">
        <f t="shared" si="163"/>
        <v>2.5961238384870229</v>
      </c>
      <c r="H269" s="536"/>
      <c r="I269" s="585"/>
      <c r="J269" s="484"/>
      <c r="K269" s="570">
        <f t="shared" si="164"/>
        <v>2017</v>
      </c>
      <c r="L269" s="560" t="str">
        <f t="shared" si="165"/>
        <v/>
      </c>
      <c r="M269" s="560" t="str">
        <f t="shared" si="165"/>
        <v/>
      </c>
      <c r="N269" s="536"/>
      <c r="O269" s="588"/>
      <c r="P269" s="484"/>
      <c r="Q269" s="570">
        <f t="shared" si="166"/>
        <v>2017</v>
      </c>
      <c r="R269" s="581" t="str">
        <f t="shared" si="167"/>
        <v/>
      </c>
      <c r="S269" s="581" t="str">
        <f t="shared" si="167"/>
        <v/>
      </c>
      <c r="T269" s="536"/>
      <c r="U269" s="531"/>
    </row>
    <row r="270" spans="3:21" x14ac:dyDescent="0.2">
      <c r="C270" s="484"/>
      <c r="D270" s="572">
        <f t="shared" si="162"/>
        <v>2018</v>
      </c>
      <c r="E270" s="536"/>
      <c r="F270" s="536"/>
      <c r="G270" s="580">
        <f t="shared" si="163"/>
        <v>7.1624183321649548E-2</v>
      </c>
      <c r="H270" s="536"/>
      <c r="I270" s="585"/>
      <c r="J270" s="484"/>
      <c r="K270" s="570">
        <f t="shared" si="164"/>
        <v>2018</v>
      </c>
      <c r="L270" s="560" t="str">
        <f>IF(K261="Forecast","",IF(L260=0,"",L261/L260-1))</f>
        <v/>
      </c>
      <c r="M270" s="560" t="str">
        <f>IF(M260=0,"",M261/M260-1)</f>
        <v/>
      </c>
      <c r="N270" s="536"/>
      <c r="O270" s="588"/>
      <c r="P270" s="484"/>
      <c r="Q270" s="570">
        <f t="shared" si="166"/>
        <v>2018</v>
      </c>
      <c r="R270" s="581" t="str">
        <f>IF(Q261="Forecast","",IF(R260=0,"",R261/R260-1))</f>
        <v/>
      </c>
      <c r="S270" s="581" t="str">
        <f>IF(S260="","",IF(S260=0,"",S261/S260-1))</f>
        <v/>
      </c>
      <c r="T270" s="536"/>
      <c r="U270" s="531"/>
    </row>
    <row r="271" spans="3:21" x14ac:dyDescent="0.2">
      <c r="C271" s="484"/>
      <c r="D271" s="608">
        <f t="shared" si="162"/>
        <v>2019</v>
      </c>
      <c r="E271" s="536"/>
      <c r="F271" s="536"/>
      <c r="G271" s="580">
        <f t="shared" si="163"/>
        <v>2.4465898266781139E-2</v>
      </c>
      <c r="H271" s="536"/>
      <c r="I271" s="586">
        <f>IF(I263=0,"",G262/I263-1)</f>
        <v>0.26397986400545959</v>
      </c>
      <c r="J271" s="484"/>
      <c r="K271" s="570">
        <f t="shared" si="164"/>
        <v>2019</v>
      </c>
      <c r="L271" s="560" t="str">
        <f>IF(K262="Forecast","",IF(L261=0,"",L262/L261-1))</f>
        <v/>
      </c>
      <c r="M271" s="560" t="str">
        <f>IF(M261=0,"",M262/M261-1)</f>
        <v/>
      </c>
      <c r="N271" s="536"/>
      <c r="O271" s="589" t="str">
        <f>IF(O263=0,"",M262/O263-1)</f>
        <v/>
      </c>
      <c r="P271" s="484"/>
      <c r="Q271" s="570">
        <f t="shared" si="166"/>
        <v>2019</v>
      </c>
      <c r="R271" s="581" t="str">
        <f>IF(Q262="Forecast","",IF(R261=0,"",R262/R261-1))</f>
        <v/>
      </c>
      <c r="S271" s="581" t="str">
        <f>IF(S261="","",IF(S261=0,"",S262/S261-1))</f>
        <v/>
      </c>
      <c r="T271" s="536"/>
      <c r="U271" s="561" t="str">
        <f>IF(U263=0,"",S262/U263-1)</f>
        <v/>
      </c>
    </row>
    <row r="272" spans="3:21" ht="26.25" thickBot="1" x14ac:dyDescent="0.25">
      <c r="C272" s="488"/>
      <c r="D272" s="612" t="s">
        <v>1026</v>
      </c>
      <c r="E272" s="562"/>
      <c r="F272" s="562"/>
      <c r="G272" s="582">
        <f>IF(G256=0,"",(G262/G256)^(1/($D262-$D256-1))-1)</f>
        <v>-0.13626996983232764</v>
      </c>
      <c r="H272" s="562"/>
      <c r="I272" s="578">
        <f>IF(I263=0,"",(G262/I263)^(1/(TestYear-RebaseYear-1))-1)</f>
        <v>6.0315326064400709E-2</v>
      </c>
      <c r="J272" s="484"/>
      <c r="K272" s="611" t="str">
        <f t="shared" si="164"/>
        <v>Geometric Mean</v>
      </c>
      <c r="L272" s="565" t="str">
        <f>IF(L256=0,"",(L260/L256)^(1/($D260-$D256-1))-1)</f>
        <v/>
      </c>
      <c r="M272" s="565" t="str">
        <f>IF(M256=0,"",(M262/M256)^(1/($D262-$D256-1))-1)</f>
        <v/>
      </c>
      <c r="N272" s="562"/>
      <c r="O272" s="578" t="str">
        <f>IF(O263=0,"",(M262/O263)^(1/(TestYear-RebaseYear-1))-1)</f>
        <v/>
      </c>
      <c r="P272" s="488"/>
      <c r="Q272" s="611" t="str">
        <f t="shared" si="166"/>
        <v>Geometric Mean</v>
      </c>
      <c r="R272" s="583" t="str">
        <f>IF(R256="","",IF(R256=0,"",(R260/R256)^(1/($D260-$D256-1))-1))</f>
        <v/>
      </c>
      <c r="S272" s="565" t="str">
        <f>IF(S256="","",IF(S256=0,"",(S262/S256)^(1/($D262-$D256-1))-1))</f>
        <v/>
      </c>
      <c r="T272" s="562"/>
      <c r="U272" s="578" t="str">
        <f>IF(U263=0,"",(S262/U263)^(1/(TestYear-RebaseYear-1))-1)</f>
        <v/>
      </c>
    </row>
    <row r="273" spans="2:22" ht="13.5" thickBot="1" x14ac:dyDescent="0.25"/>
    <row r="274" spans="2:22" ht="13.5" thickBot="1" x14ac:dyDescent="0.25">
      <c r="B274" s="525">
        <f>B231+1</f>
        <v>6</v>
      </c>
      <c r="C274" s="3" t="s">
        <v>9</v>
      </c>
      <c r="D274" s="1947" t="s">
        <v>1535</v>
      </c>
      <c r="E274" s="1948"/>
      <c r="F274" s="1949"/>
      <c r="G274" s="499"/>
      <c r="H274" s="9" t="s">
        <v>1029</v>
      </c>
      <c r="N274" s="524" t="s">
        <v>71</v>
      </c>
      <c r="O274" s="523"/>
      <c r="P274" s="523"/>
      <c r="Q274" s="523"/>
      <c r="R274" s="523"/>
      <c r="S274" s="523"/>
      <c r="T274" s="523"/>
      <c r="U274" s="523"/>
    </row>
    <row r="275" spans="2:22" ht="13.5" thickBot="1" x14ac:dyDescent="0.25">
      <c r="Q275" s="562"/>
      <c r="R275" s="562"/>
      <c r="S275" s="562"/>
      <c r="T275" s="562"/>
      <c r="U275" s="562"/>
    </row>
    <row r="276" spans="2:22" x14ac:dyDescent="0.2">
      <c r="C276" s="483"/>
      <c r="D276" s="487" t="s">
        <v>1011</v>
      </c>
      <c r="E276" s="487"/>
      <c r="F276" s="1950" t="s">
        <v>945</v>
      </c>
      <c r="G276" s="1951"/>
      <c r="H276" s="1951"/>
      <c r="I276" s="1952"/>
      <c r="J276" s="487"/>
      <c r="K276" s="1941" t="s">
        <v>1018</v>
      </c>
      <c r="L276" s="1942"/>
      <c r="M276" s="1942"/>
      <c r="N276" s="1942"/>
      <c r="O276" s="1943"/>
      <c r="P276" s="495"/>
      <c r="Q276" s="1944" t="str">
        <f>CONCATENATE("Consumption (kWh) per ",LEFT(F276,LEN(F276)-1))</f>
        <v>Consumption (kWh) per Customer</v>
      </c>
      <c r="R276" s="1945"/>
      <c r="S276" s="1945"/>
      <c r="T276" s="1945"/>
      <c r="U276" s="1946"/>
      <c r="V276" s="515"/>
    </row>
    <row r="277" spans="2:22" ht="39" thickBot="1" x14ac:dyDescent="0.25">
      <c r="C277" s="488"/>
      <c r="D277" s="490" t="str">
        <f>CONCATENATE("(for ",TestYear," Cost of Service")</f>
        <v>(for 2019 Cost of Service</v>
      </c>
      <c r="E277" s="485"/>
      <c r="F277" s="1934"/>
      <c r="G277" s="1935"/>
      <c r="H277" s="1937"/>
      <c r="I277" s="504"/>
      <c r="J277" s="485"/>
      <c r="K277" s="494"/>
      <c r="L277" s="628" t="s">
        <v>1031</v>
      </c>
      <c r="M277" s="628" t="s">
        <v>1015</v>
      </c>
      <c r="N277" s="512"/>
      <c r="O277" s="513" t="s">
        <v>1015</v>
      </c>
      <c r="P277" s="485"/>
      <c r="Q277" s="596"/>
      <c r="R277" s="597" t="str">
        <f>L277</f>
        <v>Actual (Weather actual)</v>
      </c>
      <c r="S277" s="598" t="str">
        <f>M277</f>
        <v>Weather-normalized</v>
      </c>
      <c r="T277" s="598"/>
      <c r="U277" s="599" t="str">
        <f>O277</f>
        <v>Weather-normalized</v>
      </c>
      <c r="V277" s="515"/>
    </row>
    <row r="278" spans="2:22" x14ac:dyDescent="0.2">
      <c r="C278" s="485" t="s">
        <v>830</v>
      </c>
      <c r="D278" s="570">
        <f t="shared" ref="D278:D283" si="168">D279-1</f>
        <v>2013</v>
      </c>
      <c r="E278" s="484"/>
      <c r="F278" s="520" t="str">
        <f>F235</f>
        <v>Actual</v>
      </c>
      <c r="G278" s="508">
        <v>0</v>
      </c>
      <c r="H278" s="505" t="str">
        <f t="shared" ref="H278:H284" si="169">IF(D278=RebaseYear,"Board-approved","")</f>
        <v/>
      </c>
      <c r="I278" s="531"/>
      <c r="J278" s="484"/>
      <c r="K278" s="1544" t="str">
        <f>F278</f>
        <v>Actual</v>
      </c>
      <c r="L278" s="1565">
        <v>0</v>
      </c>
      <c r="M278" s="1562">
        <v>0</v>
      </c>
      <c r="N278" s="1546" t="str">
        <f>H278</f>
        <v/>
      </c>
      <c r="O278" s="590"/>
      <c r="P278" s="484"/>
      <c r="Q278" s="592" t="str">
        <f>K278</f>
        <v>Actual</v>
      </c>
      <c r="R278" s="594" t="str">
        <f>IF(G278=0,"",L278/G278)</f>
        <v/>
      </c>
      <c r="S278" s="536" t="str">
        <f>IF(G278=0,"",M278/G278)</f>
        <v/>
      </c>
      <c r="T278" s="536" t="str">
        <f>N278</f>
        <v/>
      </c>
      <c r="U278" s="536" t="str">
        <f>IF(T278="","",IF(I278=0,"",O278/I278))</f>
        <v/>
      </c>
      <c r="V278" s="516"/>
    </row>
    <row r="279" spans="2:22" x14ac:dyDescent="0.2">
      <c r="C279" s="485" t="s">
        <v>830</v>
      </c>
      <c r="D279" s="570">
        <f t="shared" si="168"/>
        <v>2014</v>
      </c>
      <c r="E279" s="484"/>
      <c r="F279" s="521" t="str">
        <f t="shared" ref="F279:F284" si="170">F236</f>
        <v>Actual</v>
      </c>
      <c r="G279" s="508">
        <v>0</v>
      </c>
      <c r="H279" s="505" t="str">
        <f t="shared" si="169"/>
        <v>Board-approved</v>
      </c>
      <c r="I279" s="531"/>
      <c r="J279" s="484"/>
      <c r="K279" s="1544" t="str">
        <f t="shared" ref="K279:K284" si="171">F279</f>
        <v>Actual</v>
      </c>
      <c r="L279" s="1566">
        <v>0</v>
      </c>
      <c r="M279" s="1555">
        <v>0</v>
      </c>
      <c r="N279" s="481" t="str">
        <f t="shared" ref="N279:N284" si="172">H279</f>
        <v>Board-approved</v>
      </c>
      <c r="O279" s="1567">
        <v>0</v>
      </c>
      <c r="P279" s="484"/>
      <c r="Q279" s="592" t="str">
        <f t="shared" ref="Q279:Q284" si="173">K279</f>
        <v>Actual</v>
      </c>
      <c r="R279" s="594" t="str">
        <f t="shared" ref="R279:R284" si="174">IF(G279=0,"",L279/G279)</f>
        <v/>
      </c>
      <c r="S279" s="536" t="str">
        <f t="shared" ref="S279:S284" si="175">IF(G279=0,"",M279/G279)</f>
        <v/>
      </c>
      <c r="T279" s="536" t="str">
        <f t="shared" ref="T279:T284" si="176">N279</f>
        <v>Board-approved</v>
      </c>
      <c r="U279" s="536" t="str">
        <f t="shared" ref="U279:U284" si="177">IF(T279="","",IF(I279=0,"",O279/I279))</f>
        <v/>
      </c>
      <c r="V279" s="516"/>
    </row>
    <row r="280" spans="2:22" x14ac:dyDescent="0.2">
      <c r="C280" s="485" t="s">
        <v>830</v>
      </c>
      <c r="D280" s="570">
        <f t="shared" si="168"/>
        <v>2015</v>
      </c>
      <c r="E280" s="484"/>
      <c r="F280" s="521" t="str">
        <f t="shared" si="170"/>
        <v>Actual</v>
      </c>
      <c r="G280" s="508">
        <v>0</v>
      </c>
      <c r="H280" s="505" t="str">
        <f t="shared" si="169"/>
        <v/>
      </c>
      <c r="I280" s="532"/>
      <c r="J280" s="484"/>
      <c r="K280" s="1544" t="str">
        <f t="shared" si="171"/>
        <v>Actual</v>
      </c>
      <c r="L280" s="1566">
        <v>0</v>
      </c>
      <c r="M280" s="1555">
        <v>0</v>
      </c>
      <c r="N280" s="481" t="str">
        <f t="shared" si="172"/>
        <v/>
      </c>
      <c r="O280" s="532"/>
      <c r="P280" s="484"/>
      <c r="Q280" s="592" t="str">
        <f t="shared" si="173"/>
        <v>Actual</v>
      </c>
      <c r="R280" s="594" t="str">
        <f t="shared" si="174"/>
        <v/>
      </c>
      <c r="S280" s="536" t="str">
        <f t="shared" si="175"/>
        <v/>
      </c>
      <c r="T280" s="536" t="str">
        <f t="shared" si="176"/>
        <v/>
      </c>
      <c r="U280" s="536" t="str">
        <f t="shared" si="177"/>
        <v/>
      </c>
      <c r="V280" s="516"/>
    </row>
    <row r="281" spans="2:22" x14ac:dyDescent="0.2">
      <c r="C281" s="485" t="s">
        <v>830</v>
      </c>
      <c r="D281" s="570">
        <f t="shared" si="168"/>
        <v>2016</v>
      </c>
      <c r="E281" s="484"/>
      <c r="F281" s="521" t="str">
        <f t="shared" si="170"/>
        <v>Actual</v>
      </c>
      <c r="G281" s="508">
        <v>0</v>
      </c>
      <c r="H281" s="505" t="str">
        <f t="shared" si="169"/>
        <v/>
      </c>
      <c r="I281" s="531"/>
      <c r="J281" s="484"/>
      <c r="K281" s="1544" t="str">
        <f t="shared" si="171"/>
        <v>Actual</v>
      </c>
      <c r="L281" s="1566">
        <v>0</v>
      </c>
      <c r="M281" s="1555">
        <v>0</v>
      </c>
      <c r="N281" s="481" t="str">
        <f t="shared" si="172"/>
        <v/>
      </c>
      <c r="O281" s="531"/>
      <c r="P281" s="484"/>
      <c r="Q281" s="592" t="str">
        <f t="shared" si="173"/>
        <v>Actual</v>
      </c>
      <c r="R281" s="594" t="str">
        <f t="shared" si="174"/>
        <v/>
      </c>
      <c r="S281" s="536" t="str">
        <f t="shared" si="175"/>
        <v/>
      </c>
      <c r="T281" s="536" t="str">
        <f t="shared" si="176"/>
        <v/>
      </c>
      <c r="U281" s="536" t="str">
        <f t="shared" si="177"/>
        <v/>
      </c>
      <c r="V281" s="516"/>
    </row>
    <row r="282" spans="2:22" x14ac:dyDescent="0.2">
      <c r="C282" s="485" t="s">
        <v>830</v>
      </c>
      <c r="D282" s="570">
        <f t="shared" si="168"/>
        <v>2017</v>
      </c>
      <c r="E282" s="484"/>
      <c r="F282" s="521" t="str">
        <f t="shared" si="170"/>
        <v>Actual</v>
      </c>
      <c r="G282" s="508">
        <v>0</v>
      </c>
      <c r="H282" s="505" t="str">
        <f t="shared" si="169"/>
        <v/>
      </c>
      <c r="I282" s="531"/>
      <c r="J282" s="484"/>
      <c r="K282" s="1544" t="str">
        <f t="shared" si="171"/>
        <v>Actual</v>
      </c>
      <c r="L282" s="1566">
        <v>0</v>
      </c>
      <c r="M282" s="1555">
        <v>0</v>
      </c>
      <c r="N282" s="481" t="str">
        <f t="shared" si="172"/>
        <v/>
      </c>
      <c r="O282" s="531"/>
      <c r="P282" s="484"/>
      <c r="Q282" s="592" t="str">
        <f t="shared" si="173"/>
        <v>Actual</v>
      </c>
      <c r="R282" s="594" t="str">
        <f t="shared" si="174"/>
        <v/>
      </c>
      <c r="S282" s="536" t="str">
        <f t="shared" si="175"/>
        <v/>
      </c>
      <c r="T282" s="536" t="str">
        <f t="shared" si="176"/>
        <v/>
      </c>
      <c r="U282" s="536" t="str">
        <f t="shared" si="177"/>
        <v/>
      </c>
      <c r="V282" s="516"/>
    </row>
    <row r="283" spans="2:22" x14ac:dyDescent="0.2">
      <c r="C283" s="485" t="s">
        <v>289</v>
      </c>
      <c r="D283" s="570">
        <f t="shared" si="168"/>
        <v>2018</v>
      </c>
      <c r="E283" s="484"/>
      <c r="F283" s="521" t="str">
        <f t="shared" si="170"/>
        <v>Forecast</v>
      </c>
      <c r="G283" s="508">
        <v>0</v>
      </c>
      <c r="H283" s="505" t="str">
        <f t="shared" si="169"/>
        <v/>
      </c>
      <c r="I283" s="531"/>
      <c r="J283" s="484"/>
      <c r="K283" s="1544" t="str">
        <f t="shared" si="171"/>
        <v>Forecast</v>
      </c>
      <c r="L283" s="1566">
        <v>0</v>
      </c>
      <c r="M283" s="1555">
        <v>0</v>
      </c>
      <c r="N283" s="481" t="str">
        <f t="shared" si="172"/>
        <v/>
      </c>
      <c r="O283" s="531"/>
      <c r="P283" s="484"/>
      <c r="Q283" s="592" t="str">
        <f t="shared" si="173"/>
        <v>Forecast</v>
      </c>
      <c r="R283" s="594" t="str">
        <f t="shared" si="174"/>
        <v/>
      </c>
      <c r="S283" s="536" t="str">
        <f t="shared" si="175"/>
        <v/>
      </c>
      <c r="T283" s="536" t="str">
        <f t="shared" si="176"/>
        <v/>
      </c>
      <c r="U283" s="536" t="str">
        <f t="shared" si="177"/>
        <v/>
      </c>
      <c r="V283" s="516"/>
    </row>
    <row r="284" spans="2:22" ht="13.5" thickBot="1" x14ac:dyDescent="0.25">
      <c r="C284" s="486" t="s">
        <v>290</v>
      </c>
      <c r="D284" s="571">
        <f>TestYear</f>
        <v>2019</v>
      </c>
      <c r="E284" s="488"/>
      <c r="F284" s="522" t="str">
        <f t="shared" si="170"/>
        <v>Forecast</v>
      </c>
      <c r="G284" s="508">
        <v>1</v>
      </c>
      <c r="H284" s="506" t="str">
        <f t="shared" si="169"/>
        <v/>
      </c>
      <c r="I284" s="533"/>
      <c r="J284" s="488"/>
      <c r="K284" s="1545" t="str">
        <f t="shared" si="171"/>
        <v>Forecast</v>
      </c>
      <c r="L284" s="1568">
        <v>0</v>
      </c>
      <c r="M284" s="1564">
        <v>23308825.330262251</v>
      </c>
      <c r="N284" s="482" t="str">
        <f t="shared" si="172"/>
        <v/>
      </c>
      <c r="O284" s="533"/>
      <c r="P284" s="488"/>
      <c r="Q284" s="593" t="str">
        <f t="shared" si="173"/>
        <v>Forecast</v>
      </c>
      <c r="R284" s="595">
        <f t="shared" si="174"/>
        <v>0</v>
      </c>
      <c r="S284" s="562">
        <f t="shared" si="175"/>
        <v>23308825.330262251</v>
      </c>
      <c r="T284" s="562" t="str">
        <f t="shared" si="176"/>
        <v/>
      </c>
      <c r="U284" s="562" t="str">
        <f t="shared" si="177"/>
        <v/>
      </c>
      <c r="V284" s="516"/>
    </row>
    <row r="285" spans="2:22" ht="13.5" thickBot="1" x14ac:dyDescent="0.25">
      <c r="B285" s="536"/>
      <c r="C285" s="573"/>
      <c r="I285" s="615">
        <f>SUM(I278:I283)</f>
        <v>0</v>
      </c>
      <c r="O285" s="615">
        <f>SUM(O278:O283)</f>
        <v>0</v>
      </c>
      <c r="U285" s="615">
        <f>SUM(U278:U283)</f>
        <v>0</v>
      </c>
    </row>
    <row r="286" spans="2:22" ht="39" thickBot="1" x14ac:dyDescent="0.25">
      <c r="C286" s="607" t="s">
        <v>885</v>
      </c>
      <c r="D286" s="606" t="s">
        <v>10</v>
      </c>
      <c r="E286" s="568"/>
      <c r="F286" s="568"/>
      <c r="G286" s="630" t="s">
        <v>1027</v>
      </c>
      <c r="H286" s="568"/>
      <c r="I286" s="601" t="s">
        <v>1040</v>
      </c>
      <c r="J286" s="603"/>
      <c r="K286" s="602" t="s">
        <v>10</v>
      </c>
      <c r="L286" s="1936" t="s">
        <v>1027</v>
      </c>
      <c r="M286" s="1936"/>
      <c r="N286" s="568"/>
      <c r="O286" s="601" t="str">
        <f>I286</f>
        <v>Test Year Versus Board-approved</v>
      </c>
      <c r="P286" s="604"/>
      <c r="Q286" s="602" t="s">
        <v>10</v>
      </c>
      <c r="R286" s="1936" t="s">
        <v>1027</v>
      </c>
      <c r="S286" s="1936"/>
      <c r="T286" s="568"/>
      <c r="U286" s="601" t="str">
        <f>O286</f>
        <v>Test Year Versus Board-approved</v>
      </c>
    </row>
    <row r="287" spans="2:22" x14ac:dyDescent="0.2">
      <c r="C287" s="484"/>
      <c r="D287" s="584">
        <f t="shared" ref="D287:D293" si="178">D278</f>
        <v>2013</v>
      </c>
      <c r="E287" s="536"/>
      <c r="F287" s="536"/>
      <c r="G287" s="579"/>
      <c r="H287" s="536"/>
      <c r="I287" s="585"/>
      <c r="J287" s="591"/>
      <c r="K287" s="570">
        <f>D287</f>
        <v>2013</v>
      </c>
      <c r="L287" s="558"/>
      <c r="M287" s="558"/>
      <c r="N287" s="536"/>
      <c r="O287" s="531"/>
      <c r="P287" s="484"/>
      <c r="Q287" s="570">
        <f>K287</f>
        <v>2013</v>
      </c>
      <c r="R287" s="537"/>
      <c r="S287" s="537"/>
      <c r="T287" s="536"/>
      <c r="U287" s="531"/>
    </row>
    <row r="288" spans="2:22" x14ac:dyDescent="0.2">
      <c r="C288" s="484"/>
      <c r="D288" s="572">
        <f t="shared" si="178"/>
        <v>2014</v>
      </c>
      <c r="E288" s="536"/>
      <c r="F288" s="536"/>
      <c r="G288" s="580" t="str">
        <f t="shared" ref="G288:G293" si="179">IF(G278=0,"",G279/G278-1)</f>
        <v/>
      </c>
      <c r="H288" s="536"/>
      <c r="I288" s="585"/>
      <c r="J288" s="591"/>
      <c r="K288" s="570">
        <f t="shared" ref="K288:K294" si="180">D288</f>
        <v>2014</v>
      </c>
      <c r="L288" s="560" t="str">
        <f t="shared" ref="L288:M291" si="181">IF(L278=0,"",L279/L278-1)</f>
        <v/>
      </c>
      <c r="M288" s="560" t="str">
        <f t="shared" si="181"/>
        <v/>
      </c>
      <c r="N288" s="536"/>
      <c r="O288" s="531"/>
      <c r="P288" s="484"/>
      <c r="Q288" s="570">
        <f t="shared" ref="Q288:Q294" si="182">K288</f>
        <v>2014</v>
      </c>
      <c r="R288" s="581" t="str">
        <f t="shared" ref="R288:S291" si="183">IF(R278="","",IF(R278=0,"",R279/R278-1))</f>
        <v/>
      </c>
      <c r="S288" s="581" t="str">
        <f t="shared" si="183"/>
        <v/>
      </c>
      <c r="T288" s="536"/>
      <c r="U288" s="531"/>
    </row>
    <row r="289" spans="3:21" x14ac:dyDescent="0.2">
      <c r="C289" s="484"/>
      <c r="D289" s="572">
        <f t="shared" si="178"/>
        <v>2015</v>
      </c>
      <c r="E289" s="536"/>
      <c r="F289" s="536"/>
      <c r="G289" s="580" t="str">
        <f t="shared" si="179"/>
        <v/>
      </c>
      <c r="H289" s="536"/>
      <c r="I289" s="585"/>
      <c r="J289" s="591"/>
      <c r="K289" s="570">
        <f t="shared" si="180"/>
        <v>2015</v>
      </c>
      <c r="L289" s="560" t="str">
        <f t="shared" si="181"/>
        <v/>
      </c>
      <c r="M289" s="560" t="str">
        <f t="shared" si="181"/>
        <v/>
      </c>
      <c r="N289" s="536"/>
      <c r="O289" s="531"/>
      <c r="P289" s="484"/>
      <c r="Q289" s="570">
        <f t="shared" si="182"/>
        <v>2015</v>
      </c>
      <c r="R289" s="581" t="str">
        <f t="shared" si="183"/>
        <v/>
      </c>
      <c r="S289" s="581" t="str">
        <f t="shared" si="183"/>
        <v/>
      </c>
      <c r="T289" s="536"/>
      <c r="U289" s="531"/>
    </row>
    <row r="290" spans="3:21" x14ac:dyDescent="0.2">
      <c r="C290" s="484"/>
      <c r="D290" s="572">
        <f t="shared" si="178"/>
        <v>2016</v>
      </c>
      <c r="E290" s="536"/>
      <c r="F290" s="536"/>
      <c r="G290" s="580" t="str">
        <f t="shared" si="179"/>
        <v/>
      </c>
      <c r="H290" s="536"/>
      <c r="I290" s="585"/>
      <c r="J290" s="591"/>
      <c r="K290" s="570">
        <f t="shared" si="180"/>
        <v>2016</v>
      </c>
      <c r="L290" s="560" t="str">
        <f t="shared" si="181"/>
        <v/>
      </c>
      <c r="M290" s="560" t="str">
        <f t="shared" si="181"/>
        <v/>
      </c>
      <c r="N290" s="536"/>
      <c r="O290" s="531"/>
      <c r="P290" s="484"/>
      <c r="Q290" s="570">
        <f t="shared" si="182"/>
        <v>2016</v>
      </c>
      <c r="R290" s="581" t="str">
        <f t="shared" si="183"/>
        <v/>
      </c>
      <c r="S290" s="581" t="str">
        <f t="shared" si="183"/>
        <v/>
      </c>
      <c r="T290" s="536"/>
      <c r="U290" s="531"/>
    </row>
    <row r="291" spans="3:21" x14ac:dyDescent="0.2">
      <c r="C291" s="484"/>
      <c r="D291" s="572">
        <f t="shared" si="178"/>
        <v>2017</v>
      </c>
      <c r="E291" s="536"/>
      <c r="F291" s="536"/>
      <c r="G291" s="580" t="str">
        <f t="shared" si="179"/>
        <v/>
      </c>
      <c r="H291" s="536"/>
      <c r="I291" s="585"/>
      <c r="J291" s="591"/>
      <c r="K291" s="570">
        <f t="shared" si="180"/>
        <v>2017</v>
      </c>
      <c r="L291" s="560" t="str">
        <f t="shared" si="181"/>
        <v/>
      </c>
      <c r="M291" s="560" t="str">
        <f t="shared" si="181"/>
        <v/>
      </c>
      <c r="N291" s="536"/>
      <c r="O291" s="531"/>
      <c r="P291" s="484"/>
      <c r="Q291" s="570">
        <f t="shared" si="182"/>
        <v>2017</v>
      </c>
      <c r="R291" s="581" t="str">
        <f t="shared" si="183"/>
        <v/>
      </c>
      <c r="S291" s="581" t="str">
        <f t="shared" si="183"/>
        <v/>
      </c>
      <c r="T291" s="536"/>
      <c r="U291" s="531"/>
    </row>
    <row r="292" spans="3:21" x14ac:dyDescent="0.2">
      <c r="C292" s="484"/>
      <c r="D292" s="572">
        <f t="shared" si="178"/>
        <v>2018</v>
      </c>
      <c r="E292" s="536"/>
      <c r="F292" s="536"/>
      <c r="G292" s="580" t="str">
        <f t="shared" si="179"/>
        <v/>
      </c>
      <c r="H292" s="536"/>
      <c r="I292" s="585"/>
      <c r="J292" s="591"/>
      <c r="K292" s="570">
        <f t="shared" si="180"/>
        <v>2018</v>
      </c>
      <c r="L292" s="560" t="str">
        <f>IF(K283="Forecast","",IF(L282=0,"",L283/L282-1))</f>
        <v/>
      </c>
      <c r="M292" s="560" t="str">
        <f>IF(M282=0,"",M283/M282-1)</f>
        <v/>
      </c>
      <c r="N292" s="536"/>
      <c r="O292" s="531"/>
      <c r="P292" s="484"/>
      <c r="Q292" s="570">
        <f t="shared" si="182"/>
        <v>2018</v>
      </c>
      <c r="R292" s="581" t="str">
        <f>IF(Q283="Forecast","",IF(R282=0,"",R283/R282-1))</f>
        <v/>
      </c>
      <c r="S292" s="581" t="str">
        <f>IF(S282="","",IF(S282=0,"",S283/S282-1))</f>
        <v/>
      </c>
      <c r="T292" s="536"/>
      <c r="U292" s="531"/>
    </row>
    <row r="293" spans="3:21" x14ac:dyDescent="0.2">
      <c r="C293" s="484"/>
      <c r="D293" s="572">
        <f t="shared" si="178"/>
        <v>2019</v>
      </c>
      <c r="E293" s="536"/>
      <c r="F293" s="536"/>
      <c r="G293" s="580" t="str">
        <f t="shared" si="179"/>
        <v/>
      </c>
      <c r="H293" s="536"/>
      <c r="I293" s="586" t="str">
        <f>IF(I285=0,"",G284/I285-1)</f>
        <v/>
      </c>
      <c r="J293" s="591"/>
      <c r="K293" s="570">
        <f t="shared" si="180"/>
        <v>2019</v>
      </c>
      <c r="L293" s="560" t="str">
        <f>IF(K284="Forecast","",IF(L283=0,"",L284/L283-1))</f>
        <v/>
      </c>
      <c r="M293" s="560" t="str">
        <f>IF(M283=0,"",M284/M283-1)</f>
        <v/>
      </c>
      <c r="N293" s="536"/>
      <c r="O293" s="561" t="str">
        <f>IF(O285=0,"",M284/O285-1)</f>
        <v/>
      </c>
      <c r="P293" s="484"/>
      <c r="Q293" s="570">
        <f t="shared" si="182"/>
        <v>2019</v>
      </c>
      <c r="R293" s="581" t="str">
        <f>IF(Q284="Forecast","",IF(R283=0,"",R284/R283-1))</f>
        <v/>
      </c>
      <c r="S293" s="581" t="str">
        <f>IF(S283="","",IF(S283=0,"",S284/S283-1))</f>
        <v/>
      </c>
      <c r="T293" s="536"/>
      <c r="U293" s="561" t="str">
        <f>IF(U285=0,"",S284/U285-1)</f>
        <v/>
      </c>
    </row>
    <row r="294" spans="3:21" ht="26.25" thickBot="1" x14ac:dyDescent="0.25">
      <c r="C294" s="488"/>
      <c r="D294" s="612" t="s">
        <v>1026</v>
      </c>
      <c r="E294" s="562"/>
      <c r="F294" s="562"/>
      <c r="G294" s="582" t="str">
        <f>IF(G278=0,"",(G284/G278)^(1/($D284-$D278-1))-1)</f>
        <v/>
      </c>
      <c r="H294" s="562"/>
      <c r="I294" s="613" t="str">
        <f>IF(I285=0,"",(G284/I285)^(1/(TestYear-RebaseYear-1))-1)</f>
        <v/>
      </c>
      <c r="J294" s="567"/>
      <c r="K294" s="611" t="str">
        <f t="shared" si="180"/>
        <v>Geometric Mean</v>
      </c>
      <c r="L294" s="565" t="str">
        <f>IF(L278=0,"",(L282/L278)^(1/($D282-$D278-1))-1)</f>
        <v/>
      </c>
      <c r="M294" s="565" t="str">
        <f>IF(M278=0,"",(M284/M278)^(1/($D284-$D278-1))-1)</f>
        <v/>
      </c>
      <c r="N294" s="562"/>
      <c r="O294" s="578" t="str">
        <f>IF(O285=0,"",(M284/O285)^(1/(TestYear-RebaseYear-1))-1)</f>
        <v/>
      </c>
      <c r="P294" s="488"/>
      <c r="Q294" s="611" t="str">
        <f t="shared" si="182"/>
        <v>Geometric Mean</v>
      </c>
      <c r="R294" s="583" t="str">
        <f>IF(R278="","",IF(R278=0,"",(R282/R278)^(1/($D282-$D278-1))-1))</f>
        <v/>
      </c>
      <c r="S294" s="565" t="str">
        <f>IF(S278="","",IF(S278=0,"",(S284/S278)^(1/($D284-$D278-1))-1))</f>
        <v/>
      </c>
      <c r="T294" s="562"/>
      <c r="U294" s="578" t="str">
        <f>IF(U285=0,"",(S284/U285)^(1/(TestYear-RebaseYear-1))-1)</f>
        <v/>
      </c>
    </row>
    <row r="296" spans="3:21" ht="13.5" thickBot="1" x14ac:dyDescent="0.25">
      <c r="Q296" s="562"/>
      <c r="R296" s="562"/>
      <c r="S296" s="562"/>
      <c r="T296" s="562"/>
      <c r="U296" s="562"/>
    </row>
    <row r="297" spans="3:21" x14ac:dyDescent="0.2">
      <c r="C297" s="483"/>
      <c r="D297" s="487" t="s">
        <v>1011</v>
      </c>
      <c r="E297" s="487"/>
      <c r="F297" s="1938" t="s">
        <v>1004</v>
      </c>
      <c r="G297" s="1939"/>
      <c r="H297" s="1939"/>
      <c r="I297" s="1940"/>
      <c r="K297" s="1941" t="str">
        <f>IF(ISBLANK(N274),"",CONCATENATE("Demand (",N274,")"))</f>
        <v>Demand (kW)</v>
      </c>
      <c r="L297" s="1942"/>
      <c r="M297" s="1942"/>
      <c r="N297" s="1942"/>
      <c r="O297" s="1943"/>
      <c r="Q297" s="1944" t="str">
        <f>CONCATENATE("Demand (",N274,") per ",LEFT(F276,LEN(F276)-1))</f>
        <v>Demand (kW) per Customer</v>
      </c>
      <c r="R297" s="1945"/>
      <c r="S297" s="1945"/>
      <c r="T297" s="1945"/>
      <c r="U297" s="1946"/>
    </row>
    <row r="298" spans="3:21" ht="39" thickBot="1" x14ac:dyDescent="0.25">
      <c r="C298" s="488"/>
      <c r="D298" s="490" t="str">
        <f>CONCATENATE("(for ",TestYear," Cost of Service")</f>
        <v>(for 2019 Cost of Service</v>
      </c>
      <c r="E298" s="485"/>
      <c r="F298" s="1934"/>
      <c r="G298" s="1935"/>
      <c r="H298" s="1935"/>
      <c r="I298" s="504"/>
      <c r="K298" s="494"/>
      <c r="L298" s="628" t="s">
        <v>1031</v>
      </c>
      <c r="M298" s="628" t="s">
        <v>1015</v>
      </c>
      <c r="N298" s="512"/>
      <c r="O298" s="513" t="str">
        <f>M298</f>
        <v>Weather-normalized</v>
      </c>
      <c r="Q298" s="610"/>
      <c r="R298" s="628" t="str">
        <f>L298</f>
        <v>Actual (Weather actual)</v>
      </c>
      <c r="S298" s="628" t="str">
        <f>M298</f>
        <v>Weather-normalized</v>
      </c>
      <c r="T298" s="628"/>
      <c r="U298" s="629" t="str">
        <f>O298</f>
        <v>Weather-normalized</v>
      </c>
    </row>
    <row r="299" spans="3:21" x14ac:dyDescent="0.2">
      <c r="C299" s="485" t="s">
        <v>830</v>
      </c>
      <c r="D299" s="570">
        <f t="shared" ref="D299:D304" si="184">D300-1</f>
        <v>2013</v>
      </c>
      <c r="E299" s="484"/>
      <c r="F299" s="520" t="str">
        <f t="shared" ref="F299:F305" si="185">F278</f>
        <v>Actual</v>
      </c>
      <c r="G299" s="1549">
        <v>0</v>
      </c>
      <c r="H299" s="554" t="str">
        <f t="shared" ref="H299:H305" si="186">IF(D299=RebaseYear,"Board-approved","")</f>
        <v/>
      </c>
      <c r="I299" s="590"/>
      <c r="K299" s="1544" t="str">
        <f t="shared" ref="K299:K305" si="187">K278</f>
        <v>Actual</v>
      </c>
      <c r="L299" s="1565">
        <v>0</v>
      </c>
      <c r="M299" s="1562">
        <v>0</v>
      </c>
      <c r="N299" s="1546" t="str">
        <f t="shared" ref="N299:N305" si="188">N278</f>
        <v/>
      </c>
      <c r="O299" s="590"/>
      <c r="Q299" s="592" t="str">
        <f>K299</f>
        <v>Actual</v>
      </c>
      <c r="R299" s="536" t="str">
        <f>IF(G299=0,"",L299/G299)</f>
        <v/>
      </c>
      <c r="S299" s="516" t="str">
        <f>IF(G299=0,"",M299/G299)</f>
        <v/>
      </c>
      <c r="T299" s="516" t="str">
        <f>N299</f>
        <v/>
      </c>
      <c r="U299" s="484" t="str">
        <f>IF(T299="","",IF(I299=0,"",O299/I299))</f>
        <v/>
      </c>
    </row>
    <row r="300" spans="3:21" x14ac:dyDescent="0.2">
      <c r="C300" s="485" t="s">
        <v>830</v>
      </c>
      <c r="D300" s="570">
        <f t="shared" si="184"/>
        <v>2014</v>
      </c>
      <c r="E300" s="484"/>
      <c r="F300" s="521" t="str">
        <f t="shared" si="185"/>
        <v>Actual</v>
      </c>
      <c r="G300" s="518">
        <v>0</v>
      </c>
      <c r="H300" s="2" t="str">
        <f t="shared" si="186"/>
        <v>Board-approved</v>
      </c>
      <c r="I300" s="531"/>
      <c r="K300" s="1544" t="str">
        <f t="shared" si="187"/>
        <v>Actual</v>
      </c>
      <c r="L300" s="1566">
        <v>0</v>
      </c>
      <c r="M300" s="1555">
        <v>0</v>
      </c>
      <c r="N300" s="481" t="str">
        <f t="shared" si="188"/>
        <v>Board-approved</v>
      </c>
      <c r="O300" s="531"/>
      <c r="Q300" s="592" t="str">
        <f t="shared" ref="Q300:Q305" si="189">K300</f>
        <v>Actual</v>
      </c>
      <c r="R300" s="536" t="str">
        <f t="shared" ref="R300:R305" si="190">IF(G300=0,"",L300/G300)</f>
        <v/>
      </c>
      <c r="S300" s="516" t="str">
        <f t="shared" ref="S300:S305" si="191">IF(G300=0,"",M300/G300)</f>
        <v/>
      </c>
      <c r="T300" s="516" t="str">
        <f t="shared" ref="T300:T305" si="192">N300</f>
        <v>Board-approved</v>
      </c>
      <c r="U300" s="484" t="str">
        <f t="shared" ref="U300:U305" si="193">IF(T300="","",IF(I300=0,"",O300/I300))</f>
        <v/>
      </c>
    </row>
    <row r="301" spans="3:21" x14ac:dyDescent="0.2">
      <c r="C301" s="485" t="s">
        <v>830</v>
      </c>
      <c r="D301" s="570">
        <f t="shared" si="184"/>
        <v>2015</v>
      </c>
      <c r="E301" s="484"/>
      <c r="F301" s="521" t="str">
        <f t="shared" si="185"/>
        <v>Actual</v>
      </c>
      <c r="G301" s="518">
        <v>0</v>
      </c>
      <c r="H301" s="2" t="str">
        <f t="shared" si="186"/>
        <v/>
      </c>
      <c r="I301" s="535"/>
      <c r="K301" s="1544" t="str">
        <f t="shared" si="187"/>
        <v>Actual</v>
      </c>
      <c r="L301" s="1566">
        <v>0</v>
      </c>
      <c r="M301" s="1555">
        <v>0</v>
      </c>
      <c r="N301" s="481" t="str">
        <f t="shared" si="188"/>
        <v/>
      </c>
      <c r="O301" s="532"/>
      <c r="Q301" s="592" t="str">
        <f t="shared" si="189"/>
        <v>Actual</v>
      </c>
      <c r="R301" s="536" t="str">
        <f t="shared" si="190"/>
        <v/>
      </c>
      <c r="S301" s="516" t="str">
        <f t="shared" si="191"/>
        <v/>
      </c>
      <c r="T301" s="516" t="str">
        <f t="shared" si="192"/>
        <v/>
      </c>
      <c r="U301" s="484" t="str">
        <f t="shared" si="193"/>
        <v/>
      </c>
    </row>
    <row r="302" spans="3:21" x14ac:dyDescent="0.2">
      <c r="C302" s="485" t="s">
        <v>830</v>
      </c>
      <c r="D302" s="570">
        <f t="shared" si="184"/>
        <v>2016</v>
      </c>
      <c r="E302" s="484"/>
      <c r="F302" s="521" t="str">
        <f t="shared" si="185"/>
        <v>Actual</v>
      </c>
      <c r="G302" s="518">
        <v>0</v>
      </c>
      <c r="H302" s="2" t="str">
        <f t="shared" si="186"/>
        <v/>
      </c>
      <c r="I302" s="531"/>
      <c r="K302" s="1544" t="str">
        <f t="shared" si="187"/>
        <v>Actual</v>
      </c>
      <c r="L302" s="1566">
        <v>0</v>
      </c>
      <c r="M302" s="1555">
        <v>0</v>
      </c>
      <c r="N302" s="481" t="str">
        <f t="shared" si="188"/>
        <v/>
      </c>
      <c r="O302" s="531"/>
      <c r="Q302" s="592" t="str">
        <f t="shared" si="189"/>
        <v>Actual</v>
      </c>
      <c r="R302" s="536" t="str">
        <f t="shared" si="190"/>
        <v/>
      </c>
      <c r="S302" s="516" t="str">
        <f t="shared" si="191"/>
        <v/>
      </c>
      <c r="T302" s="516" t="str">
        <f t="shared" si="192"/>
        <v/>
      </c>
      <c r="U302" s="484" t="str">
        <f t="shared" si="193"/>
        <v/>
      </c>
    </row>
    <row r="303" spans="3:21" x14ac:dyDescent="0.2">
      <c r="C303" s="485" t="s">
        <v>830</v>
      </c>
      <c r="D303" s="570">
        <f t="shared" si="184"/>
        <v>2017</v>
      </c>
      <c r="E303" s="484"/>
      <c r="F303" s="521" t="str">
        <f t="shared" si="185"/>
        <v>Actual</v>
      </c>
      <c r="G303" s="518">
        <v>0</v>
      </c>
      <c r="H303" s="2" t="str">
        <f t="shared" si="186"/>
        <v/>
      </c>
      <c r="I303" s="531"/>
      <c r="K303" s="1544" t="str">
        <f t="shared" si="187"/>
        <v>Actual</v>
      </c>
      <c r="L303" s="1566">
        <v>0</v>
      </c>
      <c r="M303" s="1555">
        <v>0</v>
      </c>
      <c r="N303" s="481" t="str">
        <f t="shared" si="188"/>
        <v/>
      </c>
      <c r="O303" s="531"/>
      <c r="Q303" s="592" t="str">
        <f t="shared" si="189"/>
        <v>Actual</v>
      </c>
      <c r="R303" s="536" t="str">
        <f t="shared" si="190"/>
        <v/>
      </c>
      <c r="S303" s="516" t="str">
        <f t="shared" si="191"/>
        <v/>
      </c>
      <c r="T303" s="516" t="str">
        <f t="shared" si="192"/>
        <v/>
      </c>
      <c r="U303" s="484" t="str">
        <f t="shared" si="193"/>
        <v/>
      </c>
    </row>
    <row r="304" spans="3:21" x14ac:dyDescent="0.2">
      <c r="C304" s="485" t="s">
        <v>1009</v>
      </c>
      <c r="D304" s="570">
        <f t="shared" si="184"/>
        <v>2018</v>
      </c>
      <c r="E304" s="484"/>
      <c r="F304" s="521" t="str">
        <f t="shared" si="185"/>
        <v>Forecast</v>
      </c>
      <c r="G304" s="518">
        <v>0</v>
      </c>
      <c r="H304" s="2" t="str">
        <f t="shared" si="186"/>
        <v/>
      </c>
      <c r="I304" s="531"/>
      <c r="K304" s="1544" t="str">
        <f t="shared" si="187"/>
        <v>Forecast</v>
      </c>
      <c r="L304" s="1569"/>
      <c r="M304" s="1555">
        <v>0</v>
      </c>
      <c r="N304" s="481" t="str">
        <f t="shared" si="188"/>
        <v/>
      </c>
      <c r="O304" s="531"/>
      <c r="Q304" s="592" t="str">
        <f t="shared" si="189"/>
        <v>Forecast</v>
      </c>
      <c r="R304" s="536" t="str">
        <f t="shared" si="190"/>
        <v/>
      </c>
      <c r="S304" s="516" t="str">
        <f t="shared" si="191"/>
        <v/>
      </c>
      <c r="T304" s="516" t="str">
        <f t="shared" si="192"/>
        <v/>
      </c>
      <c r="U304" s="484" t="str">
        <f t="shared" si="193"/>
        <v/>
      </c>
    </row>
    <row r="305" spans="2:22" ht="13.5" thickBot="1" x14ac:dyDescent="0.25">
      <c r="C305" s="486" t="s">
        <v>1010</v>
      </c>
      <c r="D305" s="571">
        <f>TestYear</f>
        <v>2019</v>
      </c>
      <c r="E305" s="488"/>
      <c r="F305" s="522" t="str">
        <f t="shared" si="185"/>
        <v>Forecast</v>
      </c>
      <c r="G305" s="519">
        <v>157367.88</v>
      </c>
      <c r="H305" s="514" t="str">
        <f t="shared" si="186"/>
        <v/>
      </c>
      <c r="I305" s="533"/>
      <c r="K305" s="1545" t="str">
        <f t="shared" si="187"/>
        <v>Forecast</v>
      </c>
      <c r="L305" s="1570"/>
      <c r="M305" s="1564">
        <v>60000</v>
      </c>
      <c r="N305" s="482" t="str">
        <f t="shared" si="188"/>
        <v/>
      </c>
      <c r="O305" s="533"/>
      <c r="Q305" s="526" t="str">
        <f t="shared" si="189"/>
        <v>Forecast</v>
      </c>
      <c r="R305" s="517">
        <f t="shared" si="190"/>
        <v>0</v>
      </c>
      <c r="S305" s="517">
        <f t="shared" si="191"/>
        <v>0.38127221387236071</v>
      </c>
      <c r="T305" s="517" t="str">
        <f t="shared" si="192"/>
        <v/>
      </c>
      <c r="U305" s="488" t="str">
        <f t="shared" si="193"/>
        <v/>
      </c>
    </row>
    <row r="306" spans="2:22" ht="13.5" thickBot="1" x14ac:dyDescent="0.25">
      <c r="C306" s="573"/>
      <c r="I306" s="615">
        <f>SUM(I299:I304)</f>
        <v>0</v>
      </c>
      <c r="J306" s="536"/>
      <c r="O306" s="615">
        <f>SUM(O299:O304)</f>
        <v>0</v>
      </c>
      <c r="U306" s="615">
        <f>SUM(U299:U304)</f>
        <v>0</v>
      </c>
    </row>
    <row r="307" spans="2:22" ht="39" thickBot="1" x14ac:dyDescent="0.25">
      <c r="C307" s="607" t="s">
        <v>885</v>
      </c>
      <c r="D307" s="606" t="s">
        <v>10</v>
      </c>
      <c r="E307" s="630"/>
      <c r="F307" s="630"/>
      <c r="G307" s="630" t="s">
        <v>1027</v>
      </c>
      <c r="H307" s="630"/>
      <c r="I307" s="601" t="str">
        <f>I286</f>
        <v>Test Year Versus Board-approved</v>
      </c>
      <c r="J307" s="614"/>
      <c r="K307" s="602" t="s">
        <v>10</v>
      </c>
      <c r="L307" s="1936" t="s">
        <v>1027</v>
      </c>
      <c r="M307" s="1936"/>
      <c r="N307" s="630"/>
      <c r="O307" s="601" t="str">
        <f>I307</f>
        <v>Test Year Versus Board-approved</v>
      </c>
      <c r="P307" s="587"/>
      <c r="Q307" s="602" t="s">
        <v>10</v>
      </c>
      <c r="R307" s="1936" t="s">
        <v>1027</v>
      </c>
      <c r="S307" s="1936"/>
      <c r="T307" s="630"/>
      <c r="U307" s="601" t="str">
        <f>O307</f>
        <v>Test Year Versus Board-approved</v>
      </c>
    </row>
    <row r="308" spans="2:22" x14ac:dyDescent="0.2">
      <c r="C308" s="484"/>
      <c r="D308" s="609">
        <f t="shared" ref="D308:D314" si="194">D299</f>
        <v>2013</v>
      </c>
      <c r="E308" s="552"/>
      <c r="F308" s="536"/>
      <c r="G308" s="579"/>
      <c r="H308" s="536"/>
      <c r="I308" s="585"/>
      <c r="J308" s="484"/>
      <c r="K308" s="570">
        <f>D308</f>
        <v>2013</v>
      </c>
      <c r="L308" s="558"/>
      <c r="M308" s="558"/>
      <c r="N308" s="536"/>
      <c r="O308" s="588"/>
      <c r="P308" s="484"/>
      <c r="Q308" s="570">
        <f>K308</f>
        <v>2013</v>
      </c>
      <c r="R308" s="537"/>
      <c r="S308" s="537"/>
      <c r="T308" s="536"/>
      <c r="U308" s="531"/>
    </row>
    <row r="309" spans="2:22" ht="6" customHeight="1" x14ac:dyDescent="0.2">
      <c r="C309" s="484"/>
      <c r="D309" s="572">
        <f t="shared" si="194"/>
        <v>2014</v>
      </c>
      <c r="E309" s="536"/>
      <c r="F309" s="536"/>
      <c r="G309" s="580" t="str">
        <f t="shared" ref="G309:G314" si="195">IF(G299=0,"",G300/G299-1)</f>
        <v/>
      </c>
      <c r="H309" s="536"/>
      <c r="I309" s="585"/>
      <c r="J309" s="484"/>
      <c r="K309" s="570">
        <f t="shared" ref="K309:K315" si="196">D309</f>
        <v>2014</v>
      </c>
      <c r="L309" s="560" t="str">
        <f t="shared" ref="L309:M312" si="197">IF(L299=0,"",L300/L299-1)</f>
        <v/>
      </c>
      <c r="M309" s="560" t="str">
        <f t="shared" si="197"/>
        <v/>
      </c>
      <c r="N309" s="536"/>
      <c r="O309" s="588"/>
      <c r="P309" s="484"/>
      <c r="Q309" s="570">
        <f t="shared" ref="Q309:Q315" si="198">K309</f>
        <v>2014</v>
      </c>
      <c r="R309" s="581" t="str">
        <f t="shared" ref="R309:S312" si="199">IF(R299="","",IF(R299=0,"",R300/R299-1))</f>
        <v/>
      </c>
      <c r="S309" s="581" t="str">
        <f t="shared" si="199"/>
        <v/>
      </c>
      <c r="T309" s="536"/>
      <c r="U309" s="531"/>
    </row>
    <row r="310" spans="2:22" ht="31.5" customHeight="1" x14ac:dyDescent="0.2">
      <c r="C310" s="484"/>
      <c r="D310" s="608">
        <f t="shared" si="194"/>
        <v>2015</v>
      </c>
      <c r="E310" s="536"/>
      <c r="F310" s="536"/>
      <c r="G310" s="580" t="str">
        <f t="shared" si="195"/>
        <v/>
      </c>
      <c r="H310" s="536"/>
      <c r="I310" s="585"/>
      <c r="J310" s="484"/>
      <c r="K310" s="570">
        <f t="shared" si="196"/>
        <v>2015</v>
      </c>
      <c r="L310" s="560" t="str">
        <f t="shared" si="197"/>
        <v/>
      </c>
      <c r="M310" s="560" t="str">
        <f t="shared" si="197"/>
        <v/>
      </c>
      <c r="N310" s="536"/>
      <c r="O310" s="588"/>
      <c r="P310" s="484"/>
      <c r="Q310" s="570">
        <f t="shared" si="198"/>
        <v>2015</v>
      </c>
      <c r="R310" s="581" t="str">
        <f t="shared" si="199"/>
        <v/>
      </c>
      <c r="S310" s="581" t="str">
        <f t="shared" si="199"/>
        <v/>
      </c>
      <c r="T310" s="536"/>
      <c r="U310" s="531"/>
    </row>
    <row r="311" spans="2:22" ht="30.75" customHeight="1" x14ac:dyDescent="0.2">
      <c r="C311" s="484"/>
      <c r="D311" s="572">
        <f t="shared" si="194"/>
        <v>2016</v>
      </c>
      <c r="E311" s="536"/>
      <c r="F311" s="536"/>
      <c r="G311" s="580" t="str">
        <f t="shared" si="195"/>
        <v/>
      </c>
      <c r="H311" s="536"/>
      <c r="I311" s="585"/>
      <c r="J311" s="484"/>
      <c r="K311" s="570">
        <f t="shared" si="196"/>
        <v>2016</v>
      </c>
      <c r="L311" s="560" t="str">
        <f t="shared" si="197"/>
        <v/>
      </c>
      <c r="M311" s="560" t="str">
        <f t="shared" si="197"/>
        <v/>
      </c>
      <c r="N311" s="536"/>
      <c r="O311" s="588"/>
      <c r="P311" s="484"/>
      <c r="Q311" s="570">
        <f t="shared" si="198"/>
        <v>2016</v>
      </c>
      <c r="R311" s="581" t="str">
        <f t="shared" si="199"/>
        <v/>
      </c>
      <c r="S311" s="581" t="str">
        <f t="shared" si="199"/>
        <v/>
      </c>
      <c r="T311" s="536"/>
      <c r="U311" s="531"/>
    </row>
    <row r="312" spans="2:22" ht="15" customHeight="1" x14ac:dyDescent="0.2">
      <c r="C312" s="484"/>
      <c r="D312" s="572">
        <f t="shared" si="194"/>
        <v>2017</v>
      </c>
      <c r="E312" s="536"/>
      <c r="F312" s="536"/>
      <c r="G312" s="580" t="str">
        <f t="shared" si="195"/>
        <v/>
      </c>
      <c r="H312" s="536"/>
      <c r="I312" s="585"/>
      <c r="J312" s="484"/>
      <c r="K312" s="570">
        <f t="shared" si="196"/>
        <v>2017</v>
      </c>
      <c r="L312" s="560" t="str">
        <f t="shared" si="197"/>
        <v/>
      </c>
      <c r="M312" s="560" t="str">
        <f t="shared" si="197"/>
        <v/>
      </c>
      <c r="N312" s="536"/>
      <c r="O312" s="588"/>
      <c r="P312" s="484"/>
      <c r="Q312" s="570">
        <f t="shared" si="198"/>
        <v>2017</v>
      </c>
      <c r="R312" s="581" t="str">
        <f t="shared" si="199"/>
        <v/>
      </c>
      <c r="S312" s="581" t="str">
        <f t="shared" si="199"/>
        <v/>
      </c>
      <c r="T312" s="536"/>
      <c r="U312" s="531"/>
    </row>
    <row r="313" spans="2:22" ht="15" customHeight="1" x14ac:dyDescent="0.2">
      <c r="C313" s="484"/>
      <c r="D313" s="572">
        <f t="shared" si="194"/>
        <v>2018</v>
      </c>
      <c r="E313" s="536"/>
      <c r="F313" s="536"/>
      <c r="G313" s="580" t="str">
        <f t="shared" si="195"/>
        <v/>
      </c>
      <c r="H313" s="536"/>
      <c r="I313" s="585"/>
      <c r="J313" s="484"/>
      <c r="K313" s="570">
        <f t="shared" si="196"/>
        <v>2018</v>
      </c>
      <c r="L313" s="560" t="str">
        <f>IF(K304="Forecast","",IF(L303=0,"",L304/L303-1))</f>
        <v/>
      </c>
      <c r="M313" s="560" t="str">
        <f>IF(M303=0,"",M304/M303-1)</f>
        <v/>
      </c>
      <c r="N313" s="536"/>
      <c r="O313" s="588"/>
      <c r="P313" s="484"/>
      <c r="Q313" s="570">
        <f t="shared" si="198"/>
        <v>2018</v>
      </c>
      <c r="R313" s="581" t="str">
        <f>IF(Q304="Forecast","",IF(R303=0,"",R304/R303-1))</f>
        <v/>
      </c>
      <c r="S313" s="581" t="str">
        <f>IF(S303="","",IF(S303=0,"",S304/S303-1))</f>
        <v/>
      </c>
      <c r="T313" s="536"/>
      <c r="U313" s="531"/>
    </row>
    <row r="314" spans="2:22" x14ac:dyDescent="0.2">
      <c r="C314" s="484"/>
      <c r="D314" s="608">
        <f t="shared" si="194"/>
        <v>2019</v>
      </c>
      <c r="E314" s="536"/>
      <c r="F314" s="536"/>
      <c r="G314" s="580" t="str">
        <f t="shared" si="195"/>
        <v/>
      </c>
      <c r="H314" s="536"/>
      <c r="I314" s="586" t="str">
        <f>IF(I306=0,"",G305/I306-1)</f>
        <v/>
      </c>
      <c r="J314" s="484"/>
      <c r="K314" s="570">
        <f t="shared" si="196"/>
        <v>2019</v>
      </c>
      <c r="L314" s="560" t="str">
        <f>IF(K305="Forecast","",IF(L304=0,"",L305/L304-1))</f>
        <v/>
      </c>
      <c r="M314" s="560" t="str">
        <f>IF(M304=0,"",M305/M304-1)</f>
        <v/>
      </c>
      <c r="N314" s="536"/>
      <c r="O314" s="589" t="str">
        <f>IF(O306=0,"",M305/O306-1)</f>
        <v/>
      </c>
      <c r="P314" s="484"/>
      <c r="Q314" s="570">
        <f t="shared" si="198"/>
        <v>2019</v>
      </c>
      <c r="R314" s="581" t="str">
        <f>IF(Q305="Forecast","",IF(R304=0,"",R305/R304-1))</f>
        <v/>
      </c>
      <c r="S314" s="581" t="str">
        <f>IF(S304="","",IF(S304=0,"",S305/S304-1))</f>
        <v/>
      </c>
      <c r="T314" s="536"/>
      <c r="U314" s="561" t="str">
        <f>IF(U306=0,"",S305/U306-1)</f>
        <v/>
      </c>
    </row>
    <row r="315" spans="2:22" ht="26.25" thickBot="1" x14ac:dyDescent="0.25">
      <c r="C315" s="488"/>
      <c r="D315" s="612" t="s">
        <v>1026</v>
      </c>
      <c r="E315" s="562"/>
      <c r="F315" s="562"/>
      <c r="G315" s="582" t="str">
        <f>IF(G299=0,"",(G305/G299)^(1/($D305-$D299-1))-1)</f>
        <v/>
      </c>
      <c r="H315" s="562"/>
      <c r="I315" s="578" t="str">
        <f>IF(I306=0,"",(G305/I306)^(1/(TestYear-RebaseYear-1))-1)</f>
        <v/>
      </c>
      <c r="J315" s="484"/>
      <c r="K315" s="611" t="str">
        <f t="shared" si="196"/>
        <v>Geometric Mean</v>
      </c>
      <c r="L315" s="565" t="str">
        <f>IF(L299=0,"",(L303/L299)^(1/($D303-$D299-1))-1)</f>
        <v/>
      </c>
      <c r="M315" s="565" t="str">
        <f>IF(M299=0,"",(M305/M299)^(1/($D305-$D299-1))-1)</f>
        <v/>
      </c>
      <c r="N315" s="562"/>
      <c r="O315" s="578" t="str">
        <f>IF(O306=0,"",(M305/O306)^(1/(TestYear-RebaseYear-1))-1)</f>
        <v/>
      </c>
      <c r="P315" s="488"/>
      <c r="Q315" s="611" t="str">
        <f t="shared" si="198"/>
        <v>Geometric Mean</v>
      </c>
      <c r="R315" s="583" t="str">
        <f>IF(R299="","",IF(R299=0,"",(R303/R299)^(1/($D303-$D299-1))-1))</f>
        <v/>
      </c>
      <c r="S315" s="565" t="str">
        <f>IF(S299="","",IF(S299=0,"",(S305/S299)^(1/($D305-$D299-1))-1))</f>
        <v/>
      </c>
      <c r="T315" s="562"/>
      <c r="U315" s="578" t="str">
        <f>IF(U306=0,"",(S305/U306)^(1/(TestYear-RebaseYear-1))-1)</f>
        <v/>
      </c>
    </row>
    <row r="316" spans="2:22" ht="13.5" thickBot="1" x14ac:dyDescent="0.25"/>
    <row r="317" spans="2:22" ht="13.5" thickBot="1" x14ac:dyDescent="0.25">
      <c r="B317" s="525">
        <f>B274+1</f>
        <v>7</v>
      </c>
      <c r="C317" s="3" t="s">
        <v>9</v>
      </c>
      <c r="D317" s="1947"/>
      <c r="E317" s="1948"/>
      <c r="F317" s="1949"/>
      <c r="G317" s="499"/>
      <c r="H317" s="9" t="s">
        <v>1029</v>
      </c>
      <c r="N317" s="524"/>
      <c r="O317" s="523"/>
      <c r="P317" s="523"/>
      <c r="Q317" s="523"/>
      <c r="R317" s="523"/>
      <c r="S317" s="523"/>
      <c r="T317" s="523"/>
      <c r="U317" s="523"/>
    </row>
    <row r="318" spans="2:22" ht="13.5" thickBot="1" x14ac:dyDescent="0.25">
      <c r="Q318" s="562"/>
      <c r="R318" s="562"/>
      <c r="S318" s="562"/>
      <c r="T318" s="562"/>
      <c r="U318" s="562"/>
    </row>
    <row r="319" spans="2:22" x14ac:dyDescent="0.2">
      <c r="C319" s="483"/>
      <c r="D319" s="487" t="s">
        <v>1011</v>
      </c>
      <c r="E319" s="487"/>
      <c r="F319" s="1950" t="s">
        <v>945</v>
      </c>
      <c r="G319" s="1951"/>
      <c r="H319" s="1951"/>
      <c r="I319" s="1952"/>
      <c r="J319" s="487"/>
      <c r="K319" s="1941" t="s">
        <v>1018</v>
      </c>
      <c r="L319" s="1942"/>
      <c r="M319" s="1942"/>
      <c r="N319" s="1942"/>
      <c r="O319" s="1943"/>
      <c r="P319" s="495"/>
      <c r="Q319" s="1944" t="str">
        <f>CONCATENATE("Consumption (kWh) per ",LEFT(F319,LEN(F319)-1))</f>
        <v>Consumption (kWh) per Customer</v>
      </c>
      <c r="R319" s="1945"/>
      <c r="S319" s="1945"/>
      <c r="T319" s="1945"/>
      <c r="U319" s="1946"/>
      <c r="V319" s="515"/>
    </row>
    <row r="320" spans="2:22" ht="39" thickBot="1" x14ac:dyDescent="0.25">
      <c r="C320" s="488"/>
      <c r="D320" s="490" t="str">
        <f>CONCATENATE("(for ",TestYear," Cost of Service")</f>
        <v>(for 2019 Cost of Service</v>
      </c>
      <c r="E320" s="485"/>
      <c r="F320" s="1934"/>
      <c r="G320" s="1935"/>
      <c r="H320" s="1937"/>
      <c r="I320" s="504"/>
      <c r="J320" s="485"/>
      <c r="K320" s="494"/>
      <c r="L320" s="628" t="s">
        <v>1031</v>
      </c>
      <c r="M320" s="628" t="s">
        <v>1015</v>
      </c>
      <c r="N320" s="512"/>
      <c r="O320" s="513" t="s">
        <v>1015</v>
      </c>
      <c r="P320" s="485"/>
      <c r="Q320" s="596"/>
      <c r="R320" s="597" t="str">
        <f>L320</f>
        <v>Actual (Weather actual)</v>
      </c>
      <c r="S320" s="598" t="str">
        <f>M320</f>
        <v>Weather-normalized</v>
      </c>
      <c r="T320" s="598"/>
      <c r="U320" s="599" t="str">
        <f>O320</f>
        <v>Weather-normalized</v>
      </c>
      <c r="V320" s="515"/>
    </row>
    <row r="321" spans="2:22" x14ac:dyDescent="0.2">
      <c r="C321" s="485" t="s">
        <v>830</v>
      </c>
      <c r="D321" s="570">
        <f t="shared" ref="D321:D326" si="200">D322-1</f>
        <v>2013</v>
      </c>
      <c r="E321" s="484"/>
      <c r="F321" s="520" t="str">
        <f>F278</f>
        <v>Actual</v>
      </c>
      <c r="G321" s="508"/>
      <c r="H321" s="505" t="str">
        <f t="shared" ref="H321:H327" si="201">IF(D321=RebaseYear,"Board-approved","")</f>
        <v/>
      </c>
      <c r="I321" s="531"/>
      <c r="J321" s="484"/>
      <c r="K321" s="492" t="str">
        <f>F321</f>
        <v>Actual</v>
      </c>
      <c r="L321" s="502"/>
      <c r="M321" s="502"/>
      <c r="N321" s="481" t="str">
        <f>H321</f>
        <v/>
      </c>
      <c r="O321" s="531"/>
      <c r="P321" s="484"/>
      <c r="Q321" s="592" t="str">
        <f>K321</f>
        <v>Actual</v>
      </c>
      <c r="R321" s="594" t="str">
        <f>IF(G321=0,"",L321/G321)</f>
        <v/>
      </c>
      <c r="S321" s="536" t="str">
        <f>IF(G321=0,"",M321/G321)</f>
        <v/>
      </c>
      <c r="T321" s="536" t="str">
        <f>N321</f>
        <v/>
      </c>
      <c r="U321" s="536" t="str">
        <f>IF(T321="","",IF(I321=0,"",O321/I321))</f>
        <v/>
      </c>
      <c r="V321" s="516"/>
    </row>
    <row r="322" spans="2:22" x14ac:dyDescent="0.2">
      <c r="C322" s="485" t="s">
        <v>830</v>
      </c>
      <c r="D322" s="570">
        <f t="shared" si="200"/>
        <v>2014</v>
      </c>
      <c r="E322" s="484"/>
      <c r="F322" s="521" t="str">
        <f t="shared" ref="F322:F327" si="202">F279</f>
        <v>Actual</v>
      </c>
      <c r="G322" s="508"/>
      <c r="H322" s="505" t="str">
        <f t="shared" si="201"/>
        <v>Board-approved</v>
      </c>
      <c r="I322" s="531"/>
      <c r="J322" s="484"/>
      <c r="K322" s="492" t="str">
        <f t="shared" ref="K322:K327" si="203">F322</f>
        <v>Actual</v>
      </c>
      <c r="L322" s="502"/>
      <c r="M322" s="502"/>
      <c r="N322" s="481" t="str">
        <f t="shared" ref="N322:N327" si="204">H322</f>
        <v>Board-approved</v>
      </c>
      <c r="O322" s="531"/>
      <c r="P322" s="484"/>
      <c r="Q322" s="592" t="str">
        <f t="shared" ref="Q322:Q327" si="205">K322</f>
        <v>Actual</v>
      </c>
      <c r="R322" s="594" t="str">
        <f t="shared" ref="R322:R327" si="206">IF(G322=0,"",L322/G322)</f>
        <v/>
      </c>
      <c r="S322" s="536" t="str">
        <f t="shared" ref="S322:S327" si="207">IF(G322=0,"",M322/G322)</f>
        <v/>
      </c>
      <c r="T322" s="536" t="str">
        <f t="shared" ref="T322:T327" si="208">N322</f>
        <v>Board-approved</v>
      </c>
      <c r="U322" s="536" t="str">
        <f t="shared" ref="U322:U327" si="209">IF(T322="","",IF(I322=0,"",O322/I322))</f>
        <v/>
      </c>
      <c r="V322" s="516"/>
    </row>
    <row r="323" spans="2:22" x14ac:dyDescent="0.2">
      <c r="C323" s="485" t="s">
        <v>830</v>
      </c>
      <c r="D323" s="570">
        <f t="shared" si="200"/>
        <v>2015</v>
      </c>
      <c r="E323" s="484"/>
      <c r="F323" s="521" t="str">
        <f t="shared" si="202"/>
        <v>Actual</v>
      </c>
      <c r="G323" s="508"/>
      <c r="H323" s="505" t="str">
        <f t="shared" si="201"/>
        <v/>
      </c>
      <c r="I323" s="532"/>
      <c r="J323" s="484"/>
      <c r="K323" s="492" t="str">
        <f t="shared" si="203"/>
        <v>Actual</v>
      </c>
      <c r="L323" s="502"/>
      <c r="M323" s="502"/>
      <c r="N323" s="481" t="str">
        <f t="shared" si="204"/>
        <v/>
      </c>
      <c r="O323" s="532"/>
      <c r="P323" s="484"/>
      <c r="Q323" s="592" t="str">
        <f t="shared" si="205"/>
        <v>Actual</v>
      </c>
      <c r="R323" s="594" t="str">
        <f t="shared" si="206"/>
        <v/>
      </c>
      <c r="S323" s="536" t="str">
        <f t="shared" si="207"/>
        <v/>
      </c>
      <c r="T323" s="536" t="str">
        <f t="shared" si="208"/>
        <v/>
      </c>
      <c r="U323" s="536" t="str">
        <f t="shared" si="209"/>
        <v/>
      </c>
      <c r="V323" s="516"/>
    </row>
    <row r="324" spans="2:22" x14ac:dyDescent="0.2">
      <c r="C324" s="485" t="s">
        <v>830</v>
      </c>
      <c r="D324" s="570">
        <f t="shared" si="200"/>
        <v>2016</v>
      </c>
      <c r="E324" s="484"/>
      <c r="F324" s="521" t="str">
        <f t="shared" si="202"/>
        <v>Actual</v>
      </c>
      <c r="G324" s="508"/>
      <c r="H324" s="505" t="str">
        <f t="shared" si="201"/>
        <v/>
      </c>
      <c r="I324" s="531"/>
      <c r="J324" s="484"/>
      <c r="K324" s="492" t="str">
        <f t="shared" si="203"/>
        <v>Actual</v>
      </c>
      <c r="L324" s="502"/>
      <c r="M324" s="502"/>
      <c r="N324" s="481" t="str">
        <f t="shared" si="204"/>
        <v/>
      </c>
      <c r="O324" s="531"/>
      <c r="P324" s="484"/>
      <c r="Q324" s="592" t="str">
        <f t="shared" si="205"/>
        <v>Actual</v>
      </c>
      <c r="R324" s="594" t="str">
        <f t="shared" si="206"/>
        <v/>
      </c>
      <c r="S324" s="536" t="str">
        <f t="shared" si="207"/>
        <v/>
      </c>
      <c r="T324" s="536" t="str">
        <f t="shared" si="208"/>
        <v/>
      </c>
      <c r="U324" s="536" t="str">
        <f t="shared" si="209"/>
        <v/>
      </c>
      <c r="V324" s="516"/>
    </row>
    <row r="325" spans="2:22" x14ac:dyDescent="0.2">
      <c r="C325" s="485" t="s">
        <v>830</v>
      </c>
      <c r="D325" s="570">
        <f t="shared" si="200"/>
        <v>2017</v>
      </c>
      <c r="E325" s="484"/>
      <c r="F325" s="521" t="str">
        <f t="shared" si="202"/>
        <v>Actual</v>
      </c>
      <c r="G325" s="508"/>
      <c r="H325" s="505" t="str">
        <f t="shared" si="201"/>
        <v/>
      </c>
      <c r="I325" s="531"/>
      <c r="J325" s="484"/>
      <c r="K325" s="492" t="str">
        <f t="shared" si="203"/>
        <v>Actual</v>
      </c>
      <c r="L325" s="502"/>
      <c r="M325" s="502"/>
      <c r="N325" s="481" t="str">
        <f t="shared" si="204"/>
        <v/>
      </c>
      <c r="O325" s="531"/>
      <c r="P325" s="484"/>
      <c r="Q325" s="592" t="str">
        <f t="shared" si="205"/>
        <v>Actual</v>
      </c>
      <c r="R325" s="594" t="str">
        <f t="shared" si="206"/>
        <v/>
      </c>
      <c r="S325" s="536" t="str">
        <f t="shared" si="207"/>
        <v/>
      </c>
      <c r="T325" s="536" t="str">
        <f t="shared" si="208"/>
        <v/>
      </c>
      <c r="U325" s="536" t="str">
        <f t="shared" si="209"/>
        <v/>
      </c>
      <c r="V325" s="516"/>
    </row>
    <row r="326" spans="2:22" x14ac:dyDescent="0.2">
      <c r="C326" s="485" t="s">
        <v>289</v>
      </c>
      <c r="D326" s="570">
        <f t="shared" si="200"/>
        <v>2018</v>
      </c>
      <c r="E326" s="484"/>
      <c r="F326" s="521" t="str">
        <f t="shared" si="202"/>
        <v>Forecast</v>
      </c>
      <c r="G326" s="508"/>
      <c r="H326" s="505" t="str">
        <f t="shared" si="201"/>
        <v/>
      </c>
      <c r="I326" s="531"/>
      <c r="J326" s="484"/>
      <c r="K326" s="492" t="str">
        <f t="shared" si="203"/>
        <v>Forecast</v>
      </c>
      <c r="L326" s="510"/>
      <c r="M326" s="539"/>
      <c r="N326" s="481" t="str">
        <f t="shared" si="204"/>
        <v/>
      </c>
      <c r="O326" s="531"/>
      <c r="P326" s="484"/>
      <c r="Q326" s="592" t="str">
        <f t="shared" si="205"/>
        <v>Forecast</v>
      </c>
      <c r="R326" s="594" t="str">
        <f t="shared" si="206"/>
        <v/>
      </c>
      <c r="S326" s="536" t="str">
        <f t="shared" si="207"/>
        <v/>
      </c>
      <c r="T326" s="536" t="str">
        <f t="shared" si="208"/>
        <v/>
      </c>
      <c r="U326" s="536" t="str">
        <f t="shared" si="209"/>
        <v/>
      </c>
      <c r="V326" s="516"/>
    </row>
    <row r="327" spans="2:22" ht="13.5" thickBot="1" x14ac:dyDescent="0.25">
      <c r="C327" s="486" t="s">
        <v>290</v>
      </c>
      <c r="D327" s="571">
        <f>TestYear</f>
        <v>2019</v>
      </c>
      <c r="E327" s="488"/>
      <c r="F327" s="522" t="str">
        <f t="shared" si="202"/>
        <v>Forecast</v>
      </c>
      <c r="G327" s="509"/>
      <c r="H327" s="506" t="str">
        <f t="shared" si="201"/>
        <v/>
      </c>
      <c r="I327" s="533"/>
      <c r="J327" s="488"/>
      <c r="K327" s="493" t="str">
        <f t="shared" si="203"/>
        <v>Forecast</v>
      </c>
      <c r="L327" s="511"/>
      <c r="M327" s="540"/>
      <c r="N327" s="482" t="str">
        <f t="shared" si="204"/>
        <v/>
      </c>
      <c r="O327" s="533"/>
      <c r="P327" s="488"/>
      <c r="Q327" s="593" t="str">
        <f t="shared" si="205"/>
        <v>Forecast</v>
      </c>
      <c r="R327" s="595" t="str">
        <f t="shared" si="206"/>
        <v/>
      </c>
      <c r="S327" s="562" t="str">
        <f t="shared" si="207"/>
        <v/>
      </c>
      <c r="T327" s="562" t="str">
        <f t="shared" si="208"/>
        <v/>
      </c>
      <c r="U327" s="562" t="str">
        <f t="shared" si="209"/>
        <v/>
      </c>
      <c r="V327" s="516"/>
    </row>
    <row r="328" spans="2:22" ht="13.5" thickBot="1" x14ac:dyDescent="0.25">
      <c r="B328" s="536"/>
      <c r="C328" s="573"/>
      <c r="I328" s="615">
        <f>SUM(I321:I326)</f>
        <v>0</v>
      </c>
      <c r="O328" s="615">
        <f>SUM(O321:O326)</f>
        <v>0</v>
      </c>
      <c r="U328" s="615">
        <f>SUM(U321:U326)</f>
        <v>0</v>
      </c>
    </row>
    <row r="329" spans="2:22" ht="39" thickBot="1" x14ac:dyDescent="0.25">
      <c r="C329" s="607" t="s">
        <v>885</v>
      </c>
      <c r="D329" s="606" t="s">
        <v>10</v>
      </c>
      <c r="E329" s="568"/>
      <c r="F329" s="568"/>
      <c r="G329" s="630" t="s">
        <v>1027</v>
      </c>
      <c r="H329" s="568"/>
      <c r="I329" s="601" t="s">
        <v>1040</v>
      </c>
      <c r="J329" s="603"/>
      <c r="K329" s="602" t="s">
        <v>10</v>
      </c>
      <c r="L329" s="1936" t="s">
        <v>1027</v>
      </c>
      <c r="M329" s="1936"/>
      <c r="N329" s="568"/>
      <c r="O329" s="601" t="str">
        <f>I329</f>
        <v>Test Year Versus Board-approved</v>
      </c>
      <c r="P329" s="604"/>
      <c r="Q329" s="602" t="s">
        <v>10</v>
      </c>
      <c r="R329" s="1936" t="s">
        <v>1027</v>
      </c>
      <c r="S329" s="1936"/>
      <c r="T329" s="568"/>
      <c r="U329" s="601" t="str">
        <f>O329</f>
        <v>Test Year Versus Board-approved</v>
      </c>
    </row>
    <row r="330" spans="2:22" x14ac:dyDescent="0.2">
      <c r="C330" s="484"/>
      <c r="D330" s="584">
        <f t="shared" ref="D330:D336" si="210">D321</f>
        <v>2013</v>
      </c>
      <c r="E330" s="536"/>
      <c r="F330" s="536"/>
      <c r="G330" s="579"/>
      <c r="H330" s="536"/>
      <c r="I330" s="585"/>
      <c r="J330" s="591"/>
      <c r="K330" s="570">
        <f>D330</f>
        <v>2013</v>
      </c>
      <c r="L330" s="558"/>
      <c r="M330" s="558"/>
      <c r="N330" s="536"/>
      <c r="O330" s="531"/>
      <c r="P330" s="484"/>
      <c r="Q330" s="570">
        <f>K330</f>
        <v>2013</v>
      </c>
      <c r="R330" s="537"/>
      <c r="S330" s="537"/>
      <c r="T330" s="536"/>
      <c r="U330" s="531"/>
    </row>
    <row r="331" spans="2:22" x14ac:dyDescent="0.2">
      <c r="C331" s="484"/>
      <c r="D331" s="572">
        <f t="shared" si="210"/>
        <v>2014</v>
      </c>
      <c r="E331" s="536"/>
      <c r="F331" s="536"/>
      <c r="G331" s="580" t="str">
        <f t="shared" ref="G331:G336" si="211">IF(G321=0,"",G322/G321-1)</f>
        <v/>
      </c>
      <c r="H331" s="536"/>
      <c r="I331" s="585"/>
      <c r="J331" s="591"/>
      <c r="K331" s="570">
        <f t="shared" ref="K331:K337" si="212">D331</f>
        <v>2014</v>
      </c>
      <c r="L331" s="560" t="str">
        <f t="shared" ref="L331:M334" si="213">IF(L321=0,"",L322/L321-1)</f>
        <v/>
      </c>
      <c r="M331" s="560" t="str">
        <f t="shared" si="213"/>
        <v/>
      </c>
      <c r="N331" s="536"/>
      <c r="O331" s="531"/>
      <c r="P331" s="484"/>
      <c r="Q331" s="570">
        <f t="shared" ref="Q331:Q337" si="214">K331</f>
        <v>2014</v>
      </c>
      <c r="R331" s="581" t="str">
        <f t="shared" ref="R331:S334" si="215">IF(R321="","",IF(R321=0,"",R322/R321-1))</f>
        <v/>
      </c>
      <c r="S331" s="581" t="str">
        <f t="shared" si="215"/>
        <v/>
      </c>
      <c r="T331" s="536"/>
      <c r="U331" s="531"/>
    </row>
    <row r="332" spans="2:22" x14ac:dyDescent="0.2">
      <c r="C332" s="484"/>
      <c r="D332" s="572">
        <f t="shared" si="210"/>
        <v>2015</v>
      </c>
      <c r="E332" s="536"/>
      <c r="F332" s="536"/>
      <c r="G332" s="580" t="str">
        <f t="shared" si="211"/>
        <v/>
      </c>
      <c r="H332" s="536"/>
      <c r="I332" s="585"/>
      <c r="J332" s="591"/>
      <c r="K332" s="570">
        <f t="shared" si="212"/>
        <v>2015</v>
      </c>
      <c r="L332" s="560" t="str">
        <f t="shared" si="213"/>
        <v/>
      </c>
      <c r="M332" s="560" t="str">
        <f t="shared" si="213"/>
        <v/>
      </c>
      <c r="N332" s="536"/>
      <c r="O332" s="531"/>
      <c r="P332" s="484"/>
      <c r="Q332" s="570">
        <f t="shared" si="214"/>
        <v>2015</v>
      </c>
      <c r="R332" s="581" t="str">
        <f t="shared" si="215"/>
        <v/>
      </c>
      <c r="S332" s="581" t="str">
        <f t="shared" si="215"/>
        <v/>
      </c>
      <c r="T332" s="536"/>
      <c r="U332" s="531"/>
    </row>
    <row r="333" spans="2:22" x14ac:dyDescent="0.2">
      <c r="C333" s="484"/>
      <c r="D333" s="572">
        <f t="shared" si="210"/>
        <v>2016</v>
      </c>
      <c r="E333" s="536"/>
      <c r="F333" s="536"/>
      <c r="G333" s="580" t="str">
        <f t="shared" si="211"/>
        <v/>
      </c>
      <c r="H333" s="536"/>
      <c r="I333" s="585"/>
      <c r="J333" s="591"/>
      <c r="K333" s="570">
        <f t="shared" si="212"/>
        <v>2016</v>
      </c>
      <c r="L333" s="560" t="str">
        <f t="shared" si="213"/>
        <v/>
      </c>
      <c r="M333" s="560" t="str">
        <f t="shared" si="213"/>
        <v/>
      </c>
      <c r="N333" s="536"/>
      <c r="O333" s="531"/>
      <c r="P333" s="484"/>
      <c r="Q333" s="570">
        <f t="shared" si="214"/>
        <v>2016</v>
      </c>
      <c r="R333" s="581" t="str">
        <f t="shared" si="215"/>
        <v/>
      </c>
      <c r="S333" s="581" t="str">
        <f t="shared" si="215"/>
        <v/>
      </c>
      <c r="T333" s="536"/>
      <c r="U333" s="531"/>
    </row>
    <row r="334" spans="2:22" x14ac:dyDescent="0.2">
      <c r="C334" s="484"/>
      <c r="D334" s="572">
        <f t="shared" si="210"/>
        <v>2017</v>
      </c>
      <c r="E334" s="536"/>
      <c r="F334" s="536"/>
      <c r="G334" s="580" t="str">
        <f t="shared" si="211"/>
        <v/>
      </c>
      <c r="H334" s="536"/>
      <c r="I334" s="585"/>
      <c r="J334" s="591"/>
      <c r="K334" s="570">
        <f t="shared" si="212"/>
        <v>2017</v>
      </c>
      <c r="L334" s="560" t="str">
        <f t="shared" si="213"/>
        <v/>
      </c>
      <c r="M334" s="560" t="str">
        <f t="shared" si="213"/>
        <v/>
      </c>
      <c r="N334" s="536"/>
      <c r="O334" s="531"/>
      <c r="P334" s="484"/>
      <c r="Q334" s="570">
        <f t="shared" si="214"/>
        <v>2017</v>
      </c>
      <c r="R334" s="581" t="str">
        <f t="shared" si="215"/>
        <v/>
      </c>
      <c r="S334" s="581" t="str">
        <f t="shared" si="215"/>
        <v/>
      </c>
      <c r="T334" s="536"/>
      <c r="U334" s="531"/>
    </row>
    <row r="335" spans="2:22" x14ac:dyDescent="0.2">
      <c r="C335" s="484"/>
      <c r="D335" s="572">
        <f t="shared" si="210"/>
        <v>2018</v>
      </c>
      <c r="E335" s="536"/>
      <c r="F335" s="536"/>
      <c r="G335" s="580" t="str">
        <f t="shared" si="211"/>
        <v/>
      </c>
      <c r="H335" s="536"/>
      <c r="I335" s="585"/>
      <c r="J335" s="591"/>
      <c r="K335" s="570">
        <f t="shared" si="212"/>
        <v>2018</v>
      </c>
      <c r="L335" s="560" t="str">
        <f>IF(K326="Forecast","",IF(L325=0,"",L326/L325-1))</f>
        <v/>
      </c>
      <c r="M335" s="560" t="str">
        <f>IF(M325=0,"",M326/M325-1)</f>
        <v/>
      </c>
      <c r="N335" s="536"/>
      <c r="O335" s="531"/>
      <c r="P335" s="484"/>
      <c r="Q335" s="570">
        <f t="shared" si="214"/>
        <v>2018</v>
      </c>
      <c r="R335" s="581" t="str">
        <f>IF(Q326="Forecast","",IF(R325=0,"",R326/R325-1))</f>
        <v/>
      </c>
      <c r="S335" s="581" t="str">
        <f>IF(S325="","",IF(S325=0,"",S326/S325-1))</f>
        <v/>
      </c>
      <c r="T335" s="536"/>
      <c r="U335" s="531"/>
    </row>
    <row r="336" spans="2:22" x14ac:dyDescent="0.2">
      <c r="C336" s="484"/>
      <c r="D336" s="572">
        <f t="shared" si="210"/>
        <v>2019</v>
      </c>
      <c r="E336" s="536"/>
      <c r="F336" s="536"/>
      <c r="G336" s="580" t="str">
        <f t="shared" si="211"/>
        <v/>
      </c>
      <c r="H336" s="536"/>
      <c r="I336" s="586" t="str">
        <f>IF(I328=0,"",G327/I328-1)</f>
        <v/>
      </c>
      <c r="J336" s="591"/>
      <c r="K336" s="570">
        <f t="shared" si="212"/>
        <v>2019</v>
      </c>
      <c r="L336" s="560" t="str">
        <f>IF(K327="Forecast","",IF(L326=0,"",L327/L326-1))</f>
        <v/>
      </c>
      <c r="M336" s="560" t="str">
        <f>IF(M326=0,"",M327/M326-1)</f>
        <v/>
      </c>
      <c r="N336" s="536"/>
      <c r="O336" s="561" t="str">
        <f>IF(O328=0,"",M327/O328-1)</f>
        <v/>
      </c>
      <c r="P336" s="484"/>
      <c r="Q336" s="570">
        <f t="shared" si="214"/>
        <v>2019</v>
      </c>
      <c r="R336" s="581" t="str">
        <f>IF(Q327="Forecast","",IF(R326=0,"",R327/R326-1))</f>
        <v/>
      </c>
      <c r="S336" s="581" t="str">
        <f>IF(S326="","",IF(S326=0,"",S327/S326-1))</f>
        <v/>
      </c>
      <c r="T336" s="536"/>
      <c r="U336" s="561" t="str">
        <f>IF(U328=0,"",S327/U328-1)</f>
        <v/>
      </c>
    </row>
    <row r="337" spans="3:21" ht="26.25" thickBot="1" x14ac:dyDescent="0.25">
      <c r="C337" s="488"/>
      <c r="D337" s="612" t="s">
        <v>1026</v>
      </c>
      <c r="E337" s="562"/>
      <c r="F337" s="562"/>
      <c r="G337" s="582" t="str">
        <f>IF(G321=0,"",(G327/G321)^(1/($D327-$D321-1))-1)</f>
        <v/>
      </c>
      <c r="H337" s="562"/>
      <c r="I337" s="613" t="str">
        <f>IF(I328=0,"",(G327/I328)^(1/(TestYear-RebaseYear-1))-1)</f>
        <v/>
      </c>
      <c r="J337" s="567"/>
      <c r="K337" s="611" t="str">
        <f t="shared" si="212"/>
        <v>Geometric Mean</v>
      </c>
      <c r="L337" s="565" t="str">
        <f>IF(L321=0,"",(L325/L321)^(1/($D325-$D321-1))-1)</f>
        <v/>
      </c>
      <c r="M337" s="565" t="str">
        <f>IF(M321=0,"",(M327/M321)^(1/($D327-$D321-1))-1)</f>
        <v/>
      </c>
      <c r="N337" s="562"/>
      <c r="O337" s="578" t="str">
        <f>IF(O328=0,"",(M327/O328)^(1/(TestYear-RebaseYear-1))-1)</f>
        <v/>
      </c>
      <c r="P337" s="488"/>
      <c r="Q337" s="611" t="str">
        <f t="shared" si="214"/>
        <v>Geometric Mean</v>
      </c>
      <c r="R337" s="583" t="str">
        <f>IF(R321="","",IF(R321=0,"",(R325/R321)^(1/($D325-$D321-1))-1))</f>
        <v/>
      </c>
      <c r="S337" s="565" t="str">
        <f>IF(S321="","",IF(S321=0,"",(S327/S321)^(1/($D327-$D321-1))-1))</f>
        <v/>
      </c>
      <c r="T337" s="562"/>
      <c r="U337" s="578" t="str">
        <f>IF(U328=0,"",(S327/U328)^(1/(TestYear-RebaseYear-1))-1)</f>
        <v/>
      </c>
    </row>
    <row r="339" spans="3:21" ht="13.5" thickBot="1" x14ac:dyDescent="0.25">
      <c r="Q339" s="562"/>
      <c r="R339" s="562"/>
      <c r="S339" s="562"/>
      <c r="T339" s="562"/>
      <c r="U339" s="562"/>
    </row>
    <row r="340" spans="3:21" x14ac:dyDescent="0.2">
      <c r="C340" s="483"/>
      <c r="D340" s="487" t="s">
        <v>1011</v>
      </c>
      <c r="E340" s="487"/>
      <c r="F340" s="1938" t="s">
        <v>1004</v>
      </c>
      <c r="G340" s="1939"/>
      <c r="H340" s="1939"/>
      <c r="I340" s="1940"/>
      <c r="K340" s="1941" t="str">
        <f>IF(ISBLANK(N317),"",CONCATENATE("Demand (",N317,")"))</f>
        <v/>
      </c>
      <c r="L340" s="1942"/>
      <c r="M340" s="1942"/>
      <c r="N340" s="1942"/>
      <c r="O340" s="1943"/>
      <c r="Q340" s="1944" t="str">
        <f>CONCATENATE("Demand (",N317,") per ",LEFT(F319,LEN(F319)-1))</f>
        <v>Demand () per Customer</v>
      </c>
      <c r="R340" s="1945"/>
      <c r="S340" s="1945"/>
      <c r="T340" s="1945"/>
      <c r="U340" s="1946"/>
    </row>
    <row r="341" spans="3:21" ht="39" thickBot="1" x14ac:dyDescent="0.25">
      <c r="C341" s="488"/>
      <c r="D341" s="490" t="str">
        <f>CONCATENATE("(for ",TestYear," Cost of Service")</f>
        <v>(for 2019 Cost of Service</v>
      </c>
      <c r="E341" s="485"/>
      <c r="F341" s="1934"/>
      <c r="G341" s="1935"/>
      <c r="H341" s="1935"/>
      <c r="I341" s="504"/>
      <c r="K341" s="494"/>
      <c r="L341" s="628" t="s">
        <v>1031</v>
      </c>
      <c r="M341" s="628" t="s">
        <v>1015</v>
      </c>
      <c r="N341" s="512"/>
      <c r="O341" s="513" t="str">
        <f>M341</f>
        <v>Weather-normalized</v>
      </c>
      <c r="Q341" s="610"/>
      <c r="R341" s="628" t="str">
        <f>L341</f>
        <v>Actual (Weather actual)</v>
      </c>
      <c r="S341" s="628" t="str">
        <f>M341</f>
        <v>Weather-normalized</v>
      </c>
      <c r="T341" s="628"/>
      <c r="U341" s="629" t="str">
        <f>O341</f>
        <v>Weather-normalized</v>
      </c>
    </row>
    <row r="342" spans="3:21" x14ac:dyDescent="0.2">
      <c r="C342" s="485" t="s">
        <v>830</v>
      </c>
      <c r="D342" s="570">
        <f t="shared" ref="D342:D347" si="216">D343-1</f>
        <v>2013</v>
      </c>
      <c r="E342" s="484"/>
      <c r="F342" s="520" t="str">
        <f t="shared" ref="F342:F348" si="217">F321</f>
        <v>Actual</v>
      </c>
      <c r="G342" s="518"/>
      <c r="H342" s="2" t="str">
        <f t="shared" ref="H342:H348" si="218">IF(D342=RebaseYear,"Board-approved","")</f>
        <v/>
      </c>
      <c r="I342" s="590"/>
      <c r="K342" s="492" t="str">
        <f t="shared" ref="K342:K348" si="219">K321</f>
        <v>Actual</v>
      </c>
      <c r="L342" s="502"/>
      <c r="M342" s="502"/>
      <c r="N342" s="481" t="str">
        <f t="shared" ref="N342:N348" si="220">N321</f>
        <v/>
      </c>
      <c r="O342" s="531"/>
      <c r="Q342" s="592" t="str">
        <f>K342</f>
        <v>Actual</v>
      </c>
      <c r="R342" s="536" t="str">
        <f>IF(G342=0,"",L342/G342)</f>
        <v/>
      </c>
      <c r="S342" s="516" t="str">
        <f>IF(G342=0,"",M342/G342)</f>
        <v/>
      </c>
      <c r="T342" s="516" t="str">
        <f>N342</f>
        <v/>
      </c>
      <c r="U342" s="484" t="str">
        <f>IF(T342="","",IF(I342=0,"",O342/I342))</f>
        <v/>
      </c>
    </row>
    <row r="343" spans="3:21" x14ac:dyDescent="0.2">
      <c r="C343" s="485" t="s">
        <v>830</v>
      </c>
      <c r="D343" s="570">
        <f t="shared" si="216"/>
        <v>2014</v>
      </c>
      <c r="E343" s="484"/>
      <c r="F343" s="521" t="str">
        <f t="shared" si="217"/>
        <v>Actual</v>
      </c>
      <c r="G343" s="518"/>
      <c r="H343" s="2" t="str">
        <f t="shared" si="218"/>
        <v>Board-approved</v>
      </c>
      <c r="I343" s="531"/>
      <c r="K343" s="492" t="str">
        <f t="shared" si="219"/>
        <v>Actual</v>
      </c>
      <c r="L343" s="502"/>
      <c r="M343" s="502"/>
      <c r="N343" s="481" t="str">
        <f t="shared" si="220"/>
        <v>Board-approved</v>
      </c>
      <c r="O343" s="531"/>
      <c r="Q343" s="592" t="str">
        <f t="shared" ref="Q343:Q348" si="221">K343</f>
        <v>Actual</v>
      </c>
      <c r="R343" s="536" t="str">
        <f t="shared" ref="R343:R348" si="222">IF(G343=0,"",L343/G343)</f>
        <v/>
      </c>
      <c r="S343" s="516" t="str">
        <f t="shared" ref="S343:S348" si="223">IF(G343=0,"",M343/G343)</f>
        <v/>
      </c>
      <c r="T343" s="516" t="str">
        <f t="shared" ref="T343:T348" si="224">N343</f>
        <v>Board-approved</v>
      </c>
      <c r="U343" s="484" t="str">
        <f t="shared" ref="U343:U348" si="225">IF(T343="","",IF(I343=0,"",O343/I343))</f>
        <v/>
      </c>
    </row>
    <row r="344" spans="3:21" x14ac:dyDescent="0.2">
      <c r="C344" s="485" t="s">
        <v>830</v>
      </c>
      <c r="D344" s="570">
        <f t="shared" si="216"/>
        <v>2015</v>
      </c>
      <c r="E344" s="484"/>
      <c r="F344" s="521" t="str">
        <f t="shared" si="217"/>
        <v>Actual</v>
      </c>
      <c r="G344" s="518"/>
      <c r="H344" s="2" t="str">
        <f t="shared" si="218"/>
        <v/>
      </c>
      <c r="I344" s="535"/>
      <c r="K344" s="492" t="str">
        <f t="shared" si="219"/>
        <v>Actual</v>
      </c>
      <c r="L344" s="502"/>
      <c r="M344" s="502"/>
      <c r="N344" s="481" t="str">
        <f t="shared" si="220"/>
        <v/>
      </c>
      <c r="O344" s="532"/>
      <c r="Q344" s="592" t="str">
        <f t="shared" si="221"/>
        <v>Actual</v>
      </c>
      <c r="R344" s="536" t="str">
        <f t="shared" si="222"/>
        <v/>
      </c>
      <c r="S344" s="516" t="str">
        <f t="shared" si="223"/>
        <v/>
      </c>
      <c r="T344" s="516" t="str">
        <f t="shared" si="224"/>
        <v/>
      </c>
      <c r="U344" s="484" t="str">
        <f t="shared" si="225"/>
        <v/>
      </c>
    </row>
    <row r="345" spans="3:21" x14ac:dyDescent="0.2">
      <c r="C345" s="485" t="s">
        <v>830</v>
      </c>
      <c r="D345" s="570">
        <f t="shared" si="216"/>
        <v>2016</v>
      </c>
      <c r="E345" s="484"/>
      <c r="F345" s="521" t="str">
        <f t="shared" si="217"/>
        <v>Actual</v>
      </c>
      <c r="G345" s="518"/>
      <c r="H345" s="2" t="str">
        <f t="shared" si="218"/>
        <v/>
      </c>
      <c r="I345" s="531"/>
      <c r="K345" s="492" t="str">
        <f t="shared" si="219"/>
        <v>Actual</v>
      </c>
      <c r="L345" s="502"/>
      <c r="M345" s="502"/>
      <c r="N345" s="481" t="str">
        <f t="shared" si="220"/>
        <v/>
      </c>
      <c r="O345" s="531"/>
      <c r="Q345" s="592" t="str">
        <f t="shared" si="221"/>
        <v>Actual</v>
      </c>
      <c r="R345" s="536" t="str">
        <f t="shared" si="222"/>
        <v/>
      </c>
      <c r="S345" s="516" t="str">
        <f t="shared" si="223"/>
        <v/>
      </c>
      <c r="T345" s="516" t="str">
        <f t="shared" si="224"/>
        <v/>
      </c>
      <c r="U345" s="484" t="str">
        <f t="shared" si="225"/>
        <v/>
      </c>
    </row>
    <row r="346" spans="3:21" x14ac:dyDescent="0.2">
      <c r="C346" s="485" t="s">
        <v>830</v>
      </c>
      <c r="D346" s="570">
        <f t="shared" si="216"/>
        <v>2017</v>
      </c>
      <c r="E346" s="484"/>
      <c r="F346" s="521" t="str">
        <f t="shared" si="217"/>
        <v>Actual</v>
      </c>
      <c r="G346" s="518"/>
      <c r="H346" s="2" t="str">
        <f t="shared" si="218"/>
        <v/>
      </c>
      <c r="I346" s="531"/>
      <c r="K346" s="492" t="str">
        <f t="shared" si="219"/>
        <v>Actual</v>
      </c>
      <c r="L346" s="502"/>
      <c r="M346" s="502"/>
      <c r="N346" s="481" t="str">
        <f t="shared" si="220"/>
        <v/>
      </c>
      <c r="O346" s="531"/>
      <c r="Q346" s="592" t="str">
        <f t="shared" si="221"/>
        <v>Actual</v>
      </c>
      <c r="R346" s="536" t="str">
        <f t="shared" si="222"/>
        <v/>
      </c>
      <c r="S346" s="516" t="str">
        <f t="shared" si="223"/>
        <v/>
      </c>
      <c r="T346" s="516" t="str">
        <f t="shared" si="224"/>
        <v/>
      </c>
      <c r="U346" s="484" t="str">
        <f t="shared" si="225"/>
        <v/>
      </c>
    </row>
    <row r="347" spans="3:21" x14ac:dyDescent="0.2">
      <c r="C347" s="485" t="s">
        <v>1009</v>
      </c>
      <c r="D347" s="570">
        <f t="shared" si="216"/>
        <v>2018</v>
      </c>
      <c r="E347" s="484"/>
      <c r="F347" s="521" t="str">
        <f t="shared" si="217"/>
        <v>Forecast</v>
      </c>
      <c r="G347" s="518"/>
      <c r="H347" s="2" t="str">
        <f t="shared" si="218"/>
        <v/>
      </c>
      <c r="I347" s="531"/>
      <c r="K347" s="492" t="str">
        <f t="shared" si="219"/>
        <v>Forecast</v>
      </c>
      <c r="L347" s="510"/>
      <c r="M347" s="541"/>
      <c r="N347" s="481" t="str">
        <f t="shared" si="220"/>
        <v/>
      </c>
      <c r="O347" s="531"/>
      <c r="Q347" s="592" t="str">
        <f t="shared" si="221"/>
        <v>Forecast</v>
      </c>
      <c r="R347" s="536" t="str">
        <f t="shared" si="222"/>
        <v/>
      </c>
      <c r="S347" s="516" t="str">
        <f t="shared" si="223"/>
        <v/>
      </c>
      <c r="T347" s="516" t="str">
        <f t="shared" si="224"/>
        <v/>
      </c>
      <c r="U347" s="484" t="str">
        <f t="shared" si="225"/>
        <v/>
      </c>
    </row>
    <row r="348" spans="3:21" ht="13.5" thickBot="1" x14ac:dyDescent="0.25">
      <c r="C348" s="486" t="s">
        <v>1010</v>
      </c>
      <c r="D348" s="571">
        <f>TestYear</f>
        <v>2019</v>
      </c>
      <c r="E348" s="488"/>
      <c r="F348" s="522" t="str">
        <f t="shared" si="217"/>
        <v>Forecast</v>
      </c>
      <c r="G348" s="519"/>
      <c r="H348" s="514" t="str">
        <f t="shared" si="218"/>
        <v/>
      </c>
      <c r="I348" s="533"/>
      <c r="K348" s="493" t="str">
        <f t="shared" si="219"/>
        <v>Forecast</v>
      </c>
      <c r="L348" s="511"/>
      <c r="M348" s="542"/>
      <c r="N348" s="482" t="str">
        <f t="shared" si="220"/>
        <v/>
      </c>
      <c r="O348" s="533"/>
      <c r="Q348" s="526" t="str">
        <f t="shared" si="221"/>
        <v>Forecast</v>
      </c>
      <c r="R348" s="517" t="str">
        <f t="shared" si="222"/>
        <v/>
      </c>
      <c r="S348" s="517" t="str">
        <f t="shared" si="223"/>
        <v/>
      </c>
      <c r="T348" s="517" t="str">
        <f t="shared" si="224"/>
        <v/>
      </c>
      <c r="U348" s="488" t="str">
        <f t="shared" si="225"/>
        <v/>
      </c>
    </row>
    <row r="349" spans="3:21" ht="13.5" thickBot="1" x14ac:dyDescent="0.25">
      <c r="C349" s="573"/>
      <c r="I349" s="615">
        <f>SUM(I342:I347)</f>
        <v>0</v>
      </c>
      <c r="J349" s="536"/>
      <c r="O349" s="615">
        <f>SUM(O342:O347)</f>
        <v>0</v>
      </c>
      <c r="U349" s="615">
        <f>SUM(U342:U347)</f>
        <v>0</v>
      </c>
    </row>
    <row r="350" spans="3:21" ht="39" thickBot="1" x14ac:dyDescent="0.25">
      <c r="C350" s="607" t="s">
        <v>885</v>
      </c>
      <c r="D350" s="606" t="s">
        <v>10</v>
      </c>
      <c r="E350" s="630"/>
      <c r="F350" s="630"/>
      <c r="G350" s="630" t="s">
        <v>1027</v>
      </c>
      <c r="H350" s="630"/>
      <c r="I350" s="601" t="str">
        <f>I329</f>
        <v>Test Year Versus Board-approved</v>
      </c>
      <c r="J350" s="614"/>
      <c r="K350" s="602" t="s">
        <v>10</v>
      </c>
      <c r="L350" s="1936" t="s">
        <v>1027</v>
      </c>
      <c r="M350" s="1936"/>
      <c r="N350" s="630"/>
      <c r="O350" s="601" t="str">
        <f>I350</f>
        <v>Test Year Versus Board-approved</v>
      </c>
      <c r="P350" s="587"/>
      <c r="Q350" s="602" t="s">
        <v>10</v>
      </c>
      <c r="R350" s="1936" t="s">
        <v>1027</v>
      </c>
      <c r="S350" s="1936"/>
      <c r="T350" s="630"/>
      <c r="U350" s="601" t="str">
        <f>O350</f>
        <v>Test Year Versus Board-approved</v>
      </c>
    </row>
    <row r="351" spans="3:21" x14ac:dyDescent="0.2">
      <c r="C351" s="484"/>
      <c r="D351" s="609">
        <f t="shared" ref="D351:D357" si="226">D342</f>
        <v>2013</v>
      </c>
      <c r="E351" s="552"/>
      <c r="F351" s="536"/>
      <c r="G351" s="579"/>
      <c r="H351" s="536"/>
      <c r="I351" s="585"/>
      <c r="J351" s="484"/>
      <c r="K351" s="570">
        <f>D351</f>
        <v>2013</v>
      </c>
      <c r="L351" s="558"/>
      <c r="M351" s="558"/>
      <c r="N351" s="536"/>
      <c r="O351" s="588"/>
      <c r="P351" s="484"/>
      <c r="Q351" s="570">
        <f>K351</f>
        <v>2013</v>
      </c>
      <c r="R351" s="537"/>
      <c r="S351" s="537"/>
      <c r="T351" s="536"/>
      <c r="U351" s="531"/>
    </row>
    <row r="352" spans="3:21" x14ac:dyDescent="0.2">
      <c r="C352" s="484"/>
      <c r="D352" s="572">
        <f t="shared" si="226"/>
        <v>2014</v>
      </c>
      <c r="E352" s="536"/>
      <c r="F352" s="536"/>
      <c r="G352" s="580" t="str">
        <f t="shared" ref="G352:G357" si="227">IF(G342=0,"",G343/G342-1)</f>
        <v/>
      </c>
      <c r="H352" s="536"/>
      <c r="I352" s="585"/>
      <c r="J352" s="484"/>
      <c r="K352" s="570">
        <f t="shared" ref="K352:K358" si="228">D352</f>
        <v>2014</v>
      </c>
      <c r="L352" s="560" t="str">
        <f t="shared" ref="L352:M355" si="229">IF(L342=0,"",L343/L342-1)</f>
        <v/>
      </c>
      <c r="M352" s="560" t="str">
        <f t="shared" si="229"/>
        <v/>
      </c>
      <c r="N352" s="536"/>
      <c r="O352" s="588"/>
      <c r="P352" s="484"/>
      <c r="Q352" s="570">
        <f t="shared" ref="Q352:Q358" si="230">K352</f>
        <v>2014</v>
      </c>
      <c r="R352" s="581" t="str">
        <f t="shared" ref="R352:S355" si="231">IF(R342="","",IF(R342=0,"",R343/R342-1))</f>
        <v/>
      </c>
      <c r="S352" s="581" t="str">
        <f t="shared" si="231"/>
        <v/>
      </c>
      <c r="T352" s="536"/>
      <c r="U352" s="531"/>
    </row>
    <row r="353" spans="2:22" x14ac:dyDescent="0.2">
      <c r="C353" s="484"/>
      <c r="D353" s="608">
        <f t="shared" si="226"/>
        <v>2015</v>
      </c>
      <c r="E353" s="536"/>
      <c r="F353" s="536"/>
      <c r="G353" s="580" t="str">
        <f t="shared" si="227"/>
        <v/>
      </c>
      <c r="H353" s="536"/>
      <c r="I353" s="585"/>
      <c r="J353" s="484"/>
      <c r="K353" s="570">
        <f t="shared" si="228"/>
        <v>2015</v>
      </c>
      <c r="L353" s="560" t="str">
        <f t="shared" si="229"/>
        <v/>
      </c>
      <c r="M353" s="560" t="str">
        <f t="shared" si="229"/>
        <v/>
      </c>
      <c r="N353" s="536"/>
      <c r="O353" s="588"/>
      <c r="P353" s="484"/>
      <c r="Q353" s="570">
        <f t="shared" si="230"/>
        <v>2015</v>
      </c>
      <c r="R353" s="581" t="str">
        <f t="shared" si="231"/>
        <v/>
      </c>
      <c r="S353" s="581" t="str">
        <f t="shared" si="231"/>
        <v/>
      </c>
      <c r="T353" s="536"/>
      <c r="U353" s="531"/>
    </row>
    <row r="354" spans="2:22" x14ac:dyDescent="0.2">
      <c r="C354" s="484"/>
      <c r="D354" s="572">
        <f t="shared" si="226"/>
        <v>2016</v>
      </c>
      <c r="E354" s="536"/>
      <c r="F354" s="536"/>
      <c r="G354" s="580" t="str">
        <f t="shared" si="227"/>
        <v/>
      </c>
      <c r="H354" s="536"/>
      <c r="I354" s="585"/>
      <c r="J354" s="484"/>
      <c r="K354" s="570">
        <f t="shared" si="228"/>
        <v>2016</v>
      </c>
      <c r="L354" s="560" t="str">
        <f t="shared" si="229"/>
        <v/>
      </c>
      <c r="M354" s="560" t="str">
        <f t="shared" si="229"/>
        <v/>
      </c>
      <c r="N354" s="536"/>
      <c r="O354" s="588"/>
      <c r="P354" s="484"/>
      <c r="Q354" s="570">
        <f t="shared" si="230"/>
        <v>2016</v>
      </c>
      <c r="R354" s="581" t="str">
        <f t="shared" si="231"/>
        <v/>
      </c>
      <c r="S354" s="581" t="str">
        <f t="shared" si="231"/>
        <v/>
      </c>
      <c r="T354" s="536"/>
      <c r="U354" s="531"/>
    </row>
    <row r="355" spans="2:22" x14ac:dyDescent="0.2">
      <c r="C355" s="484"/>
      <c r="D355" s="572">
        <f t="shared" si="226"/>
        <v>2017</v>
      </c>
      <c r="E355" s="536"/>
      <c r="F355" s="536"/>
      <c r="G355" s="580" t="str">
        <f t="shared" si="227"/>
        <v/>
      </c>
      <c r="H355" s="536"/>
      <c r="I355" s="585"/>
      <c r="J355" s="484"/>
      <c r="K355" s="570">
        <f t="shared" si="228"/>
        <v>2017</v>
      </c>
      <c r="L355" s="560" t="str">
        <f t="shared" si="229"/>
        <v/>
      </c>
      <c r="M355" s="560" t="str">
        <f t="shared" si="229"/>
        <v/>
      </c>
      <c r="N355" s="536"/>
      <c r="O355" s="588"/>
      <c r="P355" s="484"/>
      <c r="Q355" s="570">
        <f t="shared" si="230"/>
        <v>2017</v>
      </c>
      <c r="R355" s="581" t="str">
        <f t="shared" si="231"/>
        <v/>
      </c>
      <c r="S355" s="581" t="str">
        <f t="shared" si="231"/>
        <v/>
      </c>
      <c r="T355" s="536"/>
      <c r="U355" s="531"/>
    </row>
    <row r="356" spans="2:22" x14ac:dyDescent="0.2">
      <c r="C356" s="484"/>
      <c r="D356" s="572">
        <f t="shared" si="226"/>
        <v>2018</v>
      </c>
      <c r="E356" s="536"/>
      <c r="F356" s="536"/>
      <c r="G356" s="580" t="str">
        <f t="shared" si="227"/>
        <v/>
      </c>
      <c r="H356" s="536"/>
      <c r="I356" s="585"/>
      <c r="J356" s="484"/>
      <c r="K356" s="570">
        <f t="shared" si="228"/>
        <v>2018</v>
      </c>
      <c r="L356" s="560" t="str">
        <f>IF(K347="Forecast","",IF(L346=0,"",L347/L346-1))</f>
        <v/>
      </c>
      <c r="M356" s="560" t="str">
        <f>IF(M346=0,"",M347/M346-1)</f>
        <v/>
      </c>
      <c r="N356" s="536"/>
      <c r="O356" s="588"/>
      <c r="P356" s="484"/>
      <c r="Q356" s="570">
        <f t="shared" si="230"/>
        <v>2018</v>
      </c>
      <c r="R356" s="581" t="str">
        <f>IF(Q347="Forecast","",IF(R346=0,"",R347/R346-1))</f>
        <v/>
      </c>
      <c r="S356" s="581" t="str">
        <f>IF(S346="","",IF(S346=0,"",S347/S346-1))</f>
        <v/>
      </c>
      <c r="T356" s="536"/>
      <c r="U356" s="531"/>
    </row>
    <row r="357" spans="2:22" x14ac:dyDescent="0.2">
      <c r="C357" s="484"/>
      <c r="D357" s="608">
        <f t="shared" si="226"/>
        <v>2019</v>
      </c>
      <c r="E357" s="536"/>
      <c r="F357" s="536"/>
      <c r="G357" s="580" t="str">
        <f t="shared" si="227"/>
        <v/>
      </c>
      <c r="H357" s="536"/>
      <c r="I357" s="586" t="str">
        <f>IF(I349=0,"",G348/I349-1)</f>
        <v/>
      </c>
      <c r="J357" s="484"/>
      <c r="K357" s="570">
        <f t="shared" si="228"/>
        <v>2019</v>
      </c>
      <c r="L357" s="560" t="str">
        <f>IF(K348="Forecast","",IF(L347=0,"",L348/L347-1))</f>
        <v/>
      </c>
      <c r="M357" s="560" t="str">
        <f>IF(M347=0,"",M348/M347-1)</f>
        <v/>
      </c>
      <c r="N357" s="536"/>
      <c r="O357" s="589" t="str">
        <f>IF(O349=0,"",M348/O349-1)</f>
        <v/>
      </c>
      <c r="P357" s="484"/>
      <c r="Q357" s="570">
        <f t="shared" si="230"/>
        <v>2019</v>
      </c>
      <c r="R357" s="581" t="str">
        <f>IF(Q348="Forecast","",IF(R347=0,"",R348/R347-1))</f>
        <v/>
      </c>
      <c r="S357" s="581" t="str">
        <f>IF(S347="","",IF(S347=0,"",S348/S347-1))</f>
        <v/>
      </c>
      <c r="T357" s="536"/>
      <c r="U357" s="561" t="str">
        <f>IF(U349=0,"",S348/U349-1)</f>
        <v/>
      </c>
    </row>
    <row r="358" spans="2:22" ht="26.25" thickBot="1" x14ac:dyDescent="0.25">
      <c r="C358" s="488"/>
      <c r="D358" s="612" t="s">
        <v>1026</v>
      </c>
      <c r="E358" s="562"/>
      <c r="F358" s="562"/>
      <c r="G358" s="582" t="str">
        <f>IF(G342=0,"",(G348/G342)^(1/($D348-$D342-1))-1)</f>
        <v/>
      </c>
      <c r="H358" s="562"/>
      <c r="I358" s="578" t="str">
        <f>IF(I349=0,"",(G348/I349)^(1/(TestYear-RebaseYear-1))-1)</f>
        <v/>
      </c>
      <c r="J358" s="484"/>
      <c r="K358" s="611" t="str">
        <f t="shared" si="228"/>
        <v>Geometric Mean</v>
      </c>
      <c r="L358" s="565" t="str">
        <f>IF(L342=0,"",(L346/L342)^(1/($D346-$D342-1))-1)</f>
        <v/>
      </c>
      <c r="M358" s="565" t="str">
        <f>IF(M342=0,"",(M348/M342)^(1/($D348-$D342-1))-1)</f>
        <v/>
      </c>
      <c r="N358" s="562"/>
      <c r="O358" s="578" t="str">
        <f>IF(O349=0,"",(M348/O349)^(1/(TestYear-RebaseYear-1))-1)</f>
        <v/>
      </c>
      <c r="P358" s="488"/>
      <c r="Q358" s="611" t="str">
        <f t="shared" si="230"/>
        <v>Geometric Mean</v>
      </c>
      <c r="R358" s="583" t="str">
        <f>IF(R342="","",IF(R342=0,"",(R346/R342)^(1/($D346-$D342-1))-1))</f>
        <v/>
      </c>
      <c r="S358" s="565" t="str">
        <f>IF(S342="","",IF(S342=0,"",(S348/S342)^(1/($D348-$D342-1))-1))</f>
        <v/>
      </c>
      <c r="T358" s="562"/>
      <c r="U358" s="578" t="str">
        <f>IF(U349=0,"",(S348/U349)^(1/(TestYear-RebaseYear-1))-1)</f>
        <v/>
      </c>
    </row>
    <row r="359" spans="2:22" ht="13.5" thickBot="1" x14ac:dyDescent="0.25"/>
    <row r="360" spans="2:22" ht="13.5" thickBot="1" x14ac:dyDescent="0.25">
      <c r="B360" s="525">
        <f>B317+1</f>
        <v>8</v>
      </c>
      <c r="C360" s="3" t="s">
        <v>9</v>
      </c>
      <c r="D360" s="1947"/>
      <c r="E360" s="1948"/>
      <c r="F360" s="1949"/>
      <c r="G360" s="499"/>
      <c r="H360" s="9" t="s">
        <v>1029</v>
      </c>
      <c r="N360" s="524"/>
      <c r="O360" s="523"/>
      <c r="P360" s="523"/>
      <c r="Q360" s="523"/>
      <c r="R360" s="523"/>
      <c r="S360" s="523"/>
      <c r="T360" s="523"/>
      <c r="U360" s="523"/>
    </row>
    <row r="361" spans="2:22" ht="13.5" thickBot="1" x14ac:dyDescent="0.25">
      <c r="Q361" s="562"/>
      <c r="R361" s="562"/>
      <c r="S361" s="562"/>
      <c r="T361" s="562"/>
      <c r="U361" s="562"/>
    </row>
    <row r="362" spans="2:22" x14ac:dyDescent="0.2">
      <c r="C362" s="483"/>
      <c r="D362" s="487" t="s">
        <v>1011</v>
      </c>
      <c r="E362" s="487"/>
      <c r="F362" s="1950" t="s">
        <v>945</v>
      </c>
      <c r="G362" s="1951"/>
      <c r="H362" s="1951"/>
      <c r="I362" s="1952"/>
      <c r="J362" s="487"/>
      <c r="K362" s="1941" t="s">
        <v>1018</v>
      </c>
      <c r="L362" s="1942"/>
      <c r="M362" s="1942"/>
      <c r="N362" s="1942"/>
      <c r="O362" s="1943"/>
      <c r="P362" s="495"/>
      <c r="Q362" s="1944" t="str">
        <f>CONCATENATE("Consumption (kWh) per ",LEFT(F362,LEN(F362)-1))</f>
        <v>Consumption (kWh) per Customer</v>
      </c>
      <c r="R362" s="1945"/>
      <c r="S362" s="1945"/>
      <c r="T362" s="1945"/>
      <c r="U362" s="1946"/>
      <c r="V362" s="515"/>
    </row>
    <row r="363" spans="2:22" ht="39" thickBot="1" x14ac:dyDescent="0.25">
      <c r="C363" s="488"/>
      <c r="D363" s="490" t="str">
        <f>CONCATENATE("(for ",TestYear," Cost of Service")</f>
        <v>(for 2019 Cost of Service</v>
      </c>
      <c r="E363" s="485"/>
      <c r="F363" s="1934"/>
      <c r="G363" s="1935"/>
      <c r="H363" s="1937"/>
      <c r="I363" s="504"/>
      <c r="J363" s="485"/>
      <c r="K363" s="494"/>
      <c r="L363" s="628" t="s">
        <v>1031</v>
      </c>
      <c r="M363" s="628" t="s">
        <v>1015</v>
      </c>
      <c r="N363" s="512"/>
      <c r="O363" s="513" t="s">
        <v>1015</v>
      </c>
      <c r="P363" s="485"/>
      <c r="Q363" s="596"/>
      <c r="R363" s="597" t="str">
        <f>L363</f>
        <v>Actual (Weather actual)</v>
      </c>
      <c r="S363" s="598" t="str">
        <f>M363</f>
        <v>Weather-normalized</v>
      </c>
      <c r="T363" s="598"/>
      <c r="U363" s="599" t="str">
        <f>O363</f>
        <v>Weather-normalized</v>
      </c>
      <c r="V363" s="515"/>
    </row>
    <row r="364" spans="2:22" x14ac:dyDescent="0.2">
      <c r="C364" s="485" t="s">
        <v>830</v>
      </c>
      <c r="D364" s="570">
        <f t="shared" ref="D364:D369" si="232">D365-1</f>
        <v>2013</v>
      </c>
      <c r="E364" s="484"/>
      <c r="F364" s="520" t="str">
        <f>F321</f>
        <v>Actual</v>
      </c>
      <c r="G364" s="508"/>
      <c r="H364" s="505" t="str">
        <f t="shared" ref="H364:H370" si="233">IF(D364=RebaseYear,"Board-approved","")</f>
        <v/>
      </c>
      <c r="I364" s="531"/>
      <c r="J364" s="484"/>
      <c r="K364" s="492" t="str">
        <f>F364</f>
        <v>Actual</v>
      </c>
      <c r="L364" s="502"/>
      <c r="M364" s="502"/>
      <c r="N364" s="481" t="str">
        <f>H364</f>
        <v/>
      </c>
      <c r="O364" s="531"/>
      <c r="P364" s="484"/>
      <c r="Q364" s="592" t="str">
        <f>K364</f>
        <v>Actual</v>
      </c>
      <c r="R364" s="594" t="str">
        <f>IF(G364=0,"",L364/G364)</f>
        <v/>
      </c>
      <c r="S364" s="536" t="str">
        <f>IF(G364=0,"",M364/G364)</f>
        <v/>
      </c>
      <c r="T364" s="536" t="str">
        <f>N364</f>
        <v/>
      </c>
      <c r="U364" s="536" t="str">
        <f>IF(T364="","",IF(I364=0,"",O364/I364))</f>
        <v/>
      </c>
      <c r="V364" s="516"/>
    </row>
    <row r="365" spans="2:22" x14ac:dyDescent="0.2">
      <c r="C365" s="485" t="s">
        <v>830</v>
      </c>
      <c r="D365" s="570">
        <f t="shared" si="232"/>
        <v>2014</v>
      </c>
      <c r="E365" s="484"/>
      <c r="F365" s="521" t="str">
        <f t="shared" ref="F365:F370" si="234">F322</f>
        <v>Actual</v>
      </c>
      <c r="G365" s="508"/>
      <c r="H365" s="505" t="str">
        <f t="shared" si="233"/>
        <v>Board-approved</v>
      </c>
      <c r="I365" s="531"/>
      <c r="J365" s="484"/>
      <c r="K365" s="492" t="str">
        <f t="shared" ref="K365:K370" si="235">F365</f>
        <v>Actual</v>
      </c>
      <c r="L365" s="502"/>
      <c r="M365" s="502"/>
      <c r="N365" s="481" t="str">
        <f t="shared" ref="N365:N370" si="236">H365</f>
        <v>Board-approved</v>
      </c>
      <c r="O365" s="531"/>
      <c r="P365" s="484"/>
      <c r="Q365" s="592" t="str">
        <f t="shared" ref="Q365:Q370" si="237">K365</f>
        <v>Actual</v>
      </c>
      <c r="R365" s="594" t="str">
        <f t="shared" ref="R365:R370" si="238">IF(G365=0,"",L365/G365)</f>
        <v/>
      </c>
      <c r="S365" s="536" t="str">
        <f t="shared" ref="S365:S370" si="239">IF(G365=0,"",M365/G365)</f>
        <v/>
      </c>
      <c r="T365" s="536" t="str">
        <f t="shared" ref="T365:T370" si="240">N365</f>
        <v>Board-approved</v>
      </c>
      <c r="U365" s="536" t="str">
        <f t="shared" ref="U365:U370" si="241">IF(T365="","",IF(I365=0,"",O365/I365))</f>
        <v/>
      </c>
      <c r="V365" s="516"/>
    </row>
    <row r="366" spans="2:22" x14ac:dyDescent="0.2">
      <c r="C366" s="485" t="s">
        <v>830</v>
      </c>
      <c r="D366" s="570">
        <f t="shared" si="232"/>
        <v>2015</v>
      </c>
      <c r="E366" s="484"/>
      <c r="F366" s="521" t="str">
        <f t="shared" si="234"/>
        <v>Actual</v>
      </c>
      <c r="G366" s="508"/>
      <c r="H366" s="505" t="str">
        <f t="shared" si="233"/>
        <v/>
      </c>
      <c r="I366" s="532"/>
      <c r="J366" s="484"/>
      <c r="K366" s="492" t="str">
        <f t="shared" si="235"/>
        <v>Actual</v>
      </c>
      <c r="L366" s="502"/>
      <c r="M366" s="502"/>
      <c r="N366" s="481" t="str">
        <f t="shared" si="236"/>
        <v/>
      </c>
      <c r="O366" s="532"/>
      <c r="P366" s="484"/>
      <c r="Q366" s="592" t="str">
        <f t="shared" si="237"/>
        <v>Actual</v>
      </c>
      <c r="R366" s="594" t="str">
        <f t="shared" si="238"/>
        <v/>
      </c>
      <c r="S366" s="536" t="str">
        <f t="shared" si="239"/>
        <v/>
      </c>
      <c r="T366" s="536" t="str">
        <f t="shared" si="240"/>
        <v/>
      </c>
      <c r="U366" s="536" t="str">
        <f t="shared" si="241"/>
        <v/>
      </c>
      <c r="V366" s="516"/>
    </row>
    <row r="367" spans="2:22" x14ac:dyDescent="0.2">
      <c r="C367" s="485" t="s">
        <v>830</v>
      </c>
      <c r="D367" s="570">
        <f t="shared" si="232"/>
        <v>2016</v>
      </c>
      <c r="E367" s="484"/>
      <c r="F367" s="521" t="str">
        <f t="shared" si="234"/>
        <v>Actual</v>
      </c>
      <c r="G367" s="508"/>
      <c r="H367" s="505" t="str">
        <f t="shared" si="233"/>
        <v/>
      </c>
      <c r="I367" s="531"/>
      <c r="J367" s="484"/>
      <c r="K367" s="492" t="str">
        <f t="shared" si="235"/>
        <v>Actual</v>
      </c>
      <c r="L367" s="502"/>
      <c r="M367" s="502"/>
      <c r="N367" s="481" t="str">
        <f t="shared" si="236"/>
        <v/>
      </c>
      <c r="O367" s="531"/>
      <c r="P367" s="484"/>
      <c r="Q367" s="592" t="str">
        <f t="shared" si="237"/>
        <v>Actual</v>
      </c>
      <c r="R367" s="594" t="str">
        <f t="shared" si="238"/>
        <v/>
      </c>
      <c r="S367" s="536" t="str">
        <f t="shared" si="239"/>
        <v/>
      </c>
      <c r="T367" s="536" t="str">
        <f t="shared" si="240"/>
        <v/>
      </c>
      <c r="U367" s="536" t="str">
        <f t="shared" si="241"/>
        <v/>
      </c>
      <c r="V367" s="516"/>
    </row>
    <row r="368" spans="2:22" x14ac:dyDescent="0.2">
      <c r="C368" s="485" t="s">
        <v>830</v>
      </c>
      <c r="D368" s="570">
        <f t="shared" si="232"/>
        <v>2017</v>
      </c>
      <c r="E368" s="484"/>
      <c r="F368" s="521" t="str">
        <f t="shared" si="234"/>
        <v>Actual</v>
      </c>
      <c r="G368" s="508"/>
      <c r="H368" s="505" t="str">
        <f t="shared" si="233"/>
        <v/>
      </c>
      <c r="I368" s="531"/>
      <c r="J368" s="484"/>
      <c r="K368" s="492" t="str">
        <f t="shared" si="235"/>
        <v>Actual</v>
      </c>
      <c r="L368" s="502"/>
      <c r="M368" s="502"/>
      <c r="N368" s="481" t="str">
        <f t="shared" si="236"/>
        <v/>
      </c>
      <c r="O368" s="531"/>
      <c r="P368" s="484"/>
      <c r="Q368" s="592" t="str">
        <f t="shared" si="237"/>
        <v>Actual</v>
      </c>
      <c r="R368" s="594" t="str">
        <f t="shared" si="238"/>
        <v/>
      </c>
      <c r="S368" s="536" t="str">
        <f t="shared" si="239"/>
        <v/>
      </c>
      <c r="T368" s="536" t="str">
        <f t="shared" si="240"/>
        <v/>
      </c>
      <c r="U368" s="536" t="str">
        <f t="shared" si="241"/>
        <v/>
      </c>
      <c r="V368" s="516"/>
    </row>
    <row r="369" spans="2:22" x14ac:dyDescent="0.2">
      <c r="C369" s="485" t="s">
        <v>289</v>
      </c>
      <c r="D369" s="570">
        <f t="shared" si="232"/>
        <v>2018</v>
      </c>
      <c r="E369" s="484"/>
      <c r="F369" s="521" t="str">
        <f t="shared" si="234"/>
        <v>Forecast</v>
      </c>
      <c r="G369" s="508"/>
      <c r="H369" s="505" t="str">
        <f t="shared" si="233"/>
        <v/>
      </c>
      <c r="I369" s="531"/>
      <c r="J369" s="484"/>
      <c r="K369" s="492" t="str">
        <f t="shared" si="235"/>
        <v>Forecast</v>
      </c>
      <c r="L369" s="510"/>
      <c r="M369" s="539"/>
      <c r="N369" s="481" t="str">
        <f t="shared" si="236"/>
        <v/>
      </c>
      <c r="O369" s="531"/>
      <c r="P369" s="484"/>
      <c r="Q369" s="592" t="str">
        <f t="shared" si="237"/>
        <v>Forecast</v>
      </c>
      <c r="R369" s="594" t="str">
        <f t="shared" si="238"/>
        <v/>
      </c>
      <c r="S369" s="536" t="str">
        <f t="shared" si="239"/>
        <v/>
      </c>
      <c r="T369" s="536" t="str">
        <f t="shared" si="240"/>
        <v/>
      </c>
      <c r="U369" s="536" t="str">
        <f t="shared" si="241"/>
        <v/>
      </c>
      <c r="V369" s="516"/>
    </row>
    <row r="370" spans="2:22" ht="13.5" thickBot="1" x14ac:dyDescent="0.25">
      <c r="C370" s="486" t="s">
        <v>290</v>
      </c>
      <c r="D370" s="571">
        <f>TestYear</f>
        <v>2019</v>
      </c>
      <c r="E370" s="488"/>
      <c r="F370" s="522" t="str">
        <f t="shared" si="234"/>
        <v>Forecast</v>
      </c>
      <c r="G370" s="509"/>
      <c r="H370" s="506" t="str">
        <f t="shared" si="233"/>
        <v/>
      </c>
      <c r="I370" s="533"/>
      <c r="J370" s="488"/>
      <c r="K370" s="493" t="str">
        <f t="shared" si="235"/>
        <v>Forecast</v>
      </c>
      <c r="L370" s="511"/>
      <c r="M370" s="540"/>
      <c r="N370" s="482" t="str">
        <f t="shared" si="236"/>
        <v/>
      </c>
      <c r="O370" s="533"/>
      <c r="P370" s="488"/>
      <c r="Q370" s="593" t="str">
        <f t="shared" si="237"/>
        <v>Forecast</v>
      </c>
      <c r="R370" s="595" t="str">
        <f t="shared" si="238"/>
        <v/>
      </c>
      <c r="S370" s="562" t="str">
        <f t="shared" si="239"/>
        <v/>
      </c>
      <c r="T370" s="562" t="str">
        <f t="shared" si="240"/>
        <v/>
      </c>
      <c r="U370" s="562" t="str">
        <f t="shared" si="241"/>
        <v/>
      </c>
      <c r="V370" s="516"/>
    </row>
    <row r="371" spans="2:22" ht="13.5" thickBot="1" x14ac:dyDescent="0.25">
      <c r="B371" s="536"/>
      <c r="C371" s="573"/>
      <c r="I371" s="615">
        <f>SUM(I364:I369)</f>
        <v>0</v>
      </c>
      <c r="O371" s="615">
        <f>SUM(O364:O369)</f>
        <v>0</v>
      </c>
      <c r="U371" s="615">
        <f>SUM(U364:U369)</f>
        <v>0</v>
      </c>
    </row>
    <row r="372" spans="2:22" ht="39" thickBot="1" x14ac:dyDescent="0.25">
      <c r="C372" s="607" t="s">
        <v>885</v>
      </c>
      <c r="D372" s="606" t="s">
        <v>10</v>
      </c>
      <c r="E372" s="568"/>
      <c r="F372" s="568"/>
      <c r="G372" s="630" t="s">
        <v>1027</v>
      </c>
      <c r="H372" s="568"/>
      <c r="I372" s="601" t="s">
        <v>1040</v>
      </c>
      <c r="J372" s="603"/>
      <c r="K372" s="602" t="s">
        <v>10</v>
      </c>
      <c r="L372" s="1936" t="s">
        <v>1027</v>
      </c>
      <c r="M372" s="1936"/>
      <c r="N372" s="568"/>
      <c r="O372" s="601" t="str">
        <f>I372</f>
        <v>Test Year Versus Board-approved</v>
      </c>
      <c r="P372" s="604"/>
      <c r="Q372" s="602" t="s">
        <v>10</v>
      </c>
      <c r="R372" s="1936" t="s">
        <v>1027</v>
      </c>
      <c r="S372" s="1936"/>
      <c r="T372" s="568"/>
      <c r="U372" s="601" t="str">
        <f>O372</f>
        <v>Test Year Versus Board-approved</v>
      </c>
    </row>
    <row r="373" spans="2:22" x14ac:dyDescent="0.2">
      <c r="C373" s="484"/>
      <c r="D373" s="584">
        <f t="shared" ref="D373:D379" si="242">D364</f>
        <v>2013</v>
      </c>
      <c r="E373" s="536"/>
      <c r="F373" s="536"/>
      <c r="G373" s="579"/>
      <c r="H373" s="536"/>
      <c r="I373" s="585"/>
      <c r="J373" s="591"/>
      <c r="K373" s="570">
        <f>D373</f>
        <v>2013</v>
      </c>
      <c r="L373" s="558"/>
      <c r="M373" s="558"/>
      <c r="N373" s="536"/>
      <c r="O373" s="531"/>
      <c r="P373" s="484"/>
      <c r="Q373" s="570">
        <f>K373</f>
        <v>2013</v>
      </c>
      <c r="R373" s="537"/>
      <c r="S373" s="537"/>
      <c r="T373" s="536"/>
      <c r="U373" s="531"/>
    </row>
    <row r="374" spans="2:22" x14ac:dyDescent="0.2">
      <c r="C374" s="484"/>
      <c r="D374" s="572">
        <f t="shared" si="242"/>
        <v>2014</v>
      </c>
      <c r="E374" s="536"/>
      <c r="F374" s="536"/>
      <c r="G374" s="580" t="str">
        <f t="shared" ref="G374:G379" si="243">IF(G364=0,"",G365/G364-1)</f>
        <v/>
      </c>
      <c r="H374" s="536"/>
      <c r="I374" s="585"/>
      <c r="J374" s="591"/>
      <c r="K374" s="570">
        <f t="shared" ref="K374:K380" si="244">D374</f>
        <v>2014</v>
      </c>
      <c r="L374" s="560" t="str">
        <f t="shared" ref="L374:M377" si="245">IF(L364=0,"",L365/L364-1)</f>
        <v/>
      </c>
      <c r="M374" s="560" t="str">
        <f t="shared" si="245"/>
        <v/>
      </c>
      <c r="N374" s="536"/>
      <c r="O374" s="531"/>
      <c r="P374" s="484"/>
      <c r="Q374" s="570">
        <f t="shared" ref="Q374:Q380" si="246">K374</f>
        <v>2014</v>
      </c>
      <c r="R374" s="581" t="str">
        <f t="shared" ref="R374:S377" si="247">IF(R364="","",IF(R364=0,"",R365/R364-1))</f>
        <v/>
      </c>
      <c r="S374" s="581" t="str">
        <f t="shared" si="247"/>
        <v/>
      </c>
      <c r="T374" s="536"/>
      <c r="U374" s="531"/>
    </row>
    <row r="375" spans="2:22" x14ac:dyDescent="0.2">
      <c r="C375" s="484"/>
      <c r="D375" s="572">
        <f t="shared" si="242"/>
        <v>2015</v>
      </c>
      <c r="E375" s="536"/>
      <c r="F375" s="536"/>
      <c r="G375" s="580" t="str">
        <f t="shared" si="243"/>
        <v/>
      </c>
      <c r="H375" s="536"/>
      <c r="I375" s="585"/>
      <c r="J375" s="591"/>
      <c r="K375" s="570">
        <f t="shared" si="244"/>
        <v>2015</v>
      </c>
      <c r="L375" s="560" t="str">
        <f t="shared" si="245"/>
        <v/>
      </c>
      <c r="M375" s="560" t="str">
        <f t="shared" si="245"/>
        <v/>
      </c>
      <c r="N375" s="536"/>
      <c r="O375" s="531"/>
      <c r="P375" s="484"/>
      <c r="Q375" s="570">
        <f t="shared" si="246"/>
        <v>2015</v>
      </c>
      <c r="R375" s="581" t="str">
        <f t="shared" si="247"/>
        <v/>
      </c>
      <c r="S375" s="581" t="str">
        <f t="shared" si="247"/>
        <v/>
      </c>
      <c r="T375" s="536"/>
      <c r="U375" s="531"/>
    </row>
    <row r="376" spans="2:22" x14ac:dyDescent="0.2">
      <c r="C376" s="484"/>
      <c r="D376" s="572">
        <f t="shared" si="242"/>
        <v>2016</v>
      </c>
      <c r="E376" s="536"/>
      <c r="F376" s="536"/>
      <c r="G376" s="580" t="str">
        <f t="shared" si="243"/>
        <v/>
      </c>
      <c r="H376" s="536"/>
      <c r="I376" s="585"/>
      <c r="J376" s="591"/>
      <c r="K376" s="570">
        <f t="shared" si="244"/>
        <v>2016</v>
      </c>
      <c r="L376" s="560" t="str">
        <f t="shared" si="245"/>
        <v/>
      </c>
      <c r="M376" s="560" t="str">
        <f t="shared" si="245"/>
        <v/>
      </c>
      <c r="N376" s="536"/>
      <c r="O376" s="531"/>
      <c r="P376" s="484"/>
      <c r="Q376" s="570">
        <f t="shared" si="246"/>
        <v>2016</v>
      </c>
      <c r="R376" s="581" t="str">
        <f t="shared" si="247"/>
        <v/>
      </c>
      <c r="S376" s="581" t="str">
        <f t="shared" si="247"/>
        <v/>
      </c>
      <c r="T376" s="536"/>
      <c r="U376" s="531"/>
    </row>
    <row r="377" spans="2:22" x14ac:dyDescent="0.2">
      <c r="C377" s="484"/>
      <c r="D377" s="572">
        <f t="shared" si="242"/>
        <v>2017</v>
      </c>
      <c r="E377" s="536"/>
      <c r="F377" s="536"/>
      <c r="G377" s="580" t="str">
        <f t="shared" si="243"/>
        <v/>
      </c>
      <c r="H377" s="536"/>
      <c r="I377" s="585"/>
      <c r="J377" s="591"/>
      <c r="K377" s="570">
        <f t="shared" si="244"/>
        <v>2017</v>
      </c>
      <c r="L377" s="560" t="str">
        <f t="shared" si="245"/>
        <v/>
      </c>
      <c r="M377" s="560" t="str">
        <f t="shared" si="245"/>
        <v/>
      </c>
      <c r="N377" s="536"/>
      <c r="O377" s="531"/>
      <c r="P377" s="484"/>
      <c r="Q377" s="570">
        <f t="shared" si="246"/>
        <v>2017</v>
      </c>
      <c r="R377" s="581" t="str">
        <f t="shared" si="247"/>
        <v/>
      </c>
      <c r="S377" s="581" t="str">
        <f t="shared" si="247"/>
        <v/>
      </c>
      <c r="T377" s="536"/>
      <c r="U377" s="531"/>
    </row>
    <row r="378" spans="2:22" x14ac:dyDescent="0.2">
      <c r="C378" s="484"/>
      <c r="D378" s="572">
        <f t="shared" si="242"/>
        <v>2018</v>
      </c>
      <c r="E378" s="536"/>
      <c r="F378" s="536"/>
      <c r="G378" s="580" t="str">
        <f t="shared" si="243"/>
        <v/>
      </c>
      <c r="H378" s="536"/>
      <c r="I378" s="585"/>
      <c r="J378" s="591"/>
      <c r="K378" s="570">
        <f t="shared" si="244"/>
        <v>2018</v>
      </c>
      <c r="L378" s="560" t="str">
        <f>IF(K369="Forecast","",IF(L368=0,"",L369/L368-1))</f>
        <v/>
      </c>
      <c r="M378" s="560" t="str">
        <f>IF(M368=0,"",M369/M368-1)</f>
        <v/>
      </c>
      <c r="N378" s="536"/>
      <c r="O378" s="531"/>
      <c r="P378" s="484"/>
      <c r="Q378" s="570">
        <f t="shared" si="246"/>
        <v>2018</v>
      </c>
      <c r="R378" s="581" t="str">
        <f>IF(Q369="Forecast","",IF(R368=0,"",R369/R368-1))</f>
        <v/>
      </c>
      <c r="S378" s="581" t="str">
        <f>IF(S368="","",IF(S368=0,"",S369/S368-1))</f>
        <v/>
      </c>
      <c r="T378" s="536"/>
      <c r="U378" s="531"/>
    </row>
    <row r="379" spans="2:22" x14ac:dyDescent="0.2">
      <c r="C379" s="484"/>
      <c r="D379" s="572">
        <f t="shared" si="242"/>
        <v>2019</v>
      </c>
      <c r="E379" s="536"/>
      <c r="F379" s="536"/>
      <c r="G379" s="580" t="str">
        <f t="shared" si="243"/>
        <v/>
      </c>
      <c r="H379" s="536"/>
      <c r="I379" s="586" t="str">
        <f>IF(I371=0,"",G370/I371-1)</f>
        <v/>
      </c>
      <c r="J379" s="591"/>
      <c r="K379" s="570">
        <f t="shared" si="244"/>
        <v>2019</v>
      </c>
      <c r="L379" s="560" t="str">
        <f>IF(K370="Forecast","",IF(L369=0,"",L370/L369-1))</f>
        <v/>
      </c>
      <c r="M379" s="560" t="str">
        <f>IF(M369=0,"",M370/M369-1)</f>
        <v/>
      </c>
      <c r="N379" s="536"/>
      <c r="O379" s="561" t="str">
        <f>IF(O371=0,"",M370/O371-1)</f>
        <v/>
      </c>
      <c r="P379" s="484"/>
      <c r="Q379" s="570">
        <f t="shared" si="246"/>
        <v>2019</v>
      </c>
      <c r="R379" s="581" t="str">
        <f>IF(Q370="Forecast","",IF(R369=0,"",R370/R369-1))</f>
        <v/>
      </c>
      <c r="S379" s="581" t="str">
        <f>IF(S369="","",IF(S369=0,"",S370/S369-1))</f>
        <v/>
      </c>
      <c r="T379" s="536"/>
      <c r="U379" s="561" t="str">
        <f>IF(U371=0,"",S370/U371-1)</f>
        <v/>
      </c>
    </row>
    <row r="380" spans="2:22" ht="26.25" thickBot="1" x14ac:dyDescent="0.25">
      <c r="C380" s="488"/>
      <c r="D380" s="612" t="s">
        <v>1026</v>
      </c>
      <c r="E380" s="562"/>
      <c r="F380" s="562"/>
      <c r="G380" s="582" t="str">
        <f>IF(G364=0,"",(G370/G364)^(1/($D370-$D364-1))-1)</f>
        <v/>
      </c>
      <c r="H380" s="562"/>
      <c r="I380" s="613" t="str">
        <f>IF(I371=0,"",(G370/I371)^(1/(TestYear-RebaseYear-1))-1)</f>
        <v/>
      </c>
      <c r="J380" s="567"/>
      <c r="K380" s="611" t="str">
        <f t="shared" si="244"/>
        <v>Geometric Mean</v>
      </c>
      <c r="L380" s="565" t="str">
        <f>IF(L364=0,"",(L368/L364)^(1/($D368-$D364-1))-1)</f>
        <v/>
      </c>
      <c r="M380" s="565" t="str">
        <f>IF(M364=0,"",(M370/M364)^(1/($D370-$D364-1))-1)</f>
        <v/>
      </c>
      <c r="N380" s="562"/>
      <c r="O380" s="578" t="str">
        <f>IF(O371=0,"",(M370/O371)^(1/(TestYear-RebaseYear-1))-1)</f>
        <v/>
      </c>
      <c r="P380" s="488"/>
      <c r="Q380" s="611" t="str">
        <f t="shared" si="246"/>
        <v>Geometric Mean</v>
      </c>
      <c r="R380" s="583" t="str">
        <f>IF(R364="","",IF(R364=0,"",(R368/R364)^(1/($D368-$D364-1))-1))</f>
        <v/>
      </c>
      <c r="S380" s="565" t="str">
        <f>IF(S364="","",IF(S364=0,"",(S370/S364)^(1/($D370-$D364-1))-1))</f>
        <v/>
      </c>
      <c r="T380" s="562"/>
      <c r="U380" s="578" t="str">
        <f>IF(U371=0,"",(S370/U371)^(1/(TestYear-RebaseYear-1))-1)</f>
        <v/>
      </c>
    </row>
    <row r="382" spans="2:22" ht="13.5" thickBot="1" x14ac:dyDescent="0.25">
      <c r="Q382" s="562"/>
      <c r="R382" s="562"/>
      <c r="S382" s="562"/>
      <c r="T382" s="562"/>
      <c r="U382" s="562"/>
    </row>
    <row r="383" spans="2:22" x14ac:dyDescent="0.2">
      <c r="C383" s="483"/>
      <c r="D383" s="487" t="s">
        <v>1011</v>
      </c>
      <c r="E383" s="487"/>
      <c r="F383" s="1938" t="s">
        <v>1004</v>
      </c>
      <c r="G383" s="1939"/>
      <c r="H383" s="1939"/>
      <c r="I383" s="1940"/>
      <c r="K383" s="1941" t="str">
        <f>IF(ISBLANK(N360),"",CONCATENATE("Demand (",N360,")"))</f>
        <v/>
      </c>
      <c r="L383" s="1942"/>
      <c r="M383" s="1942"/>
      <c r="N383" s="1942"/>
      <c r="O383" s="1943"/>
      <c r="Q383" s="1944" t="str">
        <f>CONCATENATE("Demand (",N360,") per ",LEFT(F362,LEN(F362)-1))</f>
        <v>Demand () per Customer</v>
      </c>
      <c r="R383" s="1945"/>
      <c r="S383" s="1945"/>
      <c r="T383" s="1945"/>
      <c r="U383" s="1946"/>
    </row>
    <row r="384" spans="2:22" ht="39" thickBot="1" x14ac:dyDescent="0.25">
      <c r="C384" s="488"/>
      <c r="D384" s="490" t="str">
        <f>CONCATENATE("(for ",TestYear," Cost of Service")</f>
        <v>(for 2019 Cost of Service</v>
      </c>
      <c r="E384" s="485"/>
      <c r="F384" s="1934"/>
      <c r="G384" s="1935"/>
      <c r="H384" s="1935"/>
      <c r="I384" s="504"/>
      <c r="K384" s="494"/>
      <c r="L384" s="628" t="s">
        <v>1031</v>
      </c>
      <c r="M384" s="628" t="s">
        <v>1015</v>
      </c>
      <c r="N384" s="512"/>
      <c r="O384" s="513" t="str">
        <f>M384</f>
        <v>Weather-normalized</v>
      </c>
      <c r="Q384" s="610"/>
      <c r="R384" s="628" t="str">
        <f>L384</f>
        <v>Actual (Weather actual)</v>
      </c>
      <c r="S384" s="628" t="str">
        <f>M384</f>
        <v>Weather-normalized</v>
      </c>
      <c r="T384" s="628"/>
      <c r="U384" s="629" t="str">
        <f>O384</f>
        <v>Weather-normalized</v>
      </c>
    </row>
    <row r="385" spans="3:21" x14ac:dyDescent="0.2">
      <c r="C385" s="485" t="s">
        <v>830</v>
      </c>
      <c r="D385" s="570">
        <f t="shared" ref="D385:D390" si="248">D386-1</f>
        <v>2013</v>
      </c>
      <c r="E385" s="484"/>
      <c r="F385" s="520" t="str">
        <f t="shared" ref="F385:F391" si="249">F364</f>
        <v>Actual</v>
      </c>
      <c r="G385" s="518"/>
      <c r="H385" s="2" t="str">
        <f t="shared" ref="H385:H391" si="250">IF(D385=RebaseYear,"Board-approved","")</f>
        <v/>
      </c>
      <c r="I385" s="590"/>
      <c r="K385" s="492" t="str">
        <f t="shared" ref="K385:K391" si="251">K364</f>
        <v>Actual</v>
      </c>
      <c r="L385" s="502"/>
      <c r="M385" s="502"/>
      <c r="N385" s="481" t="str">
        <f t="shared" ref="N385:N391" si="252">N364</f>
        <v/>
      </c>
      <c r="O385" s="531"/>
      <c r="Q385" s="592" t="str">
        <f>K385</f>
        <v>Actual</v>
      </c>
      <c r="R385" s="536" t="str">
        <f>IF(G385=0,"",L385/G385)</f>
        <v/>
      </c>
      <c r="S385" s="516" t="str">
        <f>IF(G385=0,"",M385/G385)</f>
        <v/>
      </c>
      <c r="T385" s="516" t="str">
        <f>N385</f>
        <v/>
      </c>
      <c r="U385" s="484" t="str">
        <f>IF(T385="","",IF(I385=0,"",O385/I385))</f>
        <v/>
      </c>
    </row>
    <row r="386" spans="3:21" x14ac:dyDescent="0.2">
      <c r="C386" s="485" t="s">
        <v>830</v>
      </c>
      <c r="D386" s="570">
        <f t="shared" si="248"/>
        <v>2014</v>
      </c>
      <c r="E386" s="484"/>
      <c r="F386" s="521" t="str">
        <f t="shared" si="249"/>
        <v>Actual</v>
      </c>
      <c r="G386" s="518"/>
      <c r="H386" s="2" t="str">
        <f t="shared" si="250"/>
        <v>Board-approved</v>
      </c>
      <c r="I386" s="531"/>
      <c r="K386" s="492" t="str">
        <f t="shared" si="251"/>
        <v>Actual</v>
      </c>
      <c r="L386" s="502"/>
      <c r="M386" s="502"/>
      <c r="N386" s="481" t="str">
        <f t="shared" si="252"/>
        <v>Board-approved</v>
      </c>
      <c r="O386" s="531"/>
      <c r="Q386" s="592" t="str">
        <f t="shared" ref="Q386:Q391" si="253">K386</f>
        <v>Actual</v>
      </c>
      <c r="R386" s="536" t="str">
        <f t="shared" ref="R386:R391" si="254">IF(G386=0,"",L386/G386)</f>
        <v/>
      </c>
      <c r="S386" s="516" t="str">
        <f t="shared" ref="S386:S391" si="255">IF(G386=0,"",M386/G386)</f>
        <v/>
      </c>
      <c r="T386" s="516" t="str">
        <f t="shared" ref="T386:T391" si="256">N386</f>
        <v>Board-approved</v>
      </c>
      <c r="U386" s="484" t="str">
        <f t="shared" ref="U386:U391" si="257">IF(T386="","",IF(I386=0,"",O386/I386))</f>
        <v/>
      </c>
    </row>
    <row r="387" spans="3:21" x14ac:dyDescent="0.2">
      <c r="C387" s="485" t="s">
        <v>830</v>
      </c>
      <c r="D387" s="570">
        <f t="shared" si="248"/>
        <v>2015</v>
      </c>
      <c r="E387" s="484"/>
      <c r="F387" s="521" t="str">
        <f t="shared" si="249"/>
        <v>Actual</v>
      </c>
      <c r="G387" s="518"/>
      <c r="H387" s="2" t="str">
        <f t="shared" si="250"/>
        <v/>
      </c>
      <c r="I387" s="535"/>
      <c r="K387" s="492" t="str">
        <f t="shared" si="251"/>
        <v>Actual</v>
      </c>
      <c r="L387" s="502"/>
      <c r="M387" s="502"/>
      <c r="N387" s="481" t="str">
        <f t="shared" si="252"/>
        <v/>
      </c>
      <c r="O387" s="532"/>
      <c r="Q387" s="592" t="str">
        <f t="shared" si="253"/>
        <v>Actual</v>
      </c>
      <c r="R387" s="536" t="str">
        <f t="shared" si="254"/>
        <v/>
      </c>
      <c r="S387" s="516" t="str">
        <f t="shared" si="255"/>
        <v/>
      </c>
      <c r="T387" s="516" t="str">
        <f t="shared" si="256"/>
        <v/>
      </c>
      <c r="U387" s="484" t="str">
        <f t="shared" si="257"/>
        <v/>
      </c>
    </row>
    <row r="388" spans="3:21" x14ac:dyDescent="0.2">
      <c r="C388" s="485" t="s">
        <v>830</v>
      </c>
      <c r="D388" s="570">
        <f t="shared" si="248"/>
        <v>2016</v>
      </c>
      <c r="E388" s="484"/>
      <c r="F388" s="521" t="str">
        <f t="shared" si="249"/>
        <v>Actual</v>
      </c>
      <c r="G388" s="518"/>
      <c r="H388" s="2" t="str">
        <f t="shared" si="250"/>
        <v/>
      </c>
      <c r="I388" s="531"/>
      <c r="K388" s="492" t="str">
        <f t="shared" si="251"/>
        <v>Actual</v>
      </c>
      <c r="L388" s="502"/>
      <c r="M388" s="502"/>
      <c r="N388" s="481" t="str">
        <f t="shared" si="252"/>
        <v/>
      </c>
      <c r="O388" s="531"/>
      <c r="Q388" s="592" t="str">
        <f t="shared" si="253"/>
        <v>Actual</v>
      </c>
      <c r="R388" s="536" t="str">
        <f t="shared" si="254"/>
        <v/>
      </c>
      <c r="S388" s="516" t="str">
        <f t="shared" si="255"/>
        <v/>
      </c>
      <c r="T388" s="516" t="str">
        <f t="shared" si="256"/>
        <v/>
      </c>
      <c r="U388" s="484" t="str">
        <f t="shared" si="257"/>
        <v/>
      </c>
    </row>
    <row r="389" spans="3:21" x14ac:dyDescent="0.2">
      <c r="C389" s="485" t="s">
        <v>830</v>
      </c>
      <c r="D389" s="570">
        <f t="shared" si="248"/>
        <v>2017</v>
      </c>
      <c r="E389" s="484"/>
      <c r="F389" s="521" t="str">
        <f t="shared" si="249"/>
        <v>Actual</v>
      </c>
      <c r="G389" s="518"/>
      <c r="H389" s="2" t="str">
        <f t="shared" si="250"/>
        <v/>
      </c>
      <c r="I389" s="531"/>
      <c r="K389" s="492" t="str">
        <f t="shared" si="251"/>
        <v>Actual</v>
      </c>
      <c r="L389" s="502"/>
      <c r="M389" s="502"/>
      <c r="N389" s="481" t="str">
        <f t="shared" si="252"/>
        <v/>
      </c>
      <c r="O389" s="531"/>
      <c r="Q389" s="592" t="str">
        <f t="shared" si="253"/>
        <v>Actual</v>
      </c>
      <c r="R389" s="536" t="str">
        <f t="shared" si="254"/>
        <v/>
      </c>
      <c r="S389" s="516" t="str">
        <f t="shared" si="255"/>
        <v/>
      </c>
      <c r="T389" s="516" t="str">
        <f t="shared" si="256"/>
        <v/>
      </c>
      <c r="U389" s="484" t="str">
        <f t="shared" si="257"/>
        <v/>
      </c>
    </row>
    <row r="390" spans="3:21" x14ac:dyDescent="0.2">
      <c r="C390" s="485" t="s">
        <v>1009</v>
      </c>
      <c r="D390" s="570">
        <f t="shared" si="248"/>
        <v>2018</v>
      </c>
      <c r="E390" s="484"/>
      <c r="F390" s="521" t="str">
        <f t="shared" si="249"/>
        <v>Forecast</v>
      </c>
      <c r="G390" s="518"/>
      <c r="H390" s="2" t="str">
        <f t="shared" si="250"/>
        <v/>
      </c>
      <c r="I390" s="531"/>
      <c r="K390" s="492" t="str">
        <f t="shared" si="251"/>
        <v>Forecast</v>
      </c>
      <c r="L390" s="510"/>
      <c r="M390" s="541"/>
      <c r="N390" s="481" t="str">
        <f t="shared" si="252"/>
        <v/>
      </c>
      <c r="O390" s="531"/>
      <c r="Q390" s="592" t="str">
        <f t="shared" si="253"/>
        <v>Forecast</v>
      </c>
      <c r="R390" s="536" t="str">
        <f t="shared" si="254"/>
        <v/>
      </c>
      <c r="S390" s="516" t="str">
        <f t="shared" si="255"/>
        <v/>
      </c>
      <c r="T390" s="516" t="str">
        <f t="shared" si="256"/>
        <v/>
      </c>
      <c r="U390" s="484" t="str">
        <f t="shared" si="257"/>
        <v/>
      </c>
    </row>
    <row r="391" spans="3:21" ht="13.5" thickBot="1" x14ac:dyDescent="0.25">
      <c r="C391" s="486" t="s">
        <v>1010</v>
      </c>
      <c r="D391" s="571">
        <f>TestYear</f>
        <v>2019</v>
      </c>
      <c r="E391" s="488"/>
      <c r="F391" s="522" t="str">
        <f t="shared" si="249"/>
        <v>Forecast</v>
      </c>
      <c r="G391" s="519"/>
      <c r="H391" s="514" t="str">
        <f t="shared" si="250"/>
        <v/>
      </c>
      <c r="I391" s="533"/>
      <c r="K391" s="493" t="str">
        <f t="shared" si="251"/>
        <v>Forecast</v>
      </c>
      <c r="L391" s="511"/>
      <c r="M391" s="542"/>
      <c r="N391" s="482" t="str">
        <f t="shared" si="252"/>
        <v/>
      </c>
      <c r="O391" s="533"/>
      <c r="Q391" s="526" t="str">
        <f t="shared" si="253"/>
        <v>Forecast</v>
      </c>
      <c r="R391" s="517" t="str">
        <f t="shared" si="254"/>
        <v/>
      </c>
      <c r="S391" s="517" t="str">
        <f t="shared" si="255"/>
        <v/>
      </c>
      <c r="T391" s="517" t="str">
        <f t="shared" si="256"/>
        <v/>
      </c>
      <c r="U391" s="488" t="str">
        <f t="shared" si="257"/>
        <v/>
      </c>
    </row>
    <row r="392" spans="3:21" ht="13.5" thickBot="1" x14ac:dyDescent="0.25">
      <c r="C392" s="573"/>
      <c r="I392" s="615">
        <f>SUM(I385:I390)</f>
        <v>0</v>
      </c>
      <c r="J392" s="536"/>
      <c r="O392" s="615">
        <f>SUM(O385:O390)</f>
        <v>0</v>
      </c>
      <c r="U392" s="615">
        <f>SUM(U385:U390)</f>
        <v>0</v>
      </c>
    </row>
    <row r="393" spans="3:21" ht="39" thickBot="1" x14ac:dyDescent="0.25">
      <c r="C393" s="607" t="s">
        <v>885</v>
      </c>
      <c r="D393" s="606" t="s">
        <v>10</v>
      </c>
      <c r="E393" s="630"/>
      <c r="F393" s="630"/>
      <c r="G393" s="630" t="s">
        <v>1027</v>
      </c>
      <c r="H393" s="630"/>
      <c r="I393" s="601" t="str">
        <f>I372</f>
        <v>Test Year Versus Board-approved</v>
      </c>
      <c r="J393" s="614"/>
      <c r="K393" s="602" t="s">
        <v>10</v>
      </c>
      <c r="L393" s="1936" t="s">
        <v>1027</v>
      </c>
      <c r="M393" s="1936"/>
      <c r="N393" s="630"/>
      <c r="O393" s="601" t="str">
        <f>I393</f>
        <v>Test Year Versus Board-approved</v>
      </c>
      <c r="P393" s="587"/>
      <c r="Q393" s="602" t="s">
        <v>10</v>
      </c>
      <c r="R393" s="1936" t="s">
        <v>1027</v>
      </c>
      <c r="S393" s="1936"/>
      <c r="T393" s="630"/>
      <c r="U393" s="601" t="str">
        <f>O393</f>
        <v>Test Year Versus Board-approved</v>
      </c>
    </row>
    <row r="394" spans="3:21" x14ac:dyDescent="0.2">
      <c r="C394" s="484"/>
      <c r="D394" s="609">
        <f t="shared" ref="D394:D400" si="258">D385</f>
        <v>2013</v>
      </c>
      <c r="E394" s="552"/>
      <c r="F394" s="536"/>
      <c r="G394" s="579"/>
      <c r="H394" s="536"/>
      <c r="I394" s="585"/>
      <c r="J394" s="484"/>
      <c r="K394" s="570">
        <f>D394</f>
        <v>2013</v>
      </c>
      <c r="L394" s="558"/>
      <c r="M394" s="558"/>
      <c r="N394" s="536"/>
      <c r="O394" s="588"/>
      <c r="P394" s="484"/>
      <c r="Q394" s="570">
        <f>K394</f>
        <v>2013</v>
      </c>
      <c r="R394" s="537"/>
      <c r="S394" s="537"/>
      <c r="T394" s="536"/>
      <c r="U394" s="531"/>
    </row>
    <row r="395" spans="3:21" x14ac:dyDescent="0.2">
      <c r="C395" s="484"/>
      <c r="D395" s="572">
        <f t="shared" si="258"/>
        <v>2014</v>
      </c>
      <c r="E395" s="536"/>
      <c r="F395" s="536"/>
      <c r="G395" s="580" t="str">
        <f t="shared" ref="G395:G400" si="259">IF(G385=0,"",G386/G385-1)</f>
        <v/>
      </c>
      <c r="H395" s="536"/>
      <c r="I395" s="585"/>
      <c r="J395" s="484"/>
      <c r="K395" s="570">
        <f t="shared" ref="K395:K401" si="260">D395</f>
        <v>2014</v>
      </c>
      <c r="L395" s="560" t="str">
        <f t="shared" ref="L395:M398" si="261">IF(L385=0,"",L386/L385-1)</f>
        <v/>
      </c>
      <c r="M395" s="560" t="str">
        <f t="shared" si="261"/>
        <v/>
      </c>
      <c r="N395" s="536"/>
      <c r="O395" s="588"/>
      <c r="P395" s="484"/>
      <c r="Q395" s="570">
        <f t="shared" ref="Q395:Q401" si="262">K395</f>
        <v>2014</v>
      </c>
      <c r="R395" s="581" t="str">
        <f t="shared" ref="R395:S398" si="263">IF(R385="","",IF(R385=0,"",R386/R385-1))</f>
        <v/>
      </c>
      <c r="S395" s="581" t="str">
        <f t="shared" si="263"/>
        <v/>
      </c>
      <c r="T395" s="536"/>
      <c r="U395" s="531"/>
    </row>
    <row r="396" spans="3:21" x14ac:dyDescent="0.2">
      <c r="C396" s="484"/>
      <c r="D396" s="608">
        <f t="shared" si="258"/>
        <v>2015</v>
      </c>
      <c r="E396" s="536"/>
      <c r="F396" s="536"/>
      <c r="G396" s="580" t="str">
        <f t="shared" si="259"/>
        <v/>
      </c>
      <c r="H396" s="536"/>
      <c r="I396" s="585"/>
      <c r="J396" s="484"/>
      <c r="K396" s="570">
        <f t="shared" si="260"/>
        <v>2015</v>
      </c>
      <c r="L396" s="560" t="str">
        <f t="shared" si="261"/>
        <v/>
      </c>
      <c r="M396" s="560" t="str">
        <f t="shared" si="261"/>
        <v/>
      </c>
      <c r="N396" s="536"/>
      <c r="O396" s="588"/>
      <c r="P396" s="484"/>
      <c r="Q396" s="570">
        <f t="shared" si="262"/>
        <v>2015</v>
      </c>
      <c r="R396" s="581" t="str">
        <f t="shared" si="263"/>
        <v/>
      </c>
      <c r="S396" s="581" t="str">
        <f t="shared" si="263"/>
        <v/>
      </c>
      <c r="T396" s="536"/>
      <c r="U396" s="531"/>
    </row>
    <row r="397" spans="3:21" x14ac:dyDescent="0.2">
      <c r="C397" s="484"/>
      <c r="D397" s="572">
        <f t="shared" si="258"/>
        <v>2016</v>
      </c>
      <c r="E397" s="536"/>
      <c r="F397" s="536"/>
      <c r="G397" s="580" t="str">
        <f t="shared" si="259"/>
        <v/>
      </c>
      <c r="H397" s="536"/>
      <c r="I397" s="585"/>
      <c r="J397" s="484"/>
      <c r="K397" s="570">
        <f t="shared" si="260"/>
        <v>2016</v>
      </c>
      <c r="L397" s="560" t="str">
        <f t="shared" si="261"/>
        <v/>
      </c>
      <c r="M397" s="560" t="str">
        <f t="shared" si="261"/>
        <v/>
      </c>
      <c r="N397" s="536"/>
      <c r="O397" s="588"/>
      <c r="P397" s="484"/>
      <c r="Q397" s="570">
        <f t="shared" si="262"/>
        <v>2016</v>
      </c>
      <c r="R397" s="581" t="str">
        <f t="shared" si="263"/>
        <v/>
      </c>
      <c r="S397" s="581" t="str">
        <f t="shared" si="263"/>
        <v/>
      </c>
      <c r="T397" s="536"/>
      <c r="U397" s="531"/>
    </row>
    <row r="398" spans="3:21" x14ac:dyDescent="0.2">
      <c r="C398" s="484"/>
      <c r="D398" s="572">
        <f t="shared" si="258"/>
        <v>2017</v>
      </c>
      <c r="E398" s="536"/>
      <c r="F398" s="536"/>
      <c r="G398" s="580" t="str">
        <f t="shared" si="259"/>
        <v/>
      </c>
      <c r="H398" s="536"/>
      <c r="I398" s="585"/>
      <c r="J398" s="484"/>
      <c r="K398" s="570">
        <f t="shared" si="260"/>
        <v>2017</v>
      </c>
      <c r="L398" s="560" t="str">
        <f t="shared" si="261"/>
        <v/>
      </c>
      <c r="M398" s="560" t="str">
        <f t="shared" si="261"/>
        <v/>
      </c>
      <c r="N398" s="536"/>
      <c r="O398" s="588"/>
      <c r="P398" s="484"/>
      <c r="Q398" s="570">
        <f t="shared" si="262"/>
        <v>2017</v>
      </c>
      <c r="R398" s="581" t="str">
        <f t="shared" si="263"/>
        <v/>
      </c>
      <c r="S398" s="581" t="str">
        <f t="shared" si="263"/>
        <v/>
      </c>
      <c r="T398" s="536"/>
      <c r="U398" s="531"/>
    </row>
    <row r="399" spans="3:21" x14ac:dyDescent="0.2">
      <c r="C399" s="484"/>
      <c r="D399" s="572">
        <f t="shared" si="258"/>
        <v>2018</v>
      </c>
      <c r="E399" s="536"/>
      <c r="F399" s="536"/>
      <c r="G399" s="580" t="str">
        <f t="shared" si="259"/>
        <v/>
      </c>
      <c r="H399" s="536"/>
      <c r="I399" s="585"/>
      <c r="J399" s="484"/>
      <c r="K399" s="570">
        <f t="shared" si="260"/>
        <v>2018</v>
      </c>
      <c r="L399" s="560" t="str">
        <f>IF(K390="Forecast","",IF(L389=0,"",L390/L389-1))</f>
        <v/>
      </c>
      <c r="M399" s="560" t="str">
        <f>IF(M389=0,"",M390/M389-1)</f>
        <v/>
      </c>
      <c r="N399" s="536"/>
      <c r="O399" s="588"/>
      <c r="P399" s="484"/>
      <c r="Q399" s="570">
        <f t="shared" si="262"/>
        <v>2018</v>
      </c>
      <c r="R399" s="581" t="str">
        <f>IF(Q390="Forecast","",IF(R389=0,"",R390/R389-1))</f>
        <v/>
      </c>
      <c r="S399" s="581" t="str">
        <f>IF(S389="","",IF(S389=0,"",S390/S389-1))</f>
        <v/>
      </c>
      <c r="T399" s="536"/>
      <c r="U399" s="531"/>
    </row>
    <row r="400" spans="3:21" x14ac:dyDescent="0.2">
      <c r="C400" s="484"/>
      <c r="D400" s="608">
        <f t="shared" si="258"/>
        <v>2019</v>
      </c>
      <c r="E400" s="536"/>
      <c r="F400" s="536"/>
      <c r="G400" s="580" t="str">
        <f t="shared" si="259"/>
        <v/>
      </c>
      <c r="H400" s="536"/>
      <c r="I400" s="586" t="str">
        <f>IF(I392=0,"",G391/I392-1)</f>
        <v/>
      </c>
      <c r="J400" s="484"/>
      <c r="K400" s="570">
        <f t="shared" si="260"/>
        <v>2019</v>
      </c>
      <c r="L400" s="560" t="str">
        <f>IF(K391="Forecast","",IF(L390=0,"",L391/L390-1))</f>
        <v/>
      </c>
      <c r="M400" s="560" t="str">
        <f>IF(M390=0,"",M391/M390-1)</f>
        <v/>
      </c>
      <c r="N400" s="536"/>
      <c r="O400" s="589" t="str">
        <f>IF(O392=0,"",M391/O392-1)</f>
        <v/>
      </c>
      <c r="P400" s="484"/>
      <c r="Q400" s="570">
        <f t="shared" si="262"/>
        <v>2019</v>
      </c>
      <c r="R400" s="581" t="str">
        <f>IF(Q391="Forecast","",IF(R390=0,"",R391/R390-1))</f>
        <v/>
      </c>
      <c r="S400" s="581" t="str">
        <f>IF(S390="","",IF(S390=0,"",S391/S390-1))</f>
        <v/>
      </c>
      <c r="T400" s="536"/>
      <c r="U400" s="561" t="str">
        <f>IF(U392=0,"",S391/U392-1)</f>
        <v/>
      </c>
    </row>
    <row r="401" spans="2:22" ht="26.25" thickBot="1" x14ac:dyDescent="0.25">
      <c r="C401" s="488"/>
      <c r="D401" s="612" t="s">
        <v>1026</v>
      </c>
      <c r="E401" s="562"/>
      <c r="F401" s="562"/>
      <c r="G401" s="582" t="str">
        <f>IF(G385=0,"",(G391/G385)^(1/($D391-$D385-1))-1)</f>
        <v/>
      </c>
      <c r="H401" s="562"/>
      <c r="I401" s="578" t="str">
        <f>IF(I392=0,"",(G391/I392)^(1/(TestYear-RebaseYear-1))-1)</f>
        <v/>
      </c>
      <c r="J401" s="484"/>
      <c r="K401" s="611" t="str">
        <f t="shared" si="260"/>
        <v>Geometric Mean</v>
      </c>
      <c r="L401" s="565" t="str">
        <f>IF(L385=0,"",(L389/L385)^(1/($D389-$D385-1))-1)</f>
        <v/>
      </c>
      <c r="M401" s="565" t="str">
        <f>IF(M385=0,"",(M391/M385)^(1/($D391-$D385-1))-1)</f>
        <v/>
      </c>
      <c r="N401" s="562"/>
      <c r="O401" s="578" t="str">
        <f>IF(O392=0,"",(M391/O392)^(1/(TestYear-RebaseYear-1))-1)</f>
        <v/>
      </c>
      <c r="P401" s="488"/>
      <c r="Q401" s="611" t="str">
        <f t="shared" si="262"/>
        <v>Geometric Mean</v>
      </c>
      <c r="R401" s="583" t="str">
        <f>IF(R385="","",IF(R385=0,"",(R389/R385)^(1/($D389-$D385-1))-1))</f>
        <v/>
      </c>
      <c r="S401" s="565" t="str">
        <f>IF(S385="","",IF(S385=0,"",(S391/S385)^(1/($D391-$D385-1))-1))</f>
        <v/>
      </c>
      <c r="T401" s="562"/>
      <c r="U401" s="578" t="str">
        <f>IF(U392=0,"",(S391/U392)^(1/(TestYear-RebaseYear-1))-1)</f>
        <v/>
      </c>
    </row>
    <row r="402" spans="2:22" ht="13.5" thickBot="1" x14ac:dyDescent="0.25"/>
    <row r="403" spans="2:22" ht="13.5" thickBot="1" x14ac:dyDescent="0.25">
      <c r="B403" s="525">
        <f>B360+1</f>
        <v>9</v>
      </c>
      <c r="C403" s="3" t="s">
        <v>9</v>
      </c>
      <c r="D403" s="1947"/>
      <c r="E403" s="1948"/>
      <c r="F403" s="1949"/>
      <c r="G403" s="499"/>
      <c r="H403" s="9" t="s">
        <v>1029</v>
      </c>
      <c r="N403" s="524"/>
      <c r="O403" s="523"/>
      <c r="P403" s="523"/>
      <c r="Q403" s="523"/>
      <c r="R403" s="523"/>
      <c r="S403" s="523"/>
      <c r="T403" s="523"/>
      <c r="U403" s="523"/>
    </row>
    <row r="404" spans="2:22" ht="13.5" thickBot="1" x14ac:dyDescent="0.25">
      <c r="Q404" s="562"/>
      <c r="R404" s="562"/>
      <c r="S404" s="562"/>
      <c r="T404" s="562"/>
      <c r="U404" s="562"/>
    </row>
    <row r="405" spans="2:22" x14ac:dyDescent="0.2">
      <c r="C405" s="483"/>
      <c r="D405" s="487" t="s">
        <v>1011</v>
      </c>
      <c r="E405" s="487"/>
      <c r="F405" s="1950" t="s">
        <v>945</v>
      </c>
      <c r="G405" s="1951"/>
      <c r="H405" s="1951"/>
      <c r="I405" s="1952"/>
      <c r="J405" s="487"/>
      <c r="K405" s="1941" t="s">
        <v>1018</v>
      </c>
      <c r="L405" s="1942"/>
      <c r="M405" s="1942"/>
      <c r="N405" s="1942"/>
      <c r="O405" s="1943"/>
      <c r="P405" s="495"/>
      <c r="Q405" s="1944" t="str">
        <f>CONCATENATE("Consumption (kWh) per ",LEFT(F405,LEN(F405)-1))</f>
        <v>Consumption (kWh) per Customer</v>
      </c>
      <c r="R405" s="1945"/>
      <c r="S405" s="1945"/>
      <c r="T405" s="1945"/>
      <c r="U405" s="1946"/>
      <c r="V405" s="515"/>
    </row>
    <row r="406" spans="2:22" ht="39" thickBot="1" x14ac:dyDescent="0.25">
      <c r="C406" s="488"/>
      <c r="D406" s="490" t="str">
        <f>CONCATENATE("(for ",TestYear," Cost of Service")</f>
        <v>(for 2019 Cost of Service</v>
      </c>
      <c r="E406" s="485"/>
      <c r="F406" s="1934"/>
      <c r="G406" s="1935"/>
      <c r="H406" s="1937"/>
      <c r="I406" s="504"/>
      <c r="J406" s="485"/>
      <c r="K406" s="494"/>
      <c r="L406" s="628" t="s">
        <v>1031</v>
      </c>
      <c r="M406" s="628" t="s">
        <v>1015</v>
      </c>
      <c r="N406" s="512"/>
      <c r="O406" s="513" t="s">
        <v>1015</v>
      </c>
      <c r="P406" s="485"/>
      <c r="Q406" s="596"/>
      <c r="R406" s="597" t="str">
        <f>L406</f>
        <v>Actual (Weather actual)</v>
      </c>
      <c r="S406" s="598" t="str">
        <f>M406</f>
        <v>Weather-normalized</v>
      </c>
      <c r="T406" s="598"/>
      <c r="U406" s="599" t="str">
        <f>O406</f>
        <v>Weather-normalized</v>
      </c>
      <c r="V406" s="515"/>
    </row>
    <row r="407" spans="2:22" x14ac:dyDescent="0.2">
      <c r="C407" s="485" t="s">
        <v>830</v>
      </c>
      <c r="D407" s="570">
        <f t="shared" ref="D407:D412" si="264">D408-1</f>
        <v>2013</v>
      </c>
      <c r="E407" s="484"/>
      <c r="F407" s="520" t="str">
        <f>F364</f>
        <v>Actual</v>
      </c>
      <c r="G407" s="508"/>
      <c r="H407" s="505" t="str">
        <f t="shared" ref="H407:H413" si="265">IF(D407=RebaseYear,"Board-approved","")</f>
        <v/>
      </c>
      <c r="I407" s="531"/>
      <c r="J407" s="484"/>
      <c r="K407" s="492" t="str">
        <f>F407</f>
        <v>Actual</v>
      </c>
      <c r="L407" s="502"/>
      <c r="M407" s="502"/>
      <c r="N407" s="481" t="str">
        <f>H407</f>
        <v/>
      </c>
      <c r="O407" s="531"/>
      <c r="P407" s="484"/>
      <c r="Q407" s="592" t="str">
        <f>K407</f>
        <v>Actual</v>
      </c>
      <c r="R407" s="594" t="str">
        <f>IF(G407=0,"",L407/G407)</f>
        <v/>
      </c>
      <c r="S407" s="536" t="str">
        <f>IF(G407=0,"",M407/G407)</f>
        <v/>
      </c>
      <c r="T407" s="536" t="str">
        <f>N407</f>
        <v/>
      </c>
      <c r="U407" s="536" t="str">
        <f>IF(T407="","",IF(I407=0,"",O407/I407))</f>
        <v/>
      </c>
      <c r="V407" s="516"/>
    </row>
    <row r="408" spans="2:22" x14ac:dyDescent="0.2">
      <c r="C408" s="485" t="s">
        <v>830</v>
      </c>
      <c r="D408" s="570">
        <f t="shared" si="264"/>
        <v>2014</v>
      </c>
      <c r="E408" s="484"/>
      <c r="F408" s="521" t="str">
        <f t="shared" ref="F408:F413" si="266">F365</f>
        <v>Actual</v>
      </c>
      <c r="G408" s="508"/>
      <c r="H408" s="505" t="str">
        <f t="shared" si="265"/>
        <v>Board-approved</v>
      </c>
      <c r="I408" s="531"/>
      <c r="J408" s="484"/>
      <c r="K408" s="492" t="str">
        <f t="shared" ref="K408:K413" si="267">F408</f>
        <v>Actual</v>
      </c>
      <c r="L408" s="502"/>
      <c r="M408" s="502"/>
      <c r="N408" s="481" t="str">
        <f t="shared" ref="N408:N413" si="268">H408</f>
        <v>Board-approved</v>
      </c>
      <c r="O408" s="531"/>
      <c r="P408" s="484"/>
      <c r="Q408" s="592" t="str">
        <f t="shared" ref="Q408:Q413" si="269">K408</f>
        <v>Actual</v>
      </c>
      <c r="R408" s="594" t="str">
        <f t="shared" ref="R408:R413" si="270">IF(G408=0,"",L408/G408)</f>
        <v/>
      </c>
      <c r="S408" s="536" t="str">
        <f t="shared" ref="S408:S413" si="271">IF(G408=0,"",M408/G408)</f>
        <v/>
      </c>
      <c r="T408" s="536" t="str">
        <f t="shared" ref="T408:T413" si="272">N408</f>
        <v>Board-approved</v>
      </c>
      <c r="U408" s="536" t="str">
        <f t="shared" ref="U408:U413" si="273">IF(T408="","",IF(I408=0,"",O408/I408))</f>
        <v/>
      </c>
      <c r="V408" s="516"/>
    </row>
    <row r="409" spans="2:22" x14ac:dyDescent="0.2">
      <c r="C409" s="485" t="s">
        <v>830</v>
      </c>
      <c r="D409" s="570">
        <f t="shared" si="264"/>
        <v>2015</v>
      </c>
      <c r="E409" s="484"/>
      <c r="F409" s="521" t="str">
        <f t="shared" si="266"/>
        <v>Actual</v>
      </c>
      <c r="G409" s="508"/>
      <c r="H409" s="505" t="str">
        <f t="shared" si="265"/>
        <v/>
      </c>
      <c r="I409" s="532"/>
      <c r="J409" s="484"/>
      <c r="K409" s="492" t="str">
        <f t="shared" si="267"/>
        <v>Actual</v>
      </c>
      <c r="L409" s="502"/>
      <c r="M409" s="502"/>
      <c r="N409" s="481" t="str">
        <f t="shared" si="268"/>
        <v/>
      </c>
      <c r="O409" s="532"/>
      <c r="P409" s="484"/>
      <c r="Q409" s="592" t="str">
        <f t="shared" si="269"/>
        <v>Actual</v>
      </c>
      <c r="R409" s="594" t="str">
        <f t="shared" si="270"/>
        <v/>
      </c>
      <c r="S409" s="536" t="str">
        <f t="shared" si="271"/>
        <v/>
      </c>
      <c r="T409" s="536" t="str">
        <f t="shared" si="272"/>
        <v/>
      </c>
      <c r="U409" s="536" t="str">
        <f t="shared" si="273"/>
        <v/>
      </c>
      <c r="V409" s="516"/>
    </row>
    <row r="410" spans="2:22" x14ac:dyDescent="0.2">
      <c r="C410" s="485" t="s">
        <v>830</v>
      </c>
      <c r="D410" s="570">
        <f t="shared" si="264"/>
        <v>2016</v>
      </c>
      <c r="E410" s="484"/>
      <c r="F410" s="521" t="str">
        <f t="shared" si="266"/>
        <v>Actual</v>
      </c>
      <c r="G410" s="508"/>
      <c r="H410" s="505" t="str">
        <f t="shared" si="265"/>
        <v/>
      </c>
      <c r="I410" s="531"/>
      <c r="J410" s="484"/>
      <c r="K410" s="492" t="str">
        <f t="shared" si="267"/>
        <v>Actual</v>
      </c>
      <c r="L410" s="502"/>
      <c r="M410" s="502"/>
      <c r="N410" s="481" t="str">
        <f t="shared" si="268"/>
        <v/>
      </c>
      <c r="O410" s="531"/>
      <c r="P410" s="484"/>
      <c r="Q410" s="592" t="str">
        <f t="shared" si="269"/>
        <v>Actual</v>
      </c>
      <c r="R410" s="594" t="str">
        <f t="shared" si="270"/>
        <v/>
      </c>
      <c r="S410" s="536" t="str">
        <f t="shared" si="271"/>
        <v/>
      </c>
      <c r="T410" s="536" t="str">
        <f t="shared" si="272"/>
        <v/>
      </c>
      <c r="U410" s="536" t="str">
        <f t="shared" si="273"/>
        <v/>
      </c>
      <c r="V410" s="516"/>
    </row>
    <row r="411" spans="2:22" x14ac:dyDescent="0.2">
      <c r="C411" s="485" t="s">
        <v>830</v>
      </c>
      <c r="D411" s="570">
        <f t="shared" si="264"/>
        <v>2017</v>
      </c>
      <c r="E411" s="484"/>
      <c r="F411" s="521" t="str">
        <f t="shared" si="266"/>
        <v>Actual</v>
      </c>
      <c r="G411" s="508"/>
      <c r="H411" s="505" t="str">
        <f t="shared" si="265"/>
        <v/>
      </c>
      <c r="I411" s="531"/>
      <c r="J411" s="484"/>
      <c r="K411" s="492" t="str">
        <f t="shared" si="267"/>
        <v>Actual</v>
      </c>
      <c r="L411" s="502"/>
      <c r="M411" s="502"/>
      <c r="N411" s="481" t="str">
        <f t="shared" si="268"/>
        <v/>
      </c>
      <c r="O411" s="531"/>
      <c r="P411" s="484"/>
      <c r="Q411" s="592" t="str">
        <f t="shared" si="269"/>
        <v>Actual</v>
      </c>
      <c r="R411" s="594" t="str">
        <f t="shared" si="270"/>
        <v/>
      </c>
      <c r="S411" s="536" t="str">
        <f t="shared" si="271"/>
        <v/>
      </c>
      <c r="T411" s="536" t="str">
        <f t="shared" si="272"/>
        <v/>
      </c>
      <c r="U411" s="536" t="str">
        <f t="shared" si="273"/>
        <v/>
      </c>
      <c r="V411" s="516"/>
    </row>
    <row r="412" spans="2:22" x14ac:dyDescent="0.2">
      <c r="C412" s="485" t="s">
        <v>289</v>
      </c>
      <c r="D412" s="570">
        <f t="shared" si="264"/>
        <v>2018</v>
      </c>
      <c r="E412" s="484"/>
      <c r="F412" s="521" t="str">
        <f t="shared" si="266"/>
        <v>Forecast</v>
      </c>
      <c r="G412" s="508"/>
      <c r="H412" s="505" t="str">
        <f t="shared" si="265"/>
        <v/>
      </c>
      <c r="I412" s="531"/>
      <c r="J412" s="484"/>
      <c r="K412" s="492" t="str">
        <f t="shared" si="267"/>
        <v>Forecast</v>
      </c>
      <c r="L412" s="510"/>
      <c r="M412" s="539"/>
      <c r="N412" s="481" t="str">
        <f t="shared" si="268"/>
        <v/>
      </c>
      <c r="O412" s="531"/>
      <c r="P412" s="484"/>
      <c r="Q412" s="592" t="str">
        <f t="shared" si="269"/>
        <v>Forecast</v>
      </c>
      <c r="R412" s="594" t="str">
        <f t="shared" si="270"/>
        <v/>
      </c>
      <c r="S412" s="536" t="str">
        <f t="shared" si="271"/>
        <v/>
      </c>
      <c r="T412" s="536" t="str">
        <f t="shared" si="272"/>
        <v/>
      </c>
      <c r="U412" s="536" t="str">
        <f t="shared" si="273"/>
        <v/>
      </c>
      <c r="V412" s="516"/>
    </row>
    <row r="413" spans="2:22" ht="13.5" thickBot="1" x14ac:dyDescent="0.25">
      <c r="C413" s="486" t="s">
        <v>290</v>
      </c>
      <c r="D413" s="571">
        <f>TestYear</f>
        <v>2019</v>
      </c>
      <c r="E413" s="488"/>
      <c r="F413" s="522" t="str">
        <f t="shared" si="266"/>
        <v>Forecast</v>
      </c>
      <c r="G413" s="509"/>
      <c r="H413" s="506" t="str">
        <f t="shared" si="265"/>
        <v/>
      </c>
      <c r="I413" s="533"/>
      <c r="J413" s="488"/>
      <c r="K413" s="493" t="str">
        <f t="shared" si="267"/>
        <v>Forecast</v>
      </c>
      <c r="L413" s="511"/>
      <c r="M413" s="540"/>
      <c r="N413" s="482" t="str">
        <f t="shared" si="268"/>
        <v/>
      </c>
      <c r="O413" s="533"/>
      <c r="P413" s="488"/>
      <c r="Q413" s="593" t="str">
        <f t="shared" si="269"/>
        <v>Forecast</v>
      </c>
      <c r="R413" s="595" t="str">
        <f t="shared" si="270"/>
        <v/>
      </c>
      <c r="S413" s="562" t="str">
        <f t="shared" si="271"/>
        <v/>
      </c>
      <c r="T413" s="562" t="str">
        <f t="shared" si="272"/>
        <v/>
      </c>
      <c r="U413" s="562" t="str">
        <f t="shared" si="273"/>
        <v/>
      </c>
      <c r="V413" s="516"/>
    </row>
    <row r="414" spans="2:22" ht="13.5" thickBot="1" x14ac:dyDescent="0.25">
      <c r="B414" s="536"/>
      <c r="C414" s="573"/>
      <c r="I414" s="615">
        <f>SUM(I407:I412)</f>
        <v>0</v>
      </c>
      <c r="O414" s="615">
        <f>SUM(O407:O412)</f>
        <v>0</v>
      </c>
      <c r="U414" s="615">
        <f>SUM(U407:U412)</f>
        <v>0</v>
      </c>
    </row>
    <row r="415" spans="2:22" ht="39" thickBot="1" x14ac:dyDescent="0.25">
      <c r="C415" s="607" t="s">
        <v>885</v>
      </c>
      <c r="D415" s="606" t="s">
        <v>10</v>
      </c>
      <c r="E415" s="568"/>
      <c r="F415" s="568"/>
      <c r="G415" s="630" t="s">
        <v>1027</v>
      </c>
      <c r="H415" s="568"/>
      <c r="I415" s="601" t="s">
        <v>1040</v>
      </c>
      <c r="J415" s="603"/>
      <c r="K415" s="602" t="s">
        <v>10</v>
      </c>
      <c r="L415" s="1936" t="s">
        <v>1027</v>
      </c>
      <c r="M415" s="1936"/>
      <c r="N415" s="568"/>
      <c r="O415" s="601" t="str">
        <f>I415</f>
        <v>Test Year Versus Board-approved</v>
      </c>
      <c r="P415" s="604"/>
      <c r="Q415" s="602" t="s">
        <v>10</v>
      </c>
      <c r="R415" s="1936" t="s">
        <v>1027</v>
      </c>
      <c r="S415" s="1936"/>
      <c r="T415" s="568"/>
      <c r="U415" s="601" t="str">
        <f>O415</f>
        <v>Test Year Versus Board-approved</v>
      </c>
    </row>
    <row r="416" spans="2:22" x14ac:dyDescent="0.2">
      <c r="C416" s="484"/>
      <c r="D416" s="584">
        <f t="shared" ref="D416:D422" si="274">D407</f>
        <v>2013</v>
      </c>
      <c r="E416" s="536"/>
      <c r="F416" s="536"/>
      <c r="G416" s="579"/>
      <c r="H416" s="536"/>
      <c r="I416" s="585"/>
      <c r="J416" s="591"/>
      <c r="K416" s="570">
        <f>D416</f>
        <v>2013</v>
      </c>
      <c r="L416" s="558"/>
      <c r="M416" s="558"/>
      <c r="N416" s="536"/>
      <c r="O416" s="531"/>
      <c r="P416" s="484"/>
      <c r="Q416" s="570">
        <f>K416</f>
        <v>2013</v>
      </c>
      <c r="R416" s="537"/>
      <c r="S416" s="537"/>
      <c r="T416" s="536"/>
      <c r="U416" s="531"/>
    </row>
    <row r="417" spans="3:21" x14ac:dyDescent="0.2">
      <c r="C417" s="484"/>
      <c r="D417" s="572">
        <f t="shared" si="274"/>
        <v>2014</v>
      </c>
      <c r="E417" s="536"/>
      <c r="F417" s="536"/>
      <c r="G417" s="580" t="str">
        <f t="shared" ref="G417:G422" si="275">IF(G407=0,"",G408/G407-1)</f>
        <v/>
      </c>
      <c r="H417" s="536"/>
      <c r="I417" s="585"/>
      <c r="J417" s="591"/>
      <c r="K417" s="570">
        <f t="shared" ref="K417:K423" si="276">D417</f>
        <v>2014</v>
      </c>
      <c r="L417" s="560" t="str">
        <f t="shared" ref="L417:M420" si="277">IF(L407=0,"",L408/L407-1)</f>
        <v/>
      </c>
      <c r="M417" s="560" t="str">
        <f t="shared" si="277"/>
        <v/>
      </c>
      <c r="N417" s="536"/>
      <c r="O417" s="531"/>
      <c r="P417" s="484"/>
      <c r="Q417" s="570">
        <f t="shared" ref="Q417:Q423" si="278">K417</f>
        <v>2014</v>
      </c>
      <c r="R417" s="581" t="str">
        <f t="shared" ref="R417:S420" si="279">IF(R407="","",IF(R407=0,"",R408/R407-1))</f>
        <v/>
      </c>
      <c r="S417" s="581" t="str">
        <f t="shared" si="279"/>
        <v/>
      </c>
      <c r="T417" s="536"/>
      <c r="U417" s="531"/>
    </row>
    <row r="418" spans="3:21" x14ac:dyDescent="0.2">
      <c r="C418" s="484"/>
      <c r="D418" s="572">
        <f t="shared" si="274"/>
        <v>2015</v>
      </c>
      <c r="E418" s="536"/>
      <c r="F418" s="536"/>
      <c r="G418" s="580" t="str">
        <f t="shared" si="275"/>
        <v/>
      </c>
      <c r="H418" s="536"/>
      <c r="I418" s="585"/>
      <c r="J418" s="591"/>
      <c r="K418" s="570">
        <f t="shared" si="276"/>
        <v>2015</v>
      </c>
      <c r="L418" s="560" t="str">
        <f t="shared" si="277"/>
        <v/>
      </c>
      <c r="M418" s="560" t="str">
        <f t="shared" si="277"/>
        <v/>
      </c>
      <c r="N418" s="536"/>
      <c r="O418" s="531"/>
      <c r="P418" s="484"/>
      <c r="Q418" s="570">
        <f t="shared" si="278"/>
        <v>2015</v>
      </c>
      <c r="R418" s="581" t="str">
        <f t="shared" si="279"/>
        <v/>
      </c>
      <c r="S418" s="581" t="str">
        <f t="shared" si="279"/>
        <v/>
      </c>
      <c r="T418" s="536"/>
      <c r="U418" s="531"/>
    </row>
    <row r="419" spans="3:21" x14ac:dyDescent="0.2">
      <c r="C419" s="484"/>
      <c r="D419" s="572">
        <f t="shared" si="274"/>
        <v>2016</v>
      </c>
      <c r="E419" s="536"/>
      <c r="F419" s="536"/>
      <c r="G419" s="580" t="str">
        <f t="shared" si="275"/>
        <v/>
      </c>
      <c r="H419" s="536"/>
      <c r="I419" s="585"/>
      <c r="J419" s="591"/>
      <c r="K419" s="570">
        <f t="shared" si="276"/>
        <v>2016</v>
      </c>
      <c r="L419" s="560" t="str">
        <f t="shared" si="277"/>
        <v/>
      </c>
      <c r="M419" s="560" t="str">
        <f t="shared" si="277"/>
        <v/>
      </c>
      <c r="N419" s="536"/>
      <c r="O419" s="531"/>
      <c r="P419" s="484"/>
      <c r="Q419" s="570">
        <f t="shared" si="278"/>
        <v>2016</v>
      </c>
      <c r="R419" s="581" t="str">
        <f t="shared" si="279"/>
        <v/>
      </c>
      <c r="S419" s="581" t="str">
        <f t="shared" si="279"/>
        <v/>
      </c>
      <c r="T419" s="536"/>
      <c r="U419" s="531"/>
    </row>
    <row r="420" spans="3:21" x14ac:dyDescent="0.2">
      <c r="C420" s="484"/>
      <c r="D420" s="572">
        <f t="shared" si="274"/>
        <v>2017</v>
      </c>
      <c r="E420" s="536"/>
      <c r="F420" s="536"/>
      <c r="G420" s="580" t="str">
        <f t="shared" si="275"/>
        <v/>
      </c>
      <c r="H420" s="536"/>
      <c r="I420" s="585"/>
      <c r="J420" s="591"/>
      <c r="K420" s="570">
        <f t="shared" si="276"/>
        <v>2017</v>
      </c>
      <c r="L420" s="560" t="str">
        <f t="shared" si="277"/>
        <v/>
      </c>
      <c r="M420" s="560" t="str">
        <f t="shared" si="277"/>
        <v/>
      </c>
      <c r="N420" s="536"/>
      <c r="O420" s="531"/>
      <c r="P420" s="484"/>
      <c r="Q420" s="570">
        <f t="shared" si="278"/>
        <v>2017</v>
      </c>
      <c r="R420" s="581" t="str">
        <f t="shared" si="279"/>
        <v/>
      </c>
      <c r="S420" s="581" t="str">
        <f t="shared" si="279"/>
        <v/>
      </c>
      <c r="T420" s="536"/>
      <c r="U420" s="531"/>
    </row>
    <row r="421" spans="3:21" x14ac:dyDescent="0.2">
      <c r="C421" s="484"/>
      <c r="D421" s="572">
        <f t="shared" si="274"/>
        <v>2018</v>
      </c>
      <c r="E421" s="536"/>
      <c r="F421" s="536"/>
      <c r="G421" s="580" t="str">
        <f t="shared" si="275"/>
        <v/>
      </c>
      <c r="H421" s="536"/>
      <c r="I421" s="585"/>
      <c r="J421" s="591"/>
      <c r="K421" s="570">
        <f t="shared" si="276"/>
        <v>2018</v>
      </c>
      <c r="L421" s="560" t="str">
        <f>IF(K412="Forecast","",IF(L411=0,"",L412/L411-1))</f>
        <v/>
      </c>
      <c r="M421" s="560" t="str">
        <f>IF(M411=0,"",M412/M411-1)</f>
        <v/>
      </c>
      <c r="N421" s="536"/>
      <c r="O421" s="531"/>
      <c r="P421" s="484"/>
      <c r="Q421" s="570">
        <f t="shared" si="278"/>
        <v>2018</v>
      </c>
      <c r="R421" s="581" t="str">
        <f>IF(Q412="Forecast","",IF(R411=0,"",R412/R411-1))</f>
        <v/>
      </c>
      <c r="S421" s="581" t="str">
        <f>IF(S411="","",IF(S411=0,"",S412/S411-1))</f>
        <v/>
      </c>
      <c r="T421" s="536"/>
      <c r="U421" s="531"/>
    </row>
    <row r="422" spans="3:21" x14ac:dyDescent="0.2">
      <c r="C422" s="484"/>
      <c r="D422" s="572">
        <f t="shared" si="274"/>
        <v>2019</v>
      </c>
      <c r="E422" s="536"/>
      <c r="F422" s="536"/>
      <c r="G422" s="580" t="str">
        <f t="shared" si="275"/>
        <v/>
      </c>
      <c r="H422" s="536"/>
      <c r="I422" s="586" t="str">
        <f>IF(I414=0,"",G413/I414-1)</f>
        <v/>
      </c>
      <c r="J422" s="591"/>
      <c r="K422" s="570">
        <f t="shared" si="276"/>
        <v>2019</v>
      </c>
      <c r="L422" s="560" t="str">
        <f>IF(K413="Forecast","",IF(L412=0,"",L413/L412-1))</f>
        <v/>
      </c>
      <c r="M422" s="560" t="str">
        <f>IF(M412=0,"",M413/M412-1)</f>
        <v/>
      </c>
      <c r="N422" s="536"/>
      <c r="O422" s="561" t="str">
        <f>IF(O414=0,"",M413/O414-1)</f>
        <v/>
      </c>
      <c r="P422" s="484"/>
      <c r="Q422" s="570">
        <f t="shared" si="278"/>
        <v>2019</v>
      </c>
      <c r="R422" s="581" t="str">
        <f>IF(Q413="Forecast","",IF(R412=0,"",R413/R412-1))</f>
        <v/>
      </c>
      <c r="S422" s="581" t="str">
        <f>IF(S412="","",IF(S412=0,"",S413/S412-1))</f>
        <v/>
      </c>
      <c r="T422" s="536"/>
      <c r="U422" s="561" t="str">
        <f>IF(U414=0,"",S413/U414-1)</f>
        <v/>
      </c>
    </row>
    <row r="423" spans="3:21" ht="26.25" thickBot="1" x14ac:dyDescent="0.25">
      <c r="C423" s="488"/>
      <c r="D423" s="612" t="s">
        <v>1026</v>
      </c>
      <c r="E423" s="562"/>
      <c r="F423" s="562"/>
      <c r="G423" s="582" t="str">
        <f>IF(G407=0,"",(G413/G407)^(1/($D413-$D407-1))-1)</f>
        <v/>
      </c>
      <c r="H423" s="562"/>
      <c r="I423" s="613" t="str">
        <f>IF(I414=0,"",(G413/I414)^(1/(TestYear-RebaseYear-1))-1)</f>
        <v/>
      </c>
      <c r="J423" s="567"/>
      <c r="K423" s="611" t="str">
        <f t="shared" si="276"/>
        <v>Geometric Mean</v>
      </c>
      <c r="L423" s="565" t="str">
        <f>IF(L407=0,"",(L411/L407)^(1/($D411-$D407-1))-1)</f>
        <v/>
      </c>
      <c r="M423" s="565" t="str">
        <f>IF(M407=0,"",(M413/M407)^(1/($D413-$D407-1))-1)</f>
        <v/>
      </c>
      <c r="N423" s="562"/>
      <c r="O423" s="578" t="str">
        <f>IF(O414=0,"",(M413/O414)^(1/(TestYear-RebaseYear-1))-1)</f>
        <v/>
      </c>
      <c r="P423" s="488"/>
      <c r="Q423" s="611" t="str">
        <f t="shared" si="278"/>
        <v>Geometric Mean</v>
      </c>
      <c r="R423" s="583" t="str">
        <f>IF(R407="","",IF(R407=0,"",(R411/R407)^(1/($D411-$D407-1))-1))</f>
        <v/>
      </c>
      <c r="S423" s="565" t="str">
        <f>IF(S407="","",IF(S407=0,"",(S413/S407)^(1/($D413-$D407-1))-1))</f>
        <v/>
      </c>
      <c r="T423" s="562"/>
      <c r="U423" s="578" t="str">
        <f>IF(U414=0,"",(S413/U414)^(1/(TestYear-RebaseYear-1))-1)</f>
        <v/>
      </c>
    </row>
    <row r="425" spans="3:21" ht="13.5" thickBot="1" x14ac:dyDescent="0.25">
      <c r="Q425" s="562"/>
      <c r="R425" s="562"/>
      <c r="S425" s="562"/>
      <c r="T425" s="562"/>
      <c r="U425" s="562"/>
    </row>
    <row r="426" spans="3:21" x14ac:dyDescent="0.2">
      <c r="C426" s="483"/>
      <c r="D426" s="487" t="s">
        <v>1011</v>
      </c>
      <c r="E426" s="487"/>
      <c r="F426" s="1938" t="s">
        <v>1004</v>
      </c>
      <c r="G426" s="1939"/>
      <c r="H426" s="1939"/>
      <c r="I426" s="1940"/>
      <c r="K426" s="1941" t="str">
        <f>IF(ISBLANK(N403),"",CONCATENATE("Demand (",N403,")"))</f>
        <v/>
      </c>
      <c r="L426" s="1942"/>
      <c r="M426" s="1942"/>
      <c r="N426" s="1942"/>
      <c r="O426" s="1943"/>
      <c r="Q426" s="1944" t="str">
        <f>CONCATENATE("Demand (",N403,") per ",LEFT(F405,LEN(F405)-1))</f>
        <v>Demand () per Customer</v>
      </c>
      <c r="R426" s="1945"/>
      <c r="S426" s="1945"/>
      <c r="T426" s="1945"/>
      <c r="U426" s="1946"/>
    </row>
    <row r="427" spans="3:21" ht="39" thickBot="1" x14ac:dyDescent="0.25">
      <c r="C427" s="488"/>
      <c r="D427" s="490" t="str">
        <f>CONCATENATE("(for ",TestYear," Cost of Service")</f>
        <v>(for 2019 Cost of Service</v>
      </c>
      <c r="E427" s="485"/>
      <c r="F427" s="1934"/>
      <c r="G427" s="1935"/>
      <c r="H427" s="1935"/>
      <c r="I427" s="504"/>
      <c r="K427" s="494"/>
      <c r="L427" s="628" t="s">
        <v>1031</v>
      </c>
      <c r="M427" s="628" t="s">
        <v>1015</v>
      </c>
      <c r="N427" s="512"/>
      <c r="O427" s="513" t="str">
        <f>M427</f>
        <v>Weather-normalized</v>
      </c>
      <c r="Q427" s="610"/>
      <c r="R427" s="628" t="str">
        <f>L427</f>
        <v>Actual (Weather actual)</v>
      </c>
      <c r="S427" s="628" t="str">
        <f>M427</f>
        <v>Weather-normalized</v>
      </c>
      <c r="T427" s="628"/>
      <c r="U427" s="629" t="str">
        <f>O427</f>
        <v>Weather-normalized</v>
      </c>
    </row>
    <row r="428" spans="3:21" x14ac:dyDescent="0.2">
      <c r="C428" s="485" t="s">
        <v>830</v>
      </c>
      <c r="D428" s="570">
        <f t="shared" ref="D428:D433" si="280">D429-1</f>
        <v>2013</v>
      </c>
      <c r="E428" s="484"/>
      <c r="F428" s="520" t="str">
        <f t="shared" ref="F428:F434" si="281">F407</f>
        <v>Actual</v>
      </c>
      <c r="G428" s="518"/>
      <c r="H428" s="2" t="str">
        <f t="shared" ref="H428:H434" si="282">IF(D428=RebaseYear,"Board-approved","")</f>
        <v/>
      </c>
      <c r="I428" s="590"/>
      <c r="K428" s="492" t="str">
        <f t="shared" ref="K428:K434" si="283">K407</f>
        <v>Actual</v>
      </c>
      <c r="L428" s="502"/>
      <c r="M428" s="502"/>
      <c r="N428" s="481" t="str">
        <f t="shared" ref="N428:N434" si="284">N407</f>
        <v/>
      </c>
      <c r="O428" s="531"/>
      <c r="Q428" s="592" t="str">
        <f>K428</f>
        <v>Actual</v>
      </c>
      <c r="R428" s="536" t="str">
        <f>IF(G428=0,"",L428/G428)</f>
        <v/>
      </c>
      <c r="S428" s="516" t="str">
        <f>IF(G428=0,"",M428/G428)</f>
        <v/>
      </c>
      <c r="T428" s="516" t="str">
        <f>N428</f>
        <v/>
      </c>
      <c r="U428" s="484" t="str">
        <f>IF(T428="","",IF(I428=0,"",O428/I428))</f>
        <v/>
      </c>
    </row>
    <row r="429" spans="3:21" x14ac:dyDescent="0.2">
      <c r="C429" s="485" t="s">
        <v>830</v>
      </c>
      <c r="D429" s="570">
        <f t="shared" si="280"/>
        <v>2014</v>
      </c>
      <c r="E429" s="484"/>
      <c r="F429" s="521" t="str">
        <f t="shared" si="281"/>
        <v>Actual</v>
      </c>
      <c r="G429" s="518"/>
      <c r="H429" s="2" t="str">
        <f t="shared" si="282"/>
        <v>Board-approved</v>
      </c>
      <c r="I429" s="531"/>
      <c r="K429" s="492" t="str">
        <f t="shared" si="283"/>
        <v>Actual</v>
      </c>
      <c r="L429" s="502"/>
      <c r="M429" s="502"/>
      <c r="N429" s="481" t="str">
        <f t="shared" si="284"/>
        <v>Board-approved</v>
      </c>
      <c r="O429" s="531"/>
      <c r="Q429" s="592" t="str">
        <f t="shared" ref="Q429:Q434" si="285">K429</f>
        <v>Actual</v>
      </c>
      <c r="R429" s="536" t="str">
        <f t="shared" ref="R429:R434" si="286">IF(G429=0,"",L429/G429)</f>
        <v/>
      </c>
      <c r="S429" s="516" t="str">
        <f t="shared" ref="S429:S434" si="287">IF(G429=0,"",M429/G429)</f>
        <v/>
      </c>
      <c r="T429" s="516" t="str">
        <f t="shared" ref="T429:T434" si="288">N429</f>
        <v>Board-approved</v>
      </c>
      <c r="U429" s="484" t="str">
        <f t="shared" ref="U429:U434" si="289">IF(T429="","",IF(I429=0,"",O429/I429))</f>
        <v/>
      </c>
    </row>
    <row r="430" spans="3:21" x14ac:dyDescent="0.2">
      <c r="C430" s="485" t="s">
        <v>830</v>
      </c>
      <c r="D430" s="570">
        <f t="shared" si="280"/>
        <v>2015</v>
      </c>
      <c r="E430" s="484"/>
      <c r="F430" s="521" t="str">
        <f t="shared" si="281"/>
        <v>Actual</v>
      </c>
      <c r="G430" s="518"/>
      <c r="H430" s="2" t="str">
        <f t="shared" si="282"/>
        <v/>
      </c>
      <c r="I430" s="535"/>
      <c r="K430" s="492" t="str">
        <f t="shared" si="283"/>
        <v>Actual</v>
      </c>
      <c r="L430" s="502"/>
      <c r="M430" s="502"/>
      <c r="N430" s="481" t="str">
        <f t="shared" si="284"/>
        <v/>
      </c>
      <c r="O430" s="532"/>
      <c r="Q430" s="592" t="str">
        <f t="shared" si="285"/>
        <v>Actual</v>
      </c>
      <c r="R430" s="536" t="str">
        <f t="shared" si="286"/>
        <v/>
      </c>
      <c r="S430" s="516" t="str">
        <f t="shared" si="287"/>
        <v/>
      </c>
      <c r="T430" s="516" t="str">
        <f t="shared" si="288"/>
        <v/>
      </c>
      <c r="U430" s="484" t="str">
        <f t="shared" si="289"/>
        <v/>
      </c>
    </row>
    <row r="431" spans="3:21" x14ac:dyDescent="0.2">
      <c r="C431" s="485" t="s">
        <v>830</v>
      </c>
      <c r="D431" s="570">
        <f t="shared" si="280"/>
        <v>2016</v>
      </c>
      <c r="E431" s="484"/>
      <c r="F431" s="521" t="str">
        <f t="shared" si="281"/>
        <v>Actual</v>
      </c>
      <c r="G431" s="518"/>
      <c r="H431" s="2" t="str">
        <f t="shared" si="282"/>
        <v/>
      </c>
      <c r="I431" s="531"/>
      <c r="K431" s="492" t="str">
        <f t="shared" si="283"/>
        <v>Actual</v>
      </c>
      <c r="L431" s="502"/>
      <c r="M431" s="502"/>
      <c r="N431" s="481" t="str">
        <f t="shared" si="284"/>
        <v/>
      </c>
      <c r="O431" s="531"/>
      <c r="Q431" s="592" t="str">
        <f t="shared" si="285"/>
        <v>Actual</v>
      </c>
      <c r="R431" s="536" t="str">
        <f t="shared" si="286"/>
        <v/>
      </c>
      <c r="S431" s="516" t="str">
        <f t="shared" si="287"/>
        <v/>
      </c>
      <c r="T431" s="516" t="str">
        <f t="shared" si="288"/>
        <v/>
      </c>
      <c r="U431" s="484" t="str">
        <f t="shared" si="289"/>
        <v/>
      </c>
    </row>
    <row r="432" spans="3:21" x14ac:dyDescent="0.2">
      <c r="C432" s="485" t="s">
        <v>830</v>
      </c>
      <c r="D432" s="570">
        <f t="shared" si="280"/>
        <v>2017</v>
      </c>
      <c r="E432" s="484"/>
      <c r="F432" s="521" t="str">
        <f t="shared" si="281"/>
        <v>Actual</v>
      </c>
      <c r="G432" s="518"/>
      <c r="H432" s="2" t="str">
        <f t="shared" si="282"/>
        <v/>
      </c>
      <c r="I432" s="531"/>
      <c r="K432" s="492" t="str">
        <f t="shared" si="283"/>
        <v>Actual</v>
      </c>
      <c r="L432" s="502"/>
      <c r="M432" s="502"/>
      <c r="N432" s="481" t="str">
        <f t="shared" si="284"/>
        <v/>
      </c>
      <c r="O432" s="531"/>
      <c r="Q432" s="592" t="str">
        <f t="shared" si="285"/>
        <v>Actual</v>
      </c>
      <c r="R432" s="536" t="str">
        <f t="shared" si="286"/>
        <v/>
      </c>
      <c r="S432" s="516" t="str">
        <f t="shared" si="287"/>
        <v/>
      </c>
      <c r="T432" s="516" t="str">
        <f t="shared" si="288"/>
        <v/>
      </c>
      <c r="U432" s="484" t="str">
        <f t="shared" si="289"/>
        <v/>
      </c>
    </row>
    <row r="433" spans="2:22" x14ac:dyDescent="0.2">
      <c r="C433" s="485" t="s">
        <v>1009</v>
      </c>
      <c r="D433" s="570">
        <f t="shared" si="280"/>
        <v>2018</v>
      </c>
      <c r="E433" s="484"/>
      <c r="F433" s="521" t="str">
        <f t="shared" si="281"/>
        <v>Forecast</v>
      </c>
      <c r="G433" s="518"/>
      <c r="H433" s="2" t="str">
        <f t="shared" si="282"/>
        <v/>
      </c>
      <c r="I433" s="531"/>
      <c r="K433" s="492" t="str">
        <f t="shared" si="283"/>
        <v>Forecast</v>
      </c>
      <c r="L433" s="510"/>
      <c r="M433" s="541"/>
      <c r="N433" s="481" t="str">
        <f t="shared" si="284"/>
        <v/>
      </c>
      <c r="O433" s="531"/>
      <c r="Q433" s="592" t="str">
        <f t="shared" si="285"/>
        <v>Forecast</v>
      </c>
      <c r="R433" s="536" t="str">
        <f t="shared" si="286"/>
        <v/>
      </c>
      <c r="S433" s="516" t="str">
        <f t="shared" si="287"/>
        <v/>
      </c>
      <c r="T433" s="516" t="str">
        <f t="shared" si="288"/>
        <v/>
      </c>
      <c r="U433" s="484" t="str">
        <f t="shared" si="289"/>
        <v/>
      </c>
    </row>
    <row r="434" spans="2:22" ht="13.5" thickBot="1" x14ac:dyDescent="0.25">
      <c r="C434" s="486" t="s">
        <v>1010</v>
      </c>
      <c r="D434" s="571">
        <f>TestYear</f>
        <v>2019</v>
      </c>
      <c r="E434" s="488"/>
      <c r="F434" s="522" t="str">
        <f t="shared" si="281"/>
        <v>Forecast</v>
      </c>
      <c r="G434" s="519"/>
      <c r="H434" s="514" t="str">
        <f t="shared" si="282"/>
        <v/>
      </c>
      <c r="I434" s="533"/>
      <c r="K434" s="493" t="str">
        <f t="shared" si="283"/>
        <v>Forecast</v>
      </c>
      <c r="L434" s="511"/>
      <c r="M434" s="542"/>
      <c r="N434" s="482" t="str">
        <f t="shared" si="284"/>
        <v/>
      </c>
      <c r="O434" s="533"/>
      <c r="Q434" s="526" t="str">
        <f t="shared" si="285"/>
        <v>Forecast</v>
      </c>
      <c r="R434" s="517" t="str">
        <f t="shared" si="286"/>
        <v/>
      </c>
      <c r="S434" s="517" t="str">
        <f t="shared" si="287"/>
        <v/>
      </c>
      <c r="T434" s="517" t="str">
        <f t="shared" si="288"/>
        <v/>
      </c>
      <c r="U434" s="488" t="str">
        <f t="shared" si="289"/>
        <v/>
      </c>
    </row>
    <row r="435" spans="2:22" ht="13.5" thickBot="1" x14ac:dyDescent="0.25">
      <c r="C435" s="573"/>
      <c r="I435" s="615">
        <f>SUM(I428:I433)</f>
        <v>0</v>
      </c>
      <c r="J435" s="536"/>
      <c r="O435" s="615">
        <f>SUM(O428:O433)</f>
        <v>0</v>
      </c>
      <c r="U435" s="615">
        <f>SUM(U428:U433)</f>
        <v>0</v>
      </c>
    </row>
    <row r="436" spans="2:22" ht="39" thickBot="1" x14ac:dyDescent="0.25">
      <c r="C436" s="607" t="s">
        <v>885</v>
      </c>
      <c r="D436" s="606" t="s">
        <v>10</v>
      </c>
      <c r="E436" s="630"/>
      <c r="F436" s="630"/>
      <c r="G436" s="630" t="s">
        <v>1027</v>
      </c>
      <c r="H436" s="630"/>
      <c r="I436" s="601" t="str">
        <f>I415</f>
        <v>Test Year Versus Board-approved</v>
      </c>
      <c r="J436" s="614"/>
      <c r="K436" s="602" t="s">
        <v>10</v>
      </c>
      <c r="L436" s="1936" t="s">
        <v>1027</v>
      </c>
      <c r="M436" s="1936"/>
      <c r="N436" s="630"/>
      <c r="O436" s="601" t="str">
        <f>I436</f>
        <v>Test Year Versus Board-approved</v>
      </c>
      <c r="P436" s="587"/>
      <c r="Q436" s="602" t="s">
        <v>10</v>
      </c>
      <c r="R436" s="1936" t="s">
        <v>1027</v>
      </c>
      <c r="S436" s="1936"/>
      <c r="T436" s="630"/>
      <c r="U436" s="601" t="str">
        <f>O436</f>
        <v>Test Year Versus Board-approved</v>
      </c>
    </row>
    <row r="437" spans="2:22" x14ac:dyDescent="0.2">
      <c r="C437" s="484"/>
      <c r="D437" s="609">
        <f t="shared" ref="D437:D443" si="290">D428</f>
        <v>2013</v>
      </c>
      <c r="E437" s="552"/>
      <c r="F437" s="536"/>
      <c r="G437" s="579"/>
      <c r="H437" s="536"/>
      <c r="I437" s="585"/>
      <c r="J437" s="484"/>
      <c r="K437" s="570">
        <f>D437</f>
        <v>2013</v>
      </c>
      <c r="L437" s="558"/>
      <c r="M437" s="558"/>
      <c r="N437" s="536"/>
      <c r="O437" s="588"/>
      <c r="P437" s="484"/>
      <c r="Q437" s="570">
        <f>K437</f>
        <v>2013</v>
      </c>
      <c r="R437" s="537"/>
      <c r="S437" s="537"/>
      <c r="T437" s="536"/>
      <c r="U437" s="531"/>
    </row>
    <row r="438" spans="2:22" x14ac:dyDescent="0.2">
      <c r="C438" s="484"/>
      <c r="D438" s="572">
        <f t="shared" si="290"/>
        <v>2014</v>
      </c>
      <c r="E438" s="536"/>
      <c r="F438" s="536"/>
      <c r="G438" s="580" t="str">
        <f t="shared" ref="G438:G443" si="291">IF(G428=0,"",G429/G428-1)</f>
        <v/>
      </c>
      <c r="H438" s="536"/>
      <c r="I438" s="585"/>
      <c r="J438" s="484"/>
      <c r="K438" s="570">
        <f t="shared" ref="K438:K444" si="292">D438</f>
        <v>2014</v>
      </c>
      <c r="L438" s="560" t="str">
        <f t="shared" ref="L438:M441" si="293">IF(L428=0,"",L429/L428-1)</f>
        <v/>
      </c>
      <c r="M438" s="560" t="str">
        <f t="shared" si="293"/>
        <v/>
      </c>
      <c r="N438" s="536"/>
      <c r="O438" s="588"/>
      <c r="P438" s="484"/>
      <c r="Q438" s="570">
        <f t="shared" ref="Q438:Q444" si="294">K438</f>
        <v>2014</v>
      </c>
      <c r="R438" s="581" t="str">
        <f t="shared" ref="R438:S441" si="295">IF(R428="","",IF(R428=0,"",R429/R428-1))</f>
        <v/>
      </c>
      <c r="S438" s="581" t="str">
        <f t="shared" si="295"/>
        <v/>
      </c>
      <c r="T438" s="536"/>
      <c r="U438" s="531"/>
    </row>
    <row r="439" spans="2:22" x14ac:dyDescent="0.2">
      <c r="C439" s="484"/>
      <c r="D439" s="608">
        <f t="shared" si="290"/>
        <v>2015</v>
      </c>
      <c r="E439" s="536"/>
      <c r="F439" s="536"/>
      <c r="G439" s="580" t="str">
        <f t="shared" si="291"/>
        <v/>
      </c>
      <c r="H439" s="536"/>
      <c r="I439" s="585"/>
      <c r="J439" s="484"/>
      <c r="K439" s="570">
        <f t="shared" si="292"/>
        <v>2015</v>
      </c>
      <c r="L439" s="560" t="str">
        <f t="shared" si="293"/>
        <v/>
      </c>
      <c r="M439" s="560" t="str">
        <f t="shared" si="293"/>
        <v/>
      </c>
      <c r="N439" s="536"/>
      <c r="O439" s="588"/>
      <c r="P439" s="484"/>
      <c r="Q439" s="570">
        <f t="shared" si="294"/>
        <v>2015</v>
      </c>
      <c r="R439" s="581" t="str">
        <f t="shared" si="295"/>
        <v/>
      </c>
      <c r="S439" s="581" t="str">
        <f t="shared" si="295"/>
        <v/>
      </c>
      <c r="T439" s="536"/>
      <c r="U439" s="531"/>
    </row>
    <row r="440" spans="2:22" x14ac:dyDescent="0.2">
      <c r="C440" s="484"/>
      <c r="D440" s="572">
        <f t="shared" si="290"/>
        <v>2016</v>
      </c>
      <c r="E440" s="536"/>
      <c r="F440" s="536"/>
      <c r="G440" s="580" t="str">
        <f t="shared" si="291"/>
        <v/>
      </c>
      <c r="H440" s="536"/>
      <c r="I440" s="585"/>
      <c r="J440" s="484"/>
      <c r="K440" s="570">
        <f t="shared" si="292"/>
        <v>2016</v>
      </c>
      <c r="L440" s="560" t="str">
        <f t="shared" si="293"/>
        <v/>
      </c>
      <c r="M440" s="560" t="str">
        <f t="shared" si="293"/>
        <v/>
      </c>
      <c r="N440" s="536"/>
      <c r="O440" s="588"/>
      <c r="P440" s="484"/>
      <c r="Q440" s="570">
        <f t="shared" si="294"/>
        <v>2016</v>
      </c>
      <c r="R440" s="581" t="str">
        <f t="shared" si="295"/>
        <v/>
      </c>
      <c r="S440" s="581" t="str">
        <f t="shared" si="295"/>
        <v/>
      </c>
      <c r="T440" s="536"/>
      <c r="U440" s="531"/>
    </row>
    <row r="441" spans="2:22" x14ac:dyDescent="0.2">
      <c r="C441" s="484"/>
      <c r="D441" s="572">
        <f t="shared" si="290"/>
        <v>2017</v>
      </c>
      <c r="E441" s="536"/>
      <c r="F441" s="536"/>
      <c r="G441" s="580" t="str">
        <f t="shared" si="291"/>
        <v/>
      </c>
      <c r="H441" s="536"/>
      <c r="I441" s="585"/>
      <c r="J441" s="484"/>
      <c r="K441" s="570">
        <f t="shared" si="292"/>
        <v>2017</v>
      </c>
      <c r="L441" s="560" t="str">
        <f t="shared" si="293"/>
        <v/>
      </c>
      <c r="M441" s="560" t="str">
        <f t="shared" si="293"/>
        <v/>
      </c>
      <c r="N441" s="536"/>
      <c r="O441" s="588"/>
      <c r="P441" s="484"/>
      <c r="Q441" s="570">
        <f t="shared" si="294"/>
        <v>2017</v>
      </c>
      <c r="R441" s="581" t="str">
        <f t="shared" si="295"/>
        <v/>
      </c>
      <c r="S441" s="581" t="str">
        <f t="shared" si="295"/>
        <v/>
      </c>
      <c r="T441" s="536"/>
      <c r="U441" s="531"/>
    </row>
    <row r="442" spans="2:22" x14ac:dyDescent="0.2">
      <c r="C442" s="484"/>
      <c r="D442" s="572">
        <f t="shared" si="290"/>
        <v>2018</v>
      </c>
      <c r="E442" s="536"/>
      <c r="F442" s="536"/>
      <c r="G442" s="580" t="str">
        <f t="shared" si="291"/>
        <v/>
      </c>
      <c r="H442" s="536"/>
      <c r="I442" s="585"/>
      <c r="J442" s="484"/>
      <c r="K442" s="570">
        <f t="shared" si="292"/>
        <v>2018</v>
      </c>
      <c r="L442" s="560" t="str">
        <f>IF(K433="Forecast","",IF(L432=0,"",L433/L432-1))</f>
        <v/>
      </c>
      <c r="M442" s="560" t="str">
        <f>IF(M432=0,"",M433/M432-1)</f>
        <v/>
      </c>
      <c r="N442" s="536"/>
      <c r="O442" s="588"/>
      <c r="P442" s="484"/>
      <c r="Q442" s="570">
        <f t="shared" si="294"/>
        <v>2018</v>
      </c>
      <c r="R442" s="581" t="str">
        <f>IF(Q433="Forecast","",IF(R432=0,"",R433/R432-1))</f>
        <v/>
      </c>
      <c r="S442" s="581" t="str">
        <f>IF(S432="","",IF(S432=0,"",S433/S432-1))</f>
        <v/>
      </c>
      <c r="T442" s="536"/>
      <c r="U442" s="531"/>
    </row>
    <row r="443" spans="2:22" x14ac:dyDescent="0.2">
      <c r="C443" s="484"/>
      <c r="D443" s="608">
        <f t="shared" si="290"/>
        <v>2019</v>
      </c>
      <c r="E443" s="536"/>
      <c r="F443" s="536"/>
      <c r="G443" s="580" t="str">
        <f t="shared" si="291"/>
        <v/>
      </c>
      <c r="H443" s="536"/>
      <c r="I443" s="586" t="str">
        <f>IF(I435=0,"",G434/I435-1)</f>
        <v/>
      </c>
      <c r="J443" s="484"/>
      <c r="K443" s="570">
        <f t="shared" si="292"/>
        <v>2019</v>
      </c>
      <c r="L443" s="560" t="str">
        <f>IF(K434="Forecast","",IF(L433=0,"",L434/L433-1))</f>
        <v/>
      </c>
      <c r="M443" s="560" t="str">
        <f>IF(M433=0,"",M434/M433-1)</f>
        <v/>
      </c>
      <c r="N443" s="536"/>
      <c r="O443" s="589" t="str">
        <f>IF(O435=0,"",M434/O435-1)</f>
        <v/>
      </c>
      <c r="P443" s="484"/>
      <c r="Q443" s="570">
        <f t="shared" si="294"/>
        <v>2019</v>
      </c>
      <c r="R443" s="581" t="str">
        <f>IF(Q434="Forecast","",IF(R433=0,"",R434/R433-1))</f>
        <v/>
      </c>
      <c r="S443" s="581" t="str">
        <f>IF(S433="","",IF(S433=0,"",S434/S433-1))</f>
        <v/>
      </c>
      <c r="T443" s="536"/>
      <c r="U443" s="561" t="str">
        <f>IF(U435=0,"",S434/U435-1)</f>
        <v/>
      </c>
    </row>
    <row r="444" spans="2:22" ht="26.25" thickBot="1" x14ac:dyDescent="0.25">
      <c r="C444" s="488"/>
      <c r="D444" s="612" t="s">
        <v>1026</v>
      </c>
      <c r="E444" s="562"/>
      <c r="F444" s="562"/>
      <c r="G444" s="582" t="str">
        <f>IF(G428=0,"",(G434/G428)^(1/($D434-$D428-1))-1)</f>
        <v/>
      </c>
      <c r="H444" s="562"/>
      <c r="I444" s="578" t="str">
        <f>IF(I435=0,"",(G434/I435)^(1/(TestYear-RebaseYear-1))-1)</f>
        <v/>
      </c>
      <c r="J444" s="484"/>
      <c r="K444" s="611" t="str">
        <f t="shared" si="292"/>
        <v>Geometric Mean</v>
      </c>
      <c r="L444" s="565" t="str">
        <f>IF(L428=0,"",(L432/L428)^(1/($D432-$D428-1))-1)</f>
        <v/>
      </c>
      <c r="M444" s="565" t="str">
        <f>IF(M428=0,"",(M434/M428)^(1/($D434-$D428-1))-1)</f>
        <v/>
      </c>
      <c r="N444" s="562"/>
      <c r="O444" s="578" t="str">
        <f>IF(O435=0,"",(M434/O435)^(1/(TestYear-RebaseYear-1))-1)</f>
        <v/>
      </c>
      <c r="P444" s="488"/>
      <c r="Q444" s="611" t="str">
        <f t="shared" si="294"/>
        <v>Geometric Mean</v>
      </c>
      <c r="R444" s="583" t="str">
        <f>IF(R428="","",IF(R428=0,"",(R432/R428)^(1/($D432-$D428-1))-1))</f>
        <v/>
      </c>
      <c r="S444" s="565" t="str">
        <f>IF(S428="","",IF(S428=0,"",(S434/S428)^(1/($D434-$D428-1))-1))</f>
        <v/>
      </c>
      <c r="T444" s="562"/>
      <c r="U444" s="578" t="str">
        <f>IF(U435=0,"",(S434/U435)^(1/(TestYear-RebaseYear-1))-1)</f>
        <v/>
      </c>
    </row>
    <row r="445" spans="2:22" ht="13.5" thickBot="1" x14ac:dyDescent="0.25"/>
    <row r="446" spans="2:22" ht="13.5" thickBot="1" x14ac:dyDescent="0.25">
      <c r="B446" s="525">
        <f>B403+1</f>
        <v>10</v>
      </c>
      <c r="C446" s="3" t="s">
        <v>9</v>
      </c>
      <c r="D446" s="1947"/>
      <c r="E446" s="1948"/>
      <c r="F446" s="1949"/>
      <c r="G446" s="499"/>
      <c r="H446" s="9" t="s">
        <v>1029</v>
      </c>
      <c r="N446" s="524"/>
      <c r="O446" s="523"/>
      <c r="P446" s="523"/>
      <c r="Q446" s="523"/>
      <c r="R446" s="523"/>
      <c r="S446" s="523"/>
      <c r="T446" s="523"/>
      <c r="U446" s="523"/>
    </row>
    <row r="447" spans="2:22" ht="13.5" thickBot="1" x14ac:dyDescent="0.25">
      <c r="Q447" s="562"/>
      <c r="R447" s="562"/>
      <c r="S447" s="562"/>
      <c r="T447" s="562"/>
      <c r="U447" s="562"/>
    </row>
    <row r="448" spans="2:22" x14ac:dyDescent="0.2">
      <c r="C448" s="483"/>
      <c r="D448" s="487" t="s">
        <v>1011</v>
      </c>
      <c r="E448" s="487"/>
      <c r="F448" s="1950" t="s">
        <v>945</v>
      </c>
      <c r="G448" s="1951"/>
      <c r="H448" s="1951"/>
      <c r="I448" s="1952"/>
      <c r="J448" s="487"/>
      <c r="K448" s="1941" t="s">
        <v>1018</v>
      </c>
      <c r="L448" s="1942"/>
      <c r="M448" s="1942"/>
      <c r="N448" s="1942"/>
      <c r="O448" s="1943"/>
      <c r="P448" s="495"/>
      <c r="Q448" s="1944" t="str">
        <f>CONCATENATE("Consumption (kWh) per ",LEFT(F448,LEN(F448)-1))</f>
        <v>Consumption (kWh) per Customer</v>
      </c>
      <c r="R448" s="1945"/>
      <c r="S448" s="1945"/>
      <c r="T448" s="1945"/>
      <c r="U448" s="1946"/>
      <c r="V448" s="515"/>
    </row>
    <row r="449" spans="2:22" ht="39" thickBot="1" x14ac:dyDescent="0.25">
      <c r="C449" s="488"/>
      <c r="D449" s="490" t="str">
        <f>CONCATENATE("(for ",TestYear," Cost of Service")</f>
        <v>(for 2019 Cost of Service</v>
      </c>
      <c r="E449" s="485"/>
      <c r="F449" s="1934"/>
      <c r="G449" s="1935"/>
      <c r="H449" s="1937"/>
      <c r="I449" s="504"/>
      <c r="J449" s="485"/>
      <c r="K449" s="494"/>
      <c r="L449" s="628" t="s">
        <v>1031</v>
      </c>
      <c r="M449" s="628" t="s">
        <v>1015</v>
      </c>
      <c r="N449" s="512"/>
      <c r="O449" s="513" t="s">
        <v>1015</v>
      </c>
      <c r="P449" s="485"/>
      <c r="Q449" s="596"/>
      <c r="R449" s="597" t="str">
        <f>L449</f>
        <v>Actual (Weather actual)</v>
      </c>
      <c r="S449" s="598" t="str">
        <f>M449</f>
        <v>Weather-normalized</v>
      </c>
      <c r="T449" s="598"/>
      <c r="U449" s="599" t="str">
        <f>O449</f>
        <v>Weather-normalized</v>
      </c>
      <c r="V449" s="515"/>
    </row>
    <row r="450" spans="2:22" x14ac:dyDescent="0.2">
      <c r="C450" s="485" t="s">
        <v>830</v>
      </c>
      <c r="D450" s="570">
        <f t="shared" ref="D450:D455" si="296">D451-1</f>
        <v>2013</v>
      </c>
      <c r="E450" s="484"/>
      <c r="F450" s="520" t="str">
        <f>F407</f>
        <v>Actual</v>
      </c>
      <c r="G450" s="508"/>
      <c r="H450" s="505" t="str">
        <f t="shared" ref="H450:H456" si="297">IF(D450=RebaseYear,"Board-approved","")</f>
        <v/>
      </c>
      <c r="I450" s="531"/>
      <c r="J450" s="484"/>
      <c r="K450" s="492" t="str">
        <f>F450</f>
        <v>Actual</v>
      </c>
      <c r="L450" s="502"/>
      <c r="M450" s="502"/>
      <c r="N450" s="481" t="str">
        <f>H450</f>
        <v/>
      </c>
      <c r="O450" s="531"/>
      <c r="P450" s="484"/>
      <c r="Q450" s="592" t="str">
        <f>K450</f>
        <v>Actual</v>
      </c>
      <c r="R450" s="594" t="str">
        <f>IF(G450=0,"",L450/G450)</f>
        <v/>
      </c>
      <c r="S450" s="536" t="str">
        <f>IF(G450=0,"",M450/G450)</f>
        <v/>
      </c>
      <c r="T450" s="536" t="str">
        <f>N450</f>
        <v/>
      </c>
      <c r="U450" s="536" t="str">
        <f>IF(T450="","",IF(I450=0,"",O450/I450))</f>
        <v/>
      </c>
      <c r="V450" s="516"/>
    </row>
    <row r="451" spans="2:22" x14ac:dyDescent="0.2">
      <c r="C451" s="485" t="s">
        <v>830</v>
      </c>
      <c r="D451" s="570">
        <f t="shared" si="296"/>
        <v>2014</v>
      </c>
      <c r="E451" s="484"/>
      <c r="F451" s="521" t="str">
        <f t="shared" ref="F451:F456" si="298">F408</f>
        <v>Actual</v>
      </c>
      <c r="G451" s="508"/>
      <c r="H451" s="505" t="str">
        <f t="shared" si="297"/>
        <v>Board-approved</v>
      </c>
      <c r="I451" s="531"/>
      <c r="J451" s="484"/>
      <c r="K451" s="492" t="str">
        <f t="shared" ref="K451:K456" si="299">F451</f>
        <v>Actual</v>
      </c>
      <c r="L451" s="502"/>
      <c r="M451" s="502"/>
      <c r="N451" s="481" t="str">
        <f t="shared" ref="N451:N456" si="300">H451</f>
        <v>Board-approved</v>
      </c>
      <c r="O451" s="531"/>
      <c r="P451" s="484"/>
      <c r="Q451" s="592" t="str">
        <f t="shared" ref="Q451:Q456" si="301">K451</f>
        <v>Actual</v>
      </c>
      <c r="R451" s="594" t="str">
        <f t="shared" ref="R451:R456" si="302">IF(G451=0,"",L451/G451)</f>
        <v/>
      </c>
      <c r="S451" s="536" t="str">
        <f t="shared" ref="S451:S456" si="303">IF(G451=0,"",M451/G451)</f>
        <v/>
      </c>
      <c r="T451" s="536" t="str">
        <f t="shared" ref="T451:T456" si="304">N451</f>
        <v>Board-approved</v>
      </c>
      <c r="U451" s="536" t="str">
        <f t="shared" ref="U451:U456" si="305">IF(T451="","",IF(I451=0,"",O451/I451))</f>
        <v/>
      </c>
      <c r="V451" s="516"/>
    </row>
    <row r="452" spans="2:22" x14ac:dyDescent="0.2">
      <c r="C452" s="485" t="s">
        <v>830</v>
      </c>
      <c r="D452" s="570">
        <f t="shared" si="296"/>
        <v>2015</v>
      </c>
      <c r="E452" s="484"/>
      <c r="F452" s="521" t="str">
        <f t="shared" si="298"/>
        <v>Actual</v>
      </c>
      <c r="G452" s="508"/>
      <c r="H452" s="505" t="str">
        <f t="shared" si="297"/>
        <v/>
      </c>
      <c r="I452" s="532"/>
      <c r="J452" s="484"/>
      <c r="K452" s="492" t="str">
        <f t="shared" si="299"/>
        <v>Actual</v>
      </c>
      <c r="L452" s="502"/>
      <c r="M452" s="502"/>
      <c r="N452" s="481" t="str">
        <f t="shared" si="300"/>
        <v/>
      </c>
      <c r="O452" s="532"/>
      <c r="P452" s="484"/>
      <c r="Q452" s="592" t="str">
        <f t="shared" si="301"/>
        <v>Actual</v>
      </c>
      <c r="R452" s="594" t="str">
        <f t="shared" si="302"/>
        <v/>
      </c>
      <c r="S452" s="536" t="str">
        <f t="shared" si="303"/>
        <v/>
      </c>
      <c r="T452" s="536" t="str">
        <f t="shared" si="304"/>
        <v/>
      </c>
      <c r="U452" s="536" t="str">
        <f t="shared" si="305"/>
        <v/>
      </c>
      <c r="V452" s="516"/>
    </row>
    <row r="453" spans="2:22" x14ac:dyDescent="0.2">
      <c r="C453" s="485" t="s">
        <v>830</v>
      </c>
      <c r="D453" s="570">
        <f t="shared" si="296"/>
        <v>2016</v>
      </c>
      <c r="E453" s="484"/>
      <c r="F453" s="521" t="str">
        <f t="shared" si="298"/>
        <v>Actual</v>
      </c>
      <c r="G453" s="508"/>
      <c r="H453" s="505" t="str">
        <f t="shared" si="297"/>
        <v/>
      </c>
      <c r="I453" s="531"/>
      <c r="J453" s="484"/>
      <c r="K453" s="492" t="str">
        <f t="shared" si="299"/>
        <v>Actual</v>
      </c>
      <c r="L453" s="502"/>
      <c r="M453" s="502"/>
      <c r="N453" s="481" t="str">
        <f t="shared" si="300"/>
        <v/>
      </c>
      <c r="O453" s="531"/>
      <c r="P453" s="484"/>
      <c r="Q453" s="592" t="str">
        <f t="shared" si="301"/>
        <v>Actual</v>
      </c>
      <c r="R453" s="594" t="str">
        <f t="shared" si="302"/>
        <v/>
      </c>
      <c r="S453" s="536" t="str">
        <f t="shared" si="303"/>
        <v/>
      </c>
      <c r="T453" s="536" t="str">
        <f t="shared" si="304"/>
        <v/>
      </c>
      <c r="U453" s="536" t="str">
        <f t="shared" si="305"/>
        <v/>
      </c>
      <c r="V453" s="516"/>
    </row>
    <row r="454" spans="2:22" x14ac:dyDescent="0.2">
      <c r="C454" s="485" t="s">
        <v>830</v>
      </c>
      <c r="D454" s="570">
        <f t="shared" si="296"/>
        <v>2017</v>
      </c>
      <c r="E454" s="484"/>
      <c r="F454" s="521" t="str">
        <f t="shared" si="298"/>
        <v>Actual</v>
      </c>
      <c r="G454" s="508"/>
      <c r="H454" s="505" t="str">
        <f t="shared" si="297"/>
        <v/>
      </c>
      <c r="I454" s="531"/>
      <c r="J454" s="484"/>
      <c r="K454" s="492" t="str">
        <f t="shared" si="299"/>
        <v>Actual</v>
      </c>
      <c r="L454" s="502"/>
      <c r="M454" s="502"/>
      <c r="N454" s="481" t="str">
        <f t="shared" si="300"/>
        <v/>
      </c>
      <c r="O454" s="531"/>
      <c r="P454" s="484"/>
      <c r="Q454" s="592" t="str">
        <f t="shared" si="301"/>
        <v>Actual</v>
      </c>
      <c r="R454" s="594" t="str">
        <f t="shared" si="302"/>
        <v/>
      </c>
      <c r="S454" s="536" t="str">
        <f t="shared" si="303"/>
        <v/>
      </c>
      <c r="T454" s="536" t="str">
        <f t="shared" si="304"/>
        <v/>
      </c>
      <c r="U454" s="536" t="str">
        <f t="shared" si="305"/>
        <v/>
      </c>
      <c r="V454" s="516"/>
    </row>
    <row r="455" spans="2:22" x14ac:dyDescent="0.2">
      <c r="C455" s="485" t="s">
        <v>289</v>
      </c>
      <c r="D455" s="570">
        <f t="shared" si="296"/>
        <v>2018</v>
      </c>
      <c r="E455" s="484"/>
      <c r="F455" s="521" t="str">
        <f t="shared" si="298"/>
        <v>Forecast</v>
      </c>
      <c r="G455" s="508"/>
      <c r="H455" s="505" t="str">
        <f t="shared" si="297"/>
        <v/>
      </c>
      <c r="I455" s="531"/>
      <c r="J455" s="484"/>
      <c r="K455" s="492" t="str">
        <f t="shared" si="299"/>
        <v>Forecast</v>
      </c>
      <c r="L455" s="510"/>
      <c r="M455" s="539"/>
      <c r="N455" s="481" t="str">
        <f t="shared" si="300"/>
        <v/>
      </c>
      <c r="O455" s="531"/>
      <c r="P455" s="484"/>
      <c r="Q455" s="592" t="str">
        <f t="shared" si="301"/>
        <v>Forecast</v>
      </c>
      <c r="R455" s="594" t="str">
        <f t="shared" si="302"/>
        <v/>
      </c>
      <c r="S455" s="536" t="str">
        <f t="shared" si="303"/>
        <v/>
      </c>
      <c r="T455" s="536" t="str">
        <f t="shared" si="304"/>
        <v/>
      </c>
      <c r="U455" s="536" t="str">
        <f t="shared" si="305"/>
        <v/>
      </c>
      <c r="V455" s="516"/>
    </row>
    <row r="456" spans="2:22" ht="13.5" thickBot="1" x14ac:dyDescent="0.25">
      <c r="C456" s="486" t="s">
        <v>290</v>
      </c>
      <c r="D456" s="571">
        <f>TestYear</f>
        <v>2019</v>
      </c>
      <c r="E456" s="488"/>
      <c r="F456" s="522" t="str">
        <f t="shared" si="298"/>
        <v>Forecast</v>
      </c>
      <c r="G456" s="509"/>
      <c r="H456" s="506" t="str">
        <f t="shared" si="297"/>
        <v/>
      </c>
      <c r="I456" s="533"/>
      <c r="J456" s="488"/>
      <c r="K456" s="493" t="str">
        <f t="shared" si="299"/>
        <v>Forecast</v>
      </c>
      <c r="L456" s="511"/>
      <c r="M456" s="540"/>
      <c r="N456" s="482" t="str">
        <f t="shared" si="300"/>
        <v/>
      </c>
      <c r="O456" s="533"/>
      <c r="P456" s="488"/>
      <c r="Q456" s="593" t="str">
        <f t="shared" si="301"/>
        <v>Forecast</v>
      </c>
      <c r="R456" s="595" t="str">
        <f t="shared" si="302"/>
        <v/>
      </c>
      <c r="S456" s="562" t="str">
        <f t="shared" si="303"/>
        <v/>
      </c>
      <c r="T456" s="562" t="str">
        <f t="shared" si="304"/>
        <v/>
      </c>
      <c r="U456" s="562" t="str">
        <f t="shared" si="305"/>
        <v/>
      </c>
      <c r="V456" s="516"/>
    </row>
    <row r="457" spans="2:22" ht="13.5" thickBot="1" x14ac:dyDescent="0.25">
      <c r="B457" s="536"/>
      <c r="C457" s="573"/>
      <c r="I457" s="615">
        <f>SUM(I450:I455)</f>
        <v>0</v>
      </c>
      <c r="O457" s="615">
        <f>SUM(O450:O455)</f>
        <v>0</v>
      </c>
      <c r="U457" s="615">
        <f>SUM(U450:U455)</f>
        <v>0</v>
      </c>
    </row>
    <row r="458" spans="2:22" ht="39" thickBot="1" x14ac:dyDescent="0.25">
      <c r="C458" s="607" t="s">
        <v>885</v>
      </c>
      <c r="D458" s="606" t="s">
        <v>10</v>
      </c>
      <c r="E458" s="568"/>
      <c r="F458" s="568"/>
      <c r="G458" s="630" t="s">
        <v>1027</v>
      </c>
      <c r="H458" s="568"/>
      <c r="I458" s="601" t="s">
        <v>1040</v>
      </c>
      <c r="J458" s="603"/>
      <c r="K458" s="602" t="s">
        <v>10</v>
      </c>
      <c r="L458" s="1936" t="s">
        <v>1027</v>
      </c>
      <c r="M458" s="1936"/>
      <c r="N458" s="568"/>
      <c r="O458" s="601" t="str">
        <f>I458</f>
        <v>Test Year Versus Board-approved</v>
      </c>
      <c r="P458" s="604"/>
      <c r="Q458" s="602" t="s">
        <v>10</v>
      </c>
      <c r="R458" s="1936" t="s">
        <v>1027</v>
      </c>
      <c r="S458" s="1936"/>
      <c r="T458" s="568"/>
      <c r="U458" s="601" t="str">
        <f>O458</f>
        <v>Test Year Versus Board-approved</v>
      </c>
    </row>
    <row r="459" spans="2:22" x14ac:dyDescent="0.2">
      <c r="C459" s="484"/>
      <c r="D459" s="584">
        <f t="shared" ref="D459:D465" si="306">D450</f>
        <v>2013</v>
      </c>
      <c r="E459" s="536"/>
      <c r="F459" s="536"/>
      <c r="G459" s="579"/>
      <c r="H459" s="536"/>
      <c r="I459" s="585"/>
      <c r="J459" s="591"/>
      <c r="K459" s="570">
        <f>D459</f>
        <v>2013</v>
      </c>
      <c r="L459" s="558"/>
      <c r="M459" s="558"/>
      <c r="N459" s="536"/>
      <c r="O459" s="531"/>
      <c r="P459" s="484"/>
      <c r="Q459" s="570">
        <f>K459</f>
        <v>2013</v>
      </c>
      <c r="R459" s="537"/>
      <c r="S459" s="537"/>
      <c r="T459" s="536"/>
      <c r="U459" s="531"/>
    </row>
    <row r="460" spans="2:22" x14ac:dyDescent="0.2">
      <c r="C460" s="484"/>
      <c r="D460" s="572">
        <f t="shared" si="306"/>
        <v>2014</v>
      </c>
      <c r="E460" s="536"/>
      <c r="F460" s="536"/>
      <c r="G460" s="580" t="str">
        <f t="shared" ref="G460:G465" si="307">IF(G450=0,"",G451/G450-1)</f>
        <v/>
      </c>
      <c r="H460" s="536"/>
      <c r="I460" s="585"/>
      <c r="J460" s="591"/>
      <c r="K460" s="570">
        <f t="shared" ref="K460:K466" si="308">D460</f>
        <v>2014</v>
      </c>
      <c r="L460" s="560" t="str">
        <f t="shared" ref="L460:M463" si="309">IF(L450=0,"",L451/L450-1)</f>
        <v/>
      </c>
      <c r="M460" s="560" t="str">
        <f t="shared" si="309"/>
        <v/>
      </c>
      <c r="N460" s="536"/>
      <c r="O460" s="531"/>
      <c r="P460" s="484"/>
      <c r="Q460" s="570">
        <f t="shared" ref="Q460:Q466" si="310">K460</f>
        <v>2014</v>
      </c>
      <c r="R460" s="581" t="str">
        <f t="shared" ref="R460:S463" si="311">IF(R450="","",IF(R450=0,"",R451/R450-1))</f>
        <v/>
      </c>
      <c r="S460" s="581" t="str">
        <f t="shared" si="311"/>
        <v/>
      </c>
      <c r="T460" s="536"/>
      <c r="U460" s="531"/>
    </row>
    <row r="461" spans="2:22" x14ac:dyDescent="0.2">
      <c r="C461" s="484"/>
      <c r="D461" s="572">
        <f t="shared" si="306"/>
        <v>2015</v>
      </c>
      <c r="E461" s="536"/>
      <c r="F461" s="536"/>
      <c r="G461" s="580" t="str">
        <f t="shared" si="307"/>
        <v/>
      </c>
      <c r="H461" s="536"/>
      <c r="I461" s="585"/>
      <c r="J461" s="591"/>
      <c r="K461" s="570">
        <f t="shared" si="308"/>
        <v>2015</v>
      </c>
      <c r="L461" s="560" t="str">
        <f t="shared" si="309"/>
        <v/>
      </c>
      <c r="M461" s="560" t="str">
        <f t="shared" si="309"/>
        <v/>
      </c>
      <c r="N461" s="536"/>
      <c r="O461" s="531"/>
      <c r="P461" s="484"/>
      <c r="Q461" s="570">
        <f t="shared" si="310"/>
        <v>2015</v>
      </c>
      <c r="R461" s="581" t="str">
        <f t="shared" si="311"/>
        <v/>
      </c>
      <c r="S461" s="581" t="str">
        <f t="shared" si="311"/>
        <v/>
      </c>
      <c r="T461" s="536"/>
      <c r="U461" s="531"/>
    </row>
    <row r="462" spans="2:22" x14ac:dyDescent="0.2">
      <c r="C462" s="484"/>
      <c r="D462" s="572">
        <f t="shared" si="306"/>
        <v>2016</v>
      </c>
      <c r="E462" s="536"/>
      <c r="F462" s="536"/>
      <c r="G462" s="580" t="str">
        <f t="shared" si="307"/>
        <v/>
      </c>
      <c r="H462" s="536"/>
      <c r="I462" s="585"/>
      <c r="J462" s="591"/>
      <c r="K462" s="570">
        <f t="shared" si="308"/>
        <v>2016</v>
      </c>
      <c r="L462" s="560" t="str">
        <f t="shared" si="309"/>
        <v/>
      </c>
      <c r="M462" s="560" t="str">
        <f t="shared" si="309"/>
        <v/>
      </c>
      <c r="N462" s="536"/>
      <c r="O462" s="531"/>
      <c r="P462" s="484"/>
      <c r="Q462" s="570">
        <f t="shared" si="310"/>
        <v>2016</v>
      </c>
      <c r="R462" s="581" t="str">
        <f t="shared" si="311"/>
        <v/>
      </c>
      <c r="S462" s="581" t="str">
        <f t="shared" si="311"/>
        <v/>
      </c>
      <c r="T462" s="536"/>
      <c r="U462" s="531"/>
    </row>
    <row r="463" spans="2:22" x14ac:dyDescent="0.2">
      <c r="C463" s="484"/>
      <c r="D463" s="572">
        <f t="shared" si="306"/>
        <v>2017</v>
      </c>
      <c r="E463" s="536"/>
      <c r="F463" s="536"/>
      <c r="G463" s="580" t="str">
        <f t="shared" si="307"/>
        <v/>
      </c>
      <c r="H463" s="536"/>
      <c r="I463" s="585"/>
      <c r="J463" s="591"/>
      <c r="K463" s="570">
        <f t="shared" si="308"/>
        <v>2017</v>
      </c>
      <c r="L463" s="560" t="str">
        <f t="shared" si="309"/>
        <v/>
      </c>
      <c r="M463" s="560" t="str">
        <f t="shared" si="309"/>
        <v/>
      </c>
      <c r="N463" s="536"/>
      <c r="O463" s="531"/>
      <c r="P463" s="484"/>
      <c r="Q463" s="570">
        <f t="shared" si="310"/>
        <v>2017</v>
      </c>
      <c r="R463" s="581" t="str">
        <f t="shared" si="311"/>
        <v/>
      </c>
      <c r="S463" s="581" t="str">
        <f t="shared" si="311"/>
        <v/>
      </c>
      <c r="T463" s="536"/>
      <c r="U463" s="531"/>
    </row>
    <row r="464" spans="2:22" x14ac:dyDescent="0.2">
      <c r="C464" s="484"/>
      <c r="D464" s="572">
        <f t="shared" si="306"/>
        <v>2018</v>
      </c>
      <c r="E464" s="536"/>
      <c r="F464" s="536"/>
      <c r="G464" s="580" t="str">
        <f t="shared" si="307"/>
        <v/>
      </c>
      <c r="H464" s="536"/>
      <c r="I464" s="585"/>
      <c r="J464" s="591"/>
      <c r="K464" s="570">
        <f t="shared" si="308"/>
        <v>2018</v>
      </c>
      <c r="L464" s="560" t="str">
        <f>IF(K455="Forecast","",IF(L454=0,"",L455/L454-1))</f>
        <v/>
      </c>
      <c r="M464" s="560" t="str">
        <f>IF(M454=0,"",M455/M454-1)</f>
        <v/>
      </c>
      <c r="N464" s="536"/>
      <c r="O464" s="531"/>
      <c r="P464" s="484"/>
      <c r="Q464" s="570">
        <f t="shared" si="310"/>
        <v>2018</v>
      </c>
      <c r="R464" s="581" t="str">
        <f>IF(Q455="Forecast","",IF(R454=0,"",R455/R454-1))</f>
        <v/>
      </c>
      <c r="S464" s="581" t="str">
        <f>IF(S454="","",IF(S454=0,"",S455/S454-1))</f>
        <v/>
      </c>
      <c r="T464" s="536"/>
      <c r="U464" s="531"/>
    </row>
    <row r="465" spans="3:21" x14ac:dyDescent="0.2">
      <c r="C465" s="484"/>
      <c r="D465" s="572">
        <f t="shared" si="306"/>
        <v>2019</v>
      </c>
      <c r="E465" s="536"/>
      <c r="F465" s="536"/>
      <c r="G465" s="580" t="str">
        <f t="shared" si="307"/>
        <v/>
      </c>
      <c r="H465" s="536"/>
      <c r="I465" s="586" t="str">
        <f>IF(I457=0,"",G456/I457-1)</f>
        <v/>
      </c>
      <c r="J465" s="591"/>
      <c r="K465" s="570">
        <f t="shared" si="308"/>
        <v>2019</v>
      </c>
      <c r="L465" s="560" t="str">
        <f>IF(K456="Forecast","",IF(L455=0,"",L456/L455-1))</f>
        <v/>
      </c>
      <c r="M465" s="560" t="str">
        <f>IF(M455=0,"",M456/M455-1)</f>
        <v/>
      </c>
      <c r="N465" s="536"/>
      <c r="O465" s="561" t="str">
        <f>IF(O457=0,"",M456/O457-1)</f>
        <v/>
      </c>
      <c r="P465" s="484"/>
      <c r="Q465" s="570">
        <f t="shared" si="310"/>
        <v>2019</v>
      </c>
      <c r="R465" s="581" t="str">
        <f>IF(Q456="Forecast","",IF(R455=0,"",R456/R455-1))</f>
        <v/>
      </c>
      <c r="S465" s="581" t="str">
        <f>IF(S455="","",IF(S455=0,"",S456/S455-1))</f>
        <v/>
      </c>
      <c r="T465" s="536"/>
      <c r="U465" s="561" t="str">
        <f>IF(U457=0,"",S456/U457-1)</f>
        <v/>
      </c>
    </row>
    <row r="466" spans="3:21" ht="26.25" thickBot="1" x14ac:dyDescent="0.25">
      <c r="C466" s="488"/>
      <c r="D466" s="612" t="s">
        <v>1026</v>
      </c>
      <c r="E466" s="562"/>
      <c r="F466" s="562"/>
      <c r="G466" s="582" t="str">
        <f>IF(G450=0,"",(G456/G450)^(1/($D456-$D450-1))-1)</f>
        <v/>
      </c>
      <c r="H466" s="562"/>
      <c r="I466" s="613" t="str">
        <f>IF(I457=0,"",(G456/I457)^(1/(TestYear-RebaseYear-1))-1)</f>
        <v/>
      </c>
      <c r="J466" s="567"/>
      <c r="K466" s="611" t="str">
        <f t="shared" si="308"/>
        <v>Geometric Mean</v>
      </c>
      <c r="L466" s="565" t="str">
        <f>IF(L450=0,"",(L454/L450)^(1/($D454-$D450-1))-1)</f>
        <v/>
      </c>
      <c r="M466" s="565" t="str">
        <f>IF(M450=0,"",(M456/M450)^(1/($D456-$D450-1))-1)</f>
        <v/>
      </c>
      <c r="N466" s="562"/>
      <c r="O466" s="578" t="str">
        <f>IF(O457=0,"",(M456/O457)^(1/(TestYear-RebaseYear-1))-1)</f>
        <v/>
      </c>
      <c r="P466" s="488"/>
      <c r="Q466" s="611" t="str">
        <f t="shared" si="310"/>
        <v>Geometric Mean</v>
      </c>
      <c r="R466" s="583" t="str">
        <f>IF(R450="","",IF(R450=0,"",(R454/R450)^(1/($D454-$D450-1))-1))</f>
        <v/>
      </c>
      <c r="S466" s="565" t="str">
        <f>IF(S450="","",IF(S450=0,"",(S456/S450)^(1/($D456-$D450-1))-1))</f>
        <v/>
      </c>
      <c r="T466" s="562"/>
      <c r="U466" s="578" t="str">
        <f>IF(U457=0,"",(S456/U457)^(1/(TestYear-RebaseYear-1))-1)</f>
        <v/>
      </c>
    </row>
    <row r="468" spans="3:21" ht="13.5" thickBot="1" x14ac:dyDescent="0.25">
      <c r="Q468" s="562"/>
      <c r="R468" s="562"/>
      <c r="S468" s="562"/>
      <c r="T468" s="562"/>
      <c r="U468" s="562"/>
    </row>
    <row r="469" spans="3:21" x14ac:dyDescent="0.2">
      <c r="C469" s="483"/>
      <c r="D469" s="487" t="s">
        <v>1011</v>
      </c>
      <c r="E469" s="487"/>
      <c r="F469" s="1938" t="s">
        <v>1004</v>
      </c>
      <c r="G469" s="1939"/>
      <c r="H469" s="1939"/>
      <c r="I469" s="1940"/>
      <c r="K469" s="1941" t="str">
        <f>IF(ISBLANK(N446),"",CONCATENATE("Demand (",N446,")"))</f>
        <v/>
      </c>
      <c r="L469" s="1942"/>
      <c r="M469" s="1942"/>
      <c r="N469" s="1942"/>
      <c r="O469" s="1943"/>
      <c r="Q469" s="1944" t="str">
        <f>CONCATENATE("Demand (",N446,") per ",LEFT(F448,LEN(F448)-1))</f>
        <v>Demand () per Customer</v>
      </c>
      <c r="R469" s="1945"/>
      <c r="S469" s="1945"/>
      <c r="T469" s="1945"/>
      <c r="U469" s="1946"/>
    </row>
    <row r="470" spans="3:21" ht="39" thickBot="1" x14ac:dyDescent="0.25">
      <c r="C470" s="488"/>
      <c r="D470" s="490" t="str">
        <f>CONCATENATE("(for ",TestYear," Cost of Service")</f>
        <v>(for 2019 Cost of Service</v>
      </c>
      <c r="E470" s="485"/>
      <c r="F470" s="1934"/>
      <c r="G470" s="1935"/>
      <c r="H470" s="1935"/>
      <c r="I470" s="504"/>
      <c r="K470" s="494"/>
      <c r="L470" s="628" t="s">
        <v>1031</v>
      </c>
      <c r="M470" s="628" t="s">
        <v>1015</v>
      </c>
      <c r="N470" s="512"/>
      <c r="O470" s="513" t="str">
        <f>M470</f>
        <v>Weather-normalized</v>
      </c>
      <c r="Q470" s="610"/>
      <c r="R470" s="628" t="str">
        <f>L470</f>
        <v>Actual (Weather actual)</v>
      </c>
      <c r="S470" s="628" t="str">
        <f>M470</f>
        <v>Weather-normalized</v>
      </c>
      <c r="T470" s="628"/>
      <c r="U470" s="629" t="str">
        <f>O470</f>
        <v>Weather-normalized</v>
      </c>
    </row>
    <row r="471" spans="3:21" x14ac:dyDescent="0.2">
      <c r="C471" s="485" t="s">
        <v>830</v>
      </c>
      <c r="D471" s="570">
        <f t="shared" ref="D471:D476" si="312">D472-1</f>
        <v>2013</v>
      </c>
      <c r="E471" s="484"/>
      <c r="F471" s="520" t="str">
        <f t="shared" ref="F471:F477" si="313">F450</f>
        <v>Actual</v>
      </c>
      <c r="G471" s="518"/>
      <c r="H471" s="2" t="str">
        <f t="shared" ref="H471:H477" si="314">IF(D471=RebaseYear,"Board-approved","")</f>
        <v/>
      </c>
      <c r="I471" s="590"/>
      <c r="K471" s="492" t="str">
        <f t="shared" ref="K471:K477" si="315">K450</f>
        <v>Actual</v>
      </c>
      <c r="L471" s="502"/>
      <c r="M471" s="502"/>
      <c r="N471" s="481" t="str">
        <f t="shared" ref="N471:N477" si="316">N450</f>
        <v/>
      </c>
      <c r="O471" s="531"/>
      <c r="Q471" s="592" t="str">
        <f>K471</f>
        <v>Actual</v>
      </c>
      <c r="R471" s="536" t="str">
        <f>IF(G471=0,"",L471/G471)</f>
        <v/>
      </c>
      <c r="S471" s="516" t="str">
        <f>IF(G471=0,"",M471/G471)</f>
        <v/>
      </c>
      <c r="T471" s="516" t="str">
        <f>N471</f>
        <v/>
      </c>
      <c r="U471" s="484" t="str">
        <f>IF(T471="","",IF(I471=0,"",O471/I471))</f>
        <v/>
      </c>
    </row>
    <row r="472" spans="3:21" x14ac:dyDescent="0.2">
      <c r="C472" s="485" t="s">
        <v>830</v>
      </c>
      <c r="D472" s="570">
        <f t="shared" si="312"/>
        <v>2014</v>
      </c>
      <c r="E472" s="484"/>
      <c r="F472" s="521" t="str">
        <f t="shared" si="313"/>
        <v>Actual</v>
      </c>
      <c r="G472" s="518"/>
      <c r="H472" s="2" t="str">
        <f t="shared" si="314"/>
        <v>Board-approved</v>
      </c>
      <c r="I472" s="531"/>
      <c r="K472" s="492" t="str">
        <f t="shared" si="315"/>
        <v>Actual</v>
      </c>
      <c r="L472" s="502"/>
      <c r="M472" s="502"/>
      <c r="N472" s="481" t="str">
        <f t="shared" si="316"/>
        <v>Board-approved</v>
      </c>
      <c r="O472" s="531"/>
      <c r="Q472" s="592" t="str">
        <f t="shared" ref="Q472:Q477" si="317">K472</f>
        <v>Actual</v>
      </c>
      <c r="R472" s="536" t="str">
        <f t="shared" ref="R472:R477" si="318">IF(G472=0,"",L472/G472)</f>
        <v/>
      </c>
      <c r="S472" s="516" t="str">
        <f t="shared" ref="S472:S477" si="319">IF(G472=0,"",M472/G472)</f>
        <v/>
      </c>
      <c r="T472" s="516" t="str">
        <f t="shared" ref="T472:T477" si="320">N472</f>
        <v>Board-approved</v>
      </c>
      <c r="U472" s="484" t="str">
        <f t="shared" ref="U472:U477" si="321">IF(T472="","",IF(I472=0,"",O472/I472))</f>
        <v/>
      </c>
    </row>
    <row r="473" spans="3:21" x14ac:dyDescent="0.2">
      <c r="C473" s="485" t="s">
        <v>830</v>
      </c>
      <c r="D473" s="570">
        <f t="shared" si="312"/>
        <v>2015</v>
      </c>
      <c r="E473" s="484"/>
      <c r="F473" s="521" t="str">
        <f t="shared" si="313"/>
        <v>Actual</v>
      </c>
      <c r="G473" s="518"/>
      <c r="H473" s="2" t="str">
        <f t="shared" si="314"/>
        <v/>
      </c>
      <c r="I473" s="535"/>
      <c r="K473" s="492" t="str">
        <f t="shared" si="315"/>
        <v>Actual</v>
      </c>
      <c r="L473" s="502"/>
      <c r="M473" s="502"/>
      <c r="N473" s="481" t="str">
        <f t="shared" si="316"/>
        <v/>
      </c>
      <c r="O473" s="532"/>
      <c r="Q473" s="592" t="str">
        <f t="shared" si="317"/>
        <v>Actual</v>
      </c>
      <c r="R473" s="536" t="str">
        <f t="shared" si="318"/>
        <v/>
      </c>
      <c r="S473" s="516" t="str">
        <f t="shared" si="319"/>
        <v/>
      </c>
      <c r="T473" s="516" t="str">
        <f t="shared" si="320"/>
        <v/>
      </c>
      <c r="U473" s="484" t="str">
        <f t="shared" si="321"/>
        <v/>
      </c>
    </row>
    <row r="474" spans="3:21" x14ac:dyDescent="0.2">
      <c r="C474" s="485" t="s">
        <v>830</v>
      </c>
      <c r="D474" s="570">
        <f t="shared" si="312"/>
        <v>2016</v>
      </c>
      <c r="E474" s="484"/>
      <c r="F474" s="521" t="str">
        <f t="shared" si="313"/>
        <v>Actual</v>
      </c>
      <c r="G474" s="518"/>
      <c r="H474" s="2" t="str">
        <f t="shared" si="314"/>
        <v/>
      </c>
      <c r="I474" s="531"/>
      <c r="K474" s="492" t="str">
        <f t="shared" si="315"/>
        <v>Actual</v>
      </c>
      <c r="L474" s="502"/>
      <c r="M474" s="502"/>
      <c r="N474" s="481" t="str">
        <f t="shared" si="316"/>
        <v/>
      </c>
      <c r="O474" s="531"/>
      <c r="Q474" s="592" t="str">
        <f t="shared" si="317"/>
        <v>Actual</v>
      </c>
      <c r="R474" s="536" t="str">
        <f t="shared" si="318"/>
        <v/>
      </c>
      <c r="S474" s="516" t="str">
        <f t="shared" si="319"/>
        <v/>
      </c>
      <c r="T474" s="516" t="str">
        <f t="shared" si="320"/>
        <v/>
      </c>
      <c r="U474" s="484" t="str">
        <f t="shared" si="321"/>
        <v/>
      </c>
    </row>
    <row r="475" spans="3:21" x14ac:dyDescent="0.2">
      <c r="C475" s="485" t="s">
        <v>830</v>
      </c>
      <c r="D475" s="570">
        <f t="shared" si="312"/>
        <v>2017</v>
      </c>
      <c r="E475" s="484"/>
      <c r="F475" s="521" t="str">
        <f t="shared" si="313"/>
        <v>Actual</v>
      </c>
      <c r="G475" s="518"/>
      <c r="H475" s="2" t="str">
        <f t="shared" si="314"/>
        <v/>
      </c>
      <c r="I475" s="531"/>
      <c r="K475" s="492" t="str">
        <f t="shared" si="315"/>
        <v>Actual</v>
      </c>
      <c r="L475" s="502"/>
      <c r="M475" s="502"/>
      <c r="N475" s="481" t="str">
        <f t="shared" si="316"/>
        <v/>
      </c>
      <c r="O475" s="531"/>
      <c r="Q475" s="592" t="str">
        <f t="shared" si="317"/>
        <v>Actual</v>
      </c>
      <c r="R475" s="536" t="str">
        <f t="shared" si="318"/>
        <v/>
      </c>
      <c r="S475" s="516" t="str">
        <f t="shared" si="319"/>
        <v/>
      </c>
      <c r="T475" s="516" t="str">
        <f t="shared" si="320"/>
        <v/>
      </c>
      <c r="U475" s="484" t="str">
        <f t="shared" si="321"/>
        <v/>
      </c>
    </row>
    <row r="476" spans="3:21" x14ac:dyDescent="0.2">
      <c r="C476" s="485" t="s">
        <v>1009</v>
      </c>
      <c r="D476" s="570">
        <f t="shared" si="312"/>
        <v>2018</v>
      </c>
      <c r="E476" s="484"/>
      <c r="F476" s="521" t="str">
        <f t="shared" si="313"/>
        <v>Forecast</v>
      </c>
      <c r="G476" s="518"/>
      <c r="H476" s="2" t="str">
        <f t="shared" si="314"/>
        <v/>
      </c>
      <c r="I476" s="531"/>
      <c r="K476" s="492" t="str">
        <f t="shared" si="315"/>
        <v>Forecast</v>
      </c>
      <c r="L476" s="510"/>
      <c r="M476" s="541"/>
      <c r="N476" s="481" t="str">
        <f t="shared" si="316"/>
        <v/>
      </c>
      <c r="O476" s="531"/>
      <c r="Q476" s="592" t="str">
        <f t="shared" si="317"/>
        <v>Forecast</v>
      </c>
      <c r="R476" s="536" t="str">
        <f t="shared" si="318"/>
        <v/>
      </c>
      <c r="S476" s="516" t="str">
        <f t="shared" si="319"/>
        <v/>
      </c>
      <c r="T476" s="516" t="str">
        <f t="shared" si="320"/>
        <v/>
      </c>
      <c r="U476" s="484" t="str">
        <f t="shared" si="321"/>
        <v/>
      </c>
    </row>
    <row r="477" spans="3:21" ht="13.5" thickBot="1" x14ac:dyDescent="0.25">
      <c r="C477" s="486" t="s">
        <v>1010</v>
      </c>
      <c r="D477" s="571">
        <f>TestYear</f>
        <v>2019</v>
      </c>
      <c r="E477" s="488"/>
      <c r="F477" s="522" t="str">
        <f t="shared" si="313"/>
        <v>Forecast</v>
      </c>
      <c r="G477" s="519"/>
      <c r="H477" s="514" t="str">
        <f t="shared" si="314"/>
        <v/>
      </c>
      <c r="I477" s="533"/>
      <c r="K477" s="493" t="str">
        <f t="shared" si="315"/>
        <v>Forecast</v>
      </c>
      <c r="L477" s="511"/>
      <c r="M477" s="542"/>
      <c r="N477" s="482" t="str">
        <f t="shared" si="316"/>
        <v/>
      </c>
      <c r="O477" s="533"/>
      <c r="Q477" s="526" t="str">
        <f t="shared" si="317"/>
        <v>Forecast</v>
      </c>
      <c r="R477" s="517" t="str">
        <f t="shared" si="318"/>
        <v/>
      </c>
      <c r="S477" s="517" t="str">
        <f t="shared" si="319"/>
        <v/>
      </c>
      <c r="T477" s="517" t="str">
        <f t="shared" si="320"/>
        <v/>
      </c>
      <c r="U477" s="488" t="str">
        <f t="shared" si="321"/>
        <v/>
      </c>
    </row>
    <row r="478" spans="3:21" ht="13.5" thickBot="1" x14ac:dyDescent="0.25">
      <c r="C478" s="573"/>
      <c r="I478" s="615">
        <f>SUM(I471:I476)</f>
        <v>0</v>
      </c>
      <c r="J478" s="536"/>
      <c r="O478" s="615">
        <f>SUM(O471:O476)</f>
        <v>0</v>
      </c>
      <c r="U478" s="615">
        <f>SUM(U471:U476)</f>
        <v>0</v>
      </c>
    </row>
    <row r="479" spans="3:21" ht="39" thickBot="1" x14ac:dyDescent="0.25">
      <c r="C479" s="607" t="s">
        <v>885</v>
      </c>
      <c r="D479" s="606" t="s">
        <v>10</v>
      </c>
      <c r="E479" s="630"/>
      <c r="F479" s="630"/>
      <c r="G479" s="630" t="s">
        <v>1027</v>
      </c>
      <c r="H479" s="630"/>
      <c r="I479" s="601" t="str">
        <f>I458</f>
        <v>Test Year Versus Board-approved</v>
      </c>
      <c r="J479" s="614"/>
      <c r="K479" s="602" t="s">
        <v>10</v>
      </c>
      <c r="L479" s="1936" t="s">
        <v>1027</v>
      </c>
      <c r="M479" s="1936"/>
      <c r="N479" s="630"/>
      <c r="O479" s="601" t="str">
        <f>I479</f>
        <v>Test Year Versus Board-approved</v>
      </c>
      <c r="P479" s="587"/>
      <c r="Q479" s="602" t="s">
        <v>10</v>
      </c>
      <c r="R479" s="1936" t="s">
        <v>1027</v>
      </c>
      <c r="S479" s="1936"/>
      <c r="T479" s="630"/>
      <c r="U479" s="601" t="str">
        <f>O479</f>
        <v>Test Year Versus Board-approved</v>
      </c>
    </row>
    <row r="480" spans="3:21" x14ac:dyDescent="0.2">
      <c r="C480" s="484"/>
      <c r="D480" s="609">
        <f t="shared" ref="D480:D486" si="322">D471</f>
        <v>2013</v>
      </c>
      <c r="E480" s="552"/>
      <c r="F480" s="536"/>
      <c r="G480" s="579"/>
      <c r="H480" s="536"/>
      <c r="I480" s="585"/>
      <c r="J480" s="484"/>
      <c r="K480" s="570">
        <f>D480</f>
        <v>2013</v>
      </c>
      <c r="L480" s="558"/>
      <c r="M480" s="558"/>
      <c r="N480" s="536"/>
      <c r="O480" s="588"/>
      <c r="P480" s="484"/>
      <c r="Q480" s="570">
        <f>K480</f>
        <v>2013</v>
      </c>
      <c r="R480" s="537"/>
      <c r="S480" s="537"/>
      <c r="T480" s="536"/>
      <c r="U480" s="531"/>
    </row>
    <row r="481" spans="2:21" x14ac:dyDescent="0.2">
      <c r="C481" s="484"/>
      <c r="D481" s="572">
        <f t="shared" si="322"/>
        <v>2014</v>
      </c>
      <c r="E481" s="536"/>
      <c r="F481" s="536"/>
      <c r="G481" s="580" t="str">
        <f t="shared" ref="G481:G486" si="323">IF(G471=0,"",G472/G471-1)</f>
        <v/>
      </c>
      <c r="H481" s="536"/>
      <c r="I481" s="585"/>
      <c r="J481" s="484"/>
      <c r="K481" s="570">
        <f t="shared" ref="K481:K487" si="324">D481</f>
        <v>2014</v>
      </c>
      <c r="L481" s="560" t="str">
        <f t="shared" ref="L481:M484" si="325">IF(L471=0,"",L472/L471-1)</f>
        <v/>
      </c>
      <c r="M481" s="560" t="str">
        <f t="shared" si="325"/>
        <v/>
      </c>
      <c r="N481" s="536"/>
      <c r="O481" s="588"/>
      <c r="P481" s="484"/>
      <c r="Q481" s="570">
        <f t="shared" ref="Q481:Q487" si="326">K481</f>
        <v>2014</v>
      </c>
      <c r="R481" s="581" t="str">
        <f t="shared" ref="R481:S484" si="327">IF(R471="","",IF(R471=0,"",R472/R471-1))</f>
        <v/>
      </c>
      <c r="S481" s="581" t="str">
        <f t="shared" si="327"/>
        <v/>
      </c>
      <c r="T481" s="536"/>
      <c r="U481" s="531"/>
    </row>
    <row r="482" spans="2:21" x14ac:dyDescent="0.2">
      <c r="C482" s="484"/>
      <c r="D482" s="608">
        <f t="shared" si="322"/>
        <v>2015</v>
      </c>
      <c r="E482" s="536"/>
      <c r="F482" s="536"/>
      <c r="G482" s="580" t="str">
        <f t="shared" si="323"/>
        <v/>
      </c>
      <c r="H482" s="536"/>
      <c r="I482" s="585"/>
      <c r="J482" s="484"/>
      <c r="K482" s="570">
        <f t="shared" si="324"/>
        <v>2015</v>
      </c>
      <c r="L482" s="560" t="str">
        <f t="shared" si="325"/>
        <v/>
      </c>
      <c r="M482" s="560" t="str">
        <f t="shared" si="325"/>
        <v/>
      </c>
      <c r="N482" s="536"/>
      <c r="O482" s="588"/>
      <c r="P482" s="484"/>
      <c r="Q482" s="570">
        <f t="shared" si="326"/>
        <v>2015</v>
      </c>
      <c r="R482" s="581" t="str">
        <f t="shared" si="327"/>
        <v/>
      </c>
      <c r="S482" s="581" t="str">
        <f t="shared" si="327"/>
        <v/>
      </c>
      <c r="T482" s="536"/>
      <c r="U482" s="531"/>
    </row>
    <row r="483" spans="2:21" x14ac:dyDescent="0.2">
      <c r="C483" s="484"/>
      <c r="D483" s="572">
        <f t="shared" si="322"/>
        <v>2016</v>
      </c>
      <c r="E483" s="536"/>
      <c r="F483" s="536"/>
      <c r="G483" s="580" t="str">
        <f t="shared" si="323"/>
        <v/>
      </c>
      <c r="H483" s="536"/>
      <c r="I483" s="585"/>
      <c r="J483" s="484"/>
      <c r="K483" s="570">
        <f t="shared" si="324"/>
        <v>2016</v>
      </c>
      <c r="L483" s="560" t="str">
        <f t="shared" si="325"/>
        <v/>
      </c>
      <c r="M483" s="560" t="str">
        <f t="shared" si="325"/>
        <v/>
      </c>
      <c r="N483" s="536"/>
      <c r="O483" s="588"/>
      <c r="P483" s="484"/>
      <c r="Q483" s="570">
        <f t="shared" si="326"/>
        <v>2016</v>
      </c>
      <c r="R483" s="581" t="str">
        <f t="shared" si="327"/>
        <v/>
      </c>
      <c r="S483" s="581" t="str">
        <f t="shared" si="327"/>
        <v/>
      </c>
      <c r="T483" s="536"/>
      <c r="U483" s="531"/>
    </row>
    <row r="484" spans="2:21" x14ac:dyDescent="0.2">
      <c r="C484" s="484"/>
      <c r="D484" s="572">
        <f t="shared" si="322"/>
        <v>2017</v>
      </c>
      <c r="E484" s="536"/>
      <c r="F484" s="536"/>
      <c r="G484" s="580" t="str">
        <f t="shared" si="323"/>
        <v/>
      </c>
      <c r="H484" s="536"/>
      <c r="I484" s="585"/>
      <c r="J484" s="484"/>
      <c r="K484" s="570">
        <f t="shared" si="324"/>
        <v>2017</v>
      </c>
      <c r="L484" s="560" t="str">
        <f t="shared" si="325"/>
        <v/>
      </c>
      <c r="M484" s="560" t="str">
        <f t="shared" si="325"/>
        <v/>
      </c>
      <c r="N484" s="536"/>
      <c r="O484" s="588"/>
      <c r="P484" s="484"/>
      <c r="Q484" s="570">
        <f t="shared" si="326"/>
        <v>2017</v>
      </c>
      <c r="R484" s="581" t="str">
        <f t="shared" si="327"/>
        <v/>
      </c>
      <c r="S484" s="581" t="str">
        <f t="shared" si="327"/>
        <v/>
      </c>
      <c r="T484" s="536"/>
      <c r="U484" s="531"/>
    </row>
    <row r="485" spans="2:21" x14ac:dyDescent="0.2">
      <c r="C485" s="484"/>
      <c r="D485" s="572">
        <f t="shared" si="322"/>
        <v>2018</v>
      </c>
      <c r="E485" s="536"/>
      <c r="F485" s="536"/>
      <c r="G485" s="580" t="str">
        <f t="shared" si="323"/>
        <v/>
      </c>
      <c r="H485" s="536"/>
      <c r="I485" s="585"/>
      <c r="J485" s="484"/>
      <c r="K485" s="570">
        <f t="shared" si="324"/>
        <v>2018</v>
      </c>
      <c r="L485" s="560" t="str">
        <f>IF(K476="Forecast","",IF(L475=0,"",L476/L475-1))</f>
        <v/>
      </c>
      <c r="M485" s="560" t="str">
        <f>IF(M475=0,"",M476/M475-1)</f>
        <v/>
      </c>
      <c r="N485" s="536"/>
      <c r="O485" s="588"/>
      <c r="P485" s="484"/>
      <c r="Q485" s="570">
        <f t="shared" si="326"/>
        <v>2018</v>
      </c>
      <c r="R485" s="581" t="str">
        <f>IF(Q476="Forecast","",IF(R475=0,"",R476/R475-1))</f>
        <v/>
      </c>
      <c r="S485" s="581" t="str">
        <f>IF(S475="","",IF(S475=0,"",S476/S475-1))</f>
        <v/>
      </c>
      <c r="T485" s="536"/>
      <c r="U485" s="531"/>
    </row>
    <row r="486" spans="2:21" x14ac:dyDescent="0.2">
      <c r="C486" s="484"/>
      <c r="D486" s="608">
        <f t="shared" si="322"/>
        <v>2019</v>
      </c>
      <c r="E486" s="536"/>
      <c r="F486" s="536"/>
      <c r="G486" s="580" t="str">
        <f t="shared" si="323"/>
        <v/>
      </c>
      <c r="H486" s="536"/>
      <c r="I486" s="586" t="str">
        <f>IF(I478=0,"",G477/I478-1)</f>
        <v/>
      </c>
      <c r="J486" s="484"/>
      <c r="K486" s="570">
        <f t="shared" si="324"/>
        <v>2019</v>
      </c>
      <c r="L486" s="560" t="str">
        <f>IF(K477="Forecast","",IF(L476=0,"",L477/L476-1))</f>
        <v/>
      </c>
      <c r="M486" s="560" t="str">
        <f>IF(M476=0,"",M477/M476-1)</f>
        <v/>
      </c>
      <c r="N486" s="536"/>
      <c r="O486" s="589" t="str">
        <f>IF(O478=0,"",M477/O478-1)</f>
        <v/>
      </c>
      <c r="P486" s="484"/>
      <c r="Q486" s="570">
        <f t="shared" si="326"/>
        <v>2019</v>
      </c>
      <c r="R486" s="581" t="str">
        <f>IF(Q477="Forecast","",IF(R476=0,"",R477/R476-1))</f>
        <v/>
      </c>
      <c r="S486" s="581" t="str">
        <f>IF(S476="","",IF(S476=0,"",S477/S476-1))</f>
        <v/>
      </c>
      <c r="T486" s="536"/>
      <c r="U486" s="561" t="str">
        <f>IF(U478=0,"",S477/U478-1)</f>
        <v/>
      </c>
    </row>
    <row r="487" spans="2:21" ht="26.25" thickBot="1" x14ac:dyDescent="0.25">
      <c r="C487" s="488"/>
      <c r="D487" s="612" t="s">
        <v>1026</v>
      </c>
      <c r="E487" s="562"/>
      <c r="F487" s="562"/>
      <c r="G487" s="582" t="str">
        <f>IF(G471=0,"",(G477/G471)^(1/($D477-$D471-1))-1)</f>
        <v/>
      </c>
      <c r="H487" s="562"/>
      <c r="I487" s="578" t="str">
        <f>IF(I478=0,"",(G477/I478)^(1/(TestYear-RebaseYear-1))-1)</f>
        <v/>
      </c>
      <c r="J487" s="484"/>
      <c r="K487" s="611" t="str">
        <f t="shared" si="324"/>
        <v>Geometric Mean</v>
      </c>
      <c r="L487" s="565" t="str">
        <f>IF(L471=0,"",(L475/L471)^(1/($D475-$D471-1))-1)</f>
        <v/>
      </c>
      <c r="M487" s="565" t="str">
        <f>IF(M471=0,"",(M477/M471)^(1/($D477-$D471-1))-1)</f>
        <v/>
      </c>
      <c r="N487" s="562"/>
      <c r="O487" s="578" t="str">
        <f>IF(O478=0,"",(M477/O478)^(1/(TestYear-RebaseYear-1))-1)</f>
        <v/>
      </c>
      <c r="P487" s="488"/>
      <c r="Q487" s="611" t="str">
        <f t="shared" si="326"/>
        <v>Geometric Mean</v>
      </c>
      <c r="R487" s="583" t="str">
        <f>IF(R471="","",IF(R471=0,"",(R475/R471)^(1/($D475-$D471-1))-1))</f>
        <v/>
      </c>
      <c r="S487" s="565" t="str">
        <f>IF(S471="","",IF(S471=0,"",(S477/S471)^(1/($D477-$D471-1))-1))</f>
        <v/>
      </c>
      <c r="T487" s="562"/>
      <c r="U487" s="578" t="str">
        <f>IF(U478=0,"",(S477/U478)^(1/(TestYear-RebaseYear-1))-1)</f>
        <v/>
      </c>
    </row>
    <row r="489" spans="2:21" x14ac:dyDescent="0.2">
      <c r="B489" s="9" t="s">
        <v>1084</v>
      </c>
    </row>
  </sheetData>
  <mergeCells count="141">
    <mergeCell ref="F212:H212"/>
    <mergeCell ref="L221:M221"/>
    <mergeCell ref="R221:S221"/>
    <mergeCell ref="F191:H191"/>
    <mergeCell ref="L200:M200"/>
    <mergeCell ref="R200:S200"/>
    <mergeCell ref="F211:I211"/>
    <mergeCell ref="K211:O211"/>
    <mergeCell ref="Q211:U211"/>
    <mergeCell ref="F168:I168"/>
    <mergeCell ref="K168:O168"/>
    <mergeCell ref="Q168:U168"/>
    <mergeCell ref="F169:H169"/>
    <mergeCell ref="L178:M178"/>
    <mergeCell ref="R178:S178"/>
    <mergeCell ref="D188:F188"/>
    <mergeCell ref="F190:I190"/>
    <mergeCell ref="K190:O190"/>
    <mergeCell ref="Q190:U190"/>
    <mergeCell ref="L135:M135"/>
    <mergeCell ref="R135:S135"/>
    <mergeCell ref="D145:F145"/>
    <mergeCell ref="F147:I147"/>
    <mergeCell ref="K147:O147"/>
    <mergeCell ref="Q147:U147"/>
    <mergeCell ref="F148:H148"/>
    <mergeCell ref="L157:M157"/>
    <mergeCell ref="R157:S157"/>
    <mergeCell ref="L92:M92"/>
    <mergeCell ref="F82:I82"/>
    <mergeCell ref="F83:H83"/>
    <mergeCell ref="R71:S71"/>
    <mergeCell ref="Q82:U82"/>
    <mergeCell ref="R92:S92"/>
    <mergeCell ref="F126:H126"/>
    <mergeCell ref="L47:M47"/>
    <mergeCell ref="D102:F102"/>
    <mergeCell ref="F104:I104"/>
    <mergeCell ref="K104:O104"/>
    <mergeCell ref="L114:M114"/>
    <mergeCell ref="R114:S114"/>
    <mergeCell ref="F125:I125"/>
    <mergeCell ref="K125:O125"/>
    <mergeCell ref="Q125:U125"/>
    <mergeCell ref="D231:F231"/>
    <mergeCell ref="F233:I233"/>
    <mergeCell ref="K233:O233"/>
    <mergeCell ref="Q233:U233"/>
    <mergeCell ref="F234:H234"/>
    <mergeCell ref="B25:V25"/>
    <mergeCell ref="B9:V9"/>
    <mergeCell ref="B10:V10"/>
    <mergeCell ref="B19:V19"/>
    <mergeCell ref="B21:V21"/>
    <mergeCell ref="B23:V23"/>
    <mergeCell ref="B27:V27"/>
    <mergeCell ref="K61:O61"/>
    <mergeCell ref="Q61:U61"/>
    <mergeCell ref="K37:O37"/>
    <mergeCell ref="F38:H38"/>
    <mergeCell ref="B29:V29"/>
    <mergeCell ref="D59:F59"/>
    <mergeCell ref="F62:H62"/>
    <mergeCell ref="F61:I61"/>
    <mergeCell ref="Q104:U104"/>
    <mergeCell ref="F105:H105"/>
    <mergeCell ref="L71:M71"/>
    <mergeCell ref="K82:O82"/>
    <mergeCell ref="F255:H255"/>
    <mergeCell ref="L264:M264"/>
    <mergeCell ref="R264:S264"/>
    <mergeCell ref="D274:F274"/>
    <mergeCell ref="F276:I276"/>
    <mergeCell ref="K276:O276"/>
    <mergeCell ref="Q276:U276"/>
    <mergeCell ref="L243:M243"/>
    <mergeCell ref="R243:S243"/>
    <mergeCell ref="F254:I254"/>
    <mergeCell ref="K254:O254"/>
    <mergeCell ref="Q254:U254"/>
    <mergeCell ref="F298:H298"/>
    <mergeCell ref="L307:M307"/>
    <mergeCell ref="R307:S307"/>
    <mergeCell ref="D317:F317"/>
    <mergeCell ref="F319:I319"/>
    <mergeCell ref="K319:O319"/>
    <mergeCell ref="Q319:U319"/>
    <mergeCell ref="F277:H277"/>
    <mergeCell ref="L286:M286"/>
    <mergeCell ref="R286:S286"/>
    <mergeCell ref="F297:I297"/>
    <mergeCell ref="K297:O297"/>
    <mergeCell ref="Q297:U297"/>
    <mergeCell ref="F341:H341"/>
    <mergeCell ref="L350:M350"/>
    <mergeCell ref="R350:S350"/>
    <mergeCell ref="D360:F360"/>
    <mergeCell ref="F362:I362"/>
    <mergeCell ref="K362:O362"/>
    <mergeCell ref="Q362:U362"/>
    <mergeCell ref="F320:H320"/>
    <mergeCell ref="L329:M329"/>
    <mergeCell ref="R329:S329"/>
    <mergeCell ref="F340:I340"/>
    <mergeCell ref="K340:O340"/>
    <mergeCell ref="Q340:U340"/>
    <mergeCell ref="F384:H384"/>
    <mergeCell ref="L393:M393"/>
    <mergeCell ref="R393:S393"/>
    <mergeCell ref="D403:F403"/>
    <mergeCell ref="F405:I405"/>
    <mergeCell ref="K405:O405"/>
    <mergeCell ref="Q405:U405"/>
    <mergeCell ref="F363:H363"/>
    <mergeCell ref="L372:M372"/>
    <mergeCell ref="R372:S372"/>
    <mergeCell ref="F383:I383"/>
    <mergeCell ref="K383:O383"/>
    <mergeCell ref="Q383:U383"/>
    <mergeCell ref="F427:H427"/>
    <mergeCell ref="L436:M436"/>
    <mergeCell ref="R436:S436"/>
    <mergeCell ref="D446:F446"/>
    <mergeCell ref="F448:I448"/>
    <mergeCell ref="K448:O448"/>
    <mergeCell ref="Q448:U448"/>
    <mergeCell ref="F406:H406"/>
    <mergeCell ref="L415:M415"/>
    <mergeCell ref="R415:S415"/>
    <mergeCell ref="F426:I426"/>
    <mergeCell ref="K426:O426"/>
    <mergeCell ref="Q426:U426"/>
    <mergeCell ref="F470:H470"/>
    <mergeCell ref="L479:M479"/>
    <mergeCell ref="R479:S479"/>
    <mergeCell ref="F449:H449"/>
    <mergeCell ref="L458:M458"/>
    <mergeCell ref="R458:S458"/>
    <mergeCell ref="F469:I469"/>
    <mergeCell ref="K469:O469"/>
    <mergeCell ref="Q469:U469"/>
  </mergeCells>
  <conditionalFormatting sqref="I63">
    <cfRule type="expression" dxfId="116" priority="549">
      <formula>$H$63="Board-approved"</formula>
    </cfRule>
  </conditionalFormatting>
  <conditionalFormatting sqref="I65">
    <cfRule type="expression" dxfId="115" priority="547">
      <formula>$H$65="Board-approved"</formula>
    </cfRule>
  </conditionalFormatting>
  <conditionalFormatting sqref="I66">
    <cfRule type="expression" dxfId="114" priority="546">
      <formula>$H$66="Board-approved"</formula>
    </cfRule>
  </conditionalFormatting>
  <conditionalFormatting sqref="I67">
    <cfRule type="expression" dxfId="113" priority="545">
      <formula>$H$67="Board-approved"</formula>
    </cfRule>
  </conditionalFormatting>
  <conditionalFormatting sqref="L68">
    <cfRule type="expression" dxfId="112" priority="539">
      <formula>$K$68="Forecast"</formula>
    </cfRule>
  </conditionalFormatting>
  <conditionalFormatting sqref="L69">
    <cfRule type="expression" dxfId="111" priority="538">
      <formula>$K$69="Forecast"</formula>
    </cfRule>
  </conditionalFormatting>
  <conditionalFormatting sqref="O63">
    <cfRule type="expression" dxfId="110" priority="537">
      <formula>$H$63="Board-approved"</formula>
    </cfRule>
  </conditionalFormatting>
  <conditionalFormatting sqref="O65">
    <cfRule type="expression" dxfId="109" priority="535">
      <formula>$H$65="Board-approved"</formula>
    </cfRule>
  </conditionalFormatting>
  <conditionalFormatting sqref="O66">
    <cfRule type="expression" dxfId="108" priority="534">
      <formula>$H$66="Board-approved"</formula>
    </cfRule>
  </conditionalFormatting>
  <conditionalFormatting sqref="O67">
    <cfRule type="expression" dxfId="107" priority="533">
      <formula>$H$67="Board-approved"</formula>
    </cfRule>
  </conditionalFormatting>
  <conditionalFormatting sqref="L84">
    <cfRule type="expression" dxfId="106" priority="532">
      <formula>$K$63="Forecastl"</formula>
    </cfRule>
  </conditionalFormatting>
  <conditionalFormatting sqref="L85">
    <cfRule type="expression" dxfId="105" priority="531">
      <formula>$K$64="Forecast"</formula>
    </cfRule>
  </conditionalFormatting>
  <conditionalFormatting sqref="L86">
    <cfRule type="expression" dxfId="104" priority="530">
      <formula>$K$65="Forecast"</formula>
    </cfRule>
  </conditionalFormatting>
  <conditionalFormatting sqref="L87">
    <cfRule type="expression" dxfId="103" priority="529">
      <formula>$K$66="Forecast"</formula>
    </cfRule>
  </conditionalFormatting>
  <conditionalFormatting sqref="L88">
    <cfRule type="expression" dxfId="102" priority="528">
      <formula>$K$67="Forecast"</formula>
    </cfRule>
  </conditionalFormatting>
  <conditionalFormatting sqref="L89">
    <cfRule type="expression" dxfId="101" priority="527">
      <formula>$K$68="Forecast"</formula>
    </cfRule>
  </conditionalFormatting>
  <conditionalFormatting sqref="L90">
    <cfRule type="expression" dxfId="100" priority="526">
      <formula>$K$69="Forecast"</formula>
    </cfRule>
  </conditionalFormatting>
  <conditionalFormatting sqref="O84">
    <cfRule type="expression" dxfId="99" priority="525">
      <formula>$H$63="Board-approved"</formula>
    </cfRule>
  </conditionalFormatting>
  <conditionalFormatting sqref="O85">
    <cfRule type="expression" dxfId="98" priority="524">
      <formula>$H$64="Board-approved"</formula>
    </cfRule>
  </conditionalFormatting>
  <conditionalFormatting sqref="O86">
    <cfRule type="expression" dxfId="97" priority="523">
      <formula>$H$65="Board-approved"</formula>
    </cfRule>
  </conditionalFormatting>
  <conditionalFormatting sqref="O87">
    <cfRule type="expression" dxfId="96" priority="522">
      <formula>$H$66="Board-approved"</formula>
    </cfRule>
  </conditionalFormatting>
  <conditionalFormatting sqref="O88">
    <cfRule type="expression" dxfId="95" priority="521">
      <formula>$H$67="Board-approved"</formula>
    </cfRule>
  </conditionalFormatting>
  <conditionalFormatting sqref="I84">
    <cfRule type="expression" dxfId="94" priority="520">
      <formula>$H$63="Board-approved"</formula>
    </cfRule>
  </conditionalFormatting>
  <conditionalFormatting sqref="I86">
    <cfRule type="expression" dxfId="93" priority="518">
      <formula>$H$65="Board-approved"</formula>
    </cfRule>
  </conditionalFormatting>
  <conditionalFormatting sqref="I87">
    <cfRule type="expression" dxfId="92" priority="517">
      <formula>$H$66="Board-approved"</formula>
    </cfRule>
  </conditionalFormatting>
  <conditionalFormatting sqref="I88">
    <cfRule type="expression" dxfId="91" priority="516">
      <formula>$H$67="Board-approved"</formula>
    </cfRule>
  </conditionalFormatting>
  <conditionalFormatting sqref="K82:U100">
    <cfRule type="expression" dxfId="90" priority="515">
      <formula>$N$59="kWh"</formula>
    </cfRule>
  </conditionalFormatting>
  <conditionalFormatting sqref="K125:U143">
    <cfRule type="expression" dxfId="89" priority="353">
      <formula>$N$102="kWh"</formula>
    </cfRule>
  </conditionalFormatting>
  <conditionalFormatting sqref="K168:U169 K177:U186 K170:K176 N170:U176">
    <cfRule type="expression" dxfId="88" priority="248">
      <formula>$N$145="kWh"</formula>
    </cfRule>
  </conditionalFormatting>
  <conditionalFormatting sqref="K211:U229">
    <cfRule type="expression" dxfId="87" priority="213">
      <formula>$N$188="kWh"</formula>
    </cfRule>
  </conditionalFormatting>
  <conditionalFormatting sqref="K254:U272">
    <cfRule type="expression" dxfId="86" priority="178">
      <formula>$N$231="kWh"</formula>
    </cfRule>
  </conditionalFormatting>
  <conditionalFormatting sqref="K297:U315">
    <cfRule type="expression" dxfId="85" priority="143">
      <formula>$N$274="kWh"</formula>
    </cfRule>
  </conditionalFormatting>
  <conditionalFormatting sqref="K340:U358">
    <cfRule type="expression" dxfId="84" priority="108">
      <formula>$N$317="kWh"</formula>
    </cfRule>
  </conditionalFormatting>
  <conditionalFormatting sqref="K383:U401">
    <cfRule type="expression" dxfId="83" priority="73">
      <formula>$N$360="kWh"</formula>
    </cfRule>
  </conditionalFormatting>
  <conditionalFormatting sqref="K426:U444">
    <cfRule type="expression" dxfId="82" priority="38">
      <formula>$N$403="kWh"</formula>
    </cfRule>
  </conditionalFormatting>
  <conditionalFormatting sqref="K469:U487">
    <cfRule type="expression" dxfId="81" priority="3">
      <formula>$N$446="kWh"</formula>
    </cfRule>
  </conditionalFormatting>
  <dataValidations count="3">
    <dataValidation type="list" allowBlank="1" showInputMessage="1" showErrorMessage="1" sqref="K39:K45" xr:uid="{00000000-0002-0000-1C00-000000000000}">
      <formula1>"Actual, Forecast"</formula1>
    </dataValidation>
    <dataValidation type="list" allowBlank="1" showInputMessage="1" showErrorMessage="1" sqref="F61:I61 F147:I147 F104:I104 F190:I190 F233:I233 F276:I276 F319:I319 F362:I362 F405:I405 F448:I448" xr:uid="{00000000-0002-0000-1C00-000001000000}">
      <formula1>"Customers, Connections"</formula1>
    </dataValidation>
    <dataValidation type="list" allowBlank="1" showInputMessage="1" showErrorMessage="1" sqref="N59 N102 N145 N188 N231 N274 N317 N360 N403 N446" xr:uid="{00000000-0002-0000-1C00-000002000000}">
      <formula1>"kWh, kW, kVA"</formula1>
    </dataValidation>
  </dataValidations>
  <pageMargins left="0.7" right="0.7" top="0.75" bottom="0.75" header="0.3" footer="0.3"/>
  <pageSetup scale="53" fitToHeight="0" orientation="landscape"/>
  <rowBreaks count="5" manualBreakCount="5">
    <brk id="56" max="16383" man="1"/>
    <brk id="100" max="16383" man="1"/>
    <brk id="143" max="16383" man="1"/>
    <brk id="186" max="16383" man="1"/>
    <brk id="22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3">
    <tabColor rgb="FFFFFF00"/>
    <pageSetUpPr fitToPage="1"/>
  </sheetPr>
  <dimension ref="B3:J6"/>
  <sheetViews>
    <sheetView showGridLines="0" zoomScaleNormal="100" workbookViewId="0"/>
  </sheetViews>
  <sheetFormatPr defaultColWidth="9.28515625" defaultRowHeight="12.75" x14ac:dyDescent="0.2"/>
  <cols>
    <col min="1" max="1" width="2.7109375" style="1" customWidth="1"/>
    <col min="2" max="2" width="81.7109375" style="1" customWidth="1"/>
    <col min="3" max="5" width="9.28515625" style="1"/>
    <col min="6" max="6" width="12.7109375" style="1" bestFit="1" customWidth="1"/>
    <col min="7" max="7" width="10.7109375" style="1" customWidth="1"/>
    <col min="8" max="16384" width="9.28515625" style="1"/>
  </cols>
  <sheetData>
    <row r="3" spans="2:10" ht="18" x14ac:dyDescent="0.25">
      <c r="B3" s="1611"/>
      <c r="C3" s="1611"/>
      <c r="D3" s="1611"/>
      <c r="E3" s="1611"/>
      <c r="F3" s="1611"/>
      <c r="G3" s="1611"/>
    </row>
    <row r="4" spans="2:10" ht="18" x14ac:dyDescent="0.25">
      <c r="B4" s="1611" t="s">
        <v>97</v>
      </c>
      <c r="C4" s="1611"/>
      <c r="D4" s="1611"/>
      <c r="E4" s="1611"/>
      <c r="F4" s="1611"/>
      <c r="G4" s="1611"/>
    </row>
    <row r="6" spans="2:10" ht="51" customHeight="1" x14ac:dyDescent="0.2">
      <c r="B6" s="1585" t="s">
        <v>1068</v>
      </c>
      <c r="C6" s="1586"/>
      <c r="D6" s="1586"/>
      <c r="E6" s="1586"/>
      <c r="F6" s="1586"/>
      <c r="G6" s="1586"/>
      <c r="J6" s="964"/>
    </row>
  </sheetData>
  <sheetProtection algorithmName="SHA-512" hashValue="65L7ucdxlV6kJbkgSNz2jufr/oAqX8HZXZbyVwX4yr1m+8ZGtMEaU1hzkEbXXGMSR0u5AkAYW9wKwGDAbWX+Og==" saltValue="XnAQYU5n8Y78caphkqHDHg==" spinCount="100000" sheet="1" objects="1" scenarios="1"/>
  <mergeCells count="3">
    <mergeCell ref="B6:G6"/>
    <mergeCell ref="B3:G3"/>
    <mergeCell ref="B4:G4"/>
  </mergeCells>
  <phoneticPr fontId="16" type="noConversion"/>
  <pageMargins left="0.75" right="0.75" top="1" bottom="1" header="0.5" footer="0.5"/>
  <pageSetup scale="87" orientation="landscape"/>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8">
    <tabColor theme="7" tint="0.39997558519241921"/>
    <pageSetUpPr fitToPage="1"/>
  </sheetPr>
  <dimension ref="A1:AX114"/>
  <sheetViews>
    <sheetView showGridLines="0" topLeftCell="H1" zoomScale="90" zoomScaleNormal="90" workbookViewId="0"/>
  </sheetViews>
  <sheetFormatPr defaultColWidth="9.28515625" defaultRowHeight="12.75" x14ac:dyDescent="0.2"/>
  <cols>
    <col min="1" max="1" width="29" style="1" customWidth="1"/>
    <col min="2" max="2" width="17.28515625" style="1" customWidth="1"/>
    <col min="3" max="16" width="15" style="1" customWidth="1"/>
    <col min="17" max="17" width="13.28515625" style="1" customWidth="1"/>
    <col min="18" max="19" width="12.7109375" style="1" customWidth="1"/>
    <col min="20" max="20" width="13.28515625" style="1" bestFit="1" customWidth="1"/>
    <col min="21" max="21" width="11.28515625" style="1" bestFit="1" customWidth="1"/>
    <col min="22" max="22" width="16.140625" style="1" customWidth="1"/>
    <col min="23" max="50" width="13.28515625" style="1" customWidth="1"/>
    <col min="51" max="16384" width="9.28515625" style="1"/>
  </cols>
  <sheetData>
    <row r="1" spans="1:50" x14ac:dyDescent="0.2">
      <c r="R1" s="1090" t="s">
        <v>277</v>
      </c>
      <c r="S1" s="968" t="str">
        <f>EBNUMBER</f>
        <v>EB-2018-0056</v>
      </c>
      <c r="T1" s="1230">
        <f>'LDC Info'!$E$28</f>
        <v>2014</v>
      </c>
      <c r="U1" s="1230" t="inlineStr">
        <is>
          <t/>
        </is>
      </c>
      <c r="V1" s="1230" t="inlineStr">
        <is>
          <t/>
        </is>
      </c>
      <c r="W1" s="1230"/>
    </row>
    <row r="2" spans="1:50" x14ac:dyDescent="0.2">
      <c r="R2" s="1090" t="s">
        <v>278</v>
      </c>
      <c r="S2" s="969"/>
      <c r="T2" s="1230">
        <f>TestYear</f>
        <v>2019</v>
      </c>
      <c r="U2" s="1230">
        <v>2010</v>
      </c>
      <c r="V2" s="1230" t="inlineStr">
        <is>
          <t/>
        </is>
      </c>
      <c r="W2" s="1230" t="inlineStr">
        <is>
          <t/>
        </is>
      </c>
    </row>
    <row r="3" spans="1:50" x14ac:dyDescent="0.2">
      <c r="R3" s="1090" t="s">
        <v>279</v>
      </c>
      <c r="S3" s="969"/>
      <c r="T3" s="1230">
        <f>'LDC Info'!$E$28</f>
        <v>2014</v>
      </c>
      <c r="U3" s="1230">
        <v>2011</v>
      </c>
      <c r="V3" s="1230" t="inlineStr">
        <is>
          <t/>
        </is>
      </c>
      <c r="W3" s="1230" t="inlineStr">
        <is>
          <t/>
        </is>
      </c>
    </row>
    <row r="4" spans="1:50" ht="15" x14ac:dyDescent="0.25">
      <c r="A4" s="1136" t="s">
        <v>1310</v>
      </c>
      <c r="R4" s="1090" t="s">
        <v>280</v>
      </c>
      <c r="S4" s="969"/>
      <c r="T4" s="1230"/>
      <c r="U4" s="1230">
        <v>2012</v>
      </c>
      <c r="V4" s="1230" t="inlineStr">
        <is>
          <t/>
        </is>
      </c>
      <c r="W4" s="1230" t="inlineStr">
        <is>
          <t/>
        </is>
      </c>
    </row>
    <row r="5" spans="1:50" x14ac:dyDescent="0.2">
      <c r="R5" s="1090" t="s">
        <v>281</v>
      </c>
      <c r="S5" s="971"/>
      <c r="T5" s="1230"/>
      <c r="U5" s="1230">
        <v>2013</v>
      </c>
      <c r="V5" s="1230" t="inlineStr">
        <is>
          <t/>
        </is>
      </c>
      <c r="W5" s="1230" t="inlineStr">
        <is>
          <t/>
        </is>
      </c>
    </row>
    <row r="6" spans="1:50" x14ac:dyDescent="0.2">
      <c r="R6" s="1090"/>
      <c r="S6" s="968"/>
      <c r="T6" s="1230"/>
      <c r="U6" s="1230">
        <v>2014</v>
      </c>
      <c r="V6" s="1230" t="inlineStr">
        <is>
          <t/>
        </is>
      </c>
      <c r="W6" s="1230" t="inlineStr">
        <is>
          <t/>
        </is>
      </c>
    </row>
    <row r="7" spans="1:50" x14ac:dyDescent="0.2">
      <c r="R7" s="1090" t="s">
        <v>282</v>
      </c>
      <c r="S7" s="971"/>
      <c r="T7" s="1230"/>
      <c r="U7" s="1230">
        <v>2015</v>
      </c>
      <c r="V7" s="1230" t="inlineStr">
        <is>
          <t/>
        </is>
      </c>
      <c r="W7" s="1230" t="inlineStr">
        <is>
          <t/>
        </is>
      </c>
    </row>
    <row r="8" spans="1:50" x14ac:dyDescent="0.2">
      <c r="T8" s="1230"/>
      <c r="U8" s="1230">
        <v>2016</v>
      </c>
      <c r="V8" s="1230" t="inlineStr">
        <is>
          <t/>
        </is>
      </c>
      <c r="W8" s="1230" t="inlineStr">
        <is>
          <t/>
        </is>
      </c>
    </row>
    <row r="9" spans="1:50" ht="18" x14ac:dyDescent="0.2">
      <c r="A9" s="1963" t="s">
        <v>810</v>
      </c>
      <c r="B9" s="1963"/>
      <c r="C9" s="1963"/>
      <c r="D9" s="1963"/>
      <c r="E9" s="1963"/>
      <c r="F9" s="1963"/>
      <c r="G9" s="1963"/>
      <c r="H9" s="1963"/>
      <c r="I9" s="1963"/>
      <c r="J9" s="1963"/>
      <c r="K9" s="1963"/>
      <c r="L9" s="1963"/>
      <c r="M9" s="1963"/>
      <c r="N9" s="1963"/>
      <c r="O9" s="1963"/>
      <c r="P9" s="1963"/>
      <c r="Q9" s="1963"/>
      <c r="R9" s="1963"/>
      <c r="S9" s="1963"/>
      <c r="T9" s="1230"/>
      <c r="U9" s="1230">
        <v>2017</v>
      </c>
      <c r="V9" s="1230" t="inlineStr">
        <is>
          <t/>
        </is>
      </c>
      <c r="W9" s="1230" t="inlineStr">
        <is>
          <t/>
        </is>
      </c>
    </row>
    <row r="10" spans="1:50" ht="34.5" customHeight="1" x14ac:dyDescent="0.2">
      <c r="A10" s="1963" t="s">
        <v>75</v>
      </c>
      <c r="B10" s="1963"/>
      <c r="C10" s="1963"/>
      <c r="D10" s="1963"/>
      <c r="E10" s="1963"/>
      <c r="F10" s="1963"/>
      <c r="G10" s="1963"/>
      <c r="H10" s="1963"/>
      <c r="I10" s="1963"/>
      <c r="J10" s="1963"/>
      <c r="K10" s="1963"/>
      <c r="L10" s="1963"/>
      <c r="M10" s="1963"/>
      <c r="N10" s="1963"/>
      <c r="O10" s="1963"/>
      <c r="P10" s="1963"/>
      <c r="Q10" s="1963"/>
      <c r="R10" s="1963"/>
      <c r="S10" s="1963"/>
      <c r="T10" s="1230"/>
      <c r="U10" s="1230"/>
      <c r="V10" s="1230"/>
      <c r="W10" s="1230"/>
    </row>
    <row r="11" spans="1:50" ht="13.5" thickBot="1" x14ac:dyDescent="0.25">
      <c r="B11" s="1961">
        <v>2010</v>
      </c>
      <c r="C11" s="1961"/>
      <c r="D11" s="1961">
        <v>2011</v>
      </c>
      <c r="E11" s="1961"/>
      <c r="F11" s="1961">
        <v>2012</v>
      </c>
      <c r="G11" s="1961"/>
      <c r="H11" s="1961">
        <v>2013</v>
      </c>
      <c r="I11" s="1961"/>
      <c r="J11" s="1961">
        <v>2014</v>
      </c>
      <c r="K11" s="1961"/>
      <c r="L11" s="1961">
        <v>2015</v>
      </c>
      <c r="M11" s="1961"/>
      <c r="N11" s="1961">
        <v>2016</v>
      </c>
      <c r="O11" s="1961"/>
      <c r="P11" s="1961">
        <v>2017</v>
      </c>
      <c r="Q11" s="1961"/>
      <c r="R11" s="1039">
        <v>2018</v>
      </c>
      <c r="S11" s="1039">
        <v>2019</v>
      </c>
      <c r="T11" s="1050"/>
      <c r="U11" s="1050"/>
      <c r="W11" s="1965">
        <v>2010</v>
      </c>
      <c r="X11" s="1965"/>
      <c r="Y11" s="1965"/>
      <c r="Z11" s="1965">
        <v>2011</v>
      </c>
      <c r="AA11" s="1965"/>
      <c r="AB11" s="1965"/>
      <c r="AC11" s="1965">
        <v>2012</v>
      </c>
      <c r="AD11" s="1965"/>
      <c r="AE11" s="1965"/>
      <c r="AF11" s="1965">
        <v>2013</v>
      </c>
      <c r="AG11" s="1965"/>
      <c r="AH11" s="1965"/>
      <c r="AI11" s="1965">
        <v>2014</v>
      </c>
      <c r="AJ11" s="1965"/>
      <c r="AK11" s="1965"/>
      <c r="AL11" s="1965">
        <v>2015</v>
      </c>
      <c r="AM11" s="1965"/>
      <c r="AN11" s="1965"/>
      <c r="AO11" s="1965">
        <v>2016</v>
      </c>
      <c r="AP11" s="1965"/>
      <c r="AQ11" s="1965"/>
      <c r="AR11" s="1965">
        <v>2017</v>
      </c>
      <c r="AS11" s="1965"/>
      <c r="AT11" s="1965"/>
      <c r="AU11" s="1965">
        <v>2018</v>
      </c>
      <c r="AV11" s="1965"/>
      <c r="AW11" s="1965">
        <v>2019</v>
      </c>
      <c r="AX11" s="1965"/>
    </row>
    <row r="12" spans="1:50" ht="51.75" thickBot="1" x14ac:dyDescent="0.25">
      <c r="A12" s="1231"/>
      <c r="B12" s="1232" t="str">
        <f>CONCATENATE(B11," ",IF($T1=B11,"Last Rebasing Year ","")," Board Approved")</f>
        <v>2010  Board Approved</v>
      </c>
      <c r="C12" s="1232" t="str">
        <f>CONCATENATE(B11," ",IF($T1=B11,"Last Rebasing Year ","")," Actuals")</f>
        <v>2010  Actuals</v>
      </c>
      <c r="D12" s="1232" t="str">
        <f>CONCATENATE(D11," ",IF($T1=D11,"Last Rebasing Year ","")," Board Approved")</f>
        <v>2011  Board Approved</v>
      </c>
      <c r="E12" s="1232" t="str">
        <f>CONCATENATE(D11," ",IF($T1=D11,"Last Rebasing Year ","")," Actuals")</f>
        <v>2011  Actuals</v>
      </c>
      <c r="F12" s="1232" t="str">
        <f>CONCATENATE(F11," ",IF($T1=F11,"Last Rebasing Year ","")," Board Approved")</f>
        <v>2012  Board Approved</v>
      </c>
      <c r="G12" s="1232" t="str">
        <f>CONCATENATE(F11," ",IF($T1=F11,"Last Rebasing Year ","")," Actuals")</f>
        <v>2012  Actuals</v>
      </c>
      <c r="H12" s="1232" t="str">
        <f>CONCATENATE(H11," ",IF($T1=H11,"Last Rebasing Year ","")," Board Approved")</f>
        <v>2013  Board Approved</v>
      </c>
      <c r="I12" s="1232" t="str">
        <f>CONCATENATE(H11," ",IF($T1=H11,"Last Rebasing Year ","")," Actuals")</f>
        <v>2013  Actuals</v>
      </c>
      <c r="J12" s="1232" t="str">
        <f>CONCATENATE(J11," ",IF($T1=J11,"Last Rebasing Year ","")," Board Approved")</f>
        <v>2014 Last Rebasing Year  Board Approved</v>
      </c>
      <c r="K12" s="1232" t="str">
        <f>CONCATENATE(J11," ",IF($T1=J11,"Last Rebasing Year ","")," Actuals")</f>
        <v>2014 Last Rebasing Year  Actuals</v>
      </c>
      <c r="L12" s="1232" t="str">
        <f>CONCATENATE(L11," ",IF($T1=L11,"Last Rebasing Year ","")," Board Approved")</f>
        <v>2015  Board Approved</v>
      </c>
      <c r="M12" s="1232" t="str">
        <f>CONCATENATE(L11," ",IF($T1=L11,"Last Rebasing Year ","")," Actuals")</f>
        <v>2015  Actuals</v>
      </c>
      <c r="N12" s="1232" t="str">
        <f>CONCATENATE(N11," ",IF($T1=N11,"Last Rebasing Year ","")," Board Approved")</f>
        <v>2016  Board Approved</v>
      </c>
      <c r="O12" s="1232" t="str">
        <f>CONCATENATE(N11," ",IF($T1=N11,"Last Rebasing Year ","")," Actuals")</f>
        <v>2016  Actuals</v>
      </c>
      <c r="P12" s="1232" t="str">
        <f>CONCATENATE(P11," ",IF($T1=P11,"Last Rebasing Year ","")," Board Approved")</f>
        <v>2017  Board Approved</v>
      </c>
      <c r="Q12" s="1232" t="str">
        <f>CONCATENATE(P11," ",IF($T1=P11,"Last Rebasing Year ","")," Actuals")</f>
        <v>2017  Actuals</v>
      </c>
      <c r="R12" s="1232" t="str">
        <f>BridgeYear &amp; " Bridge Year"</f>
        <v>2018 Bridge Year</v>
      </c>
      <c r="S12" s="1233" t="str">
        <f>TestYear &amp; " Test Year"</f>
        <v>2019 Test Year</v>
      </c>
      <c r="T12" s="1964"/>
      <c r="U12" s="1964"/>
      <c r="V12" s="1234"/>
      <c r="W12" s="1235" t="str">
        <f>CONCATENATE(IF($T1=W11,"Last Rebasing Year ",""),,W11," Board Approved")</f>
        <v>2010 Board Approved</v>
      </c>
      <c r="X12" s="1235" t="str">
        <f>CONCATENATE(IF($T1=W11,"Last Rebasing Year ",""),W11," Actuals")</f>
        <v>2010 Actuals</v>
      </c>
      <c r="Y12" s="1235" t="str">
        <f>CONCATENATE("Variance ",W11," Board Approved - ",W11," Actuals")</f>
        <v>Variance 2010 Board Approved - 2010 Actuals</v>
      </c>
      <c r="Z12" s="1235" t="str">
        <f>CONCATENATE(IF($T1=Z11,"Last Rebasing Year ",""),,Z11," Board Approved")</f>
        <v>2011 Board Approved</v>
      </c>
      <c r="AA12" s="1235" t="str">
        <f>CONCATENATE(IF($T1=Z11,"Last Rebasing Year ",""),Z11," Actuals")</f>
        <v>2011 Actuals</v>
      </c>
      <c r="AB12" s="1235" t="str">
        <f>CONCATENATE("Variance ",Z11," Board Approved - ",Z11," Actuals")</f>
        <v>Variance 2011 Board Approved - 2011 Actuals</v>
      </c>
      <c r="AC12" s="1235" t="str">
        <f>CONCATENATE(IF($T1=AC11,"Last Rebasing Year",""),,AC11," Board Approved")</f>
        <v>2012 Board Approved</v>
      </c>
      <c r="AD12" s="1235" t="str">
        <f>CONCATENATE(IF($T1=AC11,"Last Rebasing Year ",""),AC11," Actuals")</f>
        <v>2012 Actuals</v>
      </c>
      <c r="AE12" s="1235" t="str">
        <f>CONCATENATE("Variance ",AC11," Board Approved - ",AC11," Actuals")</f>
        <v>Variance 2012 Board Approved - 2012 Actuals</v>
      </c>
      <c r="AF12" s="1235" t="str">
        <f>CONCATENATE(IF($T1=AF11,"Last Rebasing Year ",""),,AF11," Board Approved")</f>
        <v>2013 Board Approved</v>
      </c>
      <c r="AG12" s="1235" t="str">
        <f>CONCATENATE(IF($T1=AF11,"Last Rebasing Year ",""),AF11," Actuals")</f>
        <v>2013 Actuals</v>
      </c>
      <c r="AH12" s="1235" t="str">
        <f>CONCATENATE("Variance ",AF11," Board Approved - ",AF11," Actuals")</f>
        <v>Variance 2013 Board Approved - 2013 Actuals</v>
      </c>
      <c r="AI12" s="1235" t="str">
        <f>CONCATENATE(IF($T1=AI11,"Last Rebasing Year ",""),,AI11," Board Approved")</f>
        <v>Last Rebasing Year 2014 Board Approved</v>
      </c>
      <c r="AJ12" s="1235" t="str">
        <f>CONCATENATE(IF($T1=AI11,"Last Rebasing Year ",""),AI11," Actuals")</f>
        <v>Last Rebasing Year 2014 Actuals</v>
      </c>
      <c r="AK12" s="1235" t="str">
        <f>CONCATENATE("Variance ",AI11," Board Approved - ",AI11," Actuals")</f>
        <v>Variance 2014 Board Approved - 2014 Actuals</v>
      </c>
      <c r="AL12" s="1235" t="str">
        <f>CONCATENATE(IF($T1=AL11,"Last Rebasing Year ",""),,AL11," Board Approved")</f>
        <v>2015 Board Approved</v>
      </c>
      <c r="AM12" s="1235" t="str">
        <f>CONCATENATE(IF($T1=AL11,"Last Rebasing Year ",""),AL11," Actuals")</f>
        <v>2015 Actuals</v>
      </c>
      <c r="AN12" s="1235" t="str">
        <f>CONCATENATE("Variance ",AL11," Board Approved - ",AL11," Actuals")</f>
        <v>Variance 2015 Board Approved - 2015 Actuals</v>
      </c>
      <c r="AO12" s="1235" t="str">
        <f>CONCATENATE(IF($T1=AO11,"Last Rebasing Year ",""),,AO11," Board Approved")</f>
        <v>2016 Board Approved</v>
      </c>
      <c r="AP12" s="1235" t="str">
        <f>CONCATENATE(IF($T1=AO11,"Last Rebasing Year ",""),AO11," Actuals")</f>
        <v>2016 Actuals</v>
      </c>
      <c r="AQ12" s="1235" t="str">
        <f>CONCATENATE("Variance ",AO11," Board Approved - ",AO11," Actuals")</f>
        <v>Variance 2016 Board Approved - 2016 Actuals</v>
      </c>
      <c r="AR12" s="1235" t="str">
        <f>CONCATENATE(IF($T1=AR11,"Last Rebasing Year ",""),,AR11," Board Approved")</f>
        <v>2017 Board Approved</v>
      </c>
      <c r="AS12" s="1235" t="str">
        <f>CONCATENATE(IF($T1=AR11,"Last Rebasing Year ",""),AR11," Actuals")</f>
        <v>2017 Actuals</v>
      </c>
      <c r="AT12" s="1235" t="str">
        <f>CONCATENATE("Variance ",AR11," Board Approved - ",AR11," Actuals")</f>
        <v>Variance 2017 Board Approved - 2017 Actuals</v>
      </c>
      <c r="AU12" s="1235" t="str">
        <f>CONCATENATE(AU11," Bridge Year")</f>
        <v>2018 Bridge Year</v>
      </c>
      <c r="AV12" s="1235" t="str">
        <f>CONCATENATE("Variance ",AU11," Bridge vs. ",AU11-1," Actuals")</f>
        <v>Variance 2018 Bridge vs. 2017 Actuals</v>
      </c>
      <c r="AW12" s="1235" t="str">
        <f>CONCATENATE(AW11," Test Year")</f>
        <v>2019 Test Year</v>
      </c>
      <c r="AX12" s="1235" t="str">
        <f>CONCATENATE("Variance ",AW11," Test vs. ",AW11-1," Bridge")</f>
        <v>Variance 2019 Test vs. 2018 Bridge</v>
      </c>
    </row>
    <row r="13" spans="1:50" ht="13.5" thickBot="1" x14ac:dyDescent="0.25">
      <c r="A13" s="1236" t="s">
        <v>93</v>
      </c>
      <c r="B13" s="240"/>
      <c r="C13" s="240"/>
      <c r="D13" s="240"/>
      <c r="E13" s="240"/>
      <c r="F13" s="240"/>
      <c r="G13" s="240"/>
      <c r="H13" s="240"/>
      <c r="I13" s="240"/>
      <c r="J13" s="240"/>
      <c r="K13" s="240"/>
      <c r="L13" s="240"/>
      <c r="M13" s="240"/>
      <c r="N13" s="240"/>
      <c r="O13" s="240"/>
      <c r="P13" s="240"/>
      <c r="Q13" s="240"/>
      <c r="R13" s="240"/>
      <c r="S13" s="241"/>
      <c r="T13" s="1237"/>
      <c r="U13" s="1237"/>
      <c r="V13" s="1238" t="s">
        <v>102</v>
      </c>
      <c r="W13" s="1239">
        <f>B14</f>
        <v>0</v>
      </c>
      <c r="X13" s="1239">
        <f>C14</f>
        <v>0</v>
      </c>
      <c r="Y13" s="1239">
        <f t="shared" ref="Y13:Y18" si="0">W13-X13</f>
        <v>0</v>
      </c>
      <c r="Z13" s="1239">
        <f>D14</f>
        <v>0</v>
      </c>
      <c r="AA13" s="1239">
        <f>E14</f>
        <v>0</v>
      </c>
      <c r="AB13" s="1239">
        <f t="shared" ref="AB13:AB18" si="1">Z13-AA13</f>
        <v>0</v>
      </c>
      <c r="AC13" s="1239">
        <f>F14</f>
        <v>0</v>
      </c>
      <c r="AD13" s="1239">
        <f>G14</f>
        <v>0</v>
      </c>
      <c r="AE13" s="1239">
        <f t="shared" ref="AE13:AE18" si="2">AC13-AD13</f>
        <v>0</v>
      </c>
      <c r="AF13" s="1239">
        <f>H14</f>
        <v>0</v>
      </c>
      <c r="AG13" s="1239">
        <f>I14</f>
        <v>0</v>
      </c>
      <c r="AH13" s="1239">
        <f t="shared" ref="AH13:AH18" si="3">AF13-AG13</f>
        <v>0</v>
      </c>
      <c r="AI13" s="1239">
        <f>J14</f>
        <v>532044.4731186768</v>
      </c>
      <c r="AJ13" s="1239">
        <f>K14</f>
        <v>491399.67</v>
      </c>
      <c r="AK13" s="1239">
        <f t="shared" ref="AK13:AK18" si="4">AI13-AJ13</f>
        <v>40644.80311867682</v>
      </c>
      <c r="AL13" s="1239">
        <f>L14</f>
        <v>0</v>
      </c>
      <c r="AM13" s="1239">
        <f>M14</f>
        <v>548539.79999999993</v>
      </c>
      <c r="AN13" s="1239">
        <f t="shared" ref="AN13:AN18" si="5">AL13-AM13</f>
        <v>-548539.79999999993</v>
      </c>
      <c r="AO13" s="1239">
        <f>N14</f>
        <v>0</v>
      </c>
      <c r="AP13" s="1239">
        <f>O14</f>
        <v>654294.7699999999</v>
      </c>
      <c r="AQ13" s="1239">
        <f t="shared" ref="AQ13:AQ18" si="6">AO13-AP13</f>
        <v>-654294.7699999999</v>
      </c>
      <c r="AR13" s="1239">
        <f>P14</f>
        <v>0</v>
      </c>
      <c r="AS13" s="1239">
        <f>Q14</f>
        <v>673867.34</v>
      </c>
      <c r="AT13" s="1239">
        <f t="shared" ref="AT13:AT18" si="7">AR13-AS13</f>
        <v>-673867.34</v>
      </c>
      <c r="AU13" s="1239">
        <f>R14</f>
        <v>679413.4056647789</v>
      </c>
      <c r="AV13" s="1239">
        <f>AU13-AS13</f>
        <v>5546.0656647789292</v>
      </c>
      <c r="AW13" s="1239">
        <f>S14</f>
        <v>711610.17701706884</v>
      </c>
      <c r="AX13" s="1239">
        <f t="shared" ref="AX13:AX18" si="8">AV13-AW13</f>
        <v>-706064.11135228991</v>
      </c>
    </row>
    <row r="14" spans="1:50" ht="13.5" thickBot="1" x14ac:dyDescent="0.25">
      <c r="A14" s="1240" t="s">
        <v>102</v>
      </c>
      <c r="B14" s="925"/>
      <c r="C14" s="925"/>
      <c r="D14" s="1241"/>
      <c r="E14" s="925"/>
      <c r="F14" s="1241"/>
      <c r="G14" s="925"/>
      <c r="H14" s="1241"/>
      <c r="I14" s="925"/>
      <c r="J14" s="925">
        <v>532044.4731186768</v>
      </c>
      <c r="K14" s="925">
        <v>491399.67</v>
      </c>
      <c r="L14" s="1241"/>
      <c r="M14" s="925">
        <v>548539.79999999993</v>
      </c>
      <c r="N14" s="1241"/>
      <c r="O14" s="925">
        <v>654294.7699999999</v>
      </c>
      <c r="P14" s="1241"/>
      <c r="Q14" s="925">
        <v>673867.34</v>
      </c>
      <c r="R14" s="925">
        <v>679413.4056647789</v>
      </c>
      <c r="S14" s="925">
        <v>711610.17701706884</v>
      </c>
      <c r="T14" s="1242"/>
      <c r="U14" s="1242"/>
      <c r="V14" s="1243" t="s">
        <v>388</v>
      </c>
      <c r="W14" s="1239">
        <f>B15</f>
        <v>0</v>
      </c>
      <c r="X14" s="1239">
        <f>C15</f>
        <v>0</v>
      </c>
      <c r="Y14" s="1239">
        <f t="shared" si="0"/>
        <v>0</v>
      </c>
      <c r="Z14" s="1239">
        <f>D15</f>
        <v>0</v>
      </c>
      <c r="AA14" s="1239">
        <f>E15</f>
        <v>0</v>
      </c>
      <c r="AB14" s="1239">
        <f t="shared" si="1"/>
        <v>0</v>
      </c>
      <c r="AC14" s="1239">
        <f>F15</f>
        <v>0</v>
      </c>
      <c r="AD14" s="1239">
        <f>G15</f>
        <v>0</v>
      </c>
      <c r="AE14" s="1239">
        <f t="shared" si="2"/>
        <v>0</v>
      </c>
      <c r="AF14" s="1244">
        <f>H15</f>
        <v>0</v>
      </c>
      <c r="AG14" s="1244">
        <f>I15</f>
        <v>0</v>
      </c>
      <c r="AH14" s="1239">
        <f t="shared" si="3"/>
        <v>0</v>
      </c>
      <c r="AI14" s="1244">
        <f>J15</f>
        <v>416132.46238946723</v>
      </c>
      <c r="AJ14" s="1244">
        <f>K15</f>
        <v>412258.79000000004</v>
      </c>
      <c r="AK14" s="1239">
        <f t="shared" si="4"/>
        <v>3873.6723894671886</v>
      </c>
      <c r="AL14" s="1244">
        <f>L15</f>
        <v>0</v>
      </c>
      <c r="AM14" s="1244">
        <f>M15</f>
        <v>451578.1</v>
      </c>
      <c r="AN14" s="1239">
        <f t="shared" si="5"/>
        <v>-451578.1</v>
      </c>
      <c r="AO14" s="1244">
        <f>N15</f>
        <v>0</v>
      </c>
      <c r="AP14" s="1244">
        <f>O15</f>
        <v>476273.29999999993</v>
      </c>
      <c r="AQ14" s="1239">
        <f t="shared" si="6"/>
        <v>-476273.29999999993</v>
      </c>
      <c r="AR14" s="1244">
        <f>P15</f>
        <v>0</v>
      </c>
      <c r="AS14" s="1244">
        <f>Q15</f>
        <v>414736.52</v>
      </c>
      <c r="AT14" s="1239">
        <f t="shared" si="7"/>
        <v>-414736.52</v>
      </c>
      <c r="AU14" s="1244">
        <f>R15</f>
        <v>473074.05162520939</v>
      </c>
      <c r="AV14" s="1239">
        <f t="shared" ref="AV14:AV18" si="9">AU14-AS14</f>
        <v>58337.531625209376</v>
      </c>
      <c r="AW14" s="1244">
        <f>S15</f>
        <v>449790.28194628464</v>
      </c>
      <c r="AX14" s="1239">
        <f t="shared" si="8"/>
        <v>-391452.75032107526</v>
      </c>
    </row>
    <row r="15" spans="1:50" ht="24" x14ac:dyDescent="0.2">
      <c r="A15" s="1245" t="s">
        <v>103</v>
      </c>
      <c r="B15" s="926"/>
      <c r="C15" s="926"/>
      <c r="D15" s="1246"/>
      <c r="E15" s="926"/>
      <c r="F15" s="1246"/>
      <c r="G15" s="926"/>
      <c r="H15" s="1246"/>
      <c r="I15" s="926"/>
      <c r="J15" s="925">
        <v>416132.46238946723</v>
      </c>
      <c r="K15" s="925">
        <v>412258.79000000004</v>
      </c>
      <c r="L15" s="1246"/>
      <c r="M15" s="925">
        <v>451578.1</v>
      </c>
      <c r="N15" s="1246"/>
      <c r="O15" s="925">
        <v>476273.29999999993</v>
      </c>
      <c r="P15" s="1246"/>
      <c r="Q15" s="925">
        <v>414736.52</v>
      </c>
      <c r="R15" s="925">
        <v>473074.05162520939</v>
      </c>
      <c r="S15" s="925">
        <v>449790.28194628464</v>
      </c>
      <c r="T15" s="1242"/>
      <c r="U15" s="1242"/>
      <c r="V15" s="1243" t="s">
        <v>389</v>
      </c>
      <c r="W15" s="1239">
        <f t="shared" ref="W15:X18" si="10">B19</f>
        <v>0</v>
      </c>
      <c r="X15" s="1239">
        <f t="shared" si="10"/>
        <v>0</v>
      </c>
      <c r="Y15" s="1239">
        <f t="shared" si="0"/>
        <v>0</v>
      </c>
      <c r="Z15" s="1239">
        <f t="shared" ref="Z15:AA18" si="11">D19</f>
        <v>0</v>
      </c>
      <c r="AA15" s="1239">
        <f t="shared" si="11"/>
        <v>0</v>
      </c>
      <c r="AB15" s="1239">
        <f t="shared" si="1"/>
        <v>0</v>
      </c>
      <c r="AC15" s="1239">
        <f t="shared" ref="AC15:AD18" si="12">F19</f>
        <v>0</v>
      </c>
      <c r="AD15" s="1239">
        <f t="shared" si="12"/>
        <v>0</v>
      </c>
      <c r="AE15" s="1239">
        <f t="shared" si="2"/>
        <v>0</v>
      </c>
      <c r="AF15" s="1244">
        <f t="shared" ref="AF15:AG18" si="13">H19</f>
        <v>0</v>
      </c>
      <c r="AG15" s="1244">
        <f t="shared" si="13"/>
        <v>0</v>
      </c>
      <c r="AH15" s="1239">
        <f t="shared" si="3"/>
        <v>0</v>
      </c>
      <c r="AI15" s="1244">
        <f t="shared" ref="AI15:AJ18" si="14">J19</f>
        <v>534259.55082691566</v>
      </c>
      <c r="AJ15" s="1244">
        <f t="shared" si="14"/>
        <v>559555.86</v>
      </c>
      <c r="AK15" s="1239">
        <f t="shared" si="4"/>
        <v>-25296.30917308433</v>
      </c>
      <c r="AL15" s="1244">
        <f t="shared" ref="AL15:AM18" si="15">L19</f>
        <v>0</v>
      </c>
      <c r="AM15" s="1244">
        <f t="shared" si="15"/>
        <v>601149.68000000005</v>
      </c>
      <c r="AN15" s="1239">
        <f t="shared" si="5"/>
        <v>-601149.68000000005</v>
      </c>
      <c r="AO15" s="1244">
        <f t="shared" ref="AO15:AP18" si="16">N19</f>
        <v>0</v>
      </c>
      <c r="AP15" s="1244">
        <f t="shared" si="16"/>
        <v>547187.65</v>
      </c>
      <c r="AQ15" s="1239">
        <f t="shared" si="6"/>
        <v>-547187.65</v>
      </c>
      <c r="AR15" s="1244">
        <f t="shared" ref="AR15:AS18" si="17">P19</f>
        <v>0</v>
      </c>
      <c r="AS15" s="1244">
        <f t="shared" si="17"/>
        <v>573153.92000000004</v>
      </c>
      <c r="AT15" s="1239">
        <f t="shared" si="7"/>
        <v>-573153.92000000004</v>
      </c>
      <c r="AU15" s="1244">
        <f>R19</f>
        <v>597617.22904608655</v>
      </c>
      <c r="AV15" s="1239">
        <f t="shared" si="9"/>
        <v>24463.309046086506</v>
      </c>
      <c r="AW15" s="1244">
        <f>S19</f>
        <v>632867.42046056862</v>
      </c>
      <c r="AX15" s="1239">
        <f t="shared" si="8"/>
        <v>-608404.11141448212</v>
      </c>
    </row>
    <row r="16" spans="1:50" ht="24" x14ac:dyDescent="0.2">
      <c r="A16" s="1247" t="s">
        <v>385</v>
      </c>
      <c r="B16" s="1248">
        <f>SUM(B14:B15)</f>
        <v>0</v>
      </c>
      <c r="C16" s="1248">
        <f t="shared" ref="C16:S16" si="18">SUM(C14:C15)</f>
        <v>0</v>
      </c>
      <c r="D16" s="1248">
        <f t="shared" si="18"/>
        <v>0</v>
      </c>
      <c r="E16" s="1248">
        <f t="shared" si="18"/>
        <v>0</v>
      </c>
      <c r="F16" s="1248">
        <f t="shared" si="18"/>
        <v>0</v>
      </c>
      <c r="G16" s="1248">
        <f t="shared" si="18"/>
        <v>0</v>
      </c>
      <c r="H16" s="1248">
        <f t="shared" si="18"/>
        <v>0</v>
      </c>
      <c r="I16" s="1248">
        <f t="shared" si="18"/>
        <v>0</v>
      </c>
      <c r="J16" s="1248">
        <f t="shared" si="18"/>
        <v>948176.93550814409</v>
      </c>
      <c r="K16" s="1248">
        <f t="shared" si="18"/>
        <v>903658.46</v>
      </c>
      <c r="L16" s="1248">
        <f t="shared" si="18"/>
        <v>0</v>
      </c>
      <c r="M16" s="1248">
        <f t="shared" si="18"/>
        <v>1000117.8999999999</v>
      </c>
      <c r="N16" s="1248">
        <f t="shared" si="18"/>
        <v>0</v>
      </c>
      <c r="O16" s="1248">
        <f t="shared" si="18"/>
        <v>1130568.0699999998</v>
      </c>
      <c r="P16" s="1248">
        <f t="shared" si="18"/>
        <v>0</v>
      </c>
      <c r="Q16" s="1248">
        <f t="shared" si="18"/>
        <v>1088603.8599999999</v>
      </c>
      <c r="R16" s="1248">
        <f t="shared" si="18"/>
        <v>1152487.4572899882</v>
      </c>
      <c r="S16" s="1249">
        <f t="shared" si="18"/>
        <v>1161400.4589633534</v>
      </c>
      <c r="T16" s="1250"/>
      <c r="U16" s="1250"/>
      <c r="V16" s="1243" t="s">
        <v>390</v>
      </c>
      <c r="W16" s="1239">
        <f t="shared" si="10"/>
        <v>0</v>
      </c>
      <c r="X16" s="1239">
        <f t="shared" si="10"/>
        <v>0</v>
      </c>
      <c r="Y16" s="1239">
        <f t="shared" si="0"/>
        <v>0</v>
      </c>
      <c r="Z16" s="1239">
        <f t="shared" si="11"/>
        <v>0</v>
      </c>
      <c r="AA16" s="1239">
        <f t="shared" si="11"/>
        <v>0</v>
      </c>
      <c r="AB16" s="1239">
        <f t="shared" si="1"/>
        <v>0</v>
      </c>
      <c r="AC16" s="1239">
        <f t="shared" si="12"/>
        <v>0</v>
      </c>
      <c r="AD16" s="1239">
        <f t="shared" si="12"/>
        <v>0</v>
      </c>
      <c r="AE16" s="1239">
        <f t="shared" si="2"/>
        <v>0</v>
      </c>
      <c r="AF16" s="1244">
        <f t="shared" si="13"/>
        <v>0</v>
      </c>
      <c r="AG16" s="1244">
        <f t="shared" si="13"/>
        <v>0</v>
      </c>
      <c r="AH16" s="1239">
        <f t="shared" si="3"/>
        <v>0</v>
      </c>
      <c r="AI16" s="1244">
        <f t="shared" si="14"/>
        <v>17800</v>
      </c>
      <c r="AJ16" s="1244">
        <f t="shared" si="14"/>
        <v>578</v>
      </c>
      <c r="AK16" s="1239">
        <f t="shared" si="4"/>
        <v>17222</v>
      </c>
      <c r="AL16" s="1244">
        <f t="shared" si="15"/>
        <v>0</v>
      </c>
      <c r="AM16" s="1244">
        <f t="shared" si="15"/>
        <v>757.65</v>
      </c>
      <c r="AN16" s="1239">
        <f t="shared" si="5"/>
        <v>-757.65</v>
      </c>
      <c r="AO16" s="1244">
        <f t="shared" si="16"/>
        <v>0</v>
      </c>
      <c r="AP16" s="1244">
        <f t="shared" si="16"/>
        <v>9700</v>
      </c>
      <c r="AQ16" s="1239">
        <f t="shared" si="6"/>
        <v>-9700</v>
      </c>
      <c r="AR16" s="1244">
        <f t="shared" si="17"/>
        <v>0</v>
      </c>
      <c r="AS16" s="1244">
        <f t="shared" si="17"/>
        <v>4161.21</v>
      </c>
      <c r="AT16" s="1239">
        <f t="shared" si="7"/>
        <v>-4161.21</v>
      </c>
      <c r="AU16" s="1244">
        <f>R20</f>
        <v>12765.056584028665</v>
      </c>
      <c r="AV16" s="1239">
        <f t="shared" si="9"/>
        <v>8603.8465840286663</v>
      </c>
      <c r="AW16" s="1244">
        <f>S20</f>
        <v>11484.753561720259</v>
      </c>
      <c r="AX16" s="1239">
        <f t="shared" si="8"/>
        <v>-2880.9069776915931</v>
      </c>
    </row>
    <row r="17" spans="1:50" ht="24" x14ac:dyDescent="0.2">
      <c r="A17" s="1245" t="s">
        <v>386</v>
      </c>
      <c r="B17" s="1251"/>
      <c r="C17" s="1252" t="str">
        <f>IF(ISERROR((C16-B16)/B16), "", (C16-B16)/B16)</f>
        <v/>
      </c>
      <c r="D17" s="1251"/>
      <c r="E17" s="1252" t="str">
        <f>IF(ISERROR((E16-D16)/D16), "", (E16-D16)/D16)</f>
        <v/>
      </c>
      <c r="F17" s="1251"/>
      <c r="G17" s="1252" t="str">
        <f>IF(ISERROR((G16-F16)/F16), "", (G16-F16)/F16)</f>
        <v/>
      </c>
      <c r="H17" s="1251"/>
      <c r="I17" s="1252" t="str">
        <f>IF(ISERROR((I16-H16)/H16), "", (I16-H16)/H16)</f>
        <v/>
      </c>
      <c r="J17" s="1251"/>
      <c r="K17" s="1252">
        <f>IF(ISERROR((K16-J16)/J16), "", (K16-J16)/J16)</f>
        <v>-4.6951654106926699E-2</v>
      </c>
      <c r="L17" s="1251"/>
      <c r="M17" s="1252" t="str">
        <f>IF(ISERROR((M16-L16)/L16), "", (M16-L16)/L16)</f>
        <v/>
      </c>
      <c r="N17" s="1251"/>
      <c r="O17" s="1252" t="str">
        <f>IF(ISERROR((O16-N16)/N16), "", (O16-N16)/N16)</f>
        <v/>
      </c>
      <c r="P17" s="1251"/>
      <c r="Q17" s="1252" t="str">
        <f>IF(ISERROR((Q16-P16)/P16), "", (Q16-P16)/P16)</f>
        <v/>
      </c>
      <c r="R17" s="1252" t="str">
        <f>IF(ISERROR((R16-#REF!)/#REF!), "", (R16-#REF!)/#REF!)</f>
        <v/>
      </c>
      <c r="S17" s="1253">
        <f>IF(ISERROR((S16-R16)/R16), "", (S16-R16)/R16)</f>
        <v>7.7337081778952156E-3</v>
      </c>
      <c r="T17" s="1254"/>
      <c r="U17" s="1254"/>
      <c r="V17" s="1243" t="s">
        <v>391</v>
      </c>
      <c r="W17" s="1239">
        <f t="shared" si="10"/>
        <v>0</v>
      </c>
      <c r="X17" s="1239">
        <f t="shared" si="10"/>
        <v>0</v>
      </c>
      <c r="Y17" s="1239">
        <f t="shared" si="0"/>
        <v>0</v>
      </c>
      <c r="Z17" s="1239">
        <f t="shared" si="11"/>
        <v>0</v>
      </c>
      <c r="AA17" s="1239">
        <f t="shared" si="11"/>
        <v>0</v>
      </c>
      <c r="AB17" s="1239">
        <f t="shared" si="1"/>
        <v>0</v>
      </c>
      <c r="AC17" s="1239">
        <f t="shared" si="12"/>
        <v>0</v>
      </c>
      <c r="AD17" s="1239">
        <f t="shared" si="12"/>
        <v>0</v>
      </c>
      <c r="AE17" s="1239">
        <f t="shared" si="2"/>
        <v>0</v>
      </c>
      <c r="AF17" s="1244">
        <f t="shared" si="13"/>
        <v>0</v>
      </c>
      <c r="AG17" s="1244">
        <f t="shared" si="13"/>
        <v>0</v>
      </c>
      <c r="AH17" s="1239">
        <f t="shared" si="3"/>
        <v>0</v>
      </c>
      <c r="AI17" s="1244">
        <f t="shared" si="14"/>
        <v>655025.86807409697</v>
      </c>
      <c r="AJ17" s="1244">
        <f t="shared" si="14"/>
        <v>744410.69</v>
      </c>
      <c r="AK17" s="1239">
        <f t="shared" si="4"/>
        <v>-89384.821925902972</v>
      </c>
      <c r="AL17" s="1244">
        <f t="shared" si="15"/>
        <v>0</v>
      </c>
      <c r="AM17" s="1244">
        <f t="shared" si="15"/>
        <v>721093.65999999992</v>
      </c>
      <c r="AN17" s="1239">
        <f t="shared" si="5"/>
        <v>-721093.65999999992</v>
      </c>
      <c r="AO17" s="1244">
        <f t="shared" si="16"/>
        <v>0</v>
      </c>
      <c r="AP17" s="1244">
        <f t="shared" si="16"/>
        <v>844735.11</v>
      </c>
      <c r="AQ17" s="1239">
        <f t="shared" si="6"/>
        <v>-844735.11</v>
      </c>
      <c r="AR17" s="1244">
        <f t="shared" si="17"/>
        <v>0</v>
      </c>
      <c r="AS17" s="1244">
        <f t="shared" si="17"/>
        <v>929201.6399999999</v>
      </c>
      <c r="AT17" s="1239">
        <f t="shared" si="7"/>
        <v>-929201.6399999999</v>
      </c>
      <c r="AU17" s="1244">
        <f>R21</f>
        <v>1141995.0965386515</v>
      </c>
      <c r="AV17" s="1239">
        <f t="shared" si="9"/>
        <v>212793.4565386516</v>
      </c>
      <c r="AW17" s="1244">
        <f>S21</f>
        <v>1159012.4956218726</v>
      </c>
      <c r="AX17" s="1239">
        <f t="shared" si="8"/>
        <v>-946219.039083221</v>
      </c>
    </row>
    <row r="18" spans="1:50" ht="24.75" thickBot="1" x14ac:dyDescent="0.25">
      <c r="A18" s="1245" t="s">
        <v>387</v>
      </c>
      <c r="B18" s="1255"/>
      <c r="C18" s="1256"/>
      <c r="D18" s="1256"/>
      <c r="E18" s="1256"/>
      <c r="F18" s="1256"/>
      <c r="G18" s="1256"/>
      <c r="H18" s="1256"/>
      <c r="I18" s="1256"/>
      <c r="J18" s="1256"/>
      <c r="K18" s="1256"/>
      <c r="L18" s="1256"/>
      <c r="M18" s="1256"/>
      <c r="N18" s="1256"/>
      <c r="O18" s="1256"/>
      <c r="P18" s="1256"/>
      <c r="Q18" s="1256"/>
      <c r="R18" s="1257"/>
      <c r="S18" s="1253" t="str">
        <f>IF(ISERROR((S16-C16)/C16), "", (S16-C16)/C16)</f>
        <v/>
      </c>
      <c r="T18" s="1254"/>
      <c r="U18" s="1254"/>
      <c r="V18" s="1243" t="s">
        <v>573</v>
      </c>
      <c r="W18" s="1239">
        <f t="shared" si="10"/>
        <v>0</v>
      </c>
      <c r="X18" s="1239">
        <f t="shared" si="10"/>
        <v>0</v>
      </c>
      <c r="Y18" s="1239">
        <f t="shared" si="0"/>
        <v>0</v>
      </c>
      <c r="Z18" s="1239">
        <f t="shared" si="11"/>
        <v>0</v>
      </c>
      <c r="AA18" s="1239">
        <f t="shared" si="11"/>
        <v>0</v>
      </c>
      <c r="AB18" s="1239">
        <f t="shared" si="1"/>
        <v>0</v>
      </c>
      <c r="AC18" s="1239">
        <f t="shared" si="12"/>
        <v>0</v>
      </c>
      <c r="AD18" s="1239">
        <f t="shared" si="12"/>
        <v>0</v>
      </c>
      <c r="AE18" s="1239">
        <f t="shared" si="2"/>
        <v>0</v>
      </c>
      <c r="AF18" s="1244">
        <f t="shared" si="13"/>
        <v>0</v>
      </c>
      <c r="AG18" s="1244">
        <f t="shared" si="13"/>
        <v>0</v>
      </c>
      <c r="AH18" s="1239">
        <f t="shared" si="3"/>
        <v>0</v>
      </c>
      <c r="AI18" s="1244">
        <f t="shared" si="14"/>
        <v>1207085.4189010127</v>
      </c>
      <c r="AJ18" s="1244">
        <f t="shared" si="14"/>
        <v>1304544.5499999998</v>
      </c>
      <c r="AK18" s="1239">
        <f t="shared" si="4"/>
        <v>-97459.131098987069</v>
      </c>
      <c r="AL18" s="1244">
        <f t="shared" si="15"/>
        <v>0</v>
      </c>
      <c r="AM18" s="1244">
        <f t="shared" si="15"/>
        <v>1323000.99</v>
      </c>
      <c r="AN18" s="1239">
        <f t="shared" si="5"/>
        <v>-1323000.99</v>
      </c>
      <c r="AO18" s="1244">
        <f t="shared" si="16"/>
        <v>0</v>
      </c>
      <c r="AP18" s="1244">
        <f t="shared" si="16"/>
        <v>1401622.76</v>
      </c>
      <c r="AQ18" s="1239">
        <f t="shared" si="6"/>
        <v>-1401622.76</v>
      </c>
      <c r="AR18" s="1244">
        <f t="shared" si="17"/>
        <v>0</v>
      </c>
      <c r="AS18" s="1244">
        <f t="shared" si="17"/>
        <v>1506516.77</v>
      </c>
      <c r="AT18" s="1239">
        <f t="shared" si="7"/>
        <v>-1506516.77</v>
      </c>
      <c r="AU18" s="1244">
        <f>R22</f>
        <v>1752377.3821687666</v>
      </c>
      <c r="AV18" s="1239">
        <f t="shared" si="9"/>
        <v>245860.61216876656</v>
      </c>
      <c r="AW18" s="1244">
        <f>S22</f>
        <v>1803364.6696441616</v>
      </c>
      <c r="AX18" s="1239">
        <f t="shared" si="8"/>
        <v>-1557504.057475395</v>
      </c>
    </row>
    <row r="19" spans="1:50" ht="72.400000000000006" customHeight="1" thickBot="1" x14ac:dyDescent="0.25">
      <c r="A19" s="1245" t="s">
        <v>90</v>
      </c>
      <c r="B19" s="926"/>
      <c r="C19" s="926"/>
      <c r="D19" s="1246"/>
      <c r="E19" s="926"/>
      <c r="F19" s="1246"/>
      <c r="G19" s="926"/>
      <c r="H19" s="1246"/>
      <c r="I19" s="926"/>
      <c r="J19" s="925">
        <v>534259.55082691566</v>
      </c>
      <c r="K19" s="925">
        <v>559555.86</v>
      </c>
      <c r="L19" s="1246"/>
      <c r="M19" s="925">
        <v>601149.68000000005</v>
      </c>
      <c r="N19" s="1246"/>
      <c r="O19" s="925">
        <v>547187.65</v>
      </c>
      <c r="P19" s="1246"/>
      <c r="Q19" s="925">
        <v>573153.92000000004</v>
      </c>
      <c r="R19" s="925">
        <v>597617.22904608655</v>
      </c>
      <c r="S19" s="925">
        <v>632867.42046056862</v>
      </c>
      <c r="T19" s="1242"/>
      <c r="U19" s="1242"/>
      <c r="V19" s="1243" t="s">
        <v>572</v>
      </c>
      <c r="W19" s="1239"/>
      <c r="X19" s="1258"/>
      <c r="Y19" s="1258"/>
      <c r="Z19" s="1239"/>
      <c r="AA19" s="1239"/>
      <c r="AB19" s="1258"/>
      <c r="AC19" s="1239"/>
      <c r="AD19" s="1239"/>
      <c r="AE19" s="1258"/>
      <c r="AF19" s="1258"/>
      <c r="AG19" s="1258"/>
      <c r="AH19" s="1258"/>
      <c r="AI19" s="1258"/>
      <c r="AJ19" s="1258"/>
      <c r="AK19" s="1258"/>
      <c r="AL19" s="1258"/>
      <c r="AM19" s="1258"/>
      <c r="AN19" s="1258"/>
      <c r="AO19" s="1258"/>
      <c r="AP19" s="1258"/>
      <c r="AQ19" s="1258"/>
      <c r="AR19" s="1258"/>
      <c r="AS19" s="1258"/>
      <c r="AT19" s="1258"/>
      <c r="AU19" s="1258"/>
      <c r="AV19" s="1258"/>
      <c r="AW19" s="1258"/>
      <c r="AX19" s="1258"/>
    </row>
    <row r="20" spans="1:50" ht="24.75" thickBot="1" x14ac:dyDescent="0.25">
      <c r="A20" s="1245" t="s">
        <v>104</v>
      </c>
      <c r="B20" s="926"/>
      <c r="C20" s="926"/>
      <c r="D20" s="1246"/>
      <c r="E20" s="926"/>
      <c r="F20" s="1246"/>
      <c r="G20" s="926"/>
      <c r="H20" s="1246"/>
      <c r="I20" s="926"/>
      <c r="J20" s="925">
        <v>17800</v>
      </c>
      <c r="K20" s="925">
        <v>578</v>
      </c>
      <c r="L20" s="1246"/>
      <c r="M20" s="925">
        <v>757.65</v>
      </c>
      <c r="N20" s="1246"/>
      <c r="O20" s="925">
        <v>9700</v>
      </c>
      <c r="P20" s="1246"/>
      <c r="Q20" s="925">
        <v>4161.21</v>
      </c>
      <c r="R20" s="925">
        <v>12765.056584028665</v>
      </c>
      <c r="S20" s="925">
        <v>11484.753561720259</v>
      </c>
      <c r="T20" s="1242"/>
      <c r="U20" s="1242"/>
      <c r="V20" s="1243" t="s">
        <v>542</v>
      </c>
      <c r="W20" s="1239">
        <f t="shared" ref="W20:AE20" si="19">W18-W19</f>
        <v>0</v>
      </c>
      <c r="X20" s="1239">
        <f t="shared" si="19"/>
        <v>0</v>
      </c>
      <c r="Y20" s="1239">
        <f t="shared" si="19"/>
        <v>0</v>
      </c>
      <c r="Z20" s="1239">
        <f t="shared" si="19"/>
        <v>0</v>
      </c>
      <c r="AA20" s="1239">
        <f t="shared" si="19"/>
        <v>0</v>
      </c>
      <c r="AB20" s="1239">
        <f t="shared" si="19"/>
        <v>0</v>
      </c>
      <c r="AC20" s="1239">
        <f t="shared" si="19"/>
        <v>0</v>
      </c>
      <c r="AD20" s="1239">
        <f t="shared" si="19"/>
        <v>0</v>
      </c>
      <c r="AE20" s="1239">
        <f t="shared" si="19"/>
        <v>0</v>
      </c>
      <c r="AF20" s="1239">
        <f t="shared" ref="AF20:AS20" si="20">AF18-AF19</f>
        <v>0</v>
      </c>
      <c r="AG20" s="1239">
        <f t="shared" si="20"/>
        <v>0</v>
      </c>
      <c r="AH20" s="1239">
        <f t="shared" si="20"/>
        <v>0</v>
      </c>
      <c r="AI20" s="1239">
        <f t="shared" si="20"/>
        <v>1207085.4189010127</v>
      </c>
      <c r="AJ20" s="1239">
        <f t="shared" si="20"/>
        <v>1304544.5499999998</v>
      </c>
      <c r="AK20" s="1239">
        <f t="shared" si="20"/>
        <v>-97459.131098987069</v>
      </c>
      <c r="AL20" s="1239">
        <f t="shared" si="20"/>
        <v>0</v>
      </c>
      <c r="AM20" s="1239">
        <f t="shared" si="20"/>
        <v>1323000.99</v>
      </c>
      <c r="AN20" s="1239">
        <f t="shared" si="20"/>
        <v>-1323000.99</v>
      </c>
      <c r="AO20" s="1239">
        <f t="shared" si="20"/>
        <v>0</v>
      </c>
      <c r="AP20" s="1239">
        <f t="shared" si="20"/>
        <v>1401622.76</v>
      </c>
      <c r="AQ20" s="1239">
        <f>AQ18-AQ19</f>
        <v>-1401622.76</v>
      </c>
      <c r="AR20" s="1239">
        <f>AR18-AR19</f>
        <v>0</v>
      </c>
      <c r="AS20" s="1239">
        <f t="shared" si="20"/>
        <v>1506516.77</v>
      </c>
      <c r="AT20" s="1239">
        <f t="shared" ref="AT20:AX20" si="21">AT18-AT19</f>
        <v>-1506516.77</v>
      </c>
      <c r="AU20" s="1239">
        <f t="shared" si="21"/>
        <v>1752377.3821687666</v>
      </c>
      <c r="AV20" s="1239">
        <f t="shared" si="21"/>
        <v>245860.61216876656</v>
      </c>
      <c r="AW20" s="1239">
        <f t="shared" si="21"/>
        <v>1803364.6696441616</v>
      </c>
      <c r="AX20" s="1239">
        <f t="shared" si="21"/>
        <v>-1557504.057475395</v>
      </c>
    </row>
    <row r="21" spans="1:50" ht="24" x14ac:dyDescent="0.2">
      <c r="A21" s="1245" t="s">
        <v>150</v>
      </c>
      <c r="B21" s="926"/>
      <c r="C21" s="926"/>
      <c r="D21" s="1246"/>
      <c r="E21" s="926"/>
      <c r="F21" s="1246"/>
      <c r="G21" s="926"/>
      <c r="H21" s="1246"/>
      <c r="I21" s="926"/>
      <c r="J21" s="925">
        <v>655025.86807409697</v>
      </c>
      <c r="K21" s="925">
        <v>744410.69</v>
      </c>
      <c r="L21" s="1246"/>
      <c r="M21" s="925">
        <v>721093.65999999992</v>
      </c>
      <c r="N21" s="1246"/>
      <c r="O21" s="925">
        <v>844735.11</v>
      </c>
      <c r="P21" s="1246"/>
      <c r="Q21" s="925">
        <v>929201.6399999999</v>
      </c>
      <c r="R21" s="925">
        <v>1141995.0965386515</v>
      </c>
      <c r="S21" s="925">
        <v>1159012.4956218726</v>
      </c>
      <c r="T21" s="1242"/>
      <c r="U21" s="1242"/>
      <c r="V21" s="1243" t="s">
        <v>392</v>
      </c>
      <c r="W21" s="1259"/>
      <c r="X21" s="1259"/>
      <c r="Y21" s="1260"/>
      <c r="Z21" s="1261"/>
      <c r="AA21" s="1262">
        <f>AA20-X20</f>
        <v>0</v>
      </c>
      <c r="AB21" s="1261"/>
      <c r="AC21" s="1261"/>
      <c r="AD21" s="1262">
        <f>AD20-AA20</f>
        <v>0</v>
      </c>
      <c r="AE21" s="1261"/>
      <c r="AF21" s="1261"/>
      <c r="AG21" s="1262">
        <f>AG20-AD20</f>
        <v>0</v>
      </c>
      <c r="AH21" s="1261"/>
      <c r="AI21" s="1261"/>
      <c r="AJ21" s="1262">
        <f>AJ20-AG20</f>
        <v>1304544.5499999998</v>
      </c>
      <c r="AK21" s="1261"/>
      <c r="AL21" s="1261"/>
      <c r="AM21" s="1262">
        <f>AM20-AJ20</f>
        <v>18456.440000000177</v>
      </c>
      <c r="AN21" s="1261"/>
      <c r="AO21" s="1261"/>
      <c r="AP21" s="1262">
        <f>AP20-AM20</f>
        <v>78621.770000000019</v>
      </c>
      <c r="AQ21" s="1261"/>
      <c r="AR21" s="1261"/>
      <c r="AS21" s="1262">
        <f>AS20-AP20</f>
        <v>104894.01000000001</v>
      </c>
      <c r="AT21" s="1261"/>
      <c r="AU21" s="1262">
        <f>AU20-AS20</f>
        <v>245860.61216876656</v>
      </c>
      <c r="AV21" s="1261"/>
      <c r="AW21" s="1262">
        <f>AW20-AU20</f>
        <v>50987.287475395016</v>
      </c>
      <c r="AX21" s="1263"/>
    </row>
    <row r="22" spans="1:50" ht="24" x14ac:dyDescent="0.2">
      <c r="A22" s="1247" t="s">
        <v>385</v>
      </c>
      <c r="B22" s="1248">
        <f>SUM(B19:B21)</f>
        <v>0</v>
      </c>
      <c r="C22" s="1248">
        <f t="shared" ref="C22:P22" si="22">SUM(C19:C21)</f>
        <v>0</v>
      </c>
      <c r="D22" s="1248">
        <f t="shared" si="22"/>
        <v>0</v>
      </c>
      <c r="E22" s="1248">
        <f t="shared" si="22"/>
        <v>0</v>
      </c>
      <c r="F22" s="1248">
        <f t="shared" si="22"/>
        <v>0</v>
      </c>
      <c r="G22" s="1248">
        <f t="shared" si="22"/>
        <v>0</v>
      </c>
      <c r="H22" s="1248">
        <f t="shared" si="22"/>
        <v>0</v>
      </c>
      <c r="I22" s="1248">
        <f t="shared" si="22"/>
        <v>0</v>
      </c>
      <c r="J22" s="1248">
        <f t="shared" si="22"/>
        <v>1207085.4189010127</v>
      </c>
      <c r="K22" s="1248">
        <f t="shared" si="22"/>
        <v>1304544.5499999998</v>
      </c>
      <c r="L22" s="1248">
        <f t="shared" si="22"/>
        <v>0</v>
      </c>
      <c r="M22" s="1248">
        <f t="shared" si="22"/>
        <v>1323000.99</v>
      </c>
      <c r="N22" s="1248">
        <f t="shared" si="22"/>
        <v>0</v>
      </c>
      <c r="O22" s="1248">
        <f t="shared" si="22"/>
        <v>1401622.76</v>
      </c>
      <c r="P22" s="1248">
        <f t="shared" si="22"/>
        <v>0</v>
      </c>
      <c r="Q22" s="1248">
        <f>SUM(Q19:Q21)</f>
        <v>1506516.77</v>
      </c>
      <c r="R22" s="1248">
        <f>SUM(R19:R21)</f>
        <v>1752377.3821687666</v>
      </c>
      <c r="S22" s="1249">
        <f>SUM(S19:S21)</f>
        <v>1803364.6696441616</v>
      </c>
      <c r="T22" s="1250"/>
      <c r="U22" s="1250"/>
      <c r="V22" s="1243" t="s">
        <v>393</v>
      </c>
      <c r="W22" s="1264"/>
      <c r="X22" s="1264"/>
      <c r="Y22" s="1265"/>
      <c r="Z22" s="1266"/>
      <c r="AA22" s="1267" t="str">
        <f>IF(ISERROR(AA21/X20), "", AA21/X20)</f>
        <v/>
      </c>
      <c r="AB22" s="1266"/>
      <c r="AC22" s="1266"/>
      <c r="AD22" s="1267" t="str">
        <f>IF(ISERROR(AD21/AA20), "", AD21/AA20)</f>
        <v/>
      </c>
      <c r="AE22" s="1266"/>
      <c r="AF22" s="1266"/>
      <c r="AG22" s="1267" t="str">
        <f>IF(ISERROR(AG21/AD20), "", AG21/AD20)</f>
        <v/>
      </c>
      <c r="AH22" s="1266"/>
      <c r="AI22" s="1266"/>
      <c r="AJ22" s="1267" t="str">
        <f>IF(ISERROR(AJ21/AG20), "", AJ21/AG20)</f>
        <v/>
      </c>
      <c r="AK22" s="1266"/>
      <c r="AL22" s="1266"/>
      <c r="AM22" s="1267">
        <f>IF(ISERROR(AM21/AJ20), "", AM21/AJ20)</f>
        <v>1.4147803538024193E-2</v>
      </c>
      <c r="AN22" s="1266"/>
      <c r="AO22" s="1266"/>
      <c r="AP22" s="1267">
        <f>IF(ISERROR(AP21/AM20), "", AP21/AM20)</f>
        <v>5.9426841396392316E-2</v>
      </c>
      <c r="AQ22" s="1266"/>
      <c r="AR22" s="1266"/>
      <c r="AS22" s="1267">
        <f>IF(ISERROR(AS21/AP20), "", AS21/AP20)</f>
        <v>7.4837547586627376E-2</v>
      </c>
      <c r="AT22" s="1266"/>
      <c r="AU22" s="1267">
        <f>IF(ISERROR(AU21/AS20), "", AU21/AS20)</f>
        <v>0.16319805863745318</v>
      </c>
      <c r="AV22" s="1266"/>
      <c r="AW22" s="1267">
        <f>IF(ISERROR(AW21/AU20), "", AW21/AU20)</f>
        <v>2.9096065718613898E-2</v>
      </c>
      <c r="AX22" s="1268"/>
    </row>
    <row r="23" spans="1:50" ht="36" x14ac:dyDescent="0.2">
      <c r="A23" s="1245" t="s">
        <v>386</v>
      </c>
      <c r="B23" s="1251"/>
      <c r="C23" s="1269" t="str">
        <f>IF(ISERROR((C22-B22)/B22), "", (C22-B22)/B22)</f>
        <v/>
      </c>
      <c r="D23" s="1251"/>
      <c r="E23" s="1269" t="str">
        <f>IF(ISERROR((E22-D22)/D22), "", (E22-D22)/D22)</f>
        <v/>
      </c>
      <c r="F23" s="1251"/>
      <c r="G23" s="1269" t="str">
        <f>IF(ISERROR((G22-F22)/F22), "", (G22-F22)/F22)</f>
        <v/>
      </c>
      <c r="H23" s="1251"/>
      <c r="I23" s="1269" t="str">
        <f>IF(ISERROR((I22-H22)/H22), "", (I22-H22)/H22)</f>
        <v/>
      </c>
      <c r="J23" s="1251"/>
      <c r="K23" s="1269">
        <f>IF(ISERROR((K22-J22)/J22), "", (K22-J22)/J22)</f>
        <v>8.0739216606326367E-2</v>
      </c>
      <c r="L23" s="1251"/>
      <c r="M23" s="1269" t="str">
        <f>IF(ISERROR((M22-L22)/L22), "", (M22-L22)/L22)</f>
        <v/>
      </c>
      <c r="N23" s="1251"/>
      <c r="O23" s="1269" t="str">
        <f>IF(ISERROR((O22-N22)/N22), "", (O22-N22)/N22)</f>
        <v/>
      </c>
      <c r="P23" s="1251"/>
      <c r="Q23" s="1252" t="str">
        <f>IF(ISERROR((Q22-P22)/P22), "", (Q22-P22)/P22)</f>
        <v/>
      </c>
      <c r="R23" s="1252" t="str">
        <f>IF(ISERROR((R22-#REF!)/#REF!), "", (R22-#REF!)/#REF!)</f>
        <v/>
      </c>
      <c r="S23" s="1253">
        <f>IF(ISERROR((S22-R22)/R22), "", (S22-R22)/R22)</f>
        <v>2.9096065718613898E-2</v>
      </c>
      <c r="T23" s="1254"/>
      <c r="U23" s="1254"/>
      <c r="V23" s="1243" t="s">
        <v>394</v>
      </c>
      <c r="W23" s="1270"/>
      <c r="X23" s="1270"/>
      <c r="Y23" s="1271"/>
      <c r="Z23" s="1272"/>
      <c r="AA23" s="1272"/>
      <c r="AB23" s="1272"/>
      <c r="AC23" s="1272"/>
      <c r="AD23" s="1272"/>
      <c r="AE23" s="1272"/>
      <c r="AF23" s="1272"/>
      <c r="AG23" s="1272"/>
      <c r="AH23" s="1272"/>
      <c r="AI23" s="1272"/>
      <c r="AJ23" s="1272"/>
      <c r="AK23" s="1272"/>
      <c r="AL23" s="1272"/>
      <c r="AM23" s="1272"/>
      <c r="AN23" s="1272"/>
      <c r="AO23" s="1272"/>
      <c r="AP23" s="1272"/>
      <c r="AQ23" s="1272"/>
      <c r="AR23" s="1272"/>
      <c r="AS23" s="1273">
        <f>IF(ISERROR((AW20-AS20)/AS20), "", (AW20-AS20)/AS20)</f>
        <v>0.19704254579533262</v>
      </c>
      <c r="AT23" s="1272"/>
      <c r="AU23" s="1272"/>
      <c r="AV23" s="1272"/>
      <c r="AW23" s="1272"/>
      <c r="AX23" s="1274"/>
    </row>
    <row r="24" spans="1:50" ht="36" x14ac:dyDescent="0.2">
      <c r="A24" s="1245" t="s">
        <v>387</v>
      </c>
      <c r="B24" s="1255"/>
      <c r="C24" s="1256"/>
      <c r="D24" s="1256"/>
      <c r="E24" s="1256"/>
      <c r="F24" s="1256"/>
      <c r="G24" s="1256"/>
      <c r="H24" s="1256"/>
      <c r="I24" s="1256"/>
      <c r="J24" s="1256"/>
      <c r="K24" s="1256"/>
      <c r="L24" s="1256"/>
      <c r="M24" s="1256"/>
      <c r="N24" s="1256"/>
      <c r="O24" s="1256"/>
      <c r="P24" s="1256"/>
      <c r="Q24" s="1256"/>
      <c r="R24" s="1257"/>
      <c r="S24" s="1253" t="str">
        <f>IF(ISERROR((S22-C22)/C22), "", (S22-C22)/C22)</f>
        <v/>
      </c>
      <c r="T24" s="1254"/>
      <c r="U24" s="1254"/>
      <c r="V24" s="1243" t="s">
        <v>151</v>
      </c>
      <c r="W24" s="1271"/>
      <c r="X24" s="1271"/>
      <c r="Y24" s="1271"/>
      <c r="Z24" s="1272"/>
      <c r="AA24" s="1272"/>
      <c r="AB24" s="1272"/>
      <c r="AC24" s="1272"/>
      <c r="AD24" s="1272"/>
      <c r="AE24" s="1272"/>
      <c r="AF24" s="1272"/>
      <c r="AG24" s="1272"/>
      <c r="AH24" s="1272"/>
      <c r="AI24" s="1272"/>
      <c r="AJ24" s="1272"/>
      <c r="AK24" s="1272"/>
      <c r="AL24" s="1272"/>
      <c r="AM24" s="1272"/>
      <c r="AN24" s="1272"/>
      <c r="AO24" s="1272"/>
      <c r="AP24" s="1272"/>
      <c r="AQ24" s="1272"/>
      <c r="AR24" s="1272"/>
      <c r="AS24" s="1273">
        <f>AVERAGE(AA22:AW22)</f>
        <v>6.8141263375422187E-2</v>
      </c>
      <c r="AT24" s="1272"/>
      <c r="AU24" s="1272"/>
      <c r="AV24" s="1272"/>
      <c r="AW24" s="1272"/>
      <c r="AX24" s="1274"/>
    </row>
    <row r="25" spans="1:50" ht="36" x14ac:dyDescent="0.2">
      <c r="A25" s="1247" t="s">
        <v>272</v>
      </c>
      <c r="B25" s="1248">
        <f>SUM(B22,B16)</f>
        <v>0</v>
      </c>
      <c r="C25" s="1248">
        <f t="shared" ref="C25:P25" si="23">SUM(C22,C16)</f>
        <v>0</v>
      </c>
      <c r="D25" s="1248">
        <f t="shared" si="23"/>
        <v>0</v>
      </c>
      <c r="E25" s="1248">
        <f t="shared" si="23"/>
        <v>0</v>
      </c>
      <c r="F25" s="1248">
        <f t="shared" si="23"/>
        <v>0</v>
      </c>
      <c r="G25" s="1248">
        <f t="shared" si="23"/>
        <v>0</v>
      </c>
      <c r="H25" s="1248">
        <f t="shared" si="23"/>
        <v>0</v>
      </c>
      <c r="I25" s="1248">
        <f t="shared" si="23"/>
        <v>0</v>
      </c>
      <c r="J25" s="1248">
        <f t="shared" si="23"/>
        <v>2155262.3544091568</v>
      </c>
      <c r="K25" s="1248">
        <f t="shared" si="23"/>
        <v>2208203.0099999998</v>
      </c>
      <c r="L25" s="1248">
        <f t="shared" si="23"/>
        <v>0</v>
      </c>
      <c r="M25" s="1248">
        <f>SUM(M22,M16)</f>
        <v>2323118.8899999997</v>
      </c>
      <c r="N25" s="1248">
        <f t="shared" si="23"/>
        <v>0</v>
      </c>
      <c r="O25" s="1248">
        <f t="shared" si="23"/>
        <v>2532190.83</v>
      </c>
      <c r="P25" s="1248">
        <f t="shared" si="23"/>
        <v>0</v>
      </c>
      <c r="Q25" s="1248">
        <f>SUM(Q22,Q16)</f>
        <v>2595120.63</v>
      </c>
      <c r="R25" s="1248">
        <f>SUM(R22,R16)</f>
        <v>2904864.8394587548</v>
      </c>
      <c r="S25" s="1249">
        <f>SUM(S22,S16)</f>
        <v>2964765.1286075152</v>
      </c>
      <c r="T25" s="1250"/>
      <c r="U25" s="1250"/>
      <c r="V25" s="1243" t="s">
        <v>410</v>
      </c>
      <c r="W25" s="1271"/>
      <c r="X25" s="1271"/>
      <c r="Y25" s="1271"/>
      <c r="Z25" s="1272"/>
      <c r="AA25" s="1272"/>
      <c r="AB25" s="1272"/>
      <c r="AC25" s="1272"/>
      <c r="AD25" s="1272"/>
      <c r="AE25" s="1272"/>
      <c r="AF25" s="1272"/>
      <c r="AG25" s="1272"/>
      <c r="AH25" s="1272"/>
      <c r="AI25" s="1272"/>
      <c r="AJ25" s="1272"/>
      <c r="AK25" s="1272"/>
      <c r="AL25" s="1272"/>
      <c r="AM25" s="1272"/>
      <c r="AN25" s="1272"/>
      <c r="AO25" s="1272"/>
      <c r="AP25" s="1272"/>
      <c r="AQ25" s="1272"/>
      <c r="AR25" s="1272"/>
      <c r="AS25" s="1272"/>
      <c r="AT25" s="1272"/>
      <c r="AU25" s="1272"/>
      <c r="AV25" s="1272"/>
      <c r="AW25" s="1272"/>
      <c r="AX25" s="1275" t="e">
        <f>IF((AW20-AO20)=0, "", (AW20/AO20)^(1/(L2-L1-1))-1)</f>
        <v>#DIV/0!</v>
      </c>
    </row>
    <row r="26" spans="1:50" ht="13.5" thickBot="1" x14ac:dyDescent="0.25">
      <c r="A26" s="1276" t="s">
        <v>386</v>
      </c>
      <c r="B26" s="1251"/>
      <c r="C26" s="1269" t="str">
        <f>IF(ISERROR((C25-B25)/B25), "", (C25-B25)/B25)</f>
        <v/>
      </c>
      <c r="D26" s="1251"/>
      <c r="E26" s="1269" t="str">
        <f>IF(ISERROR((E25-D25)/D25), "", (E25-D25)/D25)</f>
        <v/>
      </c>
      <c r="F26" s="1251"/>
      <c r="G26" s="1269" t="str">
        <f>IF(ISERROR((G25-F25)/F25), "", (G25-F25)/F25)</f>
        <v/>
      </c>
      <c r="H26" s="1251"/>
      <c r="I26" s="1269" t="str">
        <f>IF(ISERROR((I25-H25)/H25), "", (I25-H25)/H25)</f>
        <v/>
      </c>
      <c r="J26" s="1251"/>
      <c r="K26" s="1269">
        <f>IF(ISERROR((K25-J25)/J25), "", (K25-J25)/J25)</f>
        <v>2.4563439101758951E-2</v>
      </c>
      <c r="L26" s="1251"/>
      <c r="M26" s="1269" t="str">
        <f>IF(ISERROR((M25-L25)/L25), "", (M25-L25)/L25)</f>
        <v/>
      </c>
      <c r="N26" s="1251"/>
      <c r="O26" s="1269" t="str">
        <f>IF(ISERROR((O25-N25)/N25), "", (O25-N25)/N25)</f>
        <v/>
      </c>
      <c r="P26" s="1251"/>
      <c r="Q26" s="1252" t="str">
        <f>IF(ISERROR((Q25-P25)/P25), "", (Q25-P25)/P25)</f>
        <v/>
      </c>
      <c r="R26" s="1252" t="str">
        <f>IF(ISERROR((R25-#REF!)/#REF!), "", (R25-#REF!)/#REF!)</f>
        <v/>
      </c>
      <c r="S26" s="1277">
        <f>IF(ISERROR((S25-R25)/R25), "", (S25-R25)/R25)</f>
        <v>2.0620680292967208E-2</v>
      </c>
      <c r="T26" s="1254"/>
      <c r="U26" s="1254"/>
      <c r="V26" s="1278" t="e">
        <f>"Compound Growth Rate                                                            (" &amp;#REF! &amp; " vs. " &amp; 'LDC Info'!E28 &amp; " Actuals)"</f>
        <v>#REF!</v>
      </c>
      <c r="W26" s="1279"/>
      <c r="X26" s="1279"/>
      <c r="Y26" s="1279"/>
      <c r="Z26" s="1280"/>
      <c r="AA26" s="1280"/>
      <c r="AB26" s="1280"/>
      <c r="AC26" s="1280"/>
      <c r="AD26" s="1280"/>
      <c r="AE26" s="1280"/>
      <c r="AF26" s="1280"/>
      <c r="AG26" s="1280"/>
      <c r="AH26" s="1280"/>
      <c r="AI26" s="1280"/>
      <c r="AJ26" s="1280"/>
      <c r="AK26" s="1280"/>
      <c r="AL26" s="1280"/>
      <c r="AM26" s="1280"/>
      <c r="AN26" s="1280"/>
      <c r="AO26" s="1280"/>
      <c r="AP26" s="1280"/>
      <c r="AQ26" s="1280"/>
      <c r="AR26" s="1280"/>
      <c r="AS26" s="1281" t="str">
        <f>IF(ISERROR((AS20/AO20)^(1/(L2-L1-3)) - 1), "", (AS20/AO20)^(1/(L2-L1-3)) - 1)</f>
        <v/>
      </c>
      <c r="AT26" s="1280"/>
      <c r="AU26" s="1280"/>
      <c r="AV26" s="1280"/>
      <c r="AW26" s="1280"/>
      <c r="AX26" s="1282"/>
    </row>
    <row r="27" spans="1:50" x14ac:dyDescent="0.2">
      <c r="A27" s="1283"/>
      <c r="B27" s="1284"/>
      <c r="C27" s="1284"/>
      <c r="D27" s="1284"/>
      <c r="E27" s="1284"/>
      <c r="F27" s="1284"/>
      <c r="G27" s="1284"/>
      <c r="H27" s="1284"/>
      <c r="I27" s="1284"/>
      <c r="J27" s="1284"/>
      <c r="K27" s="1284"/>
      <c r="L27" s="1284"/>
      <c r="M27" s="1284"/>
      <c r="N27" s="1284"/>
      <c r="O27" s="1284"/>
      <c r="P27" s="1284"/>
      <c r="Q27" s="1285"/>
      <c r="R27" s="1285"/>
      <c r="S27" s="1284"/>
      <c r="T27" s="1286"/>
      <c r="U27" s="1286"/>
      <c r="V27" s="1287"/>
      <c r="W27" s="1287"/>
      <c r="X27" s="1287"/>
      <c r="Y27" s="1287"/>
      <c r="Z27" s="1287"/>
      <c r="AA27" s="1287"/>
      <c r="AB27" s="1287"/>
      <c r="AC27" s="1287"/>
      <c r="AD27" s="1287"/>
      <c r="AE27" s="1287"/>
      <c r="AF27" s="1287"/>
      <c r="AG27" s="1287"/>
      <c r="AH27" s="1287"/>
      <c r="AI27" s="1287"/>
      <c r="AJ27" s="1287"/>
      <c r="AK27" s="1287"/>
      <c r="AL27" s="1287"/>
      <c r="AM27" s="1287"/>
      <c r="AN27" s="1287"/>
      <c r="AO27" s="1287"/>
      <c r="AP27" s="1287"/>
      <c r="AQ27" s="1287"/>
      <c r="AR27" s="1287"/>
      <c r="AS27" s="1287"/>
      <c r="AT27" s="1287"/>
      <c r="AU27" s="1287"/>
      <c r="AV27" s="1287"/>
      <c r="AW27" s="1287"/>
      <c r="AX27" s="1287"/>
    </row>
    <row r="28" spans="1:50" ht="13.5" thickBot="1" x14ac:dyDescent="0.25">
      <c r="A28" s="1283"/>
      <c r="B28" s="1283"/>
      <c r="C28" s="1283"/>
      <c r="D28" s="1283"/>
      <c r="E28" s="1283"/>
      <c r="F28" s="1283"/>
      <c r="G28" s="1283"/>
      <c r="H28" s="1283"/>
      <c r="I28" s="1283"/>
      <c r="J28" s="1283"/>
      <c r="K28" s="1283"/>
      <c r="L28" s="1283"/>
      <c r="M28" s="1283"/>
      <c r="N28" s="1283"/>
      <c r="O28" s="1283"/>
      <c r="P28" s="1283"/>
      <c r="Q28" s="1283"/>
      <c r="R28" s="1283"/>
      <c r="S28" s="1283"/>
      <c r="T28" s="1287"/>
      <c r="U28" s="1287"/>
      <c r="V28" s="1287"/>
      <c r="W28" s="1287"/>
      <c r="X28" s="1287"/>
      <c r="Y28" s="1287"/>
      <c r="Z28" s="1287"/>
      <c r="AA28" s="1287"/>
      <c r="AB28" s="1287"/>
      <c r="AC28" s="1287"/>
      <c r="AD28" s="1287"/>
      <c r="AE28" s="1287"/>
      <c r="AF28" s="1287"/>
      <c r="AG28" s="1287"/>
      <c r="AH28" s="1287"/>
      <c r="AI28" s="1287"/>
      <c r="AJ28" s="1287"/>
      <c r="AK28" s="1287"/>
      <c r="AL28" s="1287"/>
      <c r="AM28" s="1287"/>
      <c r="AN28" s="1287"/>
      <c r="AO28" s="1287"/>
      <c r="AP28" s="1287"/>
      <c r="AQ28" s="1287"/>
      <c r="AR28" s="1287"/>
      <c r="AS28" s="1287"/>
      <c r="AT28" s="1287"/>
      <c r="AU28" s="1287"/>
      <c r="AV28" s="1287"/>
      <c r="AW28" s="1287"/>
      <c r="AX28" s="1287"/>
    </row>
    <row r="29" spans="1:50" ht="64.5" thickBot="1" x14ac:dyDescent="0.25">
      <c r="T29" s="1287"/>
      <c r="U29" s="1287"/>
      <c r="V29" s="1288"/>
      <c r="W29" s="1289" t="str">
        <f>B12</f>
        <v>2010  Board Approved</v>
      </c>
      <c r="X29" s="1289" t="str">
        <f>C12</f>
        <v>2010  Actuals</v>
      </c>
      <c r="Y29" s="1232" t="s">
        <v>1224</v>
      </c>
      <c r="Z29" s="1232" t="s">
        <v>1225</v>
      </c>
      <c r="AA29" s="1232" t="s">
        <v>1226</v>
      </c>
      <c r="AB29" s="1232" t="s">
        <v>1228</v>
      </c>
      <c r="AC29" s="1232" t="s">
        <v>1229</v>
      </c>
      <c r="AD29" s="1232" t="s">
        <v>1227</v>
      </c>
      <c r="AE29" s="1232" t="s">
        <v>1231</v>
      </c>
      <c r="AF29" s="1232" t="s">
        <v>1221</v>
      </c>
      <c r="AG29" s="1232" t="s">
        <v>1230</v>
      </c>
      <c r="AH29" s="1232" t="s">
        <v>1233</v>
      </c>
      <c r="AI29" s="1232" t="s">
        <v>1234</v>
      </c>
      <c r="AJ29" s="1232" t="s">
        <v>1232</v>
      </c>
      <c r="AK29" s="1232" t="s">
        <v>1236</v>
      </c>
      <c r="AL29" s="1232" t="s">
        <v>1237</v>
      </c>
      <c r="AM29" s="1232" t="s">
        <v>1235</v>
      </c>
      <c r="AN29" s="1232" t="s">
        <v>1238</v>
      </c>
      <c r="AO29" s="1232" t="s">
        <v>1239</v>
      </c>
      <c r="AP29" s="1232" t="str">
        <f>BridgeYear -2 &amp; " Actuals"</f>
        <v>2016 Actuals</v>
      </c>
      <c r="AQ29" s="1232" t="s">
        <v>1242</v>
      </c>
      <c r="AR29" s="1232" t="s">
        <v>1240</v>
      </c>
      <c r="AS29" s="1232" t="str">
        <f>BridgeYear -1 &amp; " Actuals"</f>
        <v>2017 Actuals</v>
      </c>
      <c r="AT29" s="1232" t="str">
        <f>BridgeYear &amp; " Bridge Year"</f>
        <v>2018 Bridge Year</v>
      </c>
      <c r="AU29" s="1233" t="str">
        <f>TestYear &amp; " Test Year"</f>
        <v>2019 Test Year</v>
      </c>
      <c r="AV29" s="1287"/>
      <c r="AW29" s="1287"/>
      <c r="AX29" s="1287"/>
    </row>
    <row r="30" spans="1:50" x14ac:dyDescent="0.2">
      <c r="T30" s="1287"/>
      <c r="U30" s="1287"/>
      <c r="V30" s="1245" t="s">
        <v>102</v>
      </c>
      <c r="W30" s="1290">
        <f t="shared" ref="W30:Z31" si="24">B14</f>
        <v>0</v>
      </c>
      <c r="X30" s="1290">
        <f t="shared" si="24"/>
        <v>0</v>
      </c>
      <c r="Y30" s="1290">
        <f t="shared" si="24"/>
        <v>0</v>
      </c>
      <c r="Z30" s="1290">
        <f t="shared" si="24"/>
        <v>0</v>
      </c>
      <c r="AA30" s="1290">
        <f t="shared" ref="AA30:AC31" si="25">E14</f>
        <v>0</v>
      </c>
      <c r="AB30" s="1290">
        <f t="shared" si="25"/>
        <v>0</v>
      </c>
      <c r="AC30" s="1290">
        <f t="shared" si="25"/>
        <v>0</v>
      </c>
      <c r="AD30" s="1290">
        <f t="shared" ref="AD30:AF31" si="26">G14</f>
        <v>0</v>
      </c>
      <c r="AE30" s="1290">
        <f t="shared" si="26"/>
        <v>0</v>
      </c>
      <c r="AF30" s="1290">
        <f t="shared" si="26"/>
        <v>0</v>
      </c>
      <c r="AG30" s="1290">
        <f t="shared" ref="AG30:AI31" si="27">I14</f>
        <v>0</v>
      </c>
      <c r="AH30" s="1290">
        <f t="shared" si="27"/>
        <v>532044.4731186768</v>
      </c>
      <c r="AI30" s="1290">
        <f t="shared" si="27"/>
        <v>491399.67</v>
      </c>
      <c r="AJ30" s="1290">
        <f t="shared" ref="AJ30:AL31" si="28">K14</f>
        <v>491399.67</v>
      </c>
      <c r="AK30" s="1290">
        <f t="shared" si="28"/>
        <v>0</v>
      </c>
      <c r="AL30" s="1290">
        <f t="shared" si="28"/>
        <v>548539.79999999993</v>
      </c>
      <c r="AM30" s="1290">
        <f t="shared" ref="AM30:AO31" si="29">M14</f>
        <v>548539.79999999993</v>
      </c>
      <c r="AN30" s="1290">
        <f t="shared" si="29"/>
        <v>0</v>
      </c>
      <c r="AO30" s="1290">
        <f t="shared" si="29"/>
        <v>654294.7699999999</v>
      </c>
      <c r="AP30" s="1290">
        <f t="shared" ref="AP30:AR31" si="30">O14</f>
        <v>654294.7699999999</v>
      </c>
      <c r="AQ30" s="1290">
        <f t="shared" si="30"/>
        <v>0</v>
      </c>
      <c r="AR30" s="1290">
        <f t="shared" si="30"/>
        <v>673867.34</v>
      </c>
      <c r="AS30" s="1290">
        <f t="shared" ref="AS30:AU31" si="31">Q14</f>
        <v>673867.34</v>
      </c>
      <c r="AT30" s="1290">
        <f t="shared" si="31"/>
        <v>679413.4056647789</v>
      </c>
      <c r="AU30" s="1290">
        <f t="shared" si="31"/>
        <v>711610.17701706884</v>
      </c>
      <c r="AV30" s="1287"/>
      <c r="AW30" s="1287"/>
      <c r="AX30" s="1287"/>
    </row>
    <row r="31" spans="1:50" x14ac:dyDescent="0.2">
      <c r="T31" s="1287"/>
      <c r="U31" s="1287"/>
      <c r="V31" s="1245" t="s">
        <v>103</v>
      </c>
      <c r="W31" s="1290">
        <f t="shared" si="24"/>
        <v>0</v>
      </c>
      <c r="X31" s="1290">
        <f t="shared" si="24"/>
        <v>0</v>
      </c>
      <c r="Y31" s="1290">
        <f t="shared" si="24"/>
        <v>0</v>
      </c>
      <c r="Z31" s="1290">
        <f t="shared" si="24"/>
        <v>0</v>
      </c>
      <c r="AA31" s="1290">
        <f t="shared" si="25"/>
        <v>0</v>
      </c>
      <c r="AB31" s="1290">
        <f t="shared" si="25"/>
        <v>0</v>
      </c>
      <c r="AC31" s="1290">
        <f t="shared" si="25"/>
        <v>0</v>
      </c>
      <c r="AD31" s="1290">
        <f t="shared" si="26"/>
        <v>0</v>
      </c>
      <c r="AE31" s="1290">
        <f t="shared" si="26"/>
        <v>0</v>
      </c>
      <c r="AF31" s="1290">
        <f t="shared" si="26"/>
        <v>0</v>
      </c>
      <c r="AG31" s="1290">
        <f t="shared" si="27"/>
        <v>0</v>
      </c>
      <c r="AH31" s="1290">
        <f t="shared" si="27"/>
        <v>416132.46238946723</v>
      </c>
      <c r="AI31" s="1290">
        <f t="shared" si="27"/>
        <v>412258.79000000004</v>
      </c>
      <c r="AJ31" s="1290">
        <f t="shared" si="28"/>
        <v>412258.79000000004</v>
      </c>
      <c r="AK31" s="1290">
        <f t="shared" si="28"/>
        <v>0</v>
      </c>
      <c r="AL31" s="1290">
        <f t="shared" si="28"/>
        <v>451578.1</v>
      </c>
      <c r="AM31" s="1290">
        <f t="shared" si="29"/>
        <v>451578.1</v>
      </c>
      <c r="AN31" s="1290">
        <f t="shared" si="29"/>
        <v>0</v>
      </c>
      <c r="AO31" s="1290">
        <f t="shared" si="29"/>
        <v>476273.29999999993</v>
      </c>
      <c r="AP31" s="1290">
        <f t="shared" si="30"/>
        <v>476273.29999999993</v>
      </c>
      <c r="AQ31" s="1290">
        <f t="shared" si="30"/>
        <v>0</v>
      </c>
      <c r="AR31" s="1290">
        <f t="shared" si="30"/>
        <v>414736.52</v>
      </c>
      <c r="AS31" s="1290">
        <f t="shared" si="31"/>
        <v>414736.52</v>
      </c>
      <c r="AT31" s="1290">
        <f t="shared" si="31"/>
        <v>473074.05162520939</v>
      </c>
      <c r="AU31" s="1290">
        <f t="shared" si="31"/>
        <v>449790.28194628464</v>
      </c>
      <c r="AV31" s="1287"/>
      <c r="AW31" s="1287"/>
      <c r="AX31" s="1287"/>
    </row>
    <row r="32" spans="1:50" ht="24" x14ac:dyDescent="0.2">
      <c r="T32" s="1287"/>
      <c r="U32" s="1287"/>
      <c r="V32" s="1245" t="s">
        <v>90</v>
      </c>
      <c r="W32" s="1290">
        <f t="shared" ref="W32:Z34" si="32">B19</f>
        <v>0</v>
      </c>
      <c r="X32" s="1290">
        <f t="shared" si="32"/>
        <v>0</v>
      </c>
      <c r="Y32" s="1290">
        <f t="shared" si="32"/>
        <v>0</v>
      </c>
      <c r="Z32" s="1290">
        <f t="shared" si="32"/>
        <v>0</v>
      </c>
      <c r="AA32" s="1290">
        <f>E19</f>
        <v>0</v>
      </c>
      <c r="AB32" s="1290">
        <f t="shared" ref="AB32:AC34" si="33">F19</f>
        <v>0</v>
      </c>
      <c r="AC32" s="1290">
        <f t="shared" si="33"/>
        <v>0</v>
      </c>
      <c r="AD32" s="1290">
        <f>G19</f>
        <v>0</v>
      </c>
      <c r="AE32" s="1290">
        <f t="shared" ref="AE32:AF34" si="34">H19</f>
        <v>0</v>
      </c>
      <c r="AF32" s="1290">
        <f t="shared" si="34"/>
        <v>0</v>
      </c>
      <c r="AG32" s="1290">
        <f>I19</f>
        <v>0</v>
      </c>
      <c r="AH32" s="1290">
        <f t="shared" ref="AH32:AI34" si="35">J19</f>
        <v>534259.55082691566</v>
      </c>
      <c r="AI32" s="1290">
        <f t="shared" si="35"/>
        <v>559555.86</v>
      </c>
      <c r="AJ32" s="1290">
        <f>K19</f>
        <v>559555.86</v>
      </c>
      <c r="AK32" s="1290">
        <f t="shared" ref="AK32:AL34" si="36">L19</f>
        <v>0</v>
      </c>
      <c r="AL32" s="1290">
        <f t="shared" si="36"/>
        <v>601149.68000000005</v>
      </c>
      <c r="AM32" s="1290">
        <f>M19</f>
        <v>601149.68000000005</v>
      </c>
      <c r="AN32" s="1290">
        <f t="shared" ref="AN32:AO34" si="37">N19</f>
        <v>0</v>
      </c>
      <c r="AO32" s="1290">
        <f t="shared" si="37"/>
        <v>547187.65</v>
      </c>
      <c r="AP32" s="1290">
        <f>O19</f>
        <v>547187.65</v>
      </c>
      <c r="AQ32" s="1290">
        <f t="shared" ref="AQ32:AR34" si="38">P19</f>
        <v>0</v>
      </c>
      <c r="AR32" s="1290">
        <f t="shared" si="38"/>
        <v>573153.92000000004</v>
      </c>
      <c r="AS32" s="1290">
        <f>Q19</f>
        <v>573153.92000000004</v>
      </c>
      <c r="AT32" s="1290">
        <f t="shared" ref="AT32:AU34" si="39">R19</f>
        <v>597617.22904608655</v>
      </c>
      <c r="AU32" s="1290">
        <f t="shared" si="39"/>
        <v>632867.42046056862</v>
      </c>
      <c r="AV32" s="1287"/>
      <c r="AW32" s="1287"/>
      <c r="AX32" s="1287"/>
    </row>
    <row r="33" spans="1:50" ht="24" x14ac:dyDescent="0.2">
      <c r="T33" s="1287"/>
      <c r="U33" s="1287"/>
      <c r="V33" s="1245" t="s">
        <v>104</v>
      </c>
      <c r="W33" s="1290">
        <f t="shared" si="32"/>
        <v>0</v>
      </c>
      <c r="X33" s="1290">
        <f t="shared" si="32"/>
        <v>0</v>
      </c>
      <c r="Y33" s="1290">
        <f t="shared" si="32"/>
        <v>0</v>
      </c>
      <c r="Z33" s="1290">
        <f t="shared" si="32"/>
        <v>0</v>
      </c>
      <c r="AA33" s="1290">
        <f>E20</f>
        <v>0</v>
      </c>
      <c r="AB33" s="1290">
        <f t="shared" si="33"/>
        <v>0</v>
      </c>
      <c r="AC33" s="1290">
        <f t="shared" si="33"/>
        <v>0</v>
      </c>
      <c r="AD33" s="1290">
        <f>G20</f>
        <v>0</v>
      </c>
      <c r="AE33" s="1290">
        <f t="shared" si="34"/>
        <v>0</v>
      </c>
      <c r="AF33" s="1290">
        <f t="shared" si="34"/>
        <v>0</v>
      </c>
      <c r="AG33" s="1290">
        <f>I20</f>
        <v>0</v>
      </c>
      <c r="AH33" s="1290">
        <f t="shared" si="35"/>
        <v>17800</v>
      </c>
      <c r="AI33" s="1290">
        <f t="shared" si="35"/>
        <v>578</v>
      </c>
      <c r="AJ33" s="1290">
        <f>K19</f>
        <v>559555.86</v>
      </c>
      <c r="AK33" s="1290">
        <f t="shared" si="36"/>
        <v>0</v>
      </c>
      <c r="AL33" s="1290">
        <f t="shared" si="36"/>
        <v>757.65</v>
      </c>
      <c r="AM33" s="1290">
        <f>M19</f>
        <v>601149.68000000005</v>
      </c>
      <c r="AN33" s="1290">
        <f t="shared" si="37"/>
        <v>0</v>
      </c>
      <c r="AO33" s="1290">
        <f t="shared" si="37"/>
        <v>9700</v>
      </c>
      <c r="AP33" s="1290">
        <f>O20</f>
        <v>9700</v>
      </c>
      <c r="AQ33" s="1290">
        <f t="shared" si="38"/>
        <v>0</v>
      </c>
      <c r="AR33" s="1290">
        <f t="shared" si="38"/>
        <v>4161.21</v>
      </c>
      <c r="AS33" s="1290">
        <f>Q20</f>
        <v>4161.21</v>
      </c>
      <c r="AT33" s="1290">
        <f t="shared" si="39"/>
        <v>12765.056584028665</v>
      </c>
      <c r="AU33" s="1290">
        <f t="shared" si="39"/>
        <v>11484.753561720259</v>
      </c>
      <c r="AV33" s="1287"/>
      <c r="AW33" s="1287"/>
      <c r="AX33" s="1287"/>
    </row>
    <row r="34" spans="1:50" ht="24" x14ac:dyDescent="0.2">
      <c r="T34" s="1287"/>
      <c r="U34" s="1287"/>
      <c r="V34" s="1245" t="s">
        <v>150</v>
      </c>
      <c r="W34" s="1290">
        <f t="shared" si="32"/>
        <v>0</v>
      </c>
      <c r="X34" s="1290">
        <f t="shared" si="32"/>
        <v>0</v>
      </c>
      <c r="Y34" s="1290">
        <f t="shared" si="32"/>
        <v>0</v>
      </c>
      <c r="Z34" s="1290">
        <f t="shared" si="32"/>
        <v>0</v>
      </c>
      <c r="AA34" s="1290">
        <f>E21</f>
        <v>0</v>
      </c>
      <c r="AB34" s="1290">
        <f t="shared" si="33"/>
        <v>0</v>
      </c>
      <c r="AC34" s="1290">
        <f t="shared" si="33"/>
        <v>0</v>
      </c>
      <c r="AD34" s="1290">
        <f>G21</f>
        <v>0</v>
      </c>
      <c r="AE34" s="1290">
        <f t="shared" si="34"/>
        <v>0</v>
      </c>
      <c r="AF34" s="1290">
        <f t="shared" si="34"/>
        <v>0</v>
      </c>
      <c r="AG34" s="1290">
        <f>I21</f>
        <v>0</v>
      </c>
      <c r="AH34" s="1290">
        <f t="shared" si="35"/>
        <v>655025.86807409697</v>
      </c>
      <c r="AI34" s="1290">
        <f t="shared" si="35"/>
        <v>744410.69</v>
      </c>
      <c r="AJ34" s="1290">
        <f>K21</f>
        <v>744410.69</v>
      </c>
      <c r="AK34" s="1290">
        <f t="shared" si="36"/>
        <v>0</v>
      </c>
      <c r="AL34" s="1290">
        <f t="shared" si="36"/>
        <v>721093.65999999992</v>
      </c>
      <c r="AM34" s="1290">
        <f>M21</f>
        <v>721093.65999999992</v>
      </c>
      <c r="AN34" s="1290">
        <f t="shared" si="37"/>
        <v>0</v>
      </c>
      <c r="AO34" s="1290">
        <f t="shared" si="37"/>
        <v>844735.11</v>
      </c>
      <c r="AP34" s="1290">
        <f>O21</f>
        <v>844735.11</v>
      </c>
      <c r="AQ34" s="1290">
        <f t="shared" si="38"/>
        <v>0</v>
      </c>
      <c r="AR34" s="1290">
        <f t="shared" si="38"/>
        <v>929201.6399999999</v>
      </c>
      <c r="AS34" s="1290">
        <f>Q21</f>
        <v>929201.6399999999</v>
      </c>
      <c r="AT34" s="1290">
        <f t="shared" si="39"/>
        <v>1141995.0965386515</v>
      </c>
      <c r="AU34" s="1290">
        <f t="shared" si="39"/>
        <v>1159012.4956218726</v>
      </c>
      <c r="AV34" s="1287"/>
      <c r="AW34" s="1287"/>
      <c r="AX34" s="1287"/>
    </row>
    <row r="35" spans="1:50" x14ac:dyDescent="0.2">
      <c r="T35" s="1287"/>
      <c r="U35" s="1287"/>
      <c r="V35" s="1247" t="s">
        <v>272</v>
      </c>
      <c r="W35" s="1248">
        <f>SUM(W30:W34)</f>
        <v>0</v>
      </c>
      <c r="X35" s="1248">
        <f t="shared" ref="X35:AU35" si="40">SUM(X30:X34)</f>
        <v>0</v>
      </c>
      <c r="Y35" s="1248">
        <f t="shared" si="40"/>
        <v>0</v>
      </c>
      <c r="Z35" s="1248">
        <f t="shared" si="40"/>
        <v>0</v>
      </c>
      <c r="AA35" s="1248">
        <f t="shared" si="40"/>
        <v>0</v>
      </c>
      <c r="AB35" s="1248">
        <f t="shared" si="40"/>
        <v>0</v>
      </c>
      <c r="AC35" s="1248">
        <f t="shared" si="40"/>
        <v>0</v>
      </c>
      <c r="AD35" s="1248">
        <f t="shared" si="40"/>
        <v>0</v>
      </c>
      <c r="AE35" s="1248">
        <f t="shared" si="40"/>
        <v>0</v>
      </c>
      <c r="AF35" s="1248">
        <f t="shared" si="40"/>
        <v>0</v>
      </c>
      <c r="AG35" s="1248">
        <f t="shared" si="40"/>
        <v>0</v>
      </c>
      <c r="AH35" s="1248">
        <f t="shared" si="40"/>
        <v>2155262.3544091564</v>
      </c>
      <c r="AI35" s="1248">
        <f t="shared" si="40"/>
        <v>2208203.0099999998</v>
      </c>
      <c r="AJ35" s="1248">
        <f t="shared" si="40"/>
        <v>2767180.8699999996</v>
      </c>
      <c r="AK35" s="1248">
        <f t="shared" si="40"/>
        <v>0</v>
      </c>
      <c r="AL35" s="1248">
        <f t="shared" si="40"/>
        <v>2323118.8899999997</v>
      </c>
      <c r="AM35" s="1248">
        <f t="shared" si="40"/>
        <v>2923510.92</v>
      </c>
      <c r="AN35" s="1248">
        <f t="shared" si="40"/>
        <v>0</v>
      </c>
      <c r="AO35" s="1248">
        <f t="shared" si="40"/>
        <v>2532190.8299999996</v>
      </c>
      <c r="AP35" s="1248">
        <f t="shared" si="40"/>
        <v>2532190.8299999996</v>
      </c>
      <c r="AQ35" s="1248">
        <f t="shared" si="40"/>
        <v>0</v>
      </c>
      <c r="AR35" s="1248">
        <f t="shared" si="40"/>
        <v>2595120.63</v>
      </c>
      <c r="AS35" s="1248">
        <f t="shared" si="40"/>
        <v>2595120.63</v>
      </c>
      <c r="AT35" s="1248">
        <f t="shared" si="40"/>
        <v>2904864.8394587552</v>
      </c>
      <c r="AU35" s="1248">
        <f t="shared" si="40"/>
        <v>2964765.1286075148</v>
      </c>
      <c r="AV35" s="1287"/>
      <c r="AW35" s="1287"/>
      <c r="AX35" s="1287"/>
    </row>
    <row r="36" spans="1:50" ht="24.75" thickBot="1" x14ac:dyDescent="0.25">
      <c r="T36" s="1287"/>
      <c r="U36" s="1287"/>
      <c r="V36" s="1276" t="s">
        <v>386</v>
      </c>
      <c r="W36" s="1251"/>
      <c r="X36" s="1269" t="str">
        <f>IF(ISERROR((X35-W35)/W35), "", (X35-W35)/W35)</f>
        <v/>
      </c>
      <c r="Y36" s="1251"/>
      <c r="Z36" s="1269" t="str">
        <f>IF(ISERROR((Z35-Y35)/Y35), "", (Z35-Y35)/Y35)</f>
        <v/>
      </c>
      <c r="AA36" s="1269" t="str">
        <f>IF(ISERROR((AA35-X35)/X35), "", (AA35-X35)/X35)</f>
        <v/>
      </c>
      <c r="AB36" s="1251"/>
      <c r="AC36" s="1269" t="str">
        <f>IF(ISERROR((AC35-AB35)/AB35), "", (AC35-AB35)/AB35)</f>
        <v/>
      </c>
      <c r="AD36" s="1269" t="str">
        <f>IF(ISERROR((AD35-AA35)/AA35), "", (AD35-AA35)/AA35)</f>
        <v/>
      </c>
      <c r="AE36" s="1251"/>
      <c r="AF36" s="1269" t="str">
        <f>IF(ISERROR((AF35-AE35)/AE35), "", (AF35-AE35)/AE35)</f>
        <v/>
      </c>
      <c r="AG36" s="1269" t="str">
        <f>IF(ISERROR((AG35-AD35)/AD35), "", (AG35-AD35)/AD35)</f>
        <v/>
      </c>
      <c r="AH36" s="1251"/>
      <c r="AI36" s="1269">
        <f>IF(ISERROR((AI35-AH35)/AH35), "", (AI35-AH35)/AH35)</f>
        <v>2.4563439101759173E-2</v>
      </c>
      <c r="AJ36" s="1269" t="str">
        <f>IF(ISERROR((AJ35-AG35)/AG35), "", (AJ35-AG35)/AG35)</f>
        <v/>
      </c>
      <c r="AK36" s="1251"/>
      <c r="AL36" s="1269" t="str">
        <f>IF(ISERROR((AL35-AK35)/AK35), "", (AL35-AK35)/AK35)</f>
        <v/>
      </c>
      <c r="AM36" s="1269">
        <f>IF(ISERROR((AM35-AJ35)/AJ35), "", (AM35-AJ35)/AJ35)</f>
        <v>5.6494337502412804E-2</v>
      </c>
      <c r="AN36" s="1251"/>
      <c r="AO36" s="1269" t="str">
        <f>IF(ISERROR((AO35-AN35)/AN35), "", (AO35-AN35)/AN35)</f>
        <v/>
      </c>
      <c r="AP36" s="1269">
        <f>IF(ISERROR((AP35-AM35)/AM35), "", (AP35-AM35)/AM35)</f>
        <v>-0.1338527888926101</v>
      </c>
      <c r="AQ36" s="1251"/>
      <c r="AR36" s="1252" t="str">
        <f>IF(ISERROR((AR35-AQ35)/AQ35), "", (AR35-AQ35)/AQ35)</f>
        <v/>
      </c>
      <c r="AS36" s="1252">
        <f>IF(ISERROR((AS35-AP35)/AP35), "", (AS35-AP35)/AP35)</f>
        <v>2.4851918447236575E-2</v>
      </c>
      <c r="AT36" s="1252">
        <f>IF(ISERROR((AT35-AS35)/AS35), "", (AT35-AS35)/AS35)</f>
        <v>0.1193563820803025</v>
      </c>
      <c r="AU36" s="1277">
        <f>IF(ISERROR((AU35-AT35)/AT35), "", (AU35-AT35)/AT35)</f>
        <v>2.0620680292966882E-2</v>
      </c>
      <c r="AV36" s="1287"/>
      <c r="AW36" s="1287"/>
      <c r="AX36" s="1287"/>
    </row>
    <row r="37" spans="1:50" x14ac:dyDescent="0.2">
      <c r="A37" s="1287"/>
      <c r="B37" s="1287"/>
      <c r="C37" s="1287"/>
      <c r="D37" s="1287"/>
      <c r="E37" s="1287"/>
      <c r="F37" s="1287"/>
      <c r="G37" s="1287"/>
      <c r="H37" s="1287"/>
      <c r="I37" s="1287"/>
      <c r="J37" s="1287"/>
      <c r="K37" s="1287"/>
      <c r="L37" s="1287"/>
      <c r="M37" s="1287"/>
      <c r="N37" s="1287"/>
      <c r="O37" s="1287"/>
      <c r="P37" s="1287"/>
      <c r="Q37" s="1287"/>
      <c r="R37" s="1287"/>
      <c r="S37" s="1287"/>
      <c r="T37" s="1287"/>
      <c r="U37" s="1287"/>
      <c r="V37" s="1287"/>
      <c r="W37" s="1287"/>
      <c r="X37" s="1287"/>
      <c r="Y37" s="1287"/>
      <c r="Z37" s="1287"/>
      <c r="AA37" s="1287"/>
      <c r="AB37" s="1287"/>
      <c r="AC37" s="1287"/>
      <c r="AD37" s="1287"/>
      <c r="AE37" s="1287"/>
      <c r="AF37" s="1287"/>
      <c r="AG37" s="1287"/>
      <c r="AH37" s="1287"/>
      <c r="AI37" s="1287"/>
      <c r="AJ37" s="1287"/>
      <c r="AK37" s="1287"/>
      <c r="AL37" s="1287"/>
      <c r="AM37" s="1287"/>
      <c r="AN37" s="1287"/>
      <c r="AO37" s="1287"/>
      <c r="AP37" s="1287"/>
      <c r="AQ37" s="1287"/>
      <c r="AR37" s="1287"/>
      <c r="AS37" s="1287"/>
      <c r="AT37" s="1287"/>
      <c r="AU37" s="1287"/>
      <c r="AV37" s="1287"/>
      <c r="AW37" s="1287"/>
      <c r="AX37" s="1287"/>
    </row>
    <row r="38" spans="1:50" x14ac:dyDescent="0.2">
      <c r="A38" s="1291" t="s">
        <v>105</v>
      </c>
      <c r="B38" s="1287"/>
      <c r="C38" s="1287"/>
      <c r="D38" s="1287"/>
      <c r="E38" s="1287"/>
      <c r="F38" s="1287"/>
      <c r="G38" s="1287"/>
      <c r="H38" s="1287"/>
      <c r="I38" s="1287"/>
      <c r="J38" s="1287"/>
      <c r="K38" s="1287"/>
      <c r="L38" s="1287"/>
      <c r="M38" s="1287"/>
      <c r="N38" s="1287"/>
      <c r="O38" s="1287"/>
      <c r="P38" s="1287"/>
      <c r="Q38" s="1287"/>
      <c r="R38" s="1287"/>
      <c r="S38" s="1287"/>
      <c r="T38" s="1287"/>
      <c r="U38" s="1287"/>
      <c r="V38" s="1287"/>
      <c r="W38" s="1287"/>
      <c r="X38" s="1287"/>
      <c r="Y38" s="1287"/>
      <c r="Z38" s="1287"/>
      <c r="AA38" s="1287"/>
      <c r="AB38" s="1287"/>
      <c r="AC38" s="1287"/>
      <c r="AD38" s="1287"/>
      <c r="AE38" s="1287"/>
      <c r="AF38" s="1287"/>
      <c r="AG38" s="1287"/>
      <c r="AH38" s="1287"/>
      <c r="AI38" s="1287"/>
      <c r="AJ38" s="1287"/>
      <c r="AK38" s="1287"/>
      <c r="AL38" s="1287"/>
      <c r="AM38" s="1287"/>
      <c r="AN38" s="1287"/>
      <c r="AO38" s="1287"/>
      <c r="AP38" s="1287"/>
      <c r="AQ38" s="1287"/>
      <c r="AR38" s="1287"/>
      <c r="AS38" s="1287"/>
      <c r="AT38" s="1287"/>
      <c r="AU38" s="1287"/>
      <c r="AV38" s="1287"/>
      <c r="AW38" s="1287"/>
      <c r="AX38" s="1287"/>
    </row>
    <row r="39" spans="1:50" x14ac:dyDescent="0.2">
      <c r="A39" s="1291"/>
      <c r="B39" s="1287"/>
      <c r="C39" s="1287"/>
      <c r="D39" s="1287"/>
      <c r="E39" s="1287"/>
      <c r="F39" s="1287"/>
      <c r="G39" s="1287"/>
      <c r="H39" s="1287"/>
      <c r="I39" s="1287"/>
      <c r="J39" s="1287"/>
      <c r="K39" s="1287"/>
      <c r="L39" s="1287"/>
      <c r="M39" s="1287"/>
      <c r="N39" s="1287"/>
      <c r="O39" s="1287"/>
      <c r="P39" s="1287"/>
      <c r="Q39" s="1287"/>
      <c r="R39" s="1287"/>
      <c r="S39" s="1287"/>
      <c r="T39" s="1287"/>
      <c r="U39" s="1287"/>
      <c r="V39" s="1287"/>
      <c r="W39" s="1287"/>
      <c r="X39" s="1287"/>
      <c r="Y39" s="1287"/>
      <c r="Z39" s="1287"/>
      <c r="AA39" s="1287"/>
      <c r="AB39" s="1287"/>
      <c r="AC39" s="1287"/>
      <c r="AD39" s="1287"/>
      <c r="AE39" s="1287"/>
      <c r="AF39" s="1287"/>
      <c r="AG39" s="1287"/>
      <c r="AH39" s="1287"/>
      <c r="AI39" s="1287"/>
      <c r="AJ39" s="1287"/>
      <c r="AK39" s="1287"/>
      <c r="AL39" s="1287"/>
      <c r="AM39" s="1287"/>
      <c r="AN39" s="1287"/>
      <c r="AO39" s="1287"/>
      <c r="AP39" s="1287"/>
      <c r="AQ39" s="1287"/>
      <c r="AR39" s="1287"/>
      <c r="AS39" s="1287"/>
      <c r="AT39" s="1287"/>
      <c r="AU39" s="1287"/>
      <c r="AV39" s="1287"/>
      <c r="AW39" s="1287"/>
      <c r="AX39" s="1287"/>
    </row>
    <row r="40" spans="1:50" s="1127" customFormat="1" ht="12.75" customHeight="1" x14ac:dyDescent="0.2">
      <c r="A40" s="1962" t="s">
        <v>1241</v>
      </c>
      <c r="B40" s="1962"/>
      <c r="C40" s="1962"/>
      <c r="D40" s="1962"/>
      <c r="E40" s="1962"/>
      <c r="F40" s="1962"/>
      <c r="G40" s="1962"/>
      <c r="H40" s="1962"/>
      <c r="I40" s="1962"/>
      <c r="J40" s="1962"/>
      <c r="K40" s="1962"/>
      <c r="L40" s="1962"/>
      <c r="M40" s="1962"/>
      <c r="N40" s="1962"/>
      <c r="O40" s="1962"/>
      <c r="P40" s="1962"/>
      <c r="Q40" s="1962"/>
      <c r="R40" s="1962"/>
      <c r="S40" s="1962"/>
      <c r="T40" s="1962"/>
      <c r="U40" s="1962"/>
      <c r="V40" s="1962"/>
      <c r="W40" s="1962"/>
      <c r="X40" s="1962"/>
      <c r="Y40" s="1962"/>
      <c r="Z40" s="1962"/>
      <c r="AA40" s="1962"/>
      <c r="AB40" s="1962"/>
      <c r="AC40" s="1962"/>
      <c r="AD40" s="1962"/>
      <c r="AE40" s="1962"/>
      <c r="AF40" s="1962"/>
      <c r="AG40" s="1962"/>
      <c r="AH40" s="1962"/>
      <c r="AI40" s="1962"/>
      <c r="AJ40" s="1962"/>
      <c r="AK40" s="1962"/>
      <c r="AL40" s="1962"/>
      <c r="AM40" s="1962"/>
      <c r="AN40" s="1962"/>
      <c r="AO40" s="1962"/>
      <c r="AP40" s="1962"/>
      <c r="AQ40" s="1962"/>
      <c r="AR40" s="1962"/>
      <c r="AS40" s="1962"/>
      <c r="AT40" s="1962"/>
      <c r="AU40" s="1962"/>
      <c r="AV40" s="1962"/>
      <c r="AW40" s="1962"/>
      <c r="AX40" s="1962"/>
    </row>
    <row r="41" spans="1:50" x14ac:dyDescent="0.2">
      <c r="A41" s="1807" t="s">
        <v>1085</v>
      </c>
      <c r="B41" s="1807"/>
      <c r="C41" s="1807"/>
      <c r="D41" s="1807"/>
      <c r="E41" s="1807"/>
      <c r="F41" s="1807"/>
      <c r="G41" s="1807"/>
      <c r="H41" s="1807"/>
      <c r="I41" s="1807"/>
      <c r="J41" s="1807"/>
      <c r="K41" s="1807"/>
      <c r="L41" s="1807"/>
      <c r="M41" s="1807"/>
      <c r="N41" s="1807"/>
      <c r="O41" s="1807"/>
      <c r="P41" s="1807"/>
      <c r="Q41" s="1807"/>
      <c r="R41" s="1807"/>
      <c r="S41" s="1807"/>
      <c r="T41" s="1807"/>
      <c r="U41" s="1807"/>
      <c r="V41" s="1807"/>
      <c r="W41" s="1807"/>
      <c r="X41" s="1807"/>
      <c r="Y41" s="1807"/>
      <c r="Z41" s="1807"/>
      <c r="AA41" s="1807"/>
      <c r="AB41" s="1807"/>
      <c r="AC41" s="1807"/>
      <c r="AD41" s="1807"/>
      <c r="AE41" s="1807"/>
      <c r="AF41" s="1807"/>
      <c r="AG41" s="1807"/>
      <c r="AH41" s="1807"/>
      <c r="AI41" s="1807"/>
      <c r="AJ41" s="1807"/>
      <c r="AK41" s="1807"/>
      <c r="AL41" s="1807"/>
      <c r="AM41" s="1807"/>
      <c r="AN41" s="1807"/>
      <c r="AO41" s="1807"/>
      <c r="AP41" s="1807"/>
      <c r="AQ41" s="1807"/>
      <c r="AR41" s="1807"/>
      <c r="AS41" s="1807"/>
      <c r="AT41" s="1807"/>
      <c r="AU41" s="1807"/>
      <c r="AV41" s="1807"/>
      <c r="AW41" s="1807"/>
      <c r="AX41" s="1807"/>
    </row>
    <row r="42" spans="1:50" x14ac:dyDescent="0.2">
      <c r="A42" s="1292"/>
      <c r="B42" s="1292"/>
      <c r="C42" s="1292"/>
      <c r="D42" s="1292"/>
      <c r="E42" s="1292"/>
      <c r="F42" s="1292"/>
      <c r="G42" s="1292"/>
      <c r="H42" s="1292"/>
      <c r="I42" s="1292"/>
      <c r="J42" s="1292"/>
      <c r="K42" s="1292"/>
      <c r="L42" s="1292"/>
      <c r="M42" s="1292"/>
      <c r="N42" s="1292"/>
      <c r="O42" s="1292"/>
      <c r="P42" s="1292"/>
      <c r="Q42" s="1292"/>
      <c r="R42" s="1292"/>
      <c r="S42" s="1292"/>
      <c r="T42" s="1292"/>
      <c r="U42" s="1292"/>
      <c r="V42" s="1292"/>
      <c r="W42" s="1292"/>
      <c r="X42" s="1292"/>
      <c r="Y42" s="1292"/>
      <c r="Z42" s="1292"/>
      <c r="AA42" s="1292"/>
      <c r="AB42" s="1292"/>
      <c r="AC42" s="1292"/>
      <c r="AD42" s="1292"/>
      <c r="AE42" s="1292"/>
      <c r="AF42" s="1292"/>
      <c r="AG42" s="1292"/>
      <c r="AH42" s="1292"/>
      <c r="AI42" s="1292"/>
      <c r="AJ42" s="1292"/>
      <c r="AK42" s="1292"/>
      <c r="AL42" s="1292"/>
      <c r="AM42" s="1292"/>
      <c r="AN42" s="1292"/>
      <c r="AO42" s="1292"/>
      <c r="AP42" s="1292"/>
      <c r="AQ42" s="1292"/>
      <c r="AR42" s="1292"/>
      <c r="AS42" s="1292"/>
      <c r="AT42" s="1292"/>
      <c r="AU42" s="1292"/>
      <c r="AV42" s="1292"/>
      <c r="AW42" s="1292"/>
      <c r="AX42" s="1292"/>
    </row>
    <row r="43" spans="1:50" x14ac:dyDescent="0.2">
      <c r="A43" s="1293"/>
      <c r="B43" s="1292"/>
      <c r="C43" s="1292"/>
      <c r="D43" s="1292"/>
      <c r="E43" s="1292"/>
      <c r="F43" s="1292"/>
      <c r="G43" s="1292"/>
      <c r="H43" s="1292"/>
      <c r="I43" s="1292"/>
      <c r="J43" s="1292"/>
      <c r="K43" s="1292"/>
      <c r="L43" s="1292"/>
      <c r="M43" s="1292"/>
      <c r="N43" s="1292"/>
      <c r="O43" s="1292"/>
      <c r="P43" s="1292"/>
      <c r="Q43" s="1292"/>
      <c r="R43" s="1292"/>
      <c r="S43" s="1287"/>
      <c r="T43" s="1287"/>
      <c r="U43" s="1287"/>
      <c r="V43" s="1287"/>
      <c r="W43" s="1287"/>
      <c r="X43" s="1287"/>
      <c r="Y43" s="1287"/>
      <c r="Z43" s="1287"/>
      <c r="AA43" s="1287"/>
      <c r="AB43" s="1287"/>
      <c r="AC43" s="1287"/>
      <c r="AD43" s="1287"/>
      <c r="AE43" s="1287"/>
      <c r="AF43" s="1287"/>
      <c r="AG43" s="1287"/>
      <c r="AH43" s="1287"/>
      <c r="AI43" s="1287"/>
      <c r="AJ43" s="1287"/>
      <c r="AK43" s="1287"/>
      <c r="AL43" s="1287"/>
      <c r="AM43" s="1287"/>
      <c r="AN43" s="1287"/>
      <c r="AO43" s="1287"/>
      <c r="AP43" s="1287"/>
      <c r="AQ43" s="1287"/>
      <c r="AR43" s="1287"/>
      <c r="AS43" s="1287"/>
      <c r="AT43" s="1287"/>
      <c r="AU43" s="1287"/>
      <c r="AV43" s="1287"/>
      <c r="AW43" s="1287"/>
      <c r="AX43" s="1287"/>
    </row>
    <row r="44" spans="1:50" x14ac:dyDescent="0.2">
      <c r="B44" s="1660"/>
      <c r="C44" s="1660"/>
      <c r="D44" s="1660"/>
      <c r="E44" s="1660"/>
      <c r="F44" s="1660"/>
      <c r="G44" s="1660"/>
      <c r="H44" s="1660"/>
      <c r="I44" s="1660"/>
      <c r="J44" s="1660"/>
      <c r="K44" s="1660"/>
      <c r="L44" s="1660"/>
      <c r="M44" s="1660"/>
      <c r="N44" s="1660"/>
      <c r="O44" s="1660"/>
      <c r="P44" s="1660"/>
      <c r="Q44" s="1660"/>
      <c r="R44" s="1660"/>
      <c r="S44" s="1287"/>
      <c r="T44" s="1287"/>
      <c r="U44" s="1287"/>
      <c r="V44" s="1287"/>
      <c r="W44" s="1287"/>
      <c r="X44" s="1287"/>
      <c r="Y44" s="1287"/>
      <c r="Z44" s="1287"/>
      <c r="AA44" s="1287"/>
      <c r="AB44" s="1287"/>
      <c r="AC44" s="1287"/>
      <c r="AD44" s="1287"/>
      <c r="AE44" s="1287"/>
      <c r="AF44" s="1287"/>
      <c r="AG44" s="1287"/>
      <c r="AH44" s="1287"/>
      <c r="AI44" s="1287"/>
      <c r="AJ44" s="1287"/>
      <c r="AK44" s="1287"/>
      <c r="AL44" s="1287"/>
      <c r="AM44" s="1287"/>
      <c r="AN44" s="1287"/>
      <c r="AO44" s="1287"/>
      <c r="AP44" s="1287"/>
      <c r="AQ44" s="1287"/>
      <c r="AR44" s="1287"/>
      <c r="AS44" s="1287"/>
      <c r="AT44" s="1287"/>
      <c r="AU44" s="1287"/>
      <c r="AV44" s="1287"/>
      <c r="AW44" s="1287"/>
      <c r="AX44" s="1287"/>
    </row>
    <row r="45" spans="1:50" x14ac:dyDescent="0.2">
      <c r="A45" s="951"/>
      <c r="B45" s="1660"/>
      <c r="C45" s="1660"/>
      <c r="D45" s="1660"/>
      <c r="E45" s="1660"/>
      <c r="F45" s="1660"/>
      <c r="G45" s="1660"/>
      <c r="H45" s="1660"/>
      <c r="I45" s="1660"/>
      <c r="J45" s="1660"/>
      <c r="K45" s="1660"/>
      <c r="L45" s="1660"/>
      <c r="M45" s="1660"/>
      <c r="N45" s="1660"/>
      <c r="O45" s="1660"/>
      <c r="P45" s="1660"/>
      <c r="Q45" s="1660"/>
      <c r="R45" s="1660"/>
      <c r="S45" s="1287"/>
      <c r="T45" s="1287"/>
      <c r="U45" s="1287"/>
      <c r="V45" s="1287"/>
      <c r="W45" s="1287"/>
      <c r="X45" s="1287"/>
      <c r="Y45" s="1287"/>
      <c r="Z45" s="1287"/>
      <c r="AA45" s="1287"/>
      <c r="AB45" s="1287"/>
      <c r="AC45" s="1287"/>
      <c r="AD45" s="1287"/>
      <c r="AE45" s="1287"/>
      <c r="AF45" s="1287"/>
      <c r="AG45" s="1287"/>
      <c r="AH45" s="1287"/>
      <c r="AI45" s="1287"/>
      <c r="AJ45" s="1287"/>
      <c r="AK45" s="1287"/>
      <c r="AL45" s="1287"/>
      <c r="AM45" s="1287"/>
      <c r="AN45" s="1287"/>
      <c r="AO45" s="1287"/>
      <c r="AP45" s="1287"/>
      <c r="AQ45" s="1287"/>
      <c r="AR45" s="1287"/>
      <c r="AS45" s="1287"/>
      <c r="AT45" s="1287"/>
      <c r="AU45" s="1287"/>
      <c r="AV45" s="1287"/>
      <c r="AW45" s="1287"/>
      <c r="AX45" s="1287"/>
    </row>
    <row r="46" spans="1:50" x14ac:dyDescent="0.2">
      <c r="A46" s="1287"/>
      <c r="B46" s="1287"/>
      <c r="C46" s="1287"/>
      <c r="D46" s="1287"/>
      <c r="E46" s="1287"/>
      <c r="F46" s="1287"/>
      <c r="G46" s="1287"/>
      <c r="H46" s="1287"/>
      <c r="I46" s="1287"/>
      <c r="J46" s="1287"/>
      <c r="K46" s="1287"/>
      <c r="L46" s="1287"/>
      <c r="M46" s="1287"/>
      <c r="N46" s="1287"/>
      <c r="O46" s="1287"/>
      <c r="P46" s="1287"/>
      <c r="Q46" s="1287"/>
      <c r="R46" s="1287"/>
      <c r="S46" s="1287"/>
      <c r="T46" s="1287"/>
      <c r="U46" s="1287"/>
      <c r="V46" s="1287"/>
      <c r="W46" s="1287"/>
      <c r="X46" s="1287"/>
      <c r="Y46" s="1287"/>
      <c r="Z46" s="1287"/>
      <c r="AA46" s="1287"/>
      <c r="AB46" s="1287"/>
      <c r="AC46" s="1287"/>
      <c r="AD46" s="1287"/>
      <c r="AE46" s="1287"/>
      <c r="AF46" s="1287"/>
      <c r="AG46" s="1287"/>
      <c r="AH46" s="1287"/>
      <c r="AI46" s="1287"/>
      <c r="AJ46" s="1287"/>
      <c r="AK46" s="1287"/>
      <c r="AL46" s="1287"/>
      <c r="AM46" s="1287"/>
      <c r="AN46" s="1287"/>
      <c r="AO46" s="1287"/>
      <c r="AP46" s="1287"/>
      <c r="AQ46" s="1287"/>
      <c r="AR46" s="1287"/>
      <c r="AS46" s="1287"/>
      <c r="AT46" s="1287"/>
      <c r="AU46" s="1287"/>
      <c r="AV46" s="1287"/>
      <c r="AW46" s="1287"/>
      <c r="AX46" s="1287"/>
    </row>
    <row r="47" spans="1:50" x14ac:dyDescent="0.2">
      <c r="A47" s="1287"/>
      <c r="B47" s="1287"/>
      <c r="C47" s="1287"/>
      <c r="D47" s="1287"/>
      <c r="E47" s="1287"/>
      <c r="F47" s="1287"/>
      <c r="G47" s="1287"/>
      <c r="H47" s="1287"/>
      <c r="I47" s="1287"/>
      <c r="J47" s="1287"/>
      <c r="K47" s="1287"/>
      <c r="L47" s="1287"/>
      <c r="M47" s="1287"/>
      <c r="N47" s="1287"/>
      <c r="O47" s="1287"/>
      <c r="P47" s="1287"/>
      <c r="Q47" s="1287"/>
      <c r="R47" s="1287"/>
      <c r="S47" s="1287"/>
      <c r="T47" s="1287"/>
      <c r="U47" s="1287"/>
      <c r="V47" s="1287"/>
      <c r="W47" s="1287"/>
      <c r="X47" s="1287"/>
      <c r="Y47" s="1287"/>
      <c r="Z47" s="1287"/>
      <c r="AA47" s="1287"/>
      <c r="AB47" s="1287"/>
      <c r="AC47" s="1287"/>
      <c r="AD47" s="1287"/>
      <c r="AE47" s="1287"/>
      <c r="AF47" s="1287"/>
      <c r="AG47" s="1287"/>
      <c r="AH47" s="1287"/>
      <c r="AI47" s="1287"/>
      <c r="AJ47" s="1287"/>
      <c r="AK47" s="1287"/>
      <c r="AL47" s="1287"/>
      <c r="AM47" s="1287"/>
      <c r="AN47" s="1287"/>
      <c r="AO47" s="1287"/>
      <c r="AP47" s="1287"/>
      <c r="AQ47" s="1287"/>
      <c r="AR47" s="1287"/>
      <c r="AS47" s="1287"/>
      <c r="AT47" s="1287"/>
      <c r="AU47" s="1287"/>
      <c r="AV47" s="1287"/>
      <c r="AW47" s="1287"/>
      <c r="AX47" s="1287"/>
    </row>
    <row r="48" spans="1:50" x14ac:dyDescent="0.2">
      <c r="A48" s="1287"/>
      <c r="B48" s="1287"/>
      <c r="C48" s="1287"/>
      <c r="D48" s="1287"/>
      <c r="E48" s="1287"/>
      <c r="F48" s="1287"/>
      <c r="G48" s="1287"/>
      <c r="H48" s="1287"/>
      <c r="I48" s="1287"/>
      <c r="J48" s="1287"/>
      <c r="K48" s="1287"/>
      <c r="L48" s="1287"/>
      <c r="M48" s="1287"/>
      <c r="N48" s="1287"/>
      <c r="O48" s="1287"/>
      <c r="P48" s="1287"/>
      <c r="Q48" s="1287"/>
      <c r="R48" s="1287"/>
      <c r="S48" s="1287"/>
      <c r="T48" s="1287"/>
      <c r="U48" s="1287"/>
      <c r="V48" s="1287"/>
      <c r="W48" s="1287"/>
      <c r="X48" s="1287"/>
      <c r="Y48" s="1287"/>
      <c r="Z48" s="1287"/>
      <c r="AA48" s="1287"/>
      <c r="AB48" s="1287"/>
      <c r="AC48" s="1287"/>
      <c r="AD48" s="1287"/>
      <c r="AE48" s="1287"/>
      <c r="AF48" s="1287"/>
      <c r="AG48" s="1287"/>
      <c r="AH48" s="1287"/>
      <c r="AI48" s="1287"/>
      <c r="AJ48" s="1287"/>
      <c r="AK48" s="1287"/>
      <c r="AL48" s="1287"/>
      <c r="AM48" s="1287"/>
      <c r="AN48" s="1287"/>
      <c r="AO48" s="1287"/>
      <c r="AP48" s="1287"/>
      <c r="AQ48" s="1287"/>
      <c r="AR48" s="1287"/>
      <c r="AS48" s="1287"/>
      <c r="AT48" s="1287"/>
      <c r="AU48" s="1287"/>
      <c r="AV48" s="1287"/>
      <c r="AW48" s="1287"/>
      <c r="AX48" s="1287"/>
    </row>
    <row r="49" spans="1:50" x14ac:dyDescent="0.2">
      <c r="A49" s="1287"/>
      <c r="B49" s="1287"/>
      <c r="C49" s="1287"/>
      <c r="D49" s="1287"/>
      <c r="E49" s="1287"/>
      <c r="F49" s="1287"/>
      <c r="G49" s="1287"/>
      <c r="H49" s="1287"/>
      <c r="I49" s="1287"/>
      <c r="J49" s="1287"/>
      <c r="K49" s="1287"/>
      <c r="L49" s="1287"/>
      <c r="M49" s="1287"/>
      <c r="N49" s="1287"/>
      <c r="O49" s="1287"/>
      <c r="P49" s="1287"/>
      <c r="Q49" s="1287"/>
      <c r="R49" s="1287"/>
      <c r="S49" s="1287"/>
      <c r="T49" s="1287"/>
      <c r="U49" s="1287"/>
      <c r="V49" s="1287"/>
      <c r="W49" s="1287"/>
      <c r="X49" s="1287"/>
      <c r="Y49" s="1287"/>
      <c r="Z49" s="1287"/>
      <c r="AA49" s="1287"/>
      <c r="AB49" s="1287"/>
      <c r="AC49" s="1287"/>
      <c r="AD49" s="1287"/>
      <c r="AE49" s="1287"/>
      <c r="AF49" s="1287"/>
      <c r="AG49" s="1287"/>
      <c r="AH49" s="1287"/>
      <c r="AI49" s="1287"/>
      <c r="AJ49" s="1287"/>
      <c r="AK49" s="1287"/>
      <c r="AL49" s="1287"/>
      <c r="AM49" s="1287"/>
      <c r="AN49" s="1287"/>
      <c r="AO49" s="1287"/>
      <c r="AP49" s="1287"/>
      <c r="AQ49" s="1287"/>
      <c r="AR49" s="1287"/>
      <c r="AS49" s="1287"/>
      <c r="AT49" s="1287"/>
      <c r="AU49" s="1287"/>
      <c r="AV49" s="1287"/>
      <c r="AW49" s="1287"/>
      <c r="AX49" s="1287"/>
    </row>
    <row r="50" spans="1:50" x14ac:dyDescent="0.2">
      <c r="A50" s="1287"/>
      <c r="B50" s="1287"/>
      <c r="C50" s="1287"/>
      <c r="D50" s="1287"/>
      <c r="E50" s="1287"/>
      <c r="F50" s="1287"/>
      <c r="G50" s="1287"/>
      <c r="H50" s="1287"/>
      <c r="I50" s="1287"/>
      <c r="J50" s="1287"/>
      <c r="K50" s="1287"/>
      <c r="L50" s="1287"/>
      <c r="M50" s="1287"/>
      <c r="N50" s="1287"/>
      <c r="O50" s="1287"/>
      <c r="P50" s="1287"/>
      <c r="Q50" s="1287"/>
      <c r="R50" s="1287"/>
      <c r="S50" s="1287"/>
      <c r="T50" s="1287"/>
      <c r="U50" s="1287"/>
      <c r="V50" s="1287"/>
      <c r="W50" s="1287"/>
      <c r="X50" s="1287"/>
      <c r="Y50" s="1287"/>
      <c r="Z50" s="1287"/>
      <c r="AA50" s="1287"/>
      <c r="AB50" s="1287"/>
      <c r="AC50" s="1287"/>
      <c r="AD50" s="1287"/>
      <c r="AE50" s="1287"/>
      <c r="AF50" s="1287"/>
      <c r="AG50" s="1287"/>
      <c r="AH50" s="1287"/>
      <c r="AI50" s="1287"/>
      <c r="AJ50" s="1287"/>
      <c r="AK50" s="1287"/>
      <c r="AL50" s="1287"/>
      <c r="AM50" s="1287"/>
      <c r="AN50" s="1287"/>
      <c r="AO50" s="1287"/>
      <c r="AP50" s="1287"/>
      <c r="AQ50" s="1287"/>
      <c r="AR50" s="1287"/>
      <c r="AS50" s="1287"/>
      <c r="AT50" s="1287"/>
      <c r="AU50" s="1287"/>
      <c r="AV50" s="1287"/>
      <c r="AW50" s="1287"/>
      <c r="AX50" s="1287"/>
    </row>
    <row r="51" spans="1:50" x14ac:dyDescent="0.2">
      <c r="A51" s="1287"/>
      <c r="B51" s="1287"/>
      <c r="C51" s="1287"/>
      <c r="D51" s="1287"/>
      <c r="E51" s="1287"/>
      <c r="F51" s="1287"/>
      <c r="G51" s="1287"/>
      <c r="H51" s="1287"/>
      <c r="I51" s="1287"/>
      <c r="J51" s="1287"/>
      <c r="K51" s="1287"/>
      <c r="L51" s="1287"/>
      <c r="M51" s="1287"/>
      <c r="N51" s="1287"/>
      <c r="O51" s="1287"/>
      <c r="P51" s="1287"/>
      <c r="Q51" s="1287"/>
      <c r="R51" s="1287"/>
      <c r="S51" s="1287"/>
      <c r="T51" s="1287"/>
      <c r="U51" s="1287"/>
      <c r="V51" s="1287"/>
      <c r="W51" s="1287"/>
      <c r="X51" s="1287"/>
      <c r="Y51" s="1287"/>
      <c r="Z51" s="1287"/>
      <c r="AA51" s="1287"/>
      <c r="AB51" s="1287"/>
      <c r="AC51" s="1287"/>
      <c r="AD51" s="1287"/>
      <c r="AE51" s="1287"/>
      <c r="AF51" s="1287"/>
      <c r="AG51" s="1287"/>
      <c r="AH51" s="1287"/>
      <c r="AI51" s="1287"/>
      <c r="AJ51" s="1287"/>
      <c r="AK51" s="1287"/>
      <c r="AL51" s="1287"/>
      <c r="AM51" s="1287"/>
      <c r="AN51" s="1287"/>
      <c r="AO51" s="1287"/>
      <c r="AP51" s="1287"/>
      <c r="AQ51" s="1287"/>
      <c r="AR51" s="1287"/>
      <c r="AS51" s="1287"/>
      <c r="AT51" s="1287"/>
      <c r="AU51" s="1287"/>
      <c r="AV51" s="1287"/>
      <c r="AW51" s="1287"/>
      <c r="AX51" s="1287"/>
    </row>
    <row r="52" spans="1:50" x14ac:dyDescent="0.2">
      <c r="A52" s="1287"/>
      <c r="B52" s="1287"/>
      <c r="C52" s="1287"/>
      <c r="D52" s="1287"/>
      <c r="E52" s="1287"/>
      <c r="F52" s="1287"/>
      <c r="G52" s="1287"/>
      <c r="H52" s="1287"/>
      <c r="I52" s="1287"/>
      <c r="J52" s="1287"/>
      <c r="K52" s="1287"/>
      <c r="L52" s="1287"/>
      <c r="M52" s="1287"/>
      <c r="N52" s="1287"/>
      <c r="O52" s="1287"/>
      <c r="P52" s="1287"/>
      <c r="Q52" s="1287"/>
      <c r="R52" s="1287"/>
      <c r="S52" s="1287"/>
      <c r="T52" s="1287"/>
      <c r="U52" s="1287"/>
      <c r="V52" s="1287"/>
      <c r="W52" s="1287"/>
      <c r="X52" s="1287"/>
      <c r="Y52" s="1287"/>
      <c r="Z52" s="1287"/>
      <c r="AA52" s="1287"/>
      <c r="AB52" s="1287"/>
      <c r="AC52" s="1287"/>
      <c r="AD52" s="1287"/>
      <c r="AE52" s="1287"/>
      <c r="AF52" s="1287"/>
      <c r="AG52" s="1287"/>
      <c r="AH52" s="1287"/>
      <c r="AI52" s="1287"/>
      <c r="AJ52" s="1287"/>
      <c r="AK52" s="1287"/>
      <c r="AL52" s="1287"/>
      <c r="AM52" s="1287"/>
      <c r="AN52" s="1287"/>
      <c r="AO52" s="1287"/>
      <c r="AP52" s="1287"/>
      <c r="AQ52" s="1287"/>
      <c r="AR52" s="1287"/>
      <c r="AS52" s="1287"/>
      <c r="AT52" s="1287"/>
      <c r="AU52" s="1287"/>
      <c r="AV52" s="1287"/>
      <c r="AW52" s="1287"/>
      <c r="AX52" s="1287"/>
    </row>
    <row r="53" spans="1:50" x14ac:dyDescent="0.2">
      <c r="A53" s="1287"/>
      <c r="B53" s="1287"/>
      <c r="C53" s="1287"/>
      <c r="D53" s="1287"/>
      <c r="E53" s="1287"/>
      <c r="F53" s="1287"/>
      <c r="G53" s="1287"/>
      <c r="H53" s="1287"/>
      <c r="I53" s="1287"/>
      <c r="J53" s="1287"/>
      <c r="K53" s="1287"/>
      <c r="L53" s="1287"/>
      <c r="M53" s="1287"/>
      <c r="N53" s="1287"/>
      <c r="O53" s="1287"/>
      <c r="P53" s="1287"/>
      <c r="Q53" s="1287"/>
      <c r="R53" s="1287"/>
      <c r="S53" s="1287"/>
      <c r="T53" s="1287"/>
      <c r="U53" s="1287"/>
      <c r="V53" s="1287"/>
      <c r="W53" s="1287"/>
      <c r="X53" s="1287"/>
      <c r="Y53" s="1287"/>
      <c r="Z53" s="1287"/>
      <c r="AA53" s="1287"/>
      <c r="AB53" s="1287"/>
      <c r="AC53" s="1287"/>
      <c r="AD53" s="1287"/>
      <c r="AE53" s="1287"/>
      <c r="AF53" s="1287"/>
      <c r="AG53" s="1287"/>
      <c r="AH53" s="1287"/>
      <c r="AI53" s="1287"/>
      <c r="AJ53" s="1287"/>
      <c r="AK53" s="1287"/>
      <c r="AL53" s="1287"/>
      <c r="AM53" s="1287"/>
      <c r="AN53" s="1287"/>
      <c r="AO53" s="1287"/>
      <c r="AP53" s="1287"/>
      <c r="AQ53" s="1287"/>
      <c r="AR53" s="1287"/>
      <c r="AS53" s="1287"/>
      <c r="AT53" s="1287"/>
      <c r="AU53" s="1287"/>
      <c r="AV53" s="1287"/>
      <c r="AW53" s="1287"/>
      <c r="AX53" s="1287"/>
    </row>
    <row r="54" spans="1:50" x14ac:dyDescent="0.2">
      <c r="A54" s="1287"/>
      <c r="B54" s="1287"/>
      <c r="C54" s="1287"/>
      <c r="D54" s="1287"/>
      <c r="E54" s="1287"/>
      <c r="F54" s="1287"/>
      <c r="G54" s="1287"/>
      <c r="H54" s="1287"/>
      <c r="I54" s="1287"/>
      <c r="J54" s="1287"/>
      <c r="K54" s="1287"/>
      <c r="L54" s="1287"/>
      <c r="M54" s="1287"/>
      <c r="N54" s="1287"/>
      <c r="O54" s="1287"/>
      <c r="P54" s="1287"/>
      <c r="Q54" s="1287"/>
      <c r="R54" s="1287"/>
      <c r="S54" s="1287"/>
      <c r="T54" s="1287"/>
      <c r="U54" s="1287"/>
      <c r="V54" s="1287"/>
      <c r="W54" s="1287"/>
      <c r="X54" s="1287"/>
      <c r="Y54" s="1287"/>
      <c r="Z54" s="1287"/>
      <c r="AA54" s="1287"/>
      <c r="AB54" s="1287"/>
      <c r="AC54" s="1287"/>
      <c r="AD54" s="1287"/>
      <c r="AE54" s="1287"/>
      <c r="AF54" s="1287"/>
      <c r="AG54" s="1287"/>
      <c r="AH54" s="1287"/>
      <c r="AI54" s="1287"/>
      <c r="AJ54" s="1287"/>
      <c r="AK54" s="1287"/>
      <c r="AL54" s="1287"/>
      <c r="AM54" s="1287"/>
      <c r="AN54" s="1287"/>
      <c r="AO54" s="1287"/>
      <c r="AP54" s="1287"/>
      <c r="AQ54" s="1287"/>
      <c r="AR54" s="1287"/>
      <c r="AS54" s="1287"/>
      <c r="AT54" s="1287"/>
      <c r="AU54" s="1287"/>
      <c r="AV54" s="1287"/>
      <c r="AW54" s="1287"/>
      <c r="AX54" s="1287"/>
    </row>
    <row r="55" spans="1:50" x14ac:dyDescent="0.2">
      <c r="A55" s="1287"/>
      <c r="B55" s="1287"/>
      <c r="C55" s="1287"/>
      <c r="D55" s="1287"/>
      <c r="E55" s="1287"/>
      <c r="F55" s="1287"/>
      <c r="G55" s="1287"/>
      <c r="H55" s="1287"/>
      <c r="I55" s="1287"/>
      <c r="J55" s="1287"/>
      <c r="K55" s="1287"/>
      <c r="L55" s="1287"/>
      <c r="M55" s="1287"/>
      <c r="N55" s="1287"/>
      <c r="O55" s="1287"/>
      <c r="P55" s="1287"/>
      <c r="Q55" s="1287"/>
      <c r="R55" s="1287"/>
      <c r="S55" s="1287"/>
      <c r="T55" s="1287"/>
      <c r="U55" s="1287"/>
      <c r="V55" s="1287"/>
      <c r="W55" s="1287"/>
      <c r="X55" s="1287"/>
      <c r="Y55" s="1287"/>
      <c r="Z55" s="1287"/>
      <c r="AA55" s="1287"/>
      <c r="AB55" s="1287"/>
      <c r="AC55" s="1287"/>
      <c r="AD55" s="1287"/>
      <c r="AE55" s="1287"/>
      <c r="AF55" s="1287"/>
      <c r="AG55" s="1287"/>
      <c r="AH55" s="1287"/>
      <c r="AI55" s="1287"/>
      <c r="AJ55" s="1287"/>
      <c r="AK55" s="1287"/>
      <c r="AL55" s="1287"/>
      <c r="AM55" s="1287"/>
      <c r="AN55" s="1287"/>
      <c r="AO55" s="1287"/>
      <c r="AP55" s="1287"/>
      <c r="AQ55" s="1287"/>
      <c r="AR55" s="1287"/>
      <c r="AS55" s="1287"/>
      <c r="AT55" s="1287"/>
      <c r="AU55" s="1287"/>
      <c r="AV55" s="1287"/>
      <c r="AW55" s="1287"/>
      <c r="AX55" s="1287"/>
    </row>
    <row r="56" spans="1:50" x14ac:dyDescent="0.2">
      <c r="A56" s="1287"/>
      <c r="B56" s="1287"/>
      <c r="C56" s="1287"/>
      <c r="D56" s="1287"/>
      <c r="E56" s="1287"/>
      <c r="F56" s="1287"/>
      <c r="G56" s="1287"/>
      <c r="H56" s="1287"/>
      <c r="I56" s="1287"/>
      <c r="J56" s="1287"/>
      <c r="K56" s="1287"/>
      <c r="L56" s="1287"/>
      <c r="M56" s="1287"/>
      <c r="N56" s="1287"/>
      <c r="O56" s="1287"/>
      <c r="P56" s="1287"/>
      <c r="Q56" s="1287"/>
      <c r="R56" s="1287"/>
      <c r="S56" s="1287"/>
      <c r="T56" s="1287"/>
      <c r="U56" s="1287"/>
      <c r="V56" s="1287"/>
      <c r="W56" s="1287"/>
      <c r="X56" s="1287"/>
      <c r="Y56" s="1287"/>
      <c r="Z56" s="1287"/>
      <c r="AA56" s="1287"/>
      <c r="AB56" s="1287"/>
      <c r="AC56" s="1287"/>
      <c r="AD56" s="1287"/>
      <c r="AE56" s="1287"/>
      <c r="AF56" s="1287"/>
      <c r="AG56" s="1287"/>
      <c r="AH56" s="1287"/>
      <c r="AI56" s="1287"/>
      <c r="AJ56" s="1287"/>
      <c r="AK56" s="1287"/>
      <c r="AL56" s="1287"/>
      <c r="AM56" s="1287"/>
      <c r="AN56" s="1287"/>
      <c r="AO56" s="1287"/>
      <c r="AP56" s="1287"/>
      <c r="AQ56" s="1287"/>
      <c r="AR56" s="1287"/>
      <c r="AS56" s="1287"/>
      <c r="AT56" s="1287"/>
      <c r="AU56" s="1287"/>
      <c r="AV56" s="1287"/>
      <c r="AW56" s="1287"/>
      <c r="AX56" s="1287"/>
    </row>
    <row r="57" spans="1:50" x14ac:dyDescent="0.2">
      <c r="A57" s="1287"/>
      <c r="B57" s="1287"/>
      <c r="C57" s="1287"/>
      <c r="D57" s="1287"/>
      <c r="E57" s="1287"/>
      <c r="F57" s="1287"/>
      <c r="G57" s="1287"/>
      <c r="H57" s="1287"/>
      <c r="I57" s="1287"/>
      <c r="J57" s="1287"/>
      <c r="K57" s="1287"/>
      <c r="L57" s="1287"/>
      <c r="M57" s="1287"/>
      <c r="N57" s="1287"/>
      <c r="O57" s="1287"/>
      <c r="P57" s="1287"/>
      <c r="Q57" s="1287"/>
      <c r="R57" s="1287"/>
      <c r="S57" s="1287"/>
      <c r="T57" s="1287"/>
      <c r="U57" s="1287"/>
      <c r="V57" s="1287"/>
      <c r="W57" s="1287"/>
      <c r="X57" s="1287"/>
      <c r="Y57" s="1287"/>
      <c r="Z57" s="1287"/>
      <c r="AA57" s="1287"/>
      <c r="AB57" s="1287"/>
      <c r="AC57" s="1287"/>
      <c r="AD57" s="1287"/>
      <c r="AE57" s="1287"/>
      <c r="AF57" s="1287"/>
      <c r="AG57" s="1287"/>
      <c r="AH57" s="1287"/>
      <c r="AI57" s="1287"/>
      <c r="AJ57" s="1287"/>
      <c r="AK57" s="1287"/>
      <c r="AL57" s="1287"/>
      <c r="AM57" s="1287"/>
      <c r="AN57" s="1287"/>
      <c r="AO57" s="1287"/>
      <c r="AP57" s="1287"/>
      <c r="AQ57" s="1287"/>
      <c r="AR57" s="1287"/>
      <c r="AS57" s="1287"/>
      <c r="AT57" s="1287"/>
      <c r="AU57" s="1287"/>
      <c r="AV57" s="1287"/>
      <c r="AW57" s="1287"/>
      <c r="AX57" s="1287"/>
    </row>
    <row r="58" spans="1:50" x14ac:dyDescent="0.2">
      <c r="A58" s="1287"/>
      <c r="B58" s="1287"/>
      <c r="C58" s="1287"/>
      <c r="D58" s="1287"/>
      <c r="E58" s="1287"/>
      <c r="F58" s="1287"/>
      <c r="G58" s="1287"/>
      <c r="H58" s="1287"/>
      <c r="I58" s="1287"/>
      <c r="J58" s="1287"/>
      <c r="K58" s="1287"/>
      <c r="L58" s="1287"/>
      <c r="M58" s="1287"/>
      <c r="N58" s="1287"/>
      <c r="O58" s="1287"/>
      <c r="P58" s="1287"/>
      <c r="Q58" s="1287"/>
      <c r="R58" s="1287"/>
      <c r="S58" s="1287"/>
      <c r="T58" s="1287"/>
      <c r="U58" s="1287"/>
      <c r="V58" s="1287"/>
      <c r="W58" s="1287"/>
      <c r="X58" s="1287"/>
      <c r="Y58" s="1287"/>
      <c r="Z58" s="1287"/>
      <c r="AA58" s="1287"/>
      <c r="AB58" s="1287"/>
      <c r="AC58" s="1287"/>
      <c r="AD58" s="1287"/>
      <c r="AE58" s="1287"/>
      <c r="AF58" s="1287"/>
      <c r="AG58" s="1287"/>
      <c r="AH58" s="1287"/>
      <c r="AI58" s="1287"/>
      <c r="AJ58" s="1287"/>
      <c r="AK58" s="1287"/>
      <c r="AL58" s="1287"/>
      <c r="AM58" s="1287"/>
      <c r="AN58" s="1287"/>
      <c r="AO58" s="1287"/>
      <c r="AP58" s="1287"/>
      <c r="AQ58" s="1287"/>
      <c r="AR58" s="1287"/>
      <c r="AS58" s="1287"/>
      <c r="AT58" s="1287"/>
      <c r="AU58" s="1287"/>
      <c r="AV58" s="1287"/>
      <c r="AW58" s="1287"/>
      <c r="AX58" s="1287"/>
    </row>
    <row r="59" spans="1:50" x14ac:dyDescent="0.2">
      <c r="A59" s="1287"/>
      <c r="B59" s="1287"/>
      <c r="C59" s="1287"/>
      <c r="D59" s="1287"/>
      <c r="E59" s="1287"/>
      <c r="F59" s="1287"/>
      <c r="G59" s="1287"/>
      <c r="H59" s="1287"/>
      <c r="I59" s="1287"/>
      <c r="J59" s="1287"/>
      <c r="K59" s="1287"/>
      <c r="L59" s="1287"/>
      <c r="M59" s="1287"/>
      <c r="N59" s="1287"/>
      <c r="O59" s="1287"/>
      <c r="P59" s="1287"/>
      <c r="Q59" s="1287"/>
      <c r="R59" s="1287"/>
      <c r="S59" s="1287"/>
      <c r="T59" s="1287"/>
      <c r="U59" s="1287"/>
      <c r="V59" s="1287"/>
      <c r="W59" s="1287"/>
      <c r="X59" s="1287"/>
      <c r="Y59" s="1287"/>
      <c r="Z59" s="1287"/>
      <c r="AA59" s="1287"/>
      <c r="AB59" s="1287"/>
      <c r="AC59" s="1287"/>
      <c r="AD59" s="1287"/>
      <c r="AE59" s="1287"/>
      <c r="AF59" s="1287"/>
      <c r="AG59" s="1287"/>
      <c r="AH59" s="1287"/>
      <c r="AI59" s="1287"/>
      <c r="AJ59" s="1287"/>
      <c r="AK59" s="1287"/>
      <c r="AL59" s="1287"/>
      <c r="AM59" s="1287"/>
      <c r="AN59" s="1287"/>
      <c r="AO59" s="1287"/>
      <c r="AP59" s="1287"/>
      <c r="AQ59" s="1287"/>
      <c r="AR59" s="1287"/>
      <c r="AS59" s="1287"/>
      <c r="AT59" s="1287"/>
      <c r="AU59" s="1287"/>
      <c r="AV59" s="1287"/>
      <c r="AW59" s="1287"/>
      <c r="AX59" s="1287"/>
    </row>
    <row r="60" spans="1:50" x14ac:dyDescent="0.2">
      <c r="A60" s="1287"/>
      <c r="B60" s="1287"/>
      <c r="C60" s="1287"/>
      <c r="D60" s="1287"/>
      <c r="E60" s="1287"/>
      <c r="F60" s="1287"/>
      <c r="G60" s="1287"/>
      <c r="H60" s="1287"/>
      <c r="I60" s="1287"/>
      <c r="J60" s="1287"/>
      <c r="K60" s="1287"/>
      <c r="L60" s="1287"/>
      <c r="M60" s="1287"/>
      <c r="N60" s="1287"/>
      <c r="O60" s="1287"/>
      <c r="P60" s="1287"/>
      <c r="Q60" s="1287"/>
      <c r="R60" s="1287"/>
      <c r="S60" s="1287"/>
      <c r="T60" s="1287"/>
      <c r="U60" s="1287"/>
      <c r="V60" s="1287"/>
      <c r="W60" s="1287"/>
      <c r="X60" s="1287"/>
      <c r="Y60" s="1287"/>
      <c r="Z60" s="1287"/>
      <c r="AA60" s="1287"/>
      <c r="AB60" s="1287"/>
      <c r="AC60" s="1287"/>
      <c r="AD60" s="1287"/>
      <c r="AE60" s="1287"/>
      <c r="AF60" s="1287"/>
      <c r="AG60" s="1287"/>
      <c r="AH60" s="1287"/>
      <c r="AI60" s="1287"/>
      <c r="AJ60" s="1287"/>
      <c r="AK60" s="1287"/>
      <c r="AL60" s="1287"/>
      <c r="AM60" s="1287"/>
      <c r="AN60" s="1287"/>
      <c r="AO60" s="1287"/>
      <c r="AP60" s="1287"/>
      <c r="AQ60" s="1287"/>
      <c r="AR60" s="1287"/>
      <c r="AS60" s="1287"/>
      <c r="AT60" s="1287"/>
      <c r="AU60" s="1287"/>
      <c r="AV60" s="1287"/>
      <c r="AW60" s="1287"/>
      <c r="AX60" s="1287"/>
    </row>
    <row r="61" spans="1:50" x14ac:dyDescent="0.2">
      <c r="A61" s="1287"/>
      <c r="B61" s="1287"/>
      <c r="C61" s="1287"/>
      <c r="D61" s="1287"/>
      <c r="E61" s="1287"/>
      <c r="F61" s="1287"/>
      <c r="G61" s="1287"/>
      <c r="H61" s="1287"/>
      <c r="I61" s="1287"/>
      <c r="J61" s="1287"/>
      <c r="K61" s="1287"/>
      <c r="L61" s="1287"/>
      <c r="M61" s="1287"/>
      <c r="N61" s="1287"/>
      <c r="O61" s="1287"/>
      <c r="P61" s="1287"/>
      <c r="Q61" s="1287"/>
      <c r="R61" s="1287"/>
      <c r="S61" s="1287"/>
      <c r="T61" s="1287"/>
      <c r="U61" s="1287"/>
      <c r="V61" s="1287"/>
      <c r="W61" s="1287"/>
      <c r="X61" s="1287"/>
      <c r="Y61" s="1287"/>
      <c r="Z61" s="1287"/>
      <c r="AA61" s="1287"/>
      <c r="AB61" s="1287"/>
      <c r="AC61" s="1287"/>
      <c r="AD61" s="1287"/>
      <c r="AE61" s="1287"/>
      <c r="AF61" s="1287"/>
      <c r="AG61" s="1287"/>
      <c r="AH61" s="1287"/>
      <c r="AI61" s="1287"/>
      <c r="AJ61" s="1287"/>
      <c r="AK61" s="1287"/>
      <c r="AL61" s="1287"/>
      <c r="AM61" s="1287"/>
      <c r="AN61" s="1287"/>
      <c r="AO61" s="1287"/>
      <c r="AP61" s="1287"/>
      <c r="AQ61" s="1287"/>
      <c r="AR61" s="1287"/>
      <c r="AS61" s="1287"/>
      <c r="AT61" s="1287"/>
      <c r="AU61" s="1287"/>
      <c r="AV61" s="1287"/>
      <c r="AW61" s="1287"/>
      <c r="AX61" s="1287"/>
    </row>
    <row r="62" spans="1:50" x14ac:dyDescent="0.2">
      <c r="A62" s="1287"/>
      <c r="B62" s="1287"/>
      <c r="C62" s="1287"/>
      <c r="D62" s="1287"/>
      <c r="E62" s="1287"/>
      <c r="F62" s="1287"/>
      <c r="G62" s="1287"/>
      <c r="H62" s="1287"/>
      <c r="I62" s="1287"/>
      <c r="J62" s="1287"/>
      <c r="K62" s="1287"/>
      <c r="L62" s="1287"/>
      <c r="M62" s="1287"/>
      <c r="N62" s="1287"/>
      <c r="O62" s="1287"/>
      <c r="P62" s="1287"/>
      <c r="Q62" s="1287"/>
      <c r="R62" s="1287"/>
      <c r="S62" s="1287"/>
      <c r="T62" s="1287"/>
      <c r="U62" s="1287"/>
      <c r="V62" s="1287"/>
      <c r="W62" s="1287"/>
      <c r="X62" s="1287"/>
      <c r="Y62" s="1287"/>
      <c r="Z62" s="1287"/>
      <c r="AA62" s="1287"/>
      <c r="AB62" s="1287"/>
      <c r="AC62" s="1287"/>
      <c r="AD62" s="1287"/>
      <c r="AE62" s="1287"/>
      <c r="AF62" s="1287"/>
      <c r="AG62" s="1287"/>
      <c r="AH62" s="1287"/>
      <c r="AI62" s="1287"/>
      <c r="AJ62" s="1287"/>
      <c r="AK62" s="1287"/>
      <c r="AL62" s="1287"/>
      <c r="AM62" s="1287"/>
      <c r="AN62" s="1287"/>
      <c r="AO62" s="1287"/>
      <c r="AP62" s="1287"/>
      <c r="AQ62" s="1287"/>
      <c r="AR62" s="1287"/>
      <c r="AS62" s="1287"/>
      <c r="AT62" s="1287"/>
      <c r="AU62" s="1287"/>
      <c r="AV62" s="1287"/>
      <c r="AW62" s="1287"/>
      <c r="AX62" s="1287"/>
    </row>
    <row r="63" spans="1:50" x14ac:dyDescent="0.2">
      <c r="A63" s="1287"/>
      <c r="B63" s="1287"/>
      <c r="C63" s="1287"/>
      <c r="D63" s="1287"/>
      <c r="E63" s="1287"/>
      <c r="F63" s="1287"/>
      <c r="G63" s="1287"/>
      <c r="H63" s="1287"/>
      <c r="I63" s="1287"/>
      <c r="J63" s="1287"/>
      <c r="K63" s="1287"/>
      <c r="L63" s="1287"/>
      <c r="M63" s="1287"/>
      <c r="N63" s="1287"/>
      <c r="O63" s="1287"/>
      <c r="P63" s="1287"/>
      <c r="Q63" s="1287"/>
      <c r="R63" s="1287"/>
      <c r="S63" s="1287"/>
      <c r="T63" s="1287"/>
      <c r="U63" s="1287"/>
      <c r="V63" s="1287"/>
      <c r="W63" s="1287"/>
      <c r="X63" s="1287"/>
      <c r="Y63" s="1287"/>
      <c r="Z63" s="1287"/>
      <c r="AA63" s="1287"/>
      <c r="AB63" s="1287"/>
      <c r="AC63" s="1287"/>
      <c r="AD63" s="1287"/>
      <c r="AE63" s="1287"/>
      <c r="AF63" s="1287"/>
      <c r="AG63" s="1287"/>
      <c r="AH63" s="1287"/>
      <c r="AI63" s="1287"/>
      <c r="AJ63" s="1287"/>
      <c r="AK63" s="1287"/>
      <c r="AL63" s="1287"/>
      <c r="AM63" s="1287"/>
      <c r="AN63" s="1287"/>
      <c r="AO63" s="1287"/>
      <c r="AP63" s="1287"/>
      <c r="AQ63" s="1287"/>
      <c r="AR63" s="1287"/>
      <c r="AS63" s="1287"/>
      <c r="AT63" s="1287"/>
      <c r="AU63" s="1287"/>
      <c r="AV63" s="1287"/>
      <c r="AW63" s="1287"/>
      <c r="AX63" s="1287"/>
    </row>
    <row r="64" spans="1:50" x14ac:dyDescent="0.2">
      <c r="A64" s="1287"/>
      <c r="B64" s="1287"/>
      <c r="C64" s="1287"/>
      <c r="D64" s="1287"/>
      <c r="E64" s="1287"/>
      <c r="F64" s="1287"/>
      <c r="G64" s="1287"/>
      <c r="H64" s="1287"/>
      <c r="I64" s="1287"/>
      <c r="J64" s="1287"/>
      <c r="K64" s="1287"/>
      <c r="L64" s="1287"/>
      <c r="M64" s="1287"/>
      <c r="N64" s="1287"/>
      <c r="O64" s="1287"/>
      <c r="P64" s="1287"/>
      <c r="Q64" s="1287"/>
      <c r="R64" s="1287"/>
      <c r="S64" s="1287"/>
      <c r="T64" s="1287"/>
      <c r="U64" s="1287"/>
      <c r="V64" s="1287"/>
      <c r="W64" s="1287"/>
      <c r="X64" s="1287"/>
      <c r="Y64" s="1287"/>
      <c r="Z64" s="1287"/>
      <c r="AA64" s="1287"/>
      <c r="AB64" s="1287"/>
      <c r="AC64" s="1287"/>
      <c r="AD64" s="1287"/>
      <c r="AE64" s="1287"/>
      <c r="AF64" s="1287"/>
      <c r="AG64" s="1287"/>
      <c r="AH64" s="1287"/>
      <c r="AI64" s="1287"/>
      <c r="AJ64" s="1287"/>
      <c r="AK64" s="1287"/>
      <c r="AL64" s="1287"/>
      <c r="AM64" s="1287"/>
      <c r="AN64" s="1287"/>
      <c r="AO64" s="1287"/>
      <c r="AP64" s="1287"/>
      <c r="AQ64" s="1287"/>
      <c r="AR64" s="1287"/>
      <c r="AS64" s="1287"/>
      <c r="AT64" s="1287"/>
      <c r="AU64" s="1287"/>
      <c r="AV64" s="1287"/>
      <c r="AW64" s="1287"/>
      <c r="AX64" s="1287"/>
    </row>
    <row r="65" spans="1:50" x14ac:dyDescent="0.2">
      <c r="A65" s="1287"/>
      <c r="B65" s="1287"/>
      <c r="C65" s="1287"/>
      <c r="D65" s="1287"/>
      <c r="E65" s="1287"/>
      <c r="F65" s="1287"/>
      <c r="G65" s="1287"/>
      <c r="H65" s="1287"/>
      <c r="I65" s="1287"/>
      <c r="J65" s="1287"/>
      <c r="K65" s="1287"/>
      <c r="L65" s="1287"/>
      <c r="M65" s="1287"/>
      <c r="N65" s="1287"/>
      <c r="O65" s="1287"/>
      <c r="P65" s="1287"/>
      <c r="Q65" s="1287"/>
      <c r="R65" s="1287"/>
      <c r="S65" s="1287"/>
      <c r="T65" s="1287"/>
      <c r="U65" s="1287"/>
      <c r="V65" s="1287"/>
      <c r="W65" s="1287"/>
      <c r="X65" s="1287"/>
      <c r="Y65" s="1287"/>
      <c r="Z65" s="1287"/>
      <c r="AA65" s="1287"/>
      <c r="AB65" s="1287"/>
      <c r="AC65" s="1287"/>
      <c r="AD65" s="1287"/>
      <c r="AE65" s="1287"/>
      <c r="AF65" s="1287"/>
      <c r="AG65" s="1287"/>
      <c r="AH65" s="1287"/>
      <c r="AI65" s="1287"/>
      <c r="AJ65" s="1287"/>
      <c r="AK65" s="1287"/>
      <c r="AL65" s="1287"/>
      <c r="AM65" s="1287"/>
      <c r="AN65" s="1287"/>
      <c r="AO65" s="1287"/>
      <c r="AP65" s="1287"/>
      <c r="AQ65" s="1287"/>
      <c r="AR65" s="1287"/>
      <c r="AS65" s="1287"/>
      <c r="AT65" s="1287"/>
      <c r="AU65" s="1287"/>
      <c r="AV65" s="1287"/>
      <c r="AW65" s="1287"/>
      <c r="AX65" s="1287"/>
    </row>
    <row r="66" spans="1:50" x14ac:dyDescent="0.2">
      <c r="A66" s="1287"/>
      <c r="B66" s="1287"/>
      <c r="C66" s="1287"/>
      <c r="D66" s="1287"/>
      <c r="E66" s="1287"/>
      <c r="F66" s="1287"/>
      <c r="G66" s="1287"/>
      <c r="H66" s="1287"/>
      <c r="I66" s="1287"/>
      <c r="J66" s="1287"/>
      <c r="K66" s="1287"/>
      <c r="L66" s="1287"/>
      <c r="M66" s="1287"/>
      <c r="N66" s="1287"/>
      <c r="O66" s="1287"/>
      <c r="P66" s="1287"/>
      <c r="Q66" s="1287"/>
      <c r="R66" s="1287"/>
      <c r="S66" s="1287"/>
      <c r="T66" s="1287"/>
      <c r="U66" s="1287"/>
      <c r="V66" s="1287"/>
      <c r="W66" s="1287"/>
      <c r="X66" s="1287"/>
      <c r="Y66" s="1287"/>
      <c r="Z66" s="1287"/>
      <c r="AA66" s="1287"/>
      <c r="AB66" s="1287"/>
      <c r="AC66" s="1287"/>
      <c r="AD66" s="1287"/>
      <c r="AE66" s="1287"/>
      <c r="AF66" s="1287"/>
      <c r="AG66" s="1287"/>
      <c r="AH66" s="1287"/>
      <c r="AI66" s="1287"/>
      <c r="AJ66" s="1287"/>
      <c r="AK66" s="1287"/>
      <c r="AL66" s="1287"/>
      <c r="AM66" s="1287"/>
      <c r="AN66" s="1287"/>
      <c r="AO66" s="1287"/>
      <c r="AP66" s="1287"/>
      <c r="AQ66" s="1287"/>
      <c r="AR66" s="1287"/>
      <c r="AS66" s="1287"/>
      <c r="AT66" s="1287"/>
      <c r="AU66" s="1287"/>
      <c r="AV66" s="1287"/>
      <c r="AW66" s="1287"/>
      <c r="AX66" s="1287"/>
    </row>
    <row r="67" spans="1:50" x14ac:dyDescent="0.2">
      <c r="A67" s="1287"/>
      <c r="B67" s="1287"/>
      <c r="C67" s="1287"/>
      <c r="D67" s="1287"/>
      <c r="E67" s="1287"/>
      <c r="F67" s="1287"/>
      <c r="G67" s="1287"/>
      <c r="H67" s="1287"/>
      <c r="I67" s="1287"/>
      <c r="J67" s="1287"/>
      <c r="K67" s="1287"/>
      <c r="L67" s="1287"/>
      <c r="M67" s="1287"/>
      <c r="N67" s="1287"/>
      <c r="O67" s="1287"/>
      <c r="P67" s="1287"/>
      <c r="Q67" s="1287"/>
      <c r="R67" s="1287"/>
      <c r="S67" s="1287"/>
      <c r="T67" s="1287"/>
      <c r="U67" s="1287"/>
      <c r="V67" s="1287"/>
      <c r="W67" s="1287"/>
      <c r="X67" s="1287"/>
      <c r="Y67" s="1287"/>
      <c r="Z67" s="1287"/>
      <c r="AA67" s="1287"/>
      <c r="AB67" s="1287"/>
      <c r="AC67" s="1287"/>
      <c r="AD67" s="1287"/>
      <c r="AE67" s="1287"/>
      <c r="AF67" s="1287"/>
      <c r="AG67" s="1287"/>
      <c r="AH67" s="1287"/>
      <c r="AI67" s="1287"/>
      <c r="AJ67" s="1287"/>
      <c r="AK67" s="1287"/>
      <c r="AL67" s="1287"/>
      <c r="AM67" s="1287"/>
      <c r="AN67" s="1287"/>
      <c r="AO67" s="1287"/>
      <c r="AP67" s="1287"/>
      <c r="AQ67" s="1287"/>
      <c r="AR67" s="1287"/>
      <c r="AS67" s="1287"/>
      <c r="AT67" s="1287"/>
      <c r="AU67" s="1287"/>
      <c r="AV67" s="1287"/>
      <c r="AW67" s="1287"/>
      <c r="AX67" s="1287"/>
    </row>
    <row r="68" spans="1:50" x14ac:dyDescent="0.2">
      <c r="A68" s="1287"/>
      <c r="B68" s="1287"/>
      <c r="C68" s="1287"/>
      <c r="D68" s="1287"/>
      <c r="E68" s="1287"/>
      <c r="F68" s="1287"/>
      <c r="G68" s="1287"/>
      <c r="H68" s="1287"/>
      <c r="I68" s="1287"/>
      <c r="J68" s="1287"/>
      <c r="K68" s="1287"/>
      <c r="L68" s="1287"/>
      <c r="M68" s="1287"/>
      <c r="N68" s="1287"/>
      <c r="O68" s="1287"/>
      <c r="P68" s="1287"/>
      <c r="Q68" s="1287"/>
      <c r="R68" s="1287"/>
      <c r="S68" s="1287"/>
      <c r="T68" s="1287"/>
      <c r="U68" s="1287"/>
      <c r="V68" s="1287"/>
      <c r="W68" s="1287"/>
      <c r="X68" s="1287"/>
      <c r="Y68" s="1287"/>
      <c r="Z68" s="1287"/>
      <c r="AA68" s="1287"/>
      <c r="AB68" s="1287"/>
      <c r="AC68" s="1287"/>
      <c r="AD68" s="1287"/>
      <c r="AE68" s="1287"/>
      <c r="AF68" s="1287"/>
      <c r="AG68" s="1287"/>
      <c r="AH68" s="1287"/>
      <c r="AI68" s="1287"/>
      <c r="AJ68" s="1287"/>
      <c r="AK68" s="1287"/>
      <c r="AL68" s="1287"/>
      <c r="AM68" s="1287"/>
      <c r="AN68" s="1287"/>
      <c r="AO68" s="1287"/>
      <c r="AP68" s="1287"/>
      <c r="AQ68" s="1287"/>
      <c r="AR68" s="1287"/>
      <c r="AS68" s="1287"/>
      <c r="AT68" s="1287"/>
      <c r="AU68" s="1287"/>
      <c r="AV68" s="1287"/>
      <c r="AW68" s="1287"/>
      <c r="AX68" s="1287"/>
    </row>
    <row r="69" spans="1:50" x14ac:dyDescent="0.2">
      <c r="A69" s="1287"/>
      <c r="B69" s="1287"/>
      <c r="C69" s="1287"/>
      <c r="D69" s="1287"/>
      <c r="E69" s="1287"/>
      <c r="F69" s="1287"/>
      <c r="G69" s="1287"/>
      <c r="H69" s="1287"/>
      <c r="I69" s="1287"/>
      <c r="J69" s="1287"/>
      <c r="K69" s="1287"/>
      <c r="L69" s="1287"/>
      <c r="M69" s="1287"/>
      <c r="N69" s="1287"/>
      <c r="O69" s="1287"/>
      <c r="P69" s="1287"/>
      <c r="Q69" s="1287"/>
      <c r="R69" s="1287"/>
      <c r="S69" s="1287"/>
      <c r="T69" s="1287"/>
      <c r="U69" s="1287"/>
      <c r="V69" s="1287"/>
      <c r="W69" s="1287"/>
      <c r="X69" s="1287"/>
      <c r="Y69" s="1287"/>
      <c r="Z69" s="1287"/>
      <c r="AA69" s="1287"/>
      <c r="AB69" s="1287"/>
      <c r="AC69" s="1287"/>
      <c r="AD69" s="1287"/>
      <c r="AE69" s="1287"/>
      <c r="AF69" s="1287"/>
      <c r="AG69" s="1287"/>
      <c r="AH69" s="1287"/>
      <c r="AI69" s="1287"/>
      <c r="AJ69" s="1287"/>
      <c r="AK69" s="1287"/>
      <c r="AL69" s="1287"/>
      <c r="AM69" s="1287"/>
      <c r="AN69" s="1287"/>
      <c r="AO69" s="1287"/>
      <c r="AP69" s="1287"/>
      <c r="AQ69" s="1287"/>
      <c r="AR69" s="1287"/>
      <c r="AS69" s="1287"/>
      <c r="AT69" s="1287"/>
      <c r="AU69" s="1287"/>
      <c r="AV69" s="1287"/>
      <c r="AW69" s="1287"/>
      <c r="AX69" s="1287"/>
    </row>
    <row r="70" spans="1:50" x14ac:dyDescent="0.2">
      <c r="A70" s="1287"/>
      <c r="B70" s="1287"/>
      <c r="C70" s="1287"/>
      <c r="D70" s="1287"/>
      <c r="E70" s="1287"/>
      <c r="F70" s="1287"/>
      <c r="G70" s="1287"/>
      <c r="H70" s="1287"/>
      <c r="I70" s="1287"/>
      <c r="J70" s="1287"/>
      <c r="K70" s="1287"/>
      <c r="L70" s="1287"/>
      <c r="M70" s="1287"/>
      <c r="N70" s="1287"/>
      <c r="O70" s="1287"/>
      <c r="P70" s="1287"/>
      <c r="Q70" s="1287"/>
      <c r="R70" s="1287"/>
      <c r="S70" s="1287"/>
      <c r="T70" s="1287"/>
      <c r="U70" s="1287"/>
      <c r="V70" s="1287"/>
      <c r="W70" s="1287"/>
      <c r="X70" s="1287"/>
      <c r="Y70" s="1287"/>
      <c r="Z70" s="1287"/>
      <c r="AA70" s="1287"/>
      <c r="AB70" s="1287"/>
      <c r="AC70" s="1287"/>
      <c r="AD70" s="1287"/>
      <c r="AE70" s="1287"/>
      <c r="AF70" s="1287"/>
      <c r="AG70" s="1287"/>
      <c r="AH70" s="1287"/>
      <c r="AI70" s="1287"/>
      <c r="AJ70" s="1287"/>
      <c r="AK70" s="1287"/>
      <c r="AL70" s="1287"/>
      <c r="AM70" s="1287"/>
      <c r="AN70" s="1287"/>
      <c r="AO70" s="1287"/>
      <c r="AP70" s="1287"/>
      <c r="AQ70" s="1287"/>
      <c r="AR70" s="1287"/>
      <c r="AS70" s="1287"/>
      <c r="AT70" s="1287"/>
      <c r="AU70" s="1287"/>
      <c r="AV70" s="1287"/>
      <c r="AW70" s="1287"/>
      <c r="AX70" s="1287"/>
    </row>
    <row r="71" spans="1:50" x14ac:dyDescent="0.2">
      <c r="A71" s="1287"/>
      <c r="B71" s="1287"/>
      <c r="C71" s="1287"/>
      <c r="D71" s="1287"/>
      <c r="E71" s="1287"/>
      <c r="F71" s="1287"/>
      <c r="G71" s="1287"/>
      <c r="H71" s="1287"/>
      <c r="I71" s="1287"/>
      <c r="J71" s="1287"/>
      <c r="K71" s="1287"/>
      <c r="L71" s="1287"/>
      <c r="M71" s="1287"/>
      <c r="N71" s="1287"/>
      <c r="O71" s="1287"/>
      <c r="P71" s="1287"/>
      <c r="Q71" s="1287"/>
      <c r="R71" s="1287"/>
      <c r="S71" s="1287"/>
      <c r="T71" s="1287"/>
      <c r="U71" s="1287"/>
      <c r="V71" s="1287"/>
      <c r="W71" s="1287"/>
      <c r="X71" s="1287"/>
      <c r="Y71" s="1287"/>
      <c r="Z71" s="1287"/>
      <c r="AA71" s="1287"/>
      <c r="AB71" s="1287"/>
      <c r="AC71" s="1287"/>
      <c r="AD71" s="1287"/>
      <c r="AE71" s="1287"/>
      <c r="AF71" s="1287"/>
      <c r="AG71" s="1287"/>
      <c r="AH71" s="1287"/>
      <c r="AI71" s="1287"/>
      <c r="AJ71" s="1287"/>
      <c r="AK71" s="1287"/>
      <c r="AL71" s="1287"/>
      <c r="AM71" s="1287"/>
      <c r="AN71" s="1287"/>
      <c r="AO71" s="1287"/>
      <c r="AP71" s="1287"/>
      <c r="AQ71" s="1287"/>
      <c r="AR71" s="1287"/>
      <c r="AS71" s="1287"/>
      <c r="AT71" s="1287"/>
      <c r="AU71" s="1287"/>
      <c r="AV71" s="1287"/>
      <c r="AW71" s="1287"/>
      <c r="AX71" s="1287"/>
    </row>
    <row r="72" spans="1:50" x14ac:dyDescent="0.2">
      <c r="A72" s="1287"/>
      <c r="B72" s="1287"/>
      <c r="C72" s="1287"/>
      <c r="D72" s="1287"/>
      <c r="E72" s="1287"/>
      <c r="F72" s="1287"/>
      <c r="G72" s="1287"/>
      <c r="H72" s="1287"/>
      <c r="I72" s="1287"/>
      <c r="J72" s="1287"/>
      <c r="K72" s="1287"/>
      <c r="L72" s="1287"/>
      <c r="M72" s="1287"/>
      <c r="N72" s="1287"/>
      <c r="O72" s="1287"/>
      <c r="P72" s="1287"/>
      <c r="Q72" s="1287"/>
      <c r="R72" s="1287"/>
      <c r="S72" s="1287"/>
      <c r="T72" s="1287"/>
      <c r="U72" s="1287"/>
      <c r="V72" s="1287"/>
      <c r="W72" s="1287"/>
      <c r="X72" s="1287"/>
      <c r="Y72" s="1287"/>
      <c r="Z72" s="1287"/>
      <c r="AA72" s="1287"/>
      <c r="AB72" s="1287"/>
      <c r="AC72" s="1287"/>
      <c r="AD72" s="1287"/>
      <c r="AE72" s="1287"/>
      <c r="AF72" s="1287"/>
      <c r="AG72" s="1287"/>
      <c r="AH72" s="1287"/>
      <c r="AI72" s="1287"/>
      <c r="AJ72" s="1287"/>
      <c r="AK72" s="1287"/>
      <c r="AL72" s="1287"/>
      <c r="AM72" s="1287"/>
      <c r="AN72" s="1287"/>
      <c r="AO72" s="1287"/>
      <c r="AP72" s="1287"/>
      <c r="AQ72" s="1287"/>
      <c r="AR72" s="1287"/>
      <c r="AS72" s="1287"/>
      <c r="AT72" s="1287"/>
      <c r="AU72" s="1287"/>
      <c r="AV72" s="1287"/>
      <c r="AW72" s="1287"/>
      <c r="AX72" s="1287"/>
    </row>
    <row r="73" spans="1:50" x14ac:dyDescent="0.2">
      <c r="A73" s="1287"/>
      <c r="B73" s="1287"/>
      <c r="C73" s="1287"/>
      <c r="D73" s="1287"/>
      <c r="E73" s="1287"/>
      <c r="F73" s="1287"/>
      <c r="G73" s="1287"/>
      <c r="H73" s="1287"/>
      <c r="I73" s="1287"/>
      <c r="J73" s="1287"/>
      <c r="K73" s="1287"/>
      <c r="L73" s="1287"/>
      <c r="M73" s="1287"/>
      <c r="N73" s="1287"/>
      <c r="O73" s="1287"/>
      <c r="P73" s="1287"/>
      <c r="Q73" s="1287"/>
      <c r="R73" s="1287"/>
      <c r="S73" s="1287"/>
      <c r="T73" s="1287"/>
      <c r="U73" s="1287"/>
      <c r="V73" s="1287"/>
      <c r="W73" s="1287"/>
      <c r="X73" s="1287"/>
      <c r="Y73" s="1287"/>
      <c r="Z73" s="1287"/>
      <c r="AA73" s="1287"/>
      <c r="AB73" s="1287"/>
      <c r="AC73" s="1287"/>
      <c r="AD73" s="1287"/>
      <c r="AE73" s="1287"/>
      <c r="AF73" s="1287"/>
      <c r="AG73" s="1287"/>
      <c r="AH73" s="1287"/>
      <c r="AI73" s="1287"/>
      <c r="AJ73" s="1287"/>
      <c r="AK73" s="1287"/>
      <c r="AL73" s="1287"/>
      <c r="AM73" s="1287"/>
      <c r="AN73" s="1287"/>
      <c r="AO73" s="1287"/>
      <c r="AP73" s="1287"/>
      <c r="AQ73" s="1287"/>
      <c r="AR73" s="1287"/>
      <c r="AS73" s="1287"/>
      <c r="AT73" s="1287"/>
      <c r="AU73" s="1287"/>
      <c r="AV73" s="1287"/>
      <c r="AW73" s="1287"/>
      <c r="AX73" s="1287"/>
    </row>
    <row r="74" spans="1:50" x14ac:dyDescent="0.2">
      <c r="A74" s="1287"/>
      <c r="B74" s="1287"/>
      <c r="C74" s="1287"/>
      <c r="D74" s="1287"/>
      <c r="E74" s="1287"/>
      <c r="F74" s="1287"/>
      <c r="G74" s="1287"/>
      <c r="H74" s="1287"/>
      <c r="I74" s="1287"/>
      <c r="J74" s="1287"/>
      <c r="K74" s="1287"/>
      <c r="L74" s="1287"/>
      <c r="M74" s="1287"/>
      <c r="N74" s="1287"/>
      <c r="O74" s="1287"/>
      <c r="P74" s="1287"/>
      <c r="Q74" s="1287"/>
      <c r="R74" s="1287"/>
      <c r="S74" s="1287"/>
      <c r="T74" s="1287"/>
      <c r="U74" s="1287"/>
      <c r="V74" s="1287"/>
      <c r="W74" s="1287"/>
      <c r="X74" s="1287"/>
      <c r="Y74" s="1287"/>
      <c r="Z74" s="1287"/>
      <c r="AA74" s="1287"/>
      <c r="AB74" s="1287"/>
      <c r="AC74" s="1287"/>
      <c r="AD74" s="1287"/>
      <c r="AE74" s="1287"/>
      <c r="AF74" s="1287"/>
      <c r="AG74" s="1287"/>
      <c r="AH74" s="1287"/>
      <c r="AI74" s="1287"/>
      <c r="AJ74" s="1287"/>
      <c r="AK74" s="1287"/>
      <c r="AL74" s="1287"/>
      <c r="AM74" s="1287"/>
      <c r="AN74" s="1287"/>
      <c r="AO74" s="1287"/>
      <c r="AP74" s="1287"/>
      <c r="AQ74" s="1287"/>
      <c r="AR74" s="1287"/>
      <c r="AS74" s="1287"/>
      <c r="AT74" s="1287"/>
      <c r="AU74" s="1287"/>
      <c r="AV74" s="1287"/>
      <c r="AW74" s="1287"/>
      <c r="AX74" s="1287"/>
    </row>
    <row r="75" spans="1:50" x14ac:dyDescent="0.2">
      <c r="A75" s="1287"/>
      <c r="B75" s="1287"/>
      <c r="C75" s="1287"/>
      <c r="D75" s="1287"/>
      <c r="E75" s="1287"/>
      <c r="F75" s="1287"/>
      <c r="G75" s="1287"/>
      <c r="H75" s="1287"/>
      <c r="I75" s="1287"/>
      <c r="J75" s="1287"/>
      <c r="K75" s="1287"/>
      <c r="L75" s="1287"/>
      <c r="M75" s="1287"/>
      <c r="N75" s="1287"/>
      <c r="O75" s="1287"/>
      <c r="P75" s="1287"/>
      <c r="Q75" s="1287"/>
      <c r="R75" s="1287"/>
      <c r="S75" s="1287"/>
      <c r="T75" s="1287"/>
      <c r="U75" s="1287"/>
      <c r="V75" s="1287"/>
      <c r="W75" s="1287"/>
      <c r="X75" s="1287"/>
      <c r="Y75" s="1287"/>
      <c r="Z75" s="1287"/>
      <c r="AA75" s="1287"/>
      <c r="AB75" s="1287"/>
      <c r="AC75" s="1287"/>
      <c r="AD75" s="1287"/>
      <c r="AE75" s="1287"/>
      <c r="AF75" s="1287"/>
      <c r="AG75" s="1287"/>
      <c r="AH75" s="1287"/>
      <c r="AI75" s="1287"/>
      <c r="AJ75" s="1287"/>
      <c r="AK75" s="1287"/>
      <c r="AL75" s="1287"/>
      <c r="AM75" s="1287"/>
      <c r="AN75" s="1287"/>
      <c r="AO75" s="1287"/>
      <c r="AP75" s="1287"/>
      <c r="AQ75" s="1287"/>
      <c r="AR75" s="1287"/>
      <c r="AS75" s="1287"/>
      <c r="AT75" s="1287"/>
      <c r="AU75" s="1287"/>
      <c r="AV75" s="1287"/>
      <c r="AW75" s="1287"/>
      <c r="AX75" s="1287"/>
    </row>
    <row r="76" spans="1:50" x14ac:dyDescent="0.2">
      <c r="A76" s="1287"/>
      <c r="B76" s="1287"/>
      <c r="C76" s="1287"/>
      <c r="D76" s="1287"/>
      <c r="E76" s="1287"/>
      <c r="F76" s="1287"/>
      <c r="G76" s="1287"/>
      <c r="H76" s="1287"/>
      <c r="I76" s="1287"/>
      <c r="J76" s="1287"/>
      <c r="K76" s="1287"/>
      <c r="L76" s="1287"/>
      <c r="M76" s="1287"/>
      <c r="N76" s="1287"/>
      <c r="O76" s="1287"/>
      <c r="P76" s="1287"/>
      <c r="Q76" s="1287"/>
      <c r="R76" s="1287"/>
      <c r="S76" s="1287"/>
      <c r="T76" s="1287"/>
      <c r="U76" s="1287"/>
      <c r="V76" s="1287"/>
      <c r="W76" s="1287"/>
      <c r="X76" s="1287"/>
      <c r="Y76" s="1287"/>
      <c r="Z76" s="1287"/>
      <c r="AA76" s="1287"/>
      <c r="AB76" s="1287"/>
      <c r="AC76" s="1287"/>
      <c r="AD76" s="1287"/>
      <c r="AE76" s="1287"/>
      <c r="AF76" s="1287"/>
      <c r="AG76" s="1287"/>
      <c r="AH76" s="1287"/>
      <c r="AI76" s="1287"/>
      <c r="AJ76" s="1287"/>
      <c r="AK76" s="1287"/>
      <c r="AL76" s="1287"/>
      <c r="AM76" s="1287"/>
      <c r="AN76" s="1287"/>
      <c r="AO76" s="1287"/>
      <c r="AP76" s="1287"/>
      <c r="AQ76" s="1287"/>
      <c r="AR76" s="1287"/>
      <c r="AS76" s="1287"/>
      <c r="AT76" s="1287"/>
      <c r="AU76" s="1287"/>
      <c r="AV76" s="1287"/>
      <c r="AW76" s="1287"/>
      <c r="AX76" s="1287"/>
    </row>
    <row r="77" spans="1:50" x14ac:dyDescent="0.2">
      <c r="A77" s="1287"/>
      <c r="B77" s="1287"/>
      <c r="C77" s="1287"/>
      <c r="D77" s="1287"/>
      <c r="E77" s="1287"/>
      <c r="F77" s="1287"/>
      <c r="G77" s="1287"/>
      <c r="H77" s="1287"/>
      <c r="I77" s="1287"/>
      <c r="J77" s="1287"/>
      <c r="K77" s="1287"/>
      <c r="L77" s="1287"/>
      <c r="M77" s="1287"/>
      <c r="N77" s="1287"/>
      <c r="O77" s="1287"/>
      <c r="P77" s="1287"/>
      <c r="Q77" s="1287"/>
      <c r="R77" s="1287"/>
      <c r="S77" s="1287"/>
      <c r="T77" s="1287"/>
      <c r="U77" s="1287"/>
      <c r="V77" s="1287"/>
      <c r="W77" s="1287"/>
      <c r="X77" s="1287"/>
      <c r="Y77" s="1287"/>
      <c r="Z77" s="1287"/>
      <c r="AA77" s="1287"/>
      <c r="AB77" s="1287"/>
      <c r="AC77" s="1287"/>
      <c r="AD77" s="1287"/>
      <c r="AE77" s="1287"/>
      <c r="AF77" s="1287"/>
      <c r="AG77" s="1287"/>
      <c r="AH77" s="1287"/>
      <c r="AI77" s="1287"/>
      <c r="AJ77" s="1287"/>
      <c r="AK77" s="1287"/>
      <c r="AL77" s="1287"/>
      <c r="AM77" s="1287"/>
      <c r="AN77" s="1287"/>
      <c r="AO77" s="1287"/>
      <c r="AP77" s="1287"/>
      <c r="AQ77" s="1287"/>
      <c r="AR77" s="1287"/>
      <c r="AS77" s="1287"/>
      <c r="AT77" s="1287"/>
      <c r="AU77" s="1287"/>
      <c r="AV77" s="1287"/>
      <c r="AW77" s="1287"/>
      <c r="AX77" s="1287"/>
    </row>
    <row r="78" spans="1:50" x14ac:dyDescent="0.2">
      <c r="A78" s="1287"/>
      <c r="B78" s="1287"/>
      <c r="C78" s="1287"/>
      <c r="D78" s="1287"/>
      <c r="E78" s="1287"/>
      <c r="F78" s="1287"/>
      <c r="G78" s="1287"/>
      <c r="H78" s="1287"/>
      <c r="I78" s="1287"/>
      <c r="J78" s="1287"/>
      <c r="K78" s="1287"/>
      <c r="L78" s="1287"/>
      <c r="M78" s="1287"/>
      <c r="N78" s="1287"/>
      <c r="O78" s="1287"/>
      <c r="P78" s="1287"/>
      <c r="Q78" s="1287"/>
      <c r="R78" s="1287"/>
      <c r="S78" s="1287"/>
      <c r="T78" s="1287"/>
      <c r="U78" s="1287"/>
      <c r="V78" s="1287"/>
      <c r="W78" s="1287"/>
      <c r="X78" s="1287"/>
      <c r="Y78" s="1287"/>
      <c r="Z78" s="1287"/>
      <c r="AA78" s="1287"/>
      <c r="AB78" s="1287"/>
      <c r="AC78" s="1287"/>
      <c r="AD78" s="1287"/>
      <c r="AE78" s="1287"/>
      <c r="AF78" s="1287"/>
      <c r="AG78" s="1287"/>
      <c r="AH78" s="1287"/>
      <c r="AI78" s="1287"/>
      <c r="AJ78" s="1287"/>
      <c r="AK78" s="1287"/>
      <c r="AL78" s="1287"/>
      <c r="AM78" s="1287"/>
      <c r="AN78" s="1287"/>
      <c r="AO78" s="1287"/>
      <c r="AP78" s="1287"/>
      <c r="AQ78" s="1287"/>
      <c r="AR78" s="1287"/>
      <c r="AS78" s="1287"/>
      <c r="AT78" s="1287"/>
      <c r="AU78" s="1287"/>
      <c r="AV78" s="1287"/>
      <c r="AW78" s="1287"/>
      <c r="AX78" s="1287"/>
    </row>
    <row r="79" spans="1:50" x14ac:dyDescent="0.2">
      <c r="A79" s="1287"/>
      <c r="B79" s="1287"/>
      <c r="C79" s="1287"/>
      <c r="D79" s="1287"/>
      <c r="E79" s="1287"/>
      <c r="F79" s="1287"/>
      <c r="G79" s="1287"/>
      <c r="H79" s="1287"/>
      <c r="I79" s="1287"/>
      <c r="J79" s="1287"/>
      <c r="K79" s="1287"/>
      <c r="L79" s="1287"/>
      <c r="M79" s="1287"/>
      <c r="N79" s="1287"/>
      <c r="O79" s="1287"/>
      <c r="P79" s="1287"/>
      <c r="Q79" s="1287"/>
      <c r="R79" s="1287"/>
      <c r="S79" s="1287"/>
      <c r="T79" s="1287"/>
      <c r="U79" s="1287"/>
      <c r="V79" s="1287"/>
      <c r="W79" s="1287"/>
      <c r="X79" s="1287"/>
      <c r="Y79" s="1287"/>
      <c r="Z79" s="1287"/>
      <c r="AA79" s="1287"/>
      <c r="AB79" s="1287"/>
      <c r="AC79" s="1287"/>
      <c r="AD79" s="1287"/>
      <c r="AE79" s="1287"/>
      <c r="AF79" s="1287"/>
      <c r="AG79" s="1287"/>
      <c r="AH79" s="1287"/>
      <c r="AI79" s="1287"/>
      <c r="AJ79" s="1287"/>
      <c r="AK79" s="1287"/>
      <c r="AL79" s="1287"/>
      <c r="AM79" s="1287"/>
      <c r="AN79" s="1287"/>
      <c r="AO79" s="1287"/>
      <c r="AP79" s="1287"/>
      <c r="AQ79" s="1287"/>
      <c r="AR79" s="1287"/>
      <c r="AS79" s="1287"/>
      <c r="AT79" s="1287"/>
      <c r="AU79" s="1287"/>
      <c r="AV79" s="1287"/>
      <c r="AW79" s="1287"/>
      <c r="AX79" s="1287"/>
    </row>
    <row r="80" spans="1:50" x14ac:dyDescent="0.2">
      <c r="A80" s="1287"/>
      <c r="B80" s="1287"/>
      <c r="C80" s="1287"/>
      <c r="D80" s="1287"/>
      <c r="E80" s="1287"/>
      <c r="F80" s="1287"/>
      <c r="G80" s="1287"/>
      <c r="H80" s="1287"/>
      <c r="I80" s="1287"/>
      <c r="J80" s="1287"/>
      <c r="K80" s="1287"/>
      <c r="L80" s="1287"/>
      <c r="M80" s="1287"/>
      <c r="N80" s="1287"/>
      <c r="O80" s="1287"/>
      <c r="P80" s="1287"/>
      <c r="Q80" s="1287"/>
      <c r="R80" s="1287"/>
      <c r="S80" s="1287"/>
      <c r="T80" s="1287"/>
      <c r="U80" s="1287"/>
      <c r="V80" s="1287"/>
      <c r="W80" s="1287"/>
      <c r="X80" s="1287"/>
      <c r="Y80" s="1287"/>
      <c r="Z80" s="1287"/>
      <c r="AA80" s="1287"/>
      <c r="AB80" s="1287"/>
      <c r="AC80" s="1287"/>
      <c r="AD80" s="1287"/>
      <c r="AE80" s="1287"/>
      <c r="AF80" s="1287"/>
      <c r="AG80" s="1287"/>
      <c r="AH80" s="1287"/>
      <c r="AI80" s="1287"/>
      <c r="AJ80" s="1287"/>
      <c r="AK80" s="1287"/>
      <c r="AL80" s="1287"/>
      <c r="AM80" s="1287"/>
      <c r="AN80" s="1287"/>
      <c r="AO80" s="1287"/>
      <c r="AP80" s="1287"/>
      <c r="AQ80" s="1287"/>
      <c r="AR80" s="1287"/>
      <c r="AS80" s="1287"/>
      <c r="AT80" s="1287"/>
      <c r="AU80" s="1287"/>
      <c r="AV80" s="1287"/>
      <c r="AW80" s="1287"/>
      <c r="AX80" s="1287"/>
    </row>
    <row r="81" spans="1:50" x14ac:dyDescent="0.2">
      <c r="A81" s="1287"/>
      <c r="B81" s="1287"/>
      <c r="C81" s="1287"/>
      <c r="D81" s="1287"/>
      <c r="E81" s="1287"/>
      <c r="F81" s="1287"/>
      <c r="G81" s="1287"/>
      <c r="H81" s="1287"/>
      <c r="I81" s="1287"/>
      <c r="J81" s="1287"/>
      <c r="K81" s="1287"/>
      <c r="L81" s="1287"/>
      <c r="M81" s="1287"/>
      <c r="N81" s="1287"/>
      <c r="O81" s="1287"/>
      <c r="P81" s="1287"/>
      <c r="Q81" s="1287"/>
      <c r="R81" s="1287"/>
      <c r="S81" s="1287"/>
      <c r="T81" s="1287"/>
      <c r="U81" s="1287"/>
      <c r="V81" s="1287"/>
      <c r="W81" s="1287"/>
      <c r="X81" s="1287"/>
      <c r="Y81" s="1287"/>
      <c r="Z81" s="1287"/>
      <c r="AA81" s="1287"/>
      <c r="AB81" s="1287"/>
      <c r="AC81" s="1287"/>
      <c r="AD81" s="1287"/>
      <c r="AE81" s="1287"/>
      <c r="AF81" s="1287"/>
      <c r="AG81" s="1287"/>
      <c r="AH81" s="1287"/>
      <c r="AI81" s="1287"/>
      <c r="AJ81" s="1287"/>
      <c r="AK81" s="1287"/>
      <c r="AL81" s="1287"/>
      <c r="AM81" s="1287"/>
      <c r="AN81" s="1287"/>
      <c r="AO81" s="1287"/>
      <c r="AP81" s="1287"/>
      <c r="AQ81" s="1287"/>
      <c r="AR81" s="1287"/>
      <c r="AS81" s="1287"/>
      <c r="AT81" s="1287"/>
      <c r="AU81" s="1287"/>
      <c r="AV81" s="1287"/>
      <c r="AW81" s="1287"/>
      <c r="AX81" s="1287"/>
    </row>
    <row r="82" spans="1:50" x14ac:dyDescent="0.2">
      <c r="A82" s="1287"/>
      <c r="B82" s="1287"/>
      <c r="C82" s="1287"/>
      <c r="D82" s="1287"/>
      <c r="E82" s="1287"/>
      <c r="F82" s="1287"/>
      <c r="G82" s="1287"/>
      <c r="H82" s="1287"/>
      <c r="I82" s="1287"/>
      <c r="J82" s="1287"/>
      <c r="K82" s="1287"/>
      <c r="L82" s="1287"/>
      <c r="M82" s="1287"/>
      <c r="N82" s="1287"/>
      <c r="O82" s="1287"/>
      <c r="P82" s="1287"/>
      <c r="Q82" s="1287"/>
      <c r="R82" s="1287"/>
      <c r="S82" s="1287"/>
      <c r="T82" s="1287"/>
      <c r="U82" s="1287"/>
      <c r="V82" s="1287"/>
      <c r="W82" s="1287"/>
      <c r="X82" s="1287"/>
      <c r="Y82" s="1287"/>
      <c r="Z82" s="1287"/>
      <c r="AA82" s="1287"/>
      <c r="AB82" s="1287"/>
      <c r="AC82" s="1287"/>
      <c r="AD82" s="1287"/>
      <c r="AE82" s="1287"/>
      <c r="AF82" s="1287"/>
      <c r="AG82" s="1287"/>
      <c r="AH82" s="1287"/>
      <c r="AI82" s="1287"/>
      <c r="AJ82" s="1287"/>
      <c r="AK82" s="1287"/>
      <c r="AL82" s="1287"/>
      <c r="AM82" s="1287"/>
      <c r="AN82" s="1287"/>
      <c r="AO82" s="1287"/>
      <c r="AP82" s="1287"/>
      <c r="AQ82" s="1287"/>
      <c r="AR82" s="1287"/>
      <c r="AS82" s="1287"/>
      <c r="AT82" s="1287"/>
      <c r="AU82" s="1287"/>
      <c r="AV82" s="1287"/>
      <c r="AW82" s="1287"/>
      <c r="AX82" s="1287"/>
    </row>
    <row r="83" spans="1:50" x14ac:dyDescent="0.2">
      <c r="A83" s="1287"/>
      <c r="B83" s="1287"/>
      <c r="C83" s="1287"/>
      <c r="D83" s="1287"/>
      <c r="E83" s="1287"/>
      <c r="F83" s="1287"/>
      <c r="G83" s="1287"/>
      <c r="H83" s="1287"/>
      <c r="I83" s="1287"/>
      <c r="J83" s="1287"/>
      <c r="K83" s="1287"/>
      <c r="L83" s="1287"/>
      <c r="M83" s="1287"/>
      <c r="N83" s="1287"/>
      <c r="O83" s="1287"/>
      <c r="P83" s="1287"/>
      <c r="Q83" s="1287"/>
      <c r="R83" s="1287"/>
      <c r="S83" s="1287"/>
      <c r="T83" s="1287"/>
      <c r="U83" s="1287"/>
      <c r="V83" s="1287"/>
      <c r="W83" s="1287"/>
      <c r="X83" s="1287"/>
      <c r="Y83" s="1287"/>
      <c r="Z83" s="1287"/>
      <c r="AA83" s="1287"/>
      <c r="AB83" s="1287"/>
      <c r="AC83" s="1287"/>
      <c r="AD83" s="1287"/>
      <c r="AE83" s="1287"/>
      <c r="AF83" s="1287"/>
      <c r="AG83" s="1287"/>
      <c r="AH83" s="1287"/>
      <c r="AI83" s="1287"/>
      <c r="AJ83" s="1287"/>
      <c r="AK83" s="1287"/>
      <c r="AL83" s="1287"/>
      <c r="AM83" s="1287"/>
      <c r="AN83" s="1287"/>
      <c r="AO83" s="1287"/>
      <c r="AP83" s="1287"/>
      <c r="AQ83" s="1287"/>
      <c r="AR83" s="1287"/>
      <c r="AS83" s="1287"/>
      <c r="AT83" s="1287"/>
      <c r="AU83" s="1287"/>
      <c r="AV83" s="1287"/>
      <c r="AW83" s="1287"/>
      <c r="AX83" s="1287"/>
    </row>
    <row r="84" spans="1:50" x14ac:dyDescent="0.2">
      <c r="A84" s="1287"/>
      <c r="B84" s="1287"/>
      <c r="C84" s="1287"/>
      <c r="D84" s="1287"/>
      <c r="E84" s="1287"/>
      <c r="F84" s="1287"/>
      <c r="G84" s="1287"/>
      <c r="H84" s="1287"/>
      <c r="I84" s="1287"/>
      <c r="J84" s="1287"/>
      <c r="K84" s="1287"/>
      <c r="L84" s="1287"/>
      <c r="M84" s="1287"/>
      <c r="N84" s="1287"/>
      <c r="O84" s="1287"/>
      <c r="P84" s="1287"/>
      <c r="Q84" s="1287"/>
      <c r="R84" s="1287"/>
      <c r="S84" s="1287"/>
      <c r="T84" s="1287"/>
      <c r="U84" s="1287"/>
      <c r="V84" s="1287"/>
      <c r="W84" s="1287"/>
      <c r="X84" s="1287"/>
      <c r="Y84" s="1287"/>
      <c r="Z84" s="1287"/>
      <c r="AA84" s="1287"/>
      <c r="AB84" s="1287"/>
      <c r="AC84" s="1287"/>
      <c r="AD84" s="1287"/>
      <c r="AE84" s="1287"/>
      <c r="AF84" s="1287"/>
      <c r="AG84" s="1287"/>
      <c r="AH84" s="1287"/>
      <c r="AI84" s="1287"/>
      <c r="AJ84" s="1287"/>
      <c r="AK84" s="1287"/>
      <c r="AL84" s="1287"/>
      <c r="AM84" s="1287"/>
      <c r="AN84" s="1287"/>
      <c r="AO84" s="1287"/>
      <c r="AP84" s="1287"/>
      <c r="AQ84" s="1287"/>
      <c r="AR84" s="1287"/>
      <c r="AS84" s="1287"/>
      <c r="AT84" s="1287"/>
      <c r="AU84" s="1287"/>
      <c r="AV84" s="1287"/>
      <c r="AW84" s="1287"/>
      <c r="AX84" s="1287"/>
    </row>
    <row r="85" spans="1:50" x14ac:dyDescent="0.2">
      <c r="A85" s="1287"/>
      <c r="B85" s="1287"/>
      <c r="C85" s="1287"/>
      <c r="D85" s="1287"/>
      <c r="E85" s="1287"/>
      <c r="F85" s="1287"/>
      <c r="G85" s="1287"/>
      <c r="H85" s="1287"/>
      <c r="I85" s="1287"/>
      <c r="J85" s="1287"/>
      <c r="K85" s="1287"/>
      <c r="L85" s="1287"/>
      <c r="M85" s="1287"/>
      <c r="N85" s="1287"/>
      <c r="O85" s="1287"/>
      <c r="P85" s="1287"/>
      <c r="Q85" s="1287"/>
      <c r="R85" s="1287"/>
      <c r="S85" s="1287"/>
      <c r="T85" s="1287"/>
      <c r="U85" s="1287"/>
      <c r="V85" s="1287"/>
      <c r="W85" s="1287"/>
      <c r="X85" s="1287"/>
      <c r="Y85" s="1287"/>
      <c r="Z85" s="1287"/>
      <c r="AA85" s="1287"/>
      <c r="AB85" s="1287"/>
      <c r="AC85" s="1287"/>
      <c r="AD85" s="1287"/>
      <c r="AE85" s="1287"/>
      <c r="AF85" s="1287"/>
      <c r="AG85" s="1287"/>
      <c r="AH85" s="1287"/>
      <c r="AI85" s="1287"/>
      <c r="AJ85" s="1287"/>
      <c r="AK85" s="1287"/>
      <c r="AL85" s="1287"/>
      <c r="AM85" s="1287"/>
      <c r="AN85" s="1287"/>
      <c r="AO85" s="1287"/>
      <c r="AP85" s="1287"/>
      <c r="AQ85" s="1287"/>
      <c r="AR85" s="1287"/>
      <c r="AS85" s="1287"/>
      <c r="AT85" s="1287"/>
      <c r="AU85" s="1287"/>
      <c r="AV85" s="1287"/>
      <c r="AW85" s="1287"/>
      <c r="AX85" s="1287"/>
    </row>
    <row r="86" spans="1:50" x14ac:dyDescent="0.2">
      <c r="A86" s="1287"/>
      <c r="B86" s="1287"/>
      <c r="C86" s="1287"/>
      <c r="D86" s="1287"/>
      <c r="E86" s="1287"/>
      <c r="F86" s="1287"/>
      <c r="G86" s="1287"/>
      <c r="H86" s="1287"/>
      <c r="I86" s="1287"/>
      <c r="J86" s="1287"/>
      <c r="K86" s="1287"/>
      <c r="L86" s="1287"/>
      <c r="M86" s="1287"/>
      <c r="N86" s="1287"/>
      <c r="O86" s="1287"/>
      <c r="P86" s="1287"/>
      <c r="Q86" s="1287"/>
      <c r="R86" s="1287"/>
      <c r="S86" s="1287"/>
      <c r="T86" s="1287"/>
      <c r="U86" s="1287"/>
      <c r="V86" s="1287"/>
      <c r="W86" s="1287"/>
      <c r="X86" s="1287"/>
      <c r="Y86" s="1287"/>
      <c r="Z86" s="1287"/>
      <c r="AA86" s="1287"/>
      <c r="AB86" s="1287"/>
      <c r="AC86" s="1287"/>
      <c r="AD86" s="1287"/>
      <c r="AE86" s="1287"/>
      <c r="AF86" s="1287"/>
      <c r="AG86" s="1287"/>
      <c r="AH86" s="1287"/>
      <c r="AI86" s="1287"/>
      <c r="AJ86" s="1287"/>
      <c r="AK86" s="1287"/>
      <c r="AL86" s="1287"/>
      <c r="AM86" s="1287"/>
      <c r="AN86" s="1287"/>
      <c r="AO86" s="1287"/>
      <c r="AP86" s="1287"/>
      <c r="AQ86" s="1287"/>
      <c r="AR86" s="1287"/>
      <c r="AS86" s="1287"/>
      <c r="AT86" s="1287"/>
      <c r="AU86" s="1287"/>
      <c r="AV86" s="1287"/>
      <c r="AW86" s="1287"/>
      <c r="AX86" s="1287"/>
    </row>
    <row r="87" spans="1:50" x14ac:dyDescent="0.2">
      <c r="A87" s="1287"/>
      <c r="B87" s="1287"/>
      <c r="C87" s="1287"/>
      <c r="D87" s="1287"/>
      <c r="E87" s="1287"/>
      <c r="F87" s="1287"/>
      <c r="G87" s="1287"/>
      <c r="H87" s="1287"/>
      <c r="I87" s="1287"/>
      <c r="J87" s="1287"/>
      <c r="K87" s="1287"/>
      <c r="L87" s="1287"/>
      <c r="M87" s="1287"/>
      <c r="N87" s="1287"/>
      <c r="O87" s="1287"/>
      <c r="P87" s="1287"/>
      <c r="Q87" s="1287"/>
      <c r="R87" s="1287"/>
      <c r="S87" s="1287"/>
      <c r="T87" s="1287"/>
      <c r="U87" s="1287"/>
      <c r="V87" s="1287"/>
      <c r="W87" s="1287"/>
      <c r="X87" s="1287"/>
      <c r="Y87" s="1287"/>
      <c r="Z87" s="1287"/>
      <c r="AA87" s="1287"/>
      <c r="AB87" s="1287"/>
      <c r="AC87" s="1287"/>
      <c r="AD87" s="1287"/>
      <c r="AE87" s="1287"/>
      <c r="AF87" s="1287"/>
      <c r="AG87" s="1287"/>
      <c r="AH87" s="1287"/>
      <c r="AI87" s="1287"/>
      <c r="AJ87" s="1287"/>
      <c r="AK87" s="1287"/>
      <c r="AL87" s="1287"/>
      <c r="AM87" s="1287"/>
      <c r="AN87" s="1287"/>
      <c r="AO87" s="1287"/>
      <c r="AP87" s="1287"/>
      <c r="AQ87" s="1287"/>
      <c r="AR87" s="1287"/>
      <c r="AS87" s="1287"/>
      <c r="AT87" s="1287"/>
      <c r="AU87" s="1287"/>
      <c r="AV87" s="1287"/>
      <c r="AW87" s="1287"/>
      <c r="AX87" s="1287"/>
    </row>
    <row r="88" spans="1:50" x14ac:dyDescent="0.2">
      <c r="A88" s="1287"/>
      <c r="B88" s="1287"/>
      <c r="C88" s="1287"/>
      <c r="D88" s="1287"/>
      <c r="E88" s="1287"/>
      <c r="F88" s="1287"/>
      <c r="G88" s="1287"/>
      <c r="H88" s="1287"/>
      <c r="I88" s="1287"/>
      <c r="J88" s="1287"/>
      <c r="K88" s="1287"/>
      <c r="L88" s="1287"/>
      <c r="M88" s="1287"/>
      <c r="N88" s="1287"/>
      <c r="O88" s="1287"/>
      <c r="P88" s="1287"/>
      <c r="Q88" s="1287"/>
      <c r="R88" s="1287"/>
      <c r="S88" s="1287"/>
      <c r="T88" s="1287"/>
      <c r="U88" s="1287"/>
      <c r="V88" s="1287"/>
      <c r="W88" s="1287"/>
      <c r="X88" s="1287"/>
      <c r="Y88" s="1287"/>
      <c r="Z88" s="1287"/>
      <c r="AA88" s="1287"/>
      <c r="AB88" s="1287"/>
      <c r="AC88" s="1287"/>
      <c r="AD88" s="1287"/>
      <c r="AE88" s="1287"/>
      <c r="AF88" s="1287"/>
      <c r="AG88" s="1287"/>
      <c r="AH88" s="1287"/>
      <c r="AI88" s="1287"/>
      <c r="AJ88" s="1287"/>
      <c r="AK88" s="1287"/>
      <c r="AL88" s="1287"/>
      <c r="AM88" s="1287"/>
      <c r="AN88" s="1287"/>
      <c r="AO88" s="1287"/>
      <c r="AP88" s="1287"/>
      <c r="AQ88" s="1287"/>
      <c r="AR88" s="1287"/>
      <c r="AS88" s="1287"/>
      <c r="AT88" s="1287"/>
      <c r="AU88" s="1287"/>
      <c r="AV88" s="1287"/>
      <c r="AW88" s="1287"/>
      <c r="AX88" s="1287"/>
    </row>
    <row r="89" spans="1:50" x14ac:dyDescent="0.2">
      <c r="A89" s="1287"/>
      <c r="B89" s="1287"/>
      <c r="C89" s="1287"/>
      <c r="D89" s="1287"/>
      <c r="E89" s="1287"/>
      <c r="F89" s="1287"/>
      <c r="G89" s="1287"/>
      <c r="H89" s="1287"/>
      <c r="I89" s="1287"/>
      <c r="J89" s="1287"/>
      <c r="K89" s="1287"/>
      <c r="L89" s="1287"/>
      <c r="M89" s="1287"/>
      <c r="N89" s="1287"/>
      <c r="O89" s="1287"/>
      <c r="P89" s="1287"/>
      <c r="Q89" s="1287"/>
      <c r="R89" s="1287"/>
      <c r="S89" s="1287"/>
      <c r="T89" s="1287"/>
      <c r="U89" s="1287"/>
      <c r="V89" s="1287"/>
      <c r="W89" s="1287"/>
      <c r="X89" s="1287"/>
      <c r="Y89" s="1287"/>
      <c r="Z89" s="1287"/>
      <c r="AA89" s="1287"/>
      <c r="AB89" s="1287"/>
      <c r="AC89" s="1287"/>
      <c r="AD89" s="1287"/>
      <c r="AE89" s="1287"/>
      <c r="AF89" s="1287"/>
      <c r="AG89" s="1287"/>
      <c r="AH89" s="1287"/>
      <c r="AI89" s="1287"/>
      <c r="AJ89" s="1287"/>
      <c r="AK89" s="1287"/>
      <c r="AL89" s="1287"/>
      <c r="AM89" s="1287"/>
      <c r="AN89" s="1287"/>
      <c r="AO89" s="1287"/>
      <c r="AP89" s="1287"/>
      <c r="AQ89" s="1287"/>
      <c r="AR89" s="1287"/>
      <c r="AS89" s="1287"/>
      <c r="AT89" s="1287"/>
      <c r="AU89" s="1287"/>
      <c r="AV89" s="1287"/>
      <c r="AW89" s="1287"/>
      <c r="AX89" s="1287"/>
    </row>
    <row r="90" spans="1:50" x14ac:dyDescent="0.2">
      <c r="A90" s="1287"/>
      <c r="B90" s="1287"/>
      <c r="C90" s="1287"/>
      <c r="D90" s="1287"/>
      <c r="E90" s="1287"/>
      <c r="F90" s="1287"/>
      <c r="G90" s="1287"/>
      <c r="H90" s="1287"/>
      <c r="I90" s="1287"/>
      <c r="J90" s="1287"/>
      <c r="K90" s="1287"/>
      <c r="L90" s="1287"/>
      <c r="M90" s="1287"/>
      <c r="N90" s="1287"/>
      <c r="O90" s="1287"/>
      <c r="P90" s="1287"/>
      <c r="Q90" s="1287"/>
      <c r="R90" s="1287"/>
      <c r="S90" s="1287"/>
      <c r="T90" s="1287"/>
      <c r="U90" s="1287"/>
      <c r="V90" s="1287"/>
      <c r="W90" s="1287"/>
      <c r="X90" s="1287"/>
      <c r="Y90" s="1287"/>
      <c r="Z90" s="1287"/>
      <c r="AA90" s="1287"/>
      <c r="AB90" s="1287"/>
      <c r="AC90" s="1287"/>
      <c r="AD90" s="1287"/>
      <c r="AE90" s="1287"/>
      <c r="AF90" s="1287"/>
      <c r="AG90" s="1287"/>
      <c r="AH90" s="1287"/>
      <c r="AI90" s="1287"/>
      <c r="AJ90" s="1287"/>
      <c r="AK90" s="1287"/>
      <c r="AL90" s="1287"/>
      <c r="AM90" s="1287"/>
      <c r="AN90" s="1287"/>
      <c r="AO90" s="1287"/>
      <c r="AP90" s="1287"/>
      <c r="AQ90" s="1287"/>
      <c r="AR90" s="1287"/>
      <c r="AS90" s="1287"/>
      <c r="AT90" s="1287"/>
      <c r="AU90" s="1287"/>
      <c r="AV90" s="1287"/>
      <c r="AW90" s="1287"/>
      <c r="AX90" s="1287"/>
    </row>
    <row r="91" spans="1:50" x14ac:dyDescent="0.2">
      <c r="A91" s="1287"/>
      <c r="B91" s="1287"/>
      <c r="C91" s="1287"/>
      <c r="D91" s="1287"/>
      <c r="E91" s="1287"/>
      <c r="F91" s="1287"/>
      <c r="G91" s="1287"/>
      <c r="H91" s="1287"/>
      <c r="I91" s="1287"/>
      <c r="J91" s="1287"/>
      <c r="K91" s="1287"/>
      <c r="L91" s="1287"/>
      <c r="M91" s="1287"/>
      <c r="N91" s="1287"/>
      <c r="O91" s="1287"/>
      <c r="P91" s="1287"/>
      <c r="Q91" s="1287"/>
      <c r="R91" s="1287"/>
      <c r="S91" s="1287"/>
      <c r="T91" s="1287"/>
      <c r="U91" s="1287"/>
      <c r="V91" s="1287"/>
      <c r="W91" s="1287"/>
      <c r="X91" s="1287"/>
      <c r="Y91" s="1287"/>
      <c r="Z91" s="1287"/>
      <c r="AA91" s="1287"/>
      <c r="AB91" s="1287"/>
      <c r="AC91" s="1287"/>
      <c r="AD91" s="1287"/>
      <c r="AE91" s="1287"/>
      <c r="AF91" s="1287"/>
      <c r="AG91" s="1287"/>
      <c r="AH91" s="1287"/>
      <c r="AI91" s="1287"/>
      <c r="AJ91" s="1287"/>
      <c r="AK91" s="1287"/>
      <c r="AL91" s="1287"/>
      <c r="AM91" s="1287"/>
      <c r="AN91" s="1287"/>
      <c r="AO91" s="1287"/>
      <c r="AP91" s="1287"/>
      <c r="AQ91" s="1287"/>
      <c r="AR91" s="1287"/>
      <c r="AS91" s="1287"/>
      <c r="AT91" s="1287"/>
      <c r="AU91" s="1287"/>
      <c r="AV91" s="1287"/>
      <c r="AW91" s="1287"/>
      <c r="AX91" s="1287"/>
    </row>
    <row r="92" spans="1:50" x14ac:dyDescent="0.2">
      <c r="A92" s="1287"/>
      <c r="B92" s="1287"/>
      <c r="C92" s="1287"/>
      <c r="D92" s="1287"/>
      <c r="E92" s="1287"/>
      <c r="F92" s="1287"/>
      <c r="G92" s="1287"/>
      <c r="H92" s="1287"/>
      <c r="I92" s="1287"/>
      <c r="J92" s="1287"/>
      <c r="K92" s="1287"/>
      <c r="L92" s="1287"/>
      <c r="M92" s="1287"/>
      <c r="N92" s="1287"/>
      <c r="O92" s="1287"/>
      <c r="P92" s="1287"/>
      <c r="Q92" s="1287"/>
      <c r="R92" s="1287"/>
      <c r="S92" s="1287"/>
      <c r="T92" s="1287"/>
      <c r="U92" s="1287"/>
      <c r="V92" s="1287"/>
      <c r="W92" s="1287"/>
      <c r="X92" s="1287"/>
      <c r="Y92" s="1287"/>
      <c r="Z92" s="1287"/>
      <c r="AA92" s="1287"/>
      <c r="AB92" s="1287"/>
      <c r="AC92" s="1287"/>
      <c r="AD92" s="1287"/>
      <c r="AE92" s="1287"/>
      <c r="AF92" s="1287"/>
      <c r="AG92" s="1287"/>
      <c r="AH92" s="1287"/>
      <c r="AI92" s="1287"/>
      <c r="AJ92" s="1287"/>
      <c r="AK92" s="1287"/>
      <c r="AL92" s="1287"/>
      <c r="AM92" s="1287"/>
      <c r="AN92" s="1287"/>
      <c r="AO92" s="1287"/>
      <c r="AP92" s="1287"/>
      <c r="AQ92" s="1287"/>
      <c r="AR92" s="1287"/>
      <c r="AS92" s="1287"/>
      <c r="AT92" s="1287"/>
      <c r="AU92" s="1287"/>
      <c r="AV92" s="1287"/>
      <c r="AW92" s="1287"/>
      <c r="AX92" s="1287"/>
    </row>
    <row r="93" spans="1:50" x14ac:dyDescent="0.2">
      <c r="A93" s="1287"/>
      <c r="B93" s="1287"/>
      <c r="C93" s="1287"/>
      <c r="D93" s="1287"/>
      <c r="E93" s="1287"/>
      <c r="F93" s="1287"/>
      <c r="G93" s="1287"/>
      <c r="H93" s="1287"/>
      <c r="I93" s="1287"/>
      <c r="J93" s="1287"/>
      <c r="K93" s="1287"/>
      <c r="L93" s="1287"/>
      <c r="M93" s="1287"/>
      <c r="N93" s="1287"/>
      <c r="O93" s="1287"/>
      <c r="P93" s="1287"/>
      <c r="Q93" s="1287"/>
      <c r="R93" s="1287"/>
      <c r="S93" s="1287"/>
      <c r="T93" s="1287"/>
      <c r="U93" s="1287"/>
      <c r="V93" s="1287"/>
      <c r="W93" s="1287"/>
      <c r="X93" s="1287"/>
      <c r="Y93" s="1287"/>
      <c r="Z93" s="1287"/>
      <c r="AA93" s="1287"/>
      <c r="AB93" s="1287"/>
      <c r="AC93" s="1287"/>
      <c r="AD93" s="1287"/>
      <c r="AE93" s="1287"/>
      <c r="AF93" s="1287"/>
      <c r="AG93" s="1287"/>
      <c r="AH93" s="1287"/>
      <c r="AI93" s="1287"/>
      <c r="AJ93" s="1287"/>
      <c r="AK93" s="1287"/>
      <c r="AL93" s="1287"/>
      <c r="AM93" s="1287"/>
      <c r="AN93" s="1287"/>
      <c r="AO93" s="1287"/>
      <c r="AP93" s="1287"/>
      <c r="AQ93" s="1287"/>
      <c r="AR93" s="1287"/>
      <c r="AS93" s="1287"/>
      <c r="AT93" s="1287"/>
      <c r="AU93" s="1287"/>
      <c r="AV93" s="1287"/>
      <c r="AW93" s="1287"/>
      <c r="AX93" s="1287"/>
    </row>
    <row r="94" spans="1:50" x14ac:dyDescent="0.2">
      <c r="A94" s="1287"/>
      <c r="B94" s="1287"/>
      <c r="C94" s="1287"/>
      <c r="D94" s="1287"/>
      <c r="E94" s="1287"/>
      <c r="F94" s="1287"/>
      <c r="G94" s="1287"/>
      <c r="H94" s="1287"/>
      <c r="I94" s="1287"/>
      <c r="J94" s="1287"/>
      <c r="K94" s="1287"/>
      <c r="L94" s="1287"/>
      <c r="M94" s="1287"/>
      <c r="N94" s="1287"/>
      <c r="O94" s="1287"/>
      <c r="P94" s="1287"/>
      <c r="Q94" s="1287"/>
      <c r="R94" s="1287"/>
      <c r="S94" s="1287"/>
      <c r="T94" s="1287"/>
      <c r="U94" s="1287"/>
      <c r="V94" s="1287"/>
      <c r="W94" s="1287"/>
      <c r="X94" s="1287"/>
      <c r="Y94" s="1287"/>
      <c r="Z94" s="1287"/>
      <c r="AA94" s="1287"/>
      <c r="AB94" s="1287"/>
      <c r="AC94" s="1287"/>
      <c r="AD94" s="1287"/>
      <c r="AE94" s="1287"/>
      <c r="AF94" s="1287"/>
      <c r="AG94" s="1287"/>
      <c r="AH94" s="1287"/>
      <c r="AI94" s="1287"/>
      <c r="AJ94" s="1287"/>
      <c r="AK94" s="1287"/>
      <c r="AL94" s="1287"/>
      <c r="AM94" s="1287"/>
      <c r="AN94" s="1287"/>
      <c r="AO94" s="1287"/>
      <c r="AP94" s="1287"/>
      <c r="AQ94" s="1287"/>
      <c r="AR94" s="1287"/>
      <c r="AS94" s="1287"/>
      <c r="AT94" s="1287"/>
      <c r="AU94" s="1287"/>
      <c r="AV94" s="1287"/>
      <c r="AW94" s="1287"/>
      <c r="AX94" s="1287"/>
    </row>
    <row r="95" spans="1:50" x14ac:dyDescent="0.2">
      <c r="A95" s="1287"/>
      <c r="B95" s="1287"/>
      <c r="C95" s="1287"/>
      <c r="D95" s="1287"/>
      <c r="E95" s="1287"/>
      <c r="F95" s="1287"/>
      <c r="G95" s="1287"/>
      <c r="H95" s="1287"/>
      <c r="I95" s="1287"/>
      <c r="J95" s="1287"/>
      <c r="K95" s="1287"/>
      <c r="L95" s="1287"/>
      <c r="M95" s="1287"/>
      <c r="N95" s="1287"/>
      <c r="O95" s="1287"/>
      <c r="P95" s="1287"/>
      <c r="Q95" s="1287"/>
      <c r="R95" s="1287"/>
      <c r="S95" s="1287"/>
      <c r="T95" s="1287"/>
      <c r="U95" s="1287"/>
      <c r="V95" s="1287"/>
      <c r="W95" s="1287"/>
      <c r="X95" s="1287"/>
      <c r="Y95" s="1287"/>
      <c r="Z95" s="1287"/>
      <c r="AA95" s="1287"/>
      <c r="AB95" s="1287"/>
      <c r="AC95" s="1287"/>
      <c r="AD95" s="1287"/>
      <c r="AE95" s="1287"/>
      <c r="AF95" s="1287"/>
      <c r="AG95" s="1287"/>
      <c r="AH95" s="1287"/>
      <c r="AI95" s="1287"/>
      <c r="AJ95" s="1287"/>
      <c r="AK95" s="1287"/>
      <c r="AL95" s="1287"/>
      <c r="AM95" s="1287"/>
      <c r="AN95" s="1287"/>
      <c r="AO95" s="1287"/>
      <c r="AP95" s="1287"/>
      <c r="AQ95" s="1287"/>
      <c r="AR95" s="1287"/>
      <c r="AS95" s="1287"/>
      <c r="AT95" s="1287"/>
      <c r="AU95" s="1287"/>
      <c r="AV95" s="1287"/>
      <c r="AW95" s="1287"/>
      <c r="AX95" s="1287"/>
    </row>
    <row r="96" spans="1:50" x14ac:dyDescent="0.2">
      <c r="A96" s="1287"/>
      <c r="B96" s="1287"/>
      <c r="C96" s="1287"/>
      <c r="D96" s="1287"/>
      <c r="E96" s="1287"/>
      <c r="F96" s="1287"/>
      <c r="G96" s="1287"/>
      <c r="H96" s="1287"/>
      <c r="I96" s="1287"/>
      <c r="J96" s="1287"/>
      <c r="K96" s="1287"/>
      <c r="L96" s="1287"/>
      <c r="M96" s="1287"/>
      <c r="N96" s="1287"/>
      <c r="O96" s="1287"/>
      <c r="P96" s="1287"/>
      <c r="Q96" s="1287"/>
      <c r="R96" s="1287"/>
      <c r="S96" s="1287"/>
      <c r="T96" s="1287"/>
      <c r="U96" s="1287"/>
      <c r="V96" s="1287"/>
      <c r="W96" s="1287"/>
      <c r="X96" s="1287"/>
      <c r="Y96" s="1287"/>
      <c r="Z96" s="1287"/>
      <c r="AA96" s="1287"/>
      <c r="AB96" s="1287"/>
      <c r="AC96" s="1287"/>
      <c r="AD96" s="1287"/>
      <c r="AE96" s="1287"/>
      <c r="AF96" s="1287"/>
      <c r="AG96" s="1287"/>
      <c r="AH96" s="1287"/>
      <c r="AI96" s="1287"/>
      <c r="AJ96" s="1287"/>
      <c r="AK96" s="1287"/>
      <c r="AL96" s="1287"/>
      <c r="AM96" s="1287"/>
      <c r="AN96" s="1287"/>
      <c r="AO96" s="1287"/>
      <c r="AP96" s="1287"/>
      <c r="AQ96" s="1287"/>
      <c r="AR96" s="1287"/>
      <c r="AS96" s="1287"/>
      <c r="AT96" s="1287"/>
      <c r="AU96" s="1287"/>
      <c r="AV96" s="1287"/>
      <c r="AW96" s="1287"/>
      <c r="AX96" s="1287"/>
    </row>
    <row r="97" spans="1:50" x14ac:dyDescent="0.2">
      <c r="A97" s="1287"/>
      <c r="B97" s="1287"/>
      <c r="C97" s="1287"/>
      <c r="D97" s="1287"/>
      <c r="E97" s="1287"/>
      <c r="F97" s="1287"/>
      <c r="G97" s="1287"/>
      <c r="H97" s="1287"/>
      <c r="I97" s="1287"/>
      <c r="J97" s="1287"/>
      <c r="K97" s="1287"/>
      <c r="L97" s="1287"/>
      <c r="M97" s="1287"/>
      <c r="N97" s="1287"/>
      <c r="O97" s="1287"/>
      <c r="P97" s="1287"/>
      <c r="Q97" s="1287"/>
      <c r="R97" s="1287"/>
      <c r="S97" s="1287"/>
      <c r="T97" s="1287"/>
      <c r="U97" s="1287"/>
      <c r="V97" s="1287"/>
      <c r="W97" s="1287"/>
      <c r="X97" s="1287"/>
      <c r="Y97" s="1287"/>
      <c r="Z97" s="1287"/>
      <c r="AA97" s="1287"/>
      <c r="AB97" s="1287"/>
      <c r="AC97" s="1287"/>
      <c r="AD97" s="1287"/>
      <c r="AE97" s="1287"/>
      <c r="AF97" s="1287"/>
      <c r="AG97" s="1287"/>
      <c r="AH97" s="1287"/>
      <c r="AI97" s="1287"/>
      <c r="AJ97" s="1287"/>
      <c r="AK97" s="1287"/>
      <c r="AL97" s="1287"/>
      <c r="AM97" s="1287"/>
      <c r="AN97" s="1287"/>
      <c r="AO97" s="1287"/>
      <c r="AP97" s="1287"/>
      <c r="AQ97" s="1287"/>
      <c r="AR97" s="1287"/>
      <c r="AS97" s="1287"/>
      <c r="AT97" s="1287"/>
      <c r="AU97" s="1287"/>
      <c r="AV97" s="1287"/>
      <c r="AW97" s="1287"/>
      <c r="AX97" s="1287"/>
    </row>
    <row r="98" spans="1:50" x14ac:dyDescent="0.2">
      <c r="A98" s="1287"/>
      <c r="B98" s="1287"/>
      <c r="C98" s="1287"/>
      <c r="D98" s="1287"/>
      <c r="E98" s="1287"/>
      <c r="F98" s="1287"/>
      <c r="G98" s="1287"/>
      <c r="H98" s="1287"/>
      <c r="I98" s="1287"/>
      <c r="J98" s="1287"/>
      <c r="K98" s="1287"/>
      <c r="L98" s="1287"/>
      <c r="M98" s="1287"/>
      <c r="N98" s="1287"/>
      <c r="O98" s="1287"/>
      <c r="P98" s="1287"/>
      <c r="Q98" s="1287"/>
      <c r="R98" s="1287"/>
      <c r="S98" s="1287"/>
      <c r="T98" s="1287"/>
      <c r="U98" s="1287"/>
      <c r="V98" s="1287"/>
      <c r="W98" s="1287"/>
      <c r="X98" s="1287"/>
      <c r="Y98" s="1287"/>
      <c r="Z98" s="1287"/>
      <c r="AA98" s="1287"/>
      <c r="AB98" s="1287"/>
      <c r="AC98" s="1287"/>
      <c r="AD98" s="1287"/>
      <c r="AE98" s="1287"/>
      <c r="AF98" s="1287"/>
      <c r="AG98" s="1287"/>
      <c r="AH98" s="1287"/>
      <c r="AI98" s="1287"/>
      <c r="AJ98" s="1287"/>
      <c r="AK98" s="1287"/>
      <c r="AL98" s="1287"/>
      <c r="AM98" s="1287"/>
      <c r="AN98" s="1287"/>
      <c r="AO98" s="1287"/>
      <c r="AP98" s="1287"/>
      <c r="AQ98" s="1287"/>
      <c r="AR98" s="1287"/>
      <c r="AS98" s="1287"/>
      <c r="AT98" s="1287"/>
      <c r="AU98" s="1287"/>
      <c r="AV98" s="1287"/>
      <c r="AW98" s="1287"/>
      <c r="AX98" s="1287"/>
    </row>
    <row r="99" spans="1:50" x14ac:dyDescent="0.2">
      <c r="A99" s="1287"/>
      <c r="B99" s="1287"/>
      <c r="C99" s="1287"/>
      <c r="D99" s="1287"/>
      <c r="E99" s="1287"/>
      <c r="F99" s="1287"/>
      <c r="G99" s="1287"/>
      <c r="H99" s="1287"/>
      <c r="I99" s="1287"/>
      <c r="J99" s="1287"/>
      <c r="K99" s="1287"/>
      <c r="L99" s="1287"/>
      <c r="M99" s="1287"/>
      <c r="N99" s="1287"/>
      <c r="O99" s="1287"/>
      <c r="P99" s="1287"/>
      <c r="Q99" s="1287"/>
      <c r="R99" s="1287"/>
      <c r="S99" s="1287"/>
      <c r="T99" s="1287"/>
      <c r="U99" s="1287"/>
      <c r="V99" s="1287"/>
      <c r="W99" s="1287"/>
      <c r="X99" s="1287"/>
      <c r="Y99" s="1287"/>
      <c r="Z99" s="1287"/>
      <c r="AA99" s="1287"/>
      <c r="AB99" s="1287"/>
      <c r="AC99" s="1287"/>
      <c r="AD99" s="1287"/>
      <c r="AE99" s="1287"/>
      <c r="AF99" s="1287"/>
      <c r="AG99" s="1287"/>
      <c r="AH99" s="1287"/>
      <c r="AI99" s="1287"/>
      <c r="AJ99" s="1287"/>
      <c r="AK99" s="1287"/>
      <c r="AL99" s="1287"/>
      <c r="AM99" s="1287"/>
      <c r="AN99" s="1287"/>
      <c r="AO99" s="1287"/>
      <c r="AP99" s="1287"/>
      <c r="AQ99" s="1287"/>
      <c r="AR99" s="1287"/>
      <c r="AS99" s="1287"/>
      <c r="AT99" s="1287"/>
      <c r="AU99" s="1287"/>
      <c r="AV99" s="1287"/>
      <c r="AW99" s="1287"/>
      <c r="AX99" s="1287"/>
    </row>
    <row r="100" spans="1:50" x14ac:dyDescent="0.2">
      <c r="A100" s="1287"/>
      <c r="B100" s="1287"/>
      <c r="C100" s="1287"/>
      <c r="D100" s="1287"/>
      <c r="E100" s="1287"/>
      <c r="F100" s="1287"/>
      <c r="G100" s="1287"/>
      <c r="H100" s="1287"/>
      <c r="I100" s="1287"/>
      <c r="J100" s="1287"/>
      <c r="K100" s="1287"/>
      <c r="L100" s="1287"/>
      <c r="M100" s="1287"/>
      <c r="N100" s="1287"/>
      <c r="O100" s="1287"/>
      <c r="P100" s="1287"/>
      <c r="Q100" s="1287"/>
      <c r="R100" s="1287"/>
      <c r="S100" s="1287"/>
      <c r="T100" s="1287"/>
      <c r="U100" s="1287"/>
      <c r="V100" s="1287"/>
      <c r="W100" s="1287"/>
      <c r="X100" s="1287"/>
      <c r="Y100" s="1287"/>
      <c r="Z100" s="1287"/>
      <c r="AA100" s="1287"/>
      <c r="AB100" s="1287"/>
      <c r="AC100" s="1287"/>
      <c r="AD100" s="1287"/>
      <c r="AE100" s="1287"/>
      <c r="AF100" s="1287"/>
      <c r="AG100" s="1287"/>
      <c r="AH100" s="1287"/>
      <c r="AI100" s="1287"/>
      <c r="AJ100" s="1287"/>
      <c r="AK100" s="1287"/>
      <c r="AL100" s="1287"/>
      <c r="AM100" s="1287"/>
      <c r="AN100" s="1287"/>
      <c r="AO100" s="1287"/>
      <c r="AP100" s="1287"/>
      <c r="AQ100" s="1287"/>
      <c r="AR100" s="1287"/>
      <c r="AS100" s="1287"/>
      <c r="AT100" s="1287"/>
      <c r="AU100" s="1287"/>
      <c r="AV100" s="1287"/>
      <c r="AW100" s="1287"/>
      <c r="AX100" s="1287"/>
    </row>
    <row r="101" spans="1:50" x14ac:dyDescent="0.2">
      <c r="A101" s="1287"/>
      <c r="B101" s="1287"/>
      <c r="C101" s="1287"/>
      <c r="D101" s="1287"/>
      <c r="E101" s="1287"/>
      <c r="F101" s="1287"/>
      <c r="G101" s="1287"/>
      <c r="H101" s="1287"/>
      <c r="I101" s="1287"/>
      <c r="J101" s="1287"/>
      <c r="K101" s="1287"/>
      <c r="L101" s="1287"/>
      <c r="M101" s="1287"/>
      <c r="N101" s="1287"/>
      <c r="O101" s="1287"/>
      <c r="P101" s="1287"/>
      <c r="Q101" s="1287"/>
      <c r="R101" s="1287"/>
      <c r="S101" s="1287"/>
      <c r="T101" s="1287"/>
      <c r="U101" s="1287"/>
      <c r="V101" s="1287"/>
      <c r="W101" s="1287"/>
      <c r="X101" s="1287"/>
      <c r="Y101" s="1287"/>
      <c r="Z101" s="1287"/>
      <c r="AA101" s="1287"/>
      <c r="AB101" s="1287"/>
      <c r="AC101" s="1287"/>
      <c r="AD101" s="1287"/>
      <c r="AE101" s="1287"/>
      <c r="AF101" s="1287"/>
      <c r="AG101" s="1287"/>
      <c r="AH101" s="1287"/>
      <c r="AI101" s="1287"/>
      <c r="AJ101" s="1287"/>
      <c r="AK101" s="1287"/>
      <c r="AL101" s="1287"/>
      <c r="AM101" s="1287"/>
      <c r="AN101" s="1287"/>
      <c r="AO101" s="1287"/>
      <c r="AP101" s="1287"/>
      <c r="AQ101" s="1287"/>
      <c r="AR101" s="1287"/>
      <c r="AS101" s="1287"/>
      <c r="AT101" s="1287"/>
      <c r="AU101" s="1287"/>
      <c r="AV101" s="1287"/>
      <c r="AW101" s="1287"/>
      <c r="AX101" s="1287"/>
    </row>
    <row r="102" spans="1:50" x14ac:dyDescent="0.2">
      <c r="A102" s="1287"/>
      <c r="B102" s="1287"/>
      <c r="C102" s="1287"/>
      <c r="D102" s="1287"/>
      <c r="E102" s="1287"/>
      <c r="F102" s="1287"/>
      <c r="G102" s="1287"/>
      <c r="H102" s="1287"/>
      <c r="I102" s="1287"/>
      <c r="J102" s="1287"/>
      <c r="K102" s="1287"/>
      <c r="L102" s="1287"/>
      <c r="M102" s="1287"/>
      <c r="N102" s="1287"/>
      <c r="O102" s="1287"/>
      <c r="P102" s="1287"/>
      <c r="Q102" s="1287"/>
      <c r="R102" s="1287"/>
      <c r="S102" s="1287"/>
      <c r="T102" s="1287"/>
      <c r="U102" s="1287"/>
      <c r="V102" s="1287"/>
      <c r="W102" s="1287"/>
      <c r="X102" s="1287"/>
      <c r="Y102" s="1287"/>
      <c r="Z102" s="1287"/>
      <c r="AA102" s="1287"/>
      <c r="AB102" s="1287"/>
      <c r="AC102" s="1287"/>
      <c r="AD102" s="1287"/>
      <c r="AE102" s="1287"/>
      <c r="AF102" s="1287"/>
      <c r="AG102" s="1287"/>
      <c r="AH102" s="1287"/>
      <c r="AI102" s="1287"/>
      <c r="AJ102" s="1287"/>
      <c r="AK102" s="1287"/>
      <c r="AL102" s="1287"/>
      <c r="AM102" s="1287"/>
      <c r="AN102" s="1287"/>
      <c r="AO102" s="1287"/>
      <c r="AP102" s="1287"/>
      <c r="AQ102" s="1287"/>
      <c r="AR102" s="1287"/>
      <c r="AS102" s="1287"/>
      <c r="AT102" s="1287"/>
      <c r="AU102" s="1287"/>
      <c r="AV102" s="1287"/>
      <c r="AW102" s="1287"/>
      <c r="AX102" s="1287"/>
    </row>
    <row r="103" spans="1:50" x14ac:dyDescent="0.2">
      <c r="A103" s="1287"/>
      <c r="B103" s="1287"/>
      <c r="C103" s="1287"/>
      <c r="D103" s="1287"/>
      <c r="E103" s="1287"/>
      <c r="F103" s="1287"/>
      <c r="G103" s="1287"/>
      <c r="H103" s="1287"/>
      <c r="I103" s="1287"/>
      <c r="J103" s="1287"/>
      <c r="K103" s="1287"/>
      <c r="L103" s="1287"/>
      <c r="M103" s="1287"/>
      <c r="N103" s="1287"/>
      <c r="O103" s="1287"/>
      <c r="P103" s="1287"/>
      <c r="Q103" s="1287"/>
      <c r="R103" s="1287"/>
      <c r="S103" s="1287"/>
      <c r="T103" s="1287"/>
      <c r="U103" s="1287"/>
      <c r="V103" s="1287"/>
      <c r="W103" s="1287"/>
      <c r="X103" s="1287"/>
      <c r="Y103" s="1287"/>
      <c r="Z103" s="1287"/>
      <c r="AA103" s="1287"/>
      <c r="AB103" s="1287"/>
      <c r="AC103" s="1287"/>
      <c r="AD103" s="1287"/>
      <c r="AE103" s="1287"/>
      <c r="AF103" s="1287"/>
      <c r="AG103" s="1287"/>
      <c r="AH103" s="1287"/>
      <c r="AI103" s="1287"/>
      <c r="AJ103" s="1287"/>
      <c r="AK103" s="1287"/>
      <c r="AL103" s="1287"/>
      <c r="AM103" s="1287"/>
      <c r="AN103" s="1287"/>
      <c r="AO103" s="1287"/>
      <c r="AP103" s="1287"/>
      <c r="AQ103" s="1287"/>
      <c r="AR103" s="1287"/>
      <c r="AS103" s="1287"/>
      <c r="AT103" s="1287"/>
      <c r="AU103" s="1287"/>
      <c r="AV103" s="1287"/>
      <c r="AW103" s="1287"/>
      <c r="AX103" s="1287"/>
    </row>
    <row r="104" spans="1:50" x14ac:dyDescent="0.2">
      <c r="A104" s="1287"/>
      <c r="B104" s="1287"/>
      <c r="C104" s="1287"/>
      <c r="D104" s="1287"/>
      <c r="E104" s="1287"/>
      <c r="F104" s="1287"/>
      <c r="G104" s="1287"/>
      <c r="H104" s="1287"/>
      <c r="I104" s="1287"/>
      <c r="J104" s="1287"/>
      <c r="K104" s="1287"/>
      <c r="L104" s="1287"/>
      <c r="M104" s="1287"/>
      <c r="N104" s="1287"/>
      <c r="O104" s="1287"/>
      <c r="P104" s="1287"/>
      <c r="Q104" s="1287"/>
      <c r="R104" s="1287"/>
      <c r="S104" s="1287"/>
      <c r="T104" s="1287"/>
      <c r="U104" s="1287"/>
      <c r="V104" s="1287"/>
      <c r="W104" s="1287"/>
      <c r="X104" s="1287"/>
      <c r="Y104" s="1287"/>
      <c r="Z104" s="1287"/>
      <c r="AA104" s="1287"/>
      <c r="AB104" s="1287"/>
      <c r="AC104" s="1287"/>
      <c r="AD104" s="1287"/>
      <c r="AE104" s="1287"/>
      <c r="AF104" s="1287"/>
      <c r="AG104" s="1287"/>
      <c r="AH104" s="1287"/>
      <c r="AI104" s="1287"/>
      <c r="AJ104" s="1287"/>
      <c r="AK104" s="1287"/>
      <c r="AL104" s="1287"/>
      <c r="AM104" s="1287"/>
      <c r="AN104" s="1287"/>
      <c r="AO104" s="1287"/>
      <c r="AP104" s="1287"/>
      <c r="AQ104" s="1287"/>
      <c r="AR104" s="1287"/>
      <c r="AS104" s="1287"/>
      <c r="AT104" s="1287"/>
      <c r="AU104" s="1287"/>
      <c r="AV104" s="1287"/>
      <c r="AW104" s="1287"/>
      <c r="AX104" s="1287"/>
    </row>
    <row r="105" spans="1:50" x14ac:dyDescent="0.2">
      <c r="A105" s="1287"/>
      <c r="B105" s="1287"/>
      <c r="C105" s="1287"/>
      <c r="D105" s="1287"/>
      <c r="E105" s="1287"/>
      <c r="F105" s="1287"/>
      <c r="G105" s="1287"/>
      <c r="H105" s="1287"/>
      <c r="I105" s="1287"/>
      <c r="J105" s="1287"/>
      <c r="K105" s="1287"/>
      <c r="L105" s="1287"/>
      <c r="M105" s="1287"/>
      <c r="N105" s="1287"/>
      <c r="O105" s="1287"/>
      <c r="P105" s="1287"/>
      <c r="Q105" s="1287"/>
      <c r="R105" s="1287"/>
      <c r="S105" s="1287"/>
      <c r="T105" s="1287"/>
      <c r="U105" s="1287"/>
      <c r="V105" s="1287"/>
      <c r="W105" s="1287"/>
      <c r="X105" s="1287"/>
      <c r="Y105" s="1287"/>
      <c r="Z105" s="1287"/>
      <c r="AA105" s="1287"/>
      <c r="AB105" s="1287"/>
      <c r="AC105" s="1287"/>
      <c r="AD105" s="1287"/>
      <c r="AE105" s="1287"/>
      <c r="AF105" s="1287"/>
      <c r="AG105" s="1287"/>
      <c r="AH105" s="1287"/>
      <c r="AI105" s="1287"/>
      <c r="AJ105" s="1287"/>
      <c r="AK105" s="1287"/>
      <c r="AL105" s="1287"/>
      <c r="AM105" s="1287"/>
      <c r="AN105" s="1287"/>
      <c r="AO105" s="1287"/>
      <c r="AP105" s="1287"/>
      <c r="AQ105" s="1287"/>
      <c r="AR105" s="1287"/>
      <c r="AS105" s="1287"/>
      <c r="AT105" s="1287"/>
      <c r="AU105" s="1287"/>
      <c r="AV105" s="1287"/>
      <c r="AW105" s="1287"/>
      <c r="AX105" s="1287"/>
    </row>
    <row r="106" spans="1:50" x14ac:dyDescent="0.2">
      <c r="A106" s="1287"/>
      <c r="B106" s="1287"/>
      <c r="C106" s="1287"/>
      <c r="D106" s="1287"/>
      <c r="E106" s="1287"/>
      <c r="F106" s="1287"/>
      <c r="G106" s="1287"/>
      <c r="H106" s="1287"/>
      <c r="I106" s="1287"/>
      <c r="J106" s="1287"/>
      <c r="K106" s="1287"/>
      <c r="L106" s="1287"/>
      <c r="M106" s="1287"/>
      <c r="N106" s="1287"/>
      <c r="O106" s="1287"/>
      <c r="P106" s="1287"/>
      <c r="Q106" s="1287"/>
      <c r="R106" s="1287"/>
      <c r="S106" s="1287"/>
      <c r="T106" s="1287"/>
      <c r="U106" s="1287"/>
      <c r="V106" s="1287"/>
      <c r="W106" s="1287"/>
      <c r="X106" s="1287"/>
      <c r="Y106" s="1287"/>
      <c r="Z106" s="1287"/>
      <c r="AA106" s="1287"/>
      <c r="AB106" s="1287"/>
      <c r="AC106" s="1287"/>
      <c r="AD106" s="1287"/>
      <c r="AE106" s="1287"/>
      <c r="AF106" s="1287"/>
      <c r="AG106" s="1287"/>
      <c r="AH106" s="1287"/>
      <c r="AI106" s="1287"/>
      <c r="AJ106" s="1287"/>
      <c r="AK106" s="1287"/>
      <c r="AL106" s="1287"/>
      <c r="AM106" s="1287"/>
      <c r="AN106" s="1287"/>
      <c r="AO106" s="1287"/>
      <c r="AP106" s="1287"/>
      <c r="AQ106" s="1287"/>
      <c r="AR106" s="1287"/>
      <c r="AS106" s="1287"/>
      <c r="AT106" s="1287"/>
      <c r="AU106" s="1287"/>
      <c r="AV106" s="1287"/>
      <c r="AW106" s="1287"/>
      <c r="AX106" s="1287"/>
    </row>
    <row r="107" spans="1:50" x14ac:dyDescent="0.2">
      <c r="A107" s="1287"/>
      <c r="B107" s="1287"/>
      <c r="C107" s="1287"/>
      <c r="D107" s="1287"/>
      <c r="E107" s="1287"/>
      <c r="F107" s="1287"/>
      <c r="G107" s="1287"/>
      <c r="H107" s="1287"/>
      <c r="I107" s="1287"/>
      <c r="J107" s="1287"/>
      <c r="K107" s="1287"/>
      <c r="L107" s="1287"/>
      <c r="M107" s="1287"/>
      <c r="N107" s="1287"/>
      <c r="O107" s="1287"/>
      <c r="P107" s="1287"/>
      <c r="Q107" s="1287"/>
      <c r="R107" s="1287"/>
      <c r="S107" s="1287"/>
      <c r="T107" s="1287"/>
      <c r="U107" s="1287"/>
      <c r="V107" s="1287"/>
      <c r="W107" s="1287"/>
      <c r="X107" s="1287"/>
      <c r="Y107" s="1287"/>
      <c r="Z107" s="1287"/>
      <c r="AA107" s="1287"/>
      <c r="AB107" s="1287"/>
      <c r="AC107" s="1287"/>
      <c r="AD107" s="1287"/>
      <c r="AE107" s="1287"/>
      <c r="AF107" s="1287"/>
      <c r="AG107" s="1287"/>
      <c r="AH107" s="1287"/>
      <c r="AI107" s="1287"/>
      <c r="AJ107" s="1287"/>
      <c r="AK107" s="1287"/>
      <c r="AL107" s="1287"/>
      <c r="AM107" s="1287"/>
      <c r="AN107" s="1287"/>
      <c r="AO107" s="1287"/>
      <c r="AP107" s="1287"/>
      <c r="AQ107" s="1287"/>
      <c r="AR107" s="1287"/>
      <c r="AS107" s="1287"/>
      <c r="AT107" s="1287"/>
      <c r="AU107" s="1287"/>
      <c r="AV107" s="1287"/>
      <c r="AW107" s="1287"/>
      <c r="AX107" s="1287"/>
    </row>
    <row r="108" spans="1:50" x14ac:dyDescent="0.2">
      <c r="A108" s="1287"/>
      <c r="B108" s="1287"/>
      <c r="C108" s="1287"/>
      <c r="D108" s="1287"/>
      <c r="E108" s="1287"/>
      <c r="F108" s="1287"/>
      <c r="G108" s="1287"/>
      <c r="H108" s="1287"/>
      <c r="I108" s="1287"/>
      <c r="J108" s="1287"/>
      <c r="K108" s="1287"/>
      <c r="L108" s="1287"/>
      <c r="M108" s="1287"/>
      <c r="N108" s="1287"/>
      <c r="O108" s="1287"/>
      <c r="P108" s="1287"/>
      <c r="Q108" s="1287"/>
      <c r="R108" s="1287"/>
      <c r="S108" s="1287"/>
      <c r="T108" s="1287"/>
      <c r="U108" s="1287"/>
      <c r="V108" s="1287"/>
      <c r="W108" s="1287"/>
      <c r="X108" s="1287"/>
      <c r="Y108" s="1287"/>
      <c r="Z108" s="1287"/>
      <c r="AA108" s="1287"/>
      <c r="AB108" s="1287"/>
      <c r="AC108" s="1287"/>
      <c r="AD108" s="1287"/>
      <c r="AE108" s="1287"/>
      <c r="AF108" s="1287"/>
      <c r="AG108" s="1287"/>
      <c r="AH108" s="1287"/>
      <c r="AI108" s="1287"/>
      <c r="AJ108" s="1287"/>
      <c r="AK108" s="1287"/>
      <c r="AL108" s="1287"/>
      <c r="AM108" s="1287"/>
      <c r="AN108" s="1287"/>
      <c r="AO108" s="1287"/>
      <c r="AP108" s="1287"/>
      <c r="AQ108" s="1287"/>
      <c r="AR108" s="1287"/>
      <c r="AS108" s="1287"/>
      <c r="AT108" s="1287"/>
      <c r="AU108" s="1287"/>
      <c r="AV108" s="1287"/>
      <c r="AW108" s="1287"/>
      <c r="AX108" s="1287"/>
    </row>
    <row r="109" spans="1:50" x14ac:dyDescent="0.2">
      <c r="A109" s="1287"/>
      <c r="B109" s="1287"/>
      <c r="C109" s="1287"/>
      <c r="D109" s="1287"/>
      <c r="E109" s="1287"/>
      <c r="F109" s="1287"/>
      <c r="G109" s="1287"/>
      <c r="H109" s="1287"/>
      <c r="I109" s="1287"/>
      <c r="J109" s="1287"/>
      <c r="K109" s="1287"/>
      <c r="L109" s="1287"/>
      <c r="M109" s="1287"/>
      <c r="N109" s="1287"/>
      <c r="O109" s="1287"/>
      <c r="P109" s="1287"/>
      <c r="Q109" s="1287"/>
      <c r="R109" s="1287"/>
      <c r="S109" s="1287"/>
      <c r="T109" s="1287"/>
      <c r="U109" s="1287"/>
      <c r="V109" s="1287"/>
      <c r="W109" s="1287"/>
      <c r="X109" s="1287"/>
      <c r="Y109" s="1287"/>
      <c r="Z109" s="1287"/>
      <c r="AA109" s="1287"/>
      <c r="AB109" s="1287"/>
      <c r="AC109" s="1287"/>
      <c r="AD109" s="1287"/>
      <c r="AE109" s="1287"/>
      <c r="AF109" s="1287"/>
      <c r="AG109" s="1287"/>
      <c r="AH109" s="1287"/>
      <c r="AI109" s="1287"/>
      <c r="AJ109" s="1287"/>
      <c r="AK109" s="1287"/>
      <c r="AL109" s="1287"/>
      <c r="AM109" s="1287"/>
      <c r="AN109" s="1287"/>
      <c r="AO109" s="1287"/>
      <c r="AP109" s="1287"/>
      <c r="AQ109" s="1287"/>
      <c r="AR109" s="1287"/>
      <c r="AS109" s="1287"/>
      <c r="AT109" s="1287"/>
      <c r="AU109" s="1287"/>
      <c r="AV109" s="1287"/>
      <c r="AW109" s="1287"/>
      <c r="AX109" s="1287"/>
    </row>
    <row r="110" spans="1:50" x14ac:dyDescent="0.2">
      <c r="A110" s="1287"/>
      <c r="B110" s="1287"/>
      <c r="C110" s="1287"/>
      <c r="D110" s="1287"/>
      <c r="E110" s="1287"/>
      <c r="F110" s="1287"/>
      <c r="G110" s="1287"/>
      <c r="H110" s="1287"/>
      <c r="I110" s="1287"/>
      <c r="J110" s="1287"/>
      <c r="K110" s="1287"/>
      <c r="L110" s="1287"/>
      <c r="M110" s="1287"/>
      <c r="N110" s="1287"/>
      <c r="O110" s="1287"/>
      <c r="P110" s="1287"/>
      <c r="Q110" s="1287"/>
      <c r="R110" s="1287"/>
      <c r="S110" s="1287"/>
      <c r="T110" s="1287"/>
      <c r="U110" s="1287"/>
      <c r="V110" s="1287"/>
      <c r="W110" s="1287"/>
      <c r="X110" s="1287"/>
      <c r="Y110" s="1287"/>
      <c r="Z110" s="1287"/>
      <c r="AA110" s="1287"/>
      <c r="AB110" s="1287"/>
      <c r="AC110" s="1287"/>
      <c r="AD110" s="1287"/>
      <c r="AE110" s="1287"/>
      <c r="AF110" s="1287"/>
      <c r="AG110" s="1287"/>
      <c r="AH110" s="1287"/>
      <c r="AI110" s="1287"/>
      <c r="AJ110" s="1287"/>
      <c r="AK110" s="1287"/>
      <c r="AL110" s="1287"/>
      <c r="AM110" s="1287"/>
      <c r="AN110" s="1287"/>
      <c r="AO110" s="1287"/>
      <c r="AP110" s="1287"/>
      <c r="AQ110" s="1287"/>
      <c r="AR110" s="1287"/>
      <c r="AS110" s="1287"/>
      <c r="AT110" s="1287"/>
      <c r="AU110" s="1287"/>
      <c r="AV110" s="1287"/>
      <c r="AW110" s="1287"/>
      <c r="AX110" s="1287"/>
    </row>
    <row r="111" spans="1:50" x14ac:dyDescent="0.2">
      <c r="A111" s="1287"/>
      <c r="B111" s="1287"/>
      <c r="C111" s="1287"/>
      <c r="D111" s="1287"/>
      <c r="E111" s="1287"/>
      <c r="F111" s="1287"/>
      <c r="G111" s="1287"/>
      <c r="H111" s="1287"/>
      <c r="I111" s="1287"/>
      <c r="J111" s="1287"/>
      <c r="K111" s="1287"/>
      <c r="L111" s="1287"/>
      <c r="M111" s="1287"/>
      <c r="N111" s="1287"/>
      <c r="O111" s="1287"/>
      <c r="P111" s="1287"/>
      <c r="Q111" s="1287"/>
      <c r="R111" s="1287"/>
      <c r="S111" s="1287"/>
      <c r="T111" s="1287"/>
      <c r="U111" s="1287"/>
      <c r="V111" s="1287"/>
      <c r="W111" s="1287"/>
      <c r="X111" s="1287"/>
      <c r="Y111" s="1287"/>
      <c r="Z111" s="1287"/>
      <c r="AA111" s="1287"/>
      <c r="AB111" s="1287"/>
      <c r="AC111" s="1287"/>
      <c r="AD111" s="1287"/>
      <c r="AE111" s="1287"/>
      <c r="AF111" s="1287"/>
      <c r="AG111" s="1287"/>
      <c r="AH111" s="1287"/>
      <c r="AI111" s="1287"/>
      <c r="AJ111" s="1287"/>
      <c r="AK111" s="1287"/>
      <c r="AL111" s="1287"/>
      <c r="AM111" s="1287"/>
      <c r="AN111" s="1287"/>
      <c r="AO111" s="1287"/>
      <c r="AP111" s="1287"/>
      <c r="AQ111" s="1287"/>
      <c r="AR111" s="1287"/>
      <c r="AS111" s="1287"/>
      <c r="AT111" s="1287"/>
      <c r="AU111" s="1287"/>
      <c r="AV111" s="1287"/>
      <c r="AW111" s="1287"/>
      <c r="AX111" s="1287"/>
    </row>
    <row r="112" spans="1:50" x14ac:dyDescent="0.2">
      <c r="A112" s="1287"/>
      <c r="B112" s="1287"/>
      <c r="C112" s="1287"/>
      <c r="D112" s="1287"/>
      <c r="E112" s="1287"/>
      <c r="F112" s="1287"/>
      <c r="G112" s="1287"/>
      <c r="H112" s="1287"/>
      <c r="I112" s="1287"/>
      <c r="J112" s="1287"/>
      <c r="K112" s="1287"/>
      <c r="L112" s="1287"/>
      <c r="M112" s="1287"/>
      <c r="N112" s="1287"/>
      <c r="O112" s="1287"/>
      <c r="P112" s="1287"/>
      <c r="Q112" s="1287"/>
      <c r="R112" s="1287"/>
      <c r="S112" s="1287"/>
      <c r="T112" s="1287"/>
      <c r="U112" s="1287"/>
      <c r="V112" s="1287"/>
      <c r="W112" s="1287"/>
      <c r="X112" s="1287"/>
      <c r="Y112" s="1287"/>
      <c r="Z112" s="1287"/>
      <c r="AA112" s="1287"/>
      <c r="AB112" s="1287"/>
      <c r="AC112" s="1287"/>
      <c r="AD112" s="1287"/>
      <c r="AE112" s="1287"/>
      <c r="AF112" s="1287"/>
      <c r="AG112" s="1287"/>
      <c r="AH112" s="1287"/>
      <c r="AI112" s="1287"/>
      <c r="AJ112" s="1287"/>
      <c r="AK112" s="1287"/>
      <c r="AL112" s="1287"/>
      <c r="AM112" s="1287"/>
      <c r="AN112" s="1287"/>
      <c r="AO112" s="1287"/>
      <c r="AP112" s="1287"/>
      <c r="AQ112" s="1287"/>
      <c r="AR112" s="1287"/>
      <c r="AS112" s="1287"/>
      <c r="AT112" s="1287"/>
      <c r="AU112" s="1287"/>
      <c r="AV112" s="1287"/>
      <c r="AW112" s="1287"/>
      <c r="AX112" s="1287"/>
    </row>
    <row r="113" spans="1:50" x14ac:dyDescent="0.2">
      <c r="A113" s="1287"/>
      <c r="B113" s="1287"/>
      <c r="C113" s="1287"/>
      <c r="D113" s="1287"/>
      <c r="E113" s="1287"/>
      <c r="F113" s="1287"/>
      <c r="G113" s="1287"/>
      <c r="H113" s="1287"/>
      <c r="I113" s="1287"/>
      <c r="J113" s="1287"/>
      <c r="K113" s="1287"/>
      <c r="L113" s="1287"/>
      <c r="M113" s="1287"/>
      <c r="N113" s="1287"/>
      <c r="O113" s="1287"/>
      <c r="P113" s="1287"/>
      <c r="Q113" s="1287"/>
      <c r="R113" s="1287"/>
      <c r="S113" s="1287"/>
      <c r="T113" s="1287"/>
      <c r="U113" s="1287"/>
      <c r="V113" s="1287"/>
      <c r="W113" s="1287"/>
      <c r="X113" s="1287"/>
      <c r="Y113" s="1287"/>
      <c r="Z113" s="1287"/>
      <c r="AA113" s="1287"/>
      <c r="AB113" s="1287"/>
      <c r="AC113" s="1287"/>
      <c r="AD113" s="1287"/>
      <c r="AE113" s="1287"/>
      <c r="AF113" s="1287"/>
      <c r="AG113" s="1287"/>
      <c r="AH113" s="1287"/>
      <c r="AI113" s="1287"/>
      <c r="AJ113" s="1287"/>
      <c r="AK113" s="1287"/>
      <c r="AL113" s="1287"/>
      <c r="AM113" s="1287"/>
      <c r="AN113" s="1287"/>
      <c r="AO113" s="1287"/>
      <c r="AP113" s="1287"/>
      <c r="AQ113" s="1287"/>
      <c r="AR113" s="1287"/>
      <c r="AS113" s="1287"/>
      <c r="AT113" s="1287"/>
      <c r="AU113" s="1287"/>
      <c r="AV113" s="1287"/>
      <c r="AW113" s="1287"/>
      <c r="AX113" s="1287"/>
    </row>
    <row r="114" spans="1:50" x14ac:dyDescent="0.2">
      <c r="A114" s="1287"/>
      <c r="B114" s="1287"/>
      <c r="C114" s="1287"/>
      <c r="D114" s="1287"/>
      <c r="E114" s="1287"/>
      <c r="F114" s="1287"/>
      <c r="G114" s="1287"/>
      <c r="H114" s="1287"/>
      <c r="I114" s="1287"/>
      <c r="J114" s="1287"/>
      <c r="K114" s="1287"/>
      <c r="L114" s="1287"/>
      <c r="M114" s="1287"/>
      <c r="N114" s="1287"/>
      <c r="O114" s="1287"/>
      <c r="P114" s="1287"/>
      <c r="Q114" s="1287"/>
      <c r="R114" s="1287"/>
      <c r="S114" s="1287"/>
      <c r="T114" s="1287"/>
      <c r="U114" s="1287"/>
      <c r="V114" s="1287"/>
      <c r="W114" s="1287"/>
      <c r="X114" s="1287"/>
      <c r="Y114" s="1287"/>
      <c r="Z114" s="1287"/>
      <c r="AA114" s="1287"/>
      <c r="AB114" s="1287"/>
      <c r="AC114" s="1287"/>
      <c r="AD114" s="1287"/>
      <c r="AE114" s="1287"/>
      <c r="AF114" s="1287"/>
      <c r="AG114" s="1287"/>
      <c r="AH114" s="1287"/>
      <c r="AI114" s="1287"/>
      <c r="AJ114" s="1287"/>
      <c r="AK114" s="1287"/>
      <c r="AL114" s="1287"/>
      <c r="AM114" s="1287"/>
      <c r="AN114" s="1287"/>
      <c r="AO114" s="1287"/>
      <c r="AP114" s="1287"/>
      <c r="AQ114" s="1287"/>
      <c r="AR114" s="1287"/>
      <c r="AS114" s="1287"/>
      <c r="AT114" s="1287"/>
      <c r="AU114" s="1287"/>
      <c r="AV114" s="1287"/>
      <c r="AW114" s="1287"/>
      <c r="AX114" s="1287"/>
    </row>
  </sheetData>
  <sheetProtection algorithmName="SHA-512" hashValue="7hg9qehdG3A9iSLtVvezufB/4potr8V4dqZbIDrI36ROGC5gZw85ae5TTfKP7xYCjYxfR/djX5Ink/WyfNAhGg==" saltValue="PKoAtP4RE+ihQDgu2Mw1PA==" spinCount="100000" sheet="1" objects="1" scenarios="1"/>
  <mergeCells count="24">
    <mergeCell ref="B44:R45"/>
    <mergeCell ref="A40:AX40"/>
    <mergeCell ref="A9:S9"/>
    <mergeCell ref="A10:S10"/>
    <mergeCell ref="T12:U12"/>
    <mergeCell ref="A41:AX41"/>
    <mergeCell ref="W11:Y11"/>
    <mergeCell ref="Z11:AB11"/>
    <mergeCell ref="AC11:AE11"/>
    <mergeCell ref="AF11:AH11"/>
    <mergeCell ref="AI11:AK11"/>
    <mergeCell ref="AL11:AN11"/>
    <mergeCell ref="AO11:AQ11"/>
    <mergeCell ref="AR11:AT11"/>
    <mergeCell ref="AU11:AV11"/>
    <mergeCell ref="AW11:AX11"/>
    <mergeCell ref="L11:M11"/>
    <mergeCell ref="N11:O11"/>
    <mergeCell ref="P11:Q11"/>
    <mergeCell ref="B11:C11"/>
    <mergeCell ref="D11:E11"/>
    <mergeCell ref="F11:G11"/>
    <mergeCell ref="H11:I11"/>
    <mergeCell ref="J11:K11"/>
  </mergeCells>
  <conditionalFormatting sqref="B14:B15 B19:B21">
    <cfRule type="expression" dxfId="80" priority="25">
      <formula>$T$1=$B$11</formula>
    </cfRule>
  </conditionalFormatting>
  <conditionalFormatting sqref="D14:D15 D19:D21">
    <cfRule type="expression" dxfId="79" priority="24">
      <formula>$T$1=$D$11</formula>
    </cfRule>
  </conditionalFormatting>
  <conditionalFormatting sqref="F14:F15 F19:F21">
    <cfRule type="expression" dxfId="78" priority="23">
      <formula>$T$1=$F$11</formula>
    </cfRule>
  </conditionalFormatting>
  <conditionalFormatting sqref="H14:H15 H19:H21">
    <cfRule type="expression" dxfId="77" priority="22">
      <formula>$T$1=$H$11</formula>
    </cfRule>
  </conditionalFormatting>
  <conditionalFormatting sqref="L14:L15 L19:L21">
    <cfRule type="expression" dxfId="76" priority="19">
      <formula>$T$1=$L$11</formula>
    </cfRule>
  </conditionalFormatting>
  <conditionalFormatting sqref="N14:N15 N19:N21">
    <cfRule type="expression" dxfId="75" priority="18">
      <formula>$T$1=$N$11</formula>
    </cfRule>
  </conditionalFormatting>
  <conditionalFormatting sqref="P14:P15 P19:P21">
    <cfRule type="expression" dxfId="74" priority="17">
      <formula>$T$1=$P$11</formula>
    </cfRule>
  </conditionalFormatting>
  <conditionalFormatting sqref="C14:C15 C19:C21">
    <cfRule type="expression" dxfId="73" priority="16">
      <formula>$B$11&gt;=$T$1</formula>
    </cfRule>
  </conditionalFormatting>
  <conditionalFormatting sqref="E14:E15 E19:E21">
    <cfRule type="expression" dxfId="72" priority="15">
      <formula>$D$11&gt;=$T$1</formula>
    </cfRule>
  </conditionalFormatting>
  <conditionalFormatting sqref="G14:G15 G19:G21">
    <cfRule type="expression" dxfId="71" priority="14">
      <formula>$F$11&gt;=$T$1</formula>
    </cfRule>
  </conditionalFormatting>
  <conditionalFormatting sqref="I14:I15 I19:I21">
    <cfRule type="expression" dxfId="70" priority="13">
      <formula>$H$11&gt;=$T$1</formula>
    </cfRule>
  </conditionalFormatting>
  <conditionalFormatting sqref="K14:K15 K19:K21">
    <cfRule type="expression" dxfId="69" priority="12">
      <formula>$J$11&gt;=$T$1</formula>
    </cfRule>
  </conditionalFormatting>
  <conditionalFormatting sqref="O14:O15 O19:O21">
    <cfRule type="expression" dxfId="68" priority="10">
      <formula>$N$11&gt;=$T$1</formula>
    </cfRule>
  </conditionalFormatting>
  <conditionalFormatting sqref="Q14:S15 Q19:S21">
    <cfRule type="expression" dxfId="67" priority="9">
      <formula>$P$11&gt;=$T$1</formula>
    </cfRule>
  </conditionalFormatting>
  <conditionalFormatting sqref="M14">
    <cfRule type="expression" dxfId="66" priority="8">
      <formula>$J$11&gt;=$T$1</formula>
    </cfRule>
  </conditionalFormatting>
  <conditionalFormatting sqref="M15">
    <cfRule type="expression" dxfId="65" priority="5">
      <formula>$J$11&gt;=$T$1</formula>
    </cfRule>
  </conditionalFormatting>
  <conditionalFormatting sqref="M19:M21">
    <cfRule type="expression" dxfId="64" priority="4">
      <formula>$J$11&gt;=$T$1</formula>
    </cfRule>
  </conditionalFormatting>
  <conditionalFormatting sqref="J14">
    <cfRule type="expression" dxfId="63" priority="3">
      <formula>$J$11&gt;=$T$1</formula>
    </cfRule>
  </conditionalFormatting>
  <conditionalFormatting sqref="J15">
    <cfRule type="expression" dxfId="62" priority="2">
      <formula>$J$11&gt;=$T$1</formula>
    </cfRule>
  </conditionalFormatting>
  <conditionalFormatting sqref="J19:J21">
    <cfRule type="expression" dxfId="61" priority="1">
      <formula>$J$11&gt;=$T$1</formula>
    </cfRule>
  </conditionalFormatting>
  <dataValidations count="2">
    <dataValidation allowBlank="1" showInputMessage="1" showErrorMessage="1" promptTitle="Date Format" prompt="E.g:  &quot;August 1, 2011&quot;" sqref="S7" xr:uid="{00000000-0002-0000-1D00-000000000000}"/>
    <dataValidation type="list" allowBlank="1" showInputMessage="1" showErrorMessage="1" sqref="B13:S13" xr:uid="{00000000-0002-0000-1D00-000001000000}">
      <formula1>"CGAAP, MIFRS, USGAAP, ASPE"</formula1>
    </dataValidation>
  </dataValidations>
  <pageMargins left="0.75" right="0.75" top="1" bottom="1" header="0.5" footer="0.5"/>
  <pageSetup scale="17" fitToHeight="0" orientation="landscape"/>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tabColor theme="7" tint="0.39997558519241921"/>
  </sheetPr>
  <dimension ref="A1:H91"/>
  <sheetViews>
    <sheetView workbookViewId="0">
      <selection activeCell="I98" sqref="I98"/>
    </sheetView>
  </sheetViews>
  <sheetFormatPr defaultRowHeight="12.75" x14ac:dyDescent="0.2"/>
  <cols>
    <col min="1" max="1" width="10.5703125" bestFit="1" customWidth="1"/>
    <col min="2" max="2" width="10.28515625" bestFit="1" customWidth="1"/>
    <col min="3" max="3" width="8.7109375" bestFit="1" customWidth="1"/>
    <col min="4" max="4" width="10.7109375" bestFit="1" customWidth="1"/>
    <col min="5" max="5" width="17" bestFit="1" customWidth="1"/>
    <col min="6" max="6" width="46.5703125" bestFit="1" customWidth="1"/>
    <col min="7" max="7" width="23.7109375" bestFit="1" customWidth="1"/>
  </cols>
  <sheetData>
    <row r="1" spans="1:8" x14ac:dyDescent="0.2">
      <c r="A1" t="s">
        <v>1208</v>
      </c>
      <c r="B1" t="s">
        <v>1209</v>
      </c>
      <c r="C1" t="s">
        <v>290</v>
      </c>
      <c r="D1" t="s">
        <v>289</v>
      </c>
      <c r="E1" t="s">
        <v>288</v>
      </c>
      <c r="F1" t="s">
        <v>1243</v>
      </c>
      <c r="G1" t="s">
        <v>10</v>
      </c>
      <c r="H1" t="s">
        <v>1211</v>
      </c>
    </row>
    <row r="2" spans="1:8" x14ac:dyDescent="0.2">
      <c r="A2" t="str">
        <f>'LDC Info'!$E$14</f>
        <v>Niagara-on-the-Lake Hydro Inc.</v>
      </c>
      <c r="B2" t="str">
        <f t="shared" ref="B2:B28" si="0">EBNUMBER</f>
        <v>EB-2018-0056</v>
      </c>
      <c r="C2">
        <f t="shared" ref="C2:C28" si="1">TestYear</f>
        <v>2019</v>
      </c>
      <c r="D2">
        <f t="shared" ref="D2:D28" si="2">BridgeYear</f>
        <v>2018</v>
      </c>
      <c r="E2">
        <f t="shared" ref="E2:E28" si="3">RebaseYear</f>
        <v>2014</v>
      </c>
      <c r="F2" t="s">
        <v>102</v>
      </c>
      <c r="G2" t="str">
        <f>'App.2-JA_OM&amp;A_Summary_Analys'!$B$12</f>
        <v>2010  Board Approved</v>
      </c>
      <c r="H2">
        <f>'App.2-JA_OM&amp;A_Summary_Analys'!B$14</f>
        <v>0</v>
      </c>
    </row>
    <row r="3" spans="1:8" x14ac:dyDescent="0.2">
      <c r="A3" t="str">
        <f>'LDC Info'!$E$14</f>
        <v>Niagara-on-the-Lake Hydro Inc.</v>
      </c>
      <c r="B3" t="str">
        <f t="shared" si="0"/>
        <v>EB-2018-0056</v>
      </c>
      <c r="C3">
        <f t="shared" si="1"/>
        <v>2019</v>
      </c>
      <c r="D3">
        <f t="shared" si="2"/>
        <v>2018</v>
      </c>
      <c r="E3">
        <f t="shared" si="3"/>
        <v>2014</v>
      </c>
      <c r="F3" t="s">
        <v>103</v>
      </c>
      <c r="G3" t="str">
        <f>'App.2-JA_OM&amp;A_Summary_Analys'!$B$12</f>
        <v>2010  Board Approved</v>
      </c>
      <c r="H3">
        <f>'App.2-JA_OM&amp;A_Summary_Analys'!B$15</f>
        <v>0</v>
      </c>
    </row>
    <row r="4" spans="1:8" x14ac:dyDescent="0.2">
      <c r="A4" t="str">
        <f>'LDC Info'!$E$14</f>
        <v>Niagara-on-the-Lake Hydro Inc.</v>
      </c>
      <c r="B4" t="str">
        <f t="shared" si="0"/>
        <v>EB-2018-0056</v>
      </c>
      <c r="C4">
        <f t="shared" si="1"/>
        <v>2019</v>
      </c>
      <c r="D4">
        <f t="shared" si="2"/>
        <v>2018</v>
      </c>
      <c r="E4">
        <f t="shared" si="3"/>
        <v>2014</v>
      </c>
      <c r="F4" t="s">
        <v>90</v>
      </c>
      <c r="G4" t="str">
        <f>'App.2-JA_OM&amp;A_Summary_Analys'!$B$12</f>
        <v>2010  Board Approved</v>
      </c>
      <c r="H4">
        <f>'App.2-JA_OM&amp;A_Summary_Analys'!B$19</f>
        <v>0</v>
      </c>
    </row>
    <row r="5" spans="1:8" x14ac:dyDescent="0.2">
      <c r="A5" t="str">
        <f>'LDC Info'!$E$14</f>
        <v>Niagara-on-the-Lake Hydro Inc.</v>
      </c>
      <c r="B5" t="str">
        <f t="shared" si="0"/>
        <v>EB-2018-0056</v>
      </c>
      <c r="C5">
        <f t="shared" si="1"/>
        <v>2019</v>
      </c>
      <c r="D5">
        <f t="shared" si="2"/>
        <v>2018</v>
      </c>
      <c r="E5">
        <f t="shared" si="3"/>
        <v>2014</v>
      </c>
      <c r="F5" t="s">
        <v>104</v>
      </c>
      <c r="G5" t="str">
        <f>'App.2-JA_OM&amp;A_Summary_Analys'!$B$12</f>
        <v>2010  Board Approved</v>
      </c>
      <c r="H5">
        <f>'App.2-JA_OM&amp;A_Summary_Analys'!B$20</f>
        <v>0</v>
      </c>
    </row>
    <row r="6" spans="1:8" x14ac:dyDescent="0.2">
      <c r="A6" t="str">
        <f>'LDC Info'!$E$14</f>
        <v>Niagara-on-the-Lake Hydro Inc.</v>
      </c>
      <c r="B6" t="str">
        <f t="shared" si="0"/>
        <v>EB-2018-0056</v>
      </c>
      <c r="C6">
        <f t="shared" si="1"/>
        <v>2019</v>
      </c>
      <c r="D6">
        <f t="shared" si="2"/>
        <v>2018</v>
      </c>
      <c r="E6">
        <f t="shared" si="3"/>
        <v>2014</v>
      </c>
      <c r="F6" t="s">
        <v>150</v>
      </c>
      <c r="G6" t="str">
        <f>'App.2-JA_OM&amp;A_Summary_Analys'!$B$12</f>
        <v>2010  Board Approved</v>
      </c>
      <c r="H6">
        <f>'App.2-JA_OM&amp;A_Summary_Analys'!B$21</f>
        <v>0</v>
      </c>
    </row>
    <row r="7" spans="1:8" x14ac:dyDescent="0.2">
      <c r="A7" t="str">
        <f>'LDC Info'!$E$14</f>
        <v>Niagara-on-the-Lake Hydro Inc.</v>
      </c>
      <c r="B7" t="str">
        <f t="shared" si="0"/>
        <v>EB-2018-0056</v>
      </c>
      <c r="C7">
        <f t="shared" si="1"/>
        <v>2019</v>
      </c>
      <c r="D7">
        <f t="shared" si="2"/>
        <v>2018</v>
      </c>
      <c r="E7">
        <f t="shared" si="3"/>
        <v>2014</v>
      </c>
      <c r="F7" t="s">
        <v>102</v>
      </c>
      <c r="G7" t="str">
        <f>'App.2-JA_OM&amp;A_Summary_Analys'!$C$12</f>
        <v>2010  Actuals</v>
      </c>
      <c r="H7">
        <f>'App.2-JA_OM&amp;A_Summary_Analys'!C$14</f>
        <v>0</v>
      </c>
    </row>
    <row r="8" spans="1:8" x14ac:dyDescent="0.2">
      <c r="A8" t="str">
        <f>'LDC Info'!$E$14</f>
        <v>Niagara-on-the-Lake Hydro Inc.</v>
      </c>
      <c r="B8" t="str">
        <f t="shared" si="0"/>
        <v>EB-2018-0056</v>
      </c>
      <c r="C8">
        <f t="shared" si="1"/>
        <v>2019</v>
      </c>
      <c r="D8">
        <f t="shared" si="2"/>
        <v>2018</v>
      </c>
      <c r="E8">
        <f t="shared" si="3"/>
        <v>2014</v>
      </c>
      <c r="F8" t="s">
        <v>103</v>
      </c>
      <c r="G8" t="str">
        <f>'App.2-JA_OM&amp;A_Summary_Analys'!$C$12</f>
        <v>2010  Actuals</v>
      </c>
      <c r="H8">
        <f>'App.2-JA_OM&amp;A_Summary_Analys'!C$15</f>
        <v>0</v>
      </c>
    </row>
    <row r="9" spans="1:8" x14ac:dyDescent="0.2">
      <c r="A9" t="str">
        <f>'LDC Info'!$E$14</f>
        <v>Niagara-on-the-Lake Hydro Inc.</v>
      </c>
      <c r="B9" t="str">
        <f t="shared" si="0"/>
        <v>EB-2018-0056</v>
      </c>
      <c r="C9">
        <f t="shared" si="1"/>
        <v>2019</v>
      </c>
      <c r="D9">
        <f t="shared" si="2"/>
        <v>2018</v>
      </c>
      <c r="E9">
        <f t="shared" si="3"/>
        <v>2014</v>
      </c>
      <c r="F9" t="s">
        <v>90</v>
      </c>
      <c r="G9" t="str">
        <f>'App.2-JA_OM&amp;A_Summary_Analys'!$C$12</f>
        <v>2010  Actuals</v>
      </c>
      <c r="H9">
        <f>'App.2-JA_OM&amp;A_Summary_Analys'!C$19</f>
        <v>0</v>
      </c>
    </row>
    <row r="10" spans="1:8" x14ac:dyDescent="0.2">
      <c r="A10" t="str">
        <f>'LDC Info'!$E$14</f>
        <v>Niagara-on-the-Lake Hydro Inc.</v>
      </c>
      <c r="B10" t="str">
        <f t="shared" si="0"/>
        <v>EB-2018-0056</v>
      </c>
      <c r="C10">
        <f t="shared" si="1"/>
        <v>2019</v>
      </c>
      <c r="D10">
        <f t="shared" si="2"/>
        <v>2018</v>
      </c>
      <c r="E10">
        <f t="shared" si="3"/>
        <v>2014</v>
      </c>
      <c r="F10" t="s">
        <v>104</v>
      </c>
      <c r="G10" t="str">
        <f>'App.2-JA_OM&amp;A_Summary_Analys'!$C$12</f>
        <v>2010  Actuals</v>
      </c>
      <c r="H10">
        <f>'App.2-JA_OM&amp;A_Summary_Analys'!C$20</f>
        <v>0</v>
      </c>
    </row>
    <row r="11" spans="1:8" x14ac:dyDescent="0.2">
      <c r="A11" t="str">
        <f>'LDC Info'!$E$14</f>
        <v>Niagara-on-the-Lake Hydro Inc.</v>
      </c>
      <c r="B11" t="str">
        <f t="shared" si="0"/>
        <v>EB-2018-0056</v>
      </c>
      <c r="C11">
        <f t="shared" si="1"/>
        <v>2019</v>
      </c>
      <c r="D11">
        <f t="shared" si="2"/>
        <v>2018</v>
      </c>
      <c r="E11">
        <f t="shared" si="3"/>
        <v>2014</v>
      </c>
      <c r="F11" t="s">
        <v>150</v>
      </c>
      <c r="G11" t="str">
        <f>'App.2-JA_OM&amp;A_Summary_Analys'!$C$12</f>
        <v>2010  Actuals</v>
      </c>
      <c r="H11">
        <f>'App.2-JA_OM&amp;A_Summary_Analys'!C$21</f>
        <v>0</v>
      </c>
    </row>
    <row r="12" spans="1:8" x14ac:dyDescent="0.2">
      <c r="A12" t="str">
        <f>'LDC Info'!$E$14</f>
        <v>Niagara-on-the-Lake Hydro Inc.</v>
      </c>
      <c r="B12" t="str">
        <f t="shared" si="0"/>
        <v>EB-2018-0056</v>
      </c>
      <c r="C12">
        <f t="shared" si="1"/>
        <v>2019</v>
      </c>
      <c r="D12">
        <f t="shared" si="2"/>
        <v>2018</v>
      </c>
      <c r="E12">
        <f t="shared" si="3"/>
        <v>2014</v>
      </c>
      <c r="F12" t="s">
        <v>102</v>
      </c>
      <c r="G12" t="str">
        <f>'App.2-JA_OM&amp;A_Summary_Analys'!$D$12</f>
        <v>2011  Board Approved</v>
      </c>
      <c r="H12">
        <f>'App.2-JA_OM&amp;A_Summary_Analys'!D$14</f>
        <v>0</v>
      </c>
    </row>
    <row r="13" spans="1:8" x14ac:dyDescent="0.2">
      <c r="A13" t="str">
        <f>'LDC Info'!$E$14</f>
        <v>Niagara-on-the-Lake Hydro Inc.</v>
      </c>
      <c r="B13" t="str">
        <f t="shared" si="0"/>
        <v>EB-2018-0056</v>
      </c>
      <c r="C13">
        <f t="shared" si="1"/>
        <v>2019</v>
      </c>
      <c r="D13">
        <f t="shared" si="2"/>
        <v>2018</v>
      </c>
      <c r="E13">
        <f t="shared" si="3"/>
        <v>2014</v>
      </c>
      <c r="F13" t="s">
        <v>103</v>
      </c>
      <c r="G13" t="str">
        <f>'App.2-JA_OM&amp;A_Summary_Analys'!$D$12</f>
        <v>2011  Board Approved</v>
      </c>
      <c r="H13">
        <f>'App.2-JA_OM&amp;A_Summary_Analys'!D$15</f>
        <v>0</v>
      </c>
    </row>
    <row r="14" spans="1:8" x14ac:dyDescent="0.2">
      <c r="A14" t="str">
        <f>'LDC Info'!$E$14</f>
        <v>Niagara-on-the-Lake Hydro Inc.</v>
      </c>
      <c r="B14" t="str">
        <f t="shared" si="0"/>
        <v>EB-2018-0056</v>
      </c>
      <c r="C14">
        <f t="shared" si="1"/>
        <v>2019</v>
      </c>
      <c r="D14">
        <f t="shared" si="2"/>
        <v>2018</v>
      </c>
      <c r="E14">
        <f t="shared" si="3"/>
        <v>2014</v>
      </c>
      <c r="F14" t="s">
        <v>90</v>
      </c>
      <c r="G14" t="str">
        <f>'App.2-JA_OM&amp;A_Summary_Analys'!$D$12</f>
        <v>2011  Board Approved</v>
      </c>
      <c r="H14">
        <f>'App.2-JA_OM&amp;A_Summary_Analys'!D$19</f>
        <v>0</v>
      </c>
    </row>
    <row r="15" spans="1:8" x14ac:dyDescent="0.2">
      <c r="A15" t="str">
        <f>'LDC Info'!$E$14</f>
        <v>Niagara-on-the-Lake Hydro Inc.</v>
      </c>
      <c r="B15" t="str">
        <f t="shared" si="0"/>
        <v>EB-2018-0056</v>
      </c>
      <c r="C15">
        <f t="shared" si="1"/>
        <v>2019</v>
      </c>
      <c r="D15">
        <f t="shared" si="2"/>
        <v>2018</v>
      </c>
      <c r="E15">
        <f t="shared" si="3"/>
        <v>2014</v>
      </c>
      <c r="F15" t="s">
        <v>104</v>
      </c>
      <c r="G15" t="str">
        <f>'App.2-JA_OM&amp;A_Summary_Analys'!$D$12</f>
        <v>2011  Board Approved</v>
      </c>
      <c r="H15">
        <f>'App.2-JA_OM&amp;A_Summary_Analys'!D$20</f>
        <v>0</v>
      </c>
    </row>
    <row r="16" spans="1:8" x14ac:dyDescent="0.2">
      <c r="A16" t="str">
        <f>'LDC Info'!$E$14</f>
        <v>Niagara-on-the-Lake Hydro Inc.</v>
      </c>
      <c r="B16" t="str">
        <f t="shared" si="0"/>
        <v>EB-2018-0056</v>
      </c>
      <c r="C16">
        <f t="shared" si="1"/>
        <v>2019</v>
      </c>
      <c r="D16">
        <f t="shared" si="2"/>
        <v>2018</v>
      </c>
      <c r="E16">
        <f t="shared" si="3"/>
        <v>2014</v>
      </c>
      <c r="F16" t="s">
        <v>150</v>
      </c>
      <c r="G16" t="str">
        <f>'App.2-JA_OM&amp;A_Summary_Analys'!$D$12</f>
        <v>2011  Board Approved</v>
      </c>
      <c r="H16">
        <f>'App.2-JA_OM&amp;A_Summary_Analys'!D$21</f>
        <v>0</v>
      </c>
    </row>
    <row r="17" spans="1:8" x14ac:dyDescent="0.2">
      <c r="A17" t="str">
        <f>'LDC Info'!$E$14</f>
        <v>Niagara-on-the-Lake Hydro Inc.</v>
      </c>
      <c r="B17" t="str">
        <f t="shared" si="0"/>
        <v>EB-2018-0056</v>
      </c>
      <c r="C17">
        <f t="shared" si="1"/>
        <v>2019</v>
      </c>
      <c r="D17">
        <f t="shared" si="2"/>
        <v>2018</v>
      </c>
      <c r="E17">
        <f t="shared" si="3"/>
        <v>2014</v>
      </c>
      <c r="F17" t="s">
        <v>102</v>
      </c>
      <c r="G17" t="str">
        <f>'App.2-JA_OM&amp;A_Summary_Analys'!$E$12</f>
        <v>2011  Actuals</v>
      </c>
      <c r="H17">
        <f>'App.2-JA_OM&amp;A_Summary_Analys'!E$14</f>
        <v>0</v>
      </c>
    </row>
    <row r="18" spans="1:8" x14ac:dyDescent="0.2">
      <c r="A18" t="str">
        <f>'LDC Info'!$E$14</f>
        <v>Niagara-on-the-Lake Hydro Inc.</v>
      </c>
      <c r="B18" t="str">
        <f t="shared" si="0"/>
        <v>EB-2018-0056</v>
      </c>
      <c r="C18">
        <f t="shared" si="1"/>
        <v>2019</v>
      </c>
      <c r="D18">
        <f t="shared" si="2"/>
        <v>2018</v>
      </c>
      <c r="E18">
        <f t="shared" si="3"/>
        <v>2014</v>
      </c>
      <c r="F18" t="s">
        <v>103</v>
      </c>
      <c r="G18" t="str">
        <f>'App.2-JA_OM&amp;A_Summary_Analys'!$E$12</f>
        <v>2011  Actuals</v>
      </c>
      <c r="H18">
        <f>'App.2-JA_OM&amp;A_Summary_Analys'!E$15</f>
        <v>0</v>
      </c>
    </row>
    <row r="19" spans="1:8" x14ac:dyDescent="0.2">
      <c r="A19" t="str">
        <f>'LDC Info'!$E$14</f>
        <v>Niagara-on-the-Lake Hydro Inc.</v>
      </c>
      <c r="B19" t="str">
        <f t="shared" si="0"/>
        <v>EB-2018-0056</v>
      </c>
      <c r="C19">
        <f t="shared" si="1"/>
        <v>2019</v>
      </c>
      <c r="D19">
        <f t="shared" si="2"/>
        <v>2018</v>
      </c>
      <c r="E19">
        <f t="shared" si="3"/>
        <v>2014</v>
      </c>
      <c r="F19" t="s">
        <v>90</v>
      </c>
      <c r="G19" t="str">
        <f>'App.2-JA_OM&amp;A_Summary_Analys'!$E$12</f>
        <v>2011  Actuals</v>
      </c>
      <c r="H19">
        <f>'App.2-JA_OM&amp;A_Summary_Analys'!E$19</f>
        <v>0</v>
      </c>
    </row>
    <row r="20" spans="1:8" x14ac:dyDescent="0.2">
      <c r="A20" t="str">
        <f>'LDC Info'!$E$14</f>
        <v>Niagara-on-the-Lake Hydro Inc.</v>
      </c>
      <c r="B20" t="str">
        <f t="shared" si="0"/>
        <v>EB-2018-0056</v>
      </c>
      <c r="C20">
        <f t="shared" si="1"/>
        <v>2019</v>
      </c>
      <c r="D20">
        <f t="shared" si="2"/>
        <v>2018</v>
      </c>
      <c r="E20">
        <f t="shared" si="3"/>
        <v>2014</v>
      </c>
      <c r="F20" t="s">
        <v>104</v>
      </c>
      <c r="G20" t="str">
        <f>'App.2-JA_OM&amp;A_Summary_Analys'!$E$12</f>
        <v>2011  Actuals</v>
      </c>
      <c r="H20">
        <f>'App.2-JA_OM&amp;A_Summary_Analys'!E$20</f>
        <v>0</v>
      </c>
    </row>
    <row r="21" spans="1:8" x14ac:dyDescent="0.2">
      <c r="A21" t="str">
        <f>'LDC Info'!$E$14</f>
        <v>Niagara-on-the-Lake Hydro Inc.</v>
      </c>
      <c r="B21" t="str">
        <f t="shared" si="0"/>
        <v>EB-2018-0056</v>
      </c>
      <c r="C21">
        <f t="shared" si="1"/>
        <v>2019</v>
      </c>
      <c r="D21">
        <f t="shared" si="2"/>
        <v>2018</v>
      </c>
      <c r="E21">
        <f t="shared" si="3"/>
        <v>2014</v>
      </c>
      <c r="F21" t="s">
        <v>150</v>
      </c>
      <c r="G21" t="str">
        <f>'App.2-JA_OM&amp;A_Summary_Analys'!$E$12</f>
        <v>2011  Actuals</v>
      </c>
      <c r="H21">
        <f>'App.2-JA_OM&amp;A_Summary_Analys'!E$21</f>
        <v>0</v>
      </c>
    </row>
    <row r="22" spans="1:8" x14ac:dyDescent="0.2">
      <c r="A22" t="str">
        <f>'LDC Info'!$E$14</f>
        <v>Niagara-on-the-Lake Hydro Inc.</v>
      </c>
      <c r="B22" t="str">
        <f t="shared" si="0"/>
        <v>EB-2018-0056</v>
      </c>
      <c r="C22">
        <f t="shared" si="1"/>
        <v>2019</v>
      </c>
      <c r="D22">
        <f t="shared" si="2"/>
        <v>2018</v>
      </c>
      <c r="E22">
        <f t="shared" si="3"/>
        <v>2014</v>
      </c>
      <c r="F22" t="s">
        <v>102</v>
      </c>
      <c r="G22" t="str">
        <f>'App.2-JA_OM&amp;A_Summary_Analys'!$F$12</f>
        <v>2012  Board Approved</v>
      </c>
      <c r="H22">
        <f>'App.2-JA_OM&amp;A_Summary_Analys'!F$14</f>
        <v>0</v>
      </c>
    </row>
    <row r="23" spans="1:8" x14ac:dyDescent="0.2">
      <c r="A23" t="str">
        <f>'LDC Info'!$E$14</f>
        <v>Niagara-on-the-Lake Hydro Inc.</v>
      </c>
      <c r="B23" t="str">
        <f t="shared" si="0"/>
        <v>EB-2018-0056</v>
      </c>
      <c r="C23">
        <f t="shared" si="1"/>
        <v>2019</v>
      </c>
      <c r="D23">
        <f t="shared" si="2"/>
        <v>2018</v>
      </c>
      <c r="E23">
        <f t="shared" si="3"/>
        <v>2014</v>
      </c>
      <c r="F23" t="s">
        <v>103</v>
      </c>
      <c r="G23" t="str">
        <f>'App.2-JA_OM&amp;A_Summary_Analys'!$F$12</f>
        <v>2012  Board Approved</v>
      </c>
      <c r="H23">
        <f>'App.2-JA_OM&amp;A_Summary_Analys'!F$15</f>
        <v>0</v>
      </c>
    </row>
    <row r="24" spans="1:8" x14ac:dyDescent="0.2">
      <c r="A24" t="str">
        <f>'LDC Info'!$E$14</f>
        <v>Niagara-on-the-Lake Hydro Inc.</v>
      </c>
      <c r="B24" t="str">
        <f t="shared" si="0"/>
        <v>EB-2018-0056</v>
      </c>
      <c r="C24">
        <f t="shared" si="1"/>
        <v>2019</v>
      </c>
      <c r="D24">
        <f t="shared" si="2"/>
        <v>2018</v>
      </c>
      <c r="E24">
        <f t="shared" si="3"/>
        <v>2014</v>
      </c>
      <c r="F24" t="s">
        <v>90</v>
      </c>
      <c r="G24" t="str">
        <f>'App.2-JA_OM&amp;A_Summary_Analys'!$F$12</f>
        <v>2012  Board Approved</v>
      </c>
      <c r="H24">
        <f>'App.2-JA_OM&amp;A_Summary_Analys'!F$19</f>
        <v>0</v>
      </c>
    </row>
    <row r="25" spans="1:8" x14ac:dyDescent="0.2">
      <c r="A25" t="str">
        <f>'LDC Info'!$E$14</f>
        <v>Niagara-on-the-Lake Hydro Inc.</v>
      </c>
      <c r="B25" t="str">
        <f t="shared" si="0"/>
        <v>EB-2018-0056</v>
      </c>
      <c r="C25">
        <f t="shared" si="1"/>
        <v>2019</v>
      </c>
      <c r="D25">
        <f t="shared" si="2"/>
        <v>2018</v>
      </c>
      <c r="E25">
        <f t="shared" si="3"/>
        <v>2014</v>
      </c>
      <c r="F25" t="s">
        <v>104</v>
      </c>
      <c r="G25" t="str">
        <f>'App.2-JA_OM&amp;A_Summary_Analys'!$F$12</f>
        <v>2012  Board Approved</v>
      </c>
      <c r="H25">
        <f>'App.2-JA_OM&amp;A_Summary_Analys'!F$20</f>
        <v>0</v>
      </c>
    </row>
    <row r="26" spans="1:8" x14ac:dyDescent="0.2">
      <c r="A26" t="str">
        <f>'LDC Info'!$E$14</f>
        <v>Niagara-on-the-Lake Hydro Inc.</v>
      </c>
      <c r="B26" t="str">
        <f t="shared" si="0"/>
        <v>EB-2018-0056</v>
      </c>
      <c r="C26">
        <f t="shared" si="1"/>
        <v>2019</v>
      </c>
      <c r="D26">
        <f t="shared" si="2"/>
        <v>2018</v>
      </c>
      <c r="E26">
        <f t="shared" si="3"/>
        <v>2014</v>
      </c>
      <c r="F26" t="s">
        <v>150</v>
      </c>
      <c r="G26" t="str">
        <f>'App.2-JA_OM&amp;A_Summary_Analys'!$F$12</f>
        <v>2012  Board Approved</v>
      </c>
      <c r="H26">
        <f>'App.2-JA_OM&amp;A_Summary_Analys'!F$21</f>
        <v>0</v>
      </c>
    </row>
    <row r="27" spans="1:8" x14ac:dyDescent="0.2">
      <c r="A27" t="str">
        <f>'LDC Info'!$E$14</f>
        <v>Niagara-on-the-Lake Hydro Inc.</v>
      </c>
      <c r="B27" t="str">
        <f t="shared" si="0"/>
        <v>EB-2018-0056</v>
      </c>
      <c r="C27">
        <f t="shared" si="1"/>
        <v>2019</v>
      </c>
      <c r="D27">
        <f t="shared" si="2"/>
        <v>2018</v>
      </c>
      <c r="E27">
        <f t="shared" si="3"/>
        <v>2014</v>
      </c>
      <c r="F27" t="s">
        <v>102</v>
      </c>
      <c r="G27" t="str">
        <f>'App.2-JA_OM&amp;A_Summary_Analys'!$G$12</f>
        <v>2012  Actuals</v>
      </c>
      <c r="H27">
        <f>'App.2-JA_OM&amp;A_Summary_Analys'!G$14</f>
        <v>0</v>
      </c>
    </row>
    <row r="28" spans="1:8" x14ac:dyDescent="0.2">
      <c r="A28" t="str">
        <f>'LDC Info'!$E$14</f>
        <v>Niagara-on-the-Lake Hydro Inc.</v>
      </c>
      <c r="B28" t="str">
        <f t="shared" si="0"/>
        <v>EB-2018-0056</v>
      </c>
      <c r="C28">
        <f t="shared" si="1"/>
        <v>2019</v>
      </c>
      <c r="D28">
        <f t="shared" si="2"/>
        <v>2018</v>
      </c>
      <c r="E28">
        <f t="shared" si="3"/>
        <v>2014</v>
      </c>
      <c r="F28" t="s">
        <v>103</v>
      </c>
      <c r="G28" t="str">
        <f>'App.2-JA_OM&amp;A_Summary_Analys'!$G$12</f>
        <v>2012  Actuals</v>
      </c>
      <c r="H28">
        <f>'App.2-JA_OM&amp;A_Summary_Analys'!G$15</f>
        <v>0</v>
      </c>
    </row>
    <row r="29" spans="1:8" x14ac:dyDescent="0.2">
      <c r="A29" t="str">
        <f>'LDC Info'!$E$14</f>
        <v>Niagara-on-the-Lake Hydro Inc.</v>
      </c>
      <c r="B29" t="str">
        <f t="shared" ref="B29:B50" si="4">EBNUMBER</f>
        <v>EB-2018-0056</v>
      </c>
      <c r="C29">
        <f t="shared" ref="C29:C50" si="5">TestYear</f>
        <v>2019</v>
      </c>
      <c r="D29">
        <f t="shared" ref="D29:D50" si="6">BridgeYear</f>
        <v>2018</v>
      </c>
      <c r="E29">
        <f t="shared" ref="E29:E50" si="7">RebaseYear</f>
        <v>2014</v>
      </c>
      <c r="F29" t="s">
        <v>90</v>
      </c>
      <c r="G29" t="str">
        <f>'App.2-JA_OM&amp;A_Summary_Analys'!$G$12</f>
        <v>2012  Actuals</v>
      </c>
      <c r="H29">
        <f>'App.2-JA_OM&amp;A_Summary_Analys'!G$19</f>
        <v>0</v>
      </c>
    </row>
    <row r="30" spans="1:8" x14ac:dyDescent="0.2">
      <c r="A30" t="str">
        <f>'LDC Info'!$E$14</f>
        <v>Niagara-on-the-Lake Hydro Inc.</v>
      </c>
      <c r="B30" t="str">
        <f t="shared" si="4"/>
        <v>EB-2018-0056</v>
      </c>
      <c r="C30">
        <f t="shared" si="5"/>
        <v>2019</v>
      </c>
      <c r="D30">
        <f t="shared" si="6"/>
        <v>2018</v>
      </c>
      <c r="E30">
        <f t="shared" si="7"/>
        <v>2014</v>
      </c>
      <c r="F30" t="s">
        <v>104</v>
      </c>
      <c r="G30" t="str">
        <f>'App.2-JA_OM&amp;A_Summary_Analys'!$G$12</f>
        <v>2012  Actuals</v>
      </c>
      <c r="H30">
        <f>'App.2-JA_OM&amp;A_Summary_Analys'!G$20</f>
        <v>0</v>
      </c>
    </row>
    <row r="31" spans="1:8" x14ac:dyDescent="0.2">
      <c r="A31" t="str">
        <f>'LDC Info'!$E$14</f>
        <v>Niagara-on-the-Lake Hydro Inc.</v>
      </c>
      <c r="B31" t="str">
        <f t="shared" si="4"/>
        <v>EB-2018-0056</v>
      </c>
      <c r="C31">
        <f t="shared" si="5"/>
        <v>2019</v>
      </c>
      <c r="D31">
        <f t="shared" si="6"/>
        <v>2018</v>
      </c>
      <c r="E31">
        <f t="shared" si="7"/>
        <v>2014</v>
      </c>
      <c r="F31" t="s">
        <v>150</v>
      </c>
      <c r="G31" t="str">
        <f>'App.2-JA_OM&amp;A_Summary_Analys'!$G$12</f>
        <v>2012  Actuals</v>
      </c>
      <c r="H31">
        <f>'App.2-JA_OM&amp;A_Summary_Analys'!G$21</f>
        <v>0</v>
      </c>
    </row>
    <row r="32" spans="1:8" x14ac:dyDescent="0.2">
      <c r="A32" t="str">
        <f>'LDC Info'!$E$14</f>
        <v>Niagara-on-the-Lake Hydro Inc.</v>
      </c>
      <c r="B32" t="str">
        <f t="shared" si="4"/>
        <v>EB-2018-0056</v>
      </c>
      <c r="C32">
        <f t="shared" si="5"/>
        <v>2019</v>
      </c>
      <c r="D32">
        <f t="shared" si="6"/>
        <v>2018</v>
      </c>
      <c r="E32">
        <f t="shared" si="7"/>
        <v>2014</v>
      </c>
      <c r="F32" t="s">
        <v>102</v>
      </c>
      <c r="G32" t="str">
        <f>'App.2-JA_OM&amp;A_Summary_Analys'!$H$12</f>
        <v>2013  Board Approved</v>
      </c>
      <c r="H32">
        <f>'App.2-JA_OM&amp;A_Summary_Analys'!H$14</f>
        <v>0</v>
      </c>
    </row>
    <row r="33" spans="1:8" x14ac:dyDescent="0.2">
      <c r="A33" t="str">
        <f>'LDC Info'!$E$14</f>
        <v>Niagara-on-the-Lake Hydro Inc.</v>
      </c>
      <c r="B33" t="str">
        <f t="shared" si="4"/>
        <v>EB-2018-0056</v>
      </c>
      <c r="C33">
        <f t="shared" si="5"/>
        <v>2019</v>
      </c>
      <c r="D33">
        <f t="shared" si="6"/>
        <v>2018</v>
      </c>
      <c r="E33">
        <f t="shared" si="7"/>
        <v>2014</v>
      </c>
      <c r="F33" t="s">
        <v>103</v>
      </c>
      <c r="G33" t="str">
        <f>'App.2-JA_OM&amp;A_Summary_Analys'!$H$12</f>
        <v>2013  Board Approved</v>
      </c>
      <c r="H33">
        <f>'App.2-JA_OM&amp;A_Summary_Analys'!H$15</f>
        <v>0</v>
      </c>
    </row>
    <row r="34" spans="1:8" x14ac:dyDescent="0.2">
      <c r="A34" t="str">
        <f>'LDC Info'!$E$14</f>
        <v>Niagara-on-the-Lake Hydro Inc.</v>
      </c>
      <c r="B34" t="str">
        <f t="shared" si="4"/>
        <v>EB-2018-0056</v>
      </c>
      <c r="C34">
        <f t="shared" si="5"/>
        <v>2019</v>
      </c>
      <c r="D34">
        <f t="shared" si="6"/>
        <v>2018</v>
      </c>
      <c r="E34">
        <f t="shared" si="7"/>
        <v>2014</v>
      </c>
      <c r="F34" t="s">
        <v>90</v>
      </c>
      <c r="G34" t="str">
        <f>'App.2-JA_OM&amp;A_Summary_Analys'!$H$12</f>
        <v>2013  Board Approved</v>
      </c>
      <c r="H34">
        <f>'App.2-JA_OM&amp;A_Summary_Analys'!H$19</f>
        <v>0</v>
      </c>
    </row>
    <row r="35" spans="1:8" x14ac:dyDescent="0.2">
      <c r="A35" t="str">
        <f>'LDC Info'!$E$14</f>
        <v>Niagara-on-the-Lake Hydro Inc.</v>
      </c>
      <c r="B35" t="str">
        <f t="shared" si="4"/>
        <v>EB-2018-0056</v>
      </c>
      <c r="C35">
        <f t="shared" si="5"/>
        <v>2019</v>
      </c>
      <c r="D35">
        <f t="shared" si="6"/>
        <v>2018</v>
      </c>
      <c r="E35">
        <f t="shared" si="7"/>
        <v>2014</v>
      </c>
      <c r="F35" t="s">
        <v>104</v>
      </c>
      <c r="G35" t="str">
        <f>'App.2-JA_OM&amp;A_Summary_Analys'!$H$12</f>
        <v>2013  Board Approved</v>
      </c>
      <c r="H35">
        <f>'App.2-JA_OM&amp;A_Summary_Analys'!H$20</f>
        <v>0</v>
      </c>
    </row>
    <row r="36" spans="1:8" x14ac:dyDescent="0.2">
      <c r="A36" t="str">
        <f>'LDC Info'!$E$14</f>
        <v>Niagara-on-the-Lake Hydro Inc.</v>
      </c>
      <c r="B36" t="str">
        <f t="shared" si="4"/>
        <v>EB-2018-0056</v>
      </c>
      <c r="C36">
        <f t="shared" si="5"/>
        <v>2019</v>
      </c>
      <c r="D36">
        <f t="shared" si="6"/>
        <v>2018</v>
      </c>
      <c r="E36">
        <f t="shared" si="7"/>
        <v>2014</v>
      </c>
      <c r="F36" t="s">
        <v>150</v>
      </c>
      <c r="G36" t="str">
        <f>'App.2-JA_OM&amp;A_Summary_Analys'!$H$12</f>
        <v>2013  Board Approved</v>
      </c>
      <c r="H36">
        <f>'App.2-JA_OM&amp;A_Summary_Analys'!H$21</f>
        <v>0</v>
      </c>
    </row>
    <row r="37" spans="1:8" x14ac:dyDescent="0.2">
      <c r="A37" t="str">
        <f>'LDC Info'!$E$14</f>
        <v>Niagara-on-the-Lake Hydro Inc.</v>
      </c>
      <c r="B37" t="str">
        <f t="shared" si="4"/>
        <v>EB-2018-0056</v>
      </c>
      <c r="C37">
        <f t="shared" si="5"/>
        <v>2019</v>
      </c>
      <c r="D37">
        <f t="shared" si="6"/>
        <v>2018</v>
      </c>
      <c r="E37">
        <f t="shared" si="7"/>
        <v>2014</v>
      </c>
      <c r="F37" t="s">
        <v>102</v>
      </c>
      <c r="G37" t="str">
        <f>'App.2-JA_OM&amp;A_Summary_Analys'!$I$12</f>
        <v>2013  Actuals</v>
      </c>
      <c r="H37">
        <f>'App.2-JA_OM&amp;A_Summary_Analys'!I$14</f>
        <v>0</v>
      </c>
    </row>
    <row r="38" spans="1:8" x14ac:dyDescent="0.2">
      <c r="A38" t="str">
        <f>'LDC Info'!$E$14</f>
        <v>Niagara-on-the-Lake Hydro Inc.</v>
      </c>
      <c r="B38" t="str">
        <f t="shared" si="4"/>
        <v>EB-2018-0056</v>
      </c>
      <c r="C38">
        <f t="shared" si="5"/>
        <v>2019</v>
      </c>
      <c r="D38">
        <f t="shared" si="6"/>
        <v>2018</v>
      </c>
      <c r="E38">
        <f t="shared" si="7"/>
        <v>2014</v>
      </c>
      <c r="F38" t="s">
        <v>103</v>
      </c>
      <c r="G38" t="str">
        <f>'App.2-JA_OM&amp;A_Summary_Analys'!$I$12</f>
        <v>2013  Actuals</v>
      </c>
      <c r="H38">
        <f>'App.2-JA_OM&amp;A_Summary_Analys'!I$15</f>
        <v>0</v>
      </c>
    </row>
    <row r="39" spans="1:8" x14ac:dyDescent="0.2">
      <c r="A39" t="str">
        <f>'LDC Info'!$E$14</f>
        <v>Niagara-on-the-Lake Hydro Inc.</v>
      </c>
      <c r="B39" t="str">
        <f t="shared" si="4"/>
        <v>EB-2018-0056</v>
      </c>
      <c r="C39">
        <f t="shared" si="5"/>
        <v>2019</v>
      </c>
      <c r="D39">
        <f t="shared" si="6"/>
        <v>2018</v>
      </c>
      <c r="E39">
        <f t="shared" si="7"/>
        <v>2014</v>
      </c>
      <c r="F39" t="s">
        <v>90</v>
      </c>
      <c r="G39" t="str">
        <f>'App.2-JA_OM&amp;A_Summary_Analys'!$I$12</f>
        <v>2013  Actuals</v>
      </c>
      <c r="H39">
        <f>'App.2-JA_OM&amp;A_Summary_Analys'!I$19</f>
        <v>0</v>
      </c>
    </row>
    <row r="40" spans="1:8" x14ac:dyDescent="0.2">
      <c r="A40" t="str">
        <f>'LDC Info'!$E$14</f>
        <v>Niagara-on-the-Lake Hydro Inc.</v>
      </c>
      <c r="B40" t="str">
        <f t="shared" si="4"/>
        <v>EB-2018-0056</v>
      </c>
      <c r="C40">
        <f t="shared" si="5"/>
        <v>2019</v>
      </c>
      <c r="D40">
        <f t="shared" si="6"/>
        <v>2018</v>
      </c>
      <c r="E40">
        <f t="shared" si="7"/>
        <v>2014</v>
      </c>
      <c r="F40" t="s">
        <v>104</v>
      </c>
      <c r="G40" t="str">
        <f>'App.2-JA_OM&amp;A_Summary_Analys'!$I$12</f>
        <v>2013  Actuals</v>
      </c>
      <c r="H40">
        <f>'App.2-JA_OM&amp;A_Summary_Analys'!I$20</f>
        <v>0</v>
      </c>
    </row>
    <row r="41" spans="1:8" x14ac:dyDescent="0.2">
      <c r="A41" t="str">
        <f>'LDC Info'!$E$14</f>
        <v>Niagara-on-the-Lake Hydro Inc.</v>
      </c>
      <c r="B41" t="str">
        <f t="shared" si="4"/>
        <v>EB-2018-0056</v>
      </c>
      <c r="C41">
        <f t="shared" si="5"/>
        <v>2019</v>
      </c>
      <c r="D41">
        <f t="shared" si="6"/>
        <v>2018</v>
      </c>
      <c r="E41">
        <f t="shared" si="7"/>
        <v>2014</v>
      </c>
      <c r="F41" t="s">
        <v>150</v>
      </c>
      <c r="G41" t="str">
        <f>'App.2-JA_OM&amp;A_Summary_Analys'!$I$12</f>
        <v>2013  Actuals</v>
      </c>
      <c r="H41">
        <f>'App.2-JA_OM&amp;A_Summary_Analys'!I$21</f>
        <v>0</v>
      </c>
    </row>
    <row r="42" spans="1:8" x14ac:dyDescent="0.2">
      <c r="A42" t="str">
        <f>'LDC Info'!$E$14</f>
        <v>Niagara-on-the-Lake Hydro Inc.</v>
      </c>
      <c r="B42" t="str">
        <f t="shared" si="4"/>
        <v>EB-2018-0056</v>
      </c>
      <c r="C42">
        <f t="shared" si="5"/>
        <v>2019</v>
      </c>
      <c r="D42">
        <f t="shared" si="6"/>
        <v>2018</v>
      </c>
      <c r="E42">
        <f t="shared" si="7"/>
        <v>2014</v>
      </c>
      <c r="F42" t="s">
        <v>102</v>
      </c>
      <c r="G42" t="str">
        <f>'App.2-JA_OM&amp;A_Summary_Analys'!$J$12</f>
        <v>2014 Last Rebasing Year  Board Approved</v>
      </c>
      <c r="H42">
        <f>'App.2-JA_OM&amp;A_Summary_Analys'!J$14</f>
        <v>532044.4731186768</v>
      </c>
    </row>
    <row r="43" spans="1:8" x14ac:dyDescent="0.2">
      <c r="A43" t="str">
        <f>'LDC Info'!$E$14</f>
        <v>Niagara-on-the-Lake Hydro Inc.</v>
      </c>
      <c r="B43" t="str">
        <f t="shared" si="4"/>
        <v>EB-2018-0056</v>
      </c>
      <c r="C43">
        <f t="shared" si="5"/>
        <v>2019</v>
      </c>
      <c r="D43">
        <f t="shared" si="6"/>
        <v>2018</v>
      </c>
      <c r="E43">
        <f t="shared" si="7"/>
        <v>2014</v>
      </c>
      <c r="F43" t="s">
        <v>103</v>
      </c>
      <c r="G43" t="str">
        <f>'App.2-JA_OM&amp;A_Summary_Analys'!$J$12</f>
        <v>2014 Last Rebasing Year  Board Approved</v>
      </c>
      <c r="H43">
        <f>'App.2-JA_OM&amp;A_Summary_Analys'!J$15</f>
        <v>416132.46238946723</v>
      </c>
    </row>
    <row r="44" spans="1:8" x14ac:dyDescent="0.2">
      <c r="A44" t="str">
        <f>'LDC Info'!$E$14</f>
        <v>Niagara-on-the-Lake Hydro Inc.</v>
      </c>
      <c r="B44" t="str">
        <f t="shared" si="4"/>
        <v>EB-2018-0056</v>
      </c>
      <c r="C44">
        <f t="shared" si="5"/>
        <v>2019</v>
      </c>
      <c r="D44">
        <f t="shared" si="6"/>
        <v>2018</v>
      </c>
      <c r="E44">
        <f t="shared" si="7"/>
        <v>2014</v>
      </c>
      <c r="F44" t="s">
        <v>90</v>
      </c>
      <c r="G44" t="str">
        <f>'App.2-JA_OM&amp;A_Summary_Analys'!$J$12</f>
        <v>2014 Last Rebasing Year  Board Approved</v>
      </c>
      <c r="H44">
        <f>'App.2-JA_OM&amp;A_Summary_Analys'!J$19</f>
        <v>534259.55082691566</v>
      </c>
    </row>
    <row r="45" spans="1:8" x14ac:dyDescent="0.2">
      <c r="A45" t="str">
        <f>'LDC Info'!$E$14</f>
        <v>Niagara-on-the-Lake Hydro Inc.</v>
      </c>
      <c r="B45" t="str">
        <f t="shared" si="4"/>
        <v>EB-2018-0056</v>
      </c>
      <c r="C45">
        <f t="shared" si="5"/>
        <v>2019</v>
      </c>
      <c r="D45">
        <f t="shared" si="6"/>
        <v>2018</v>
      </c>
      <c r="E45">
        <f t="shared" si="7"/>
        <v>2014</v>
      </c>
      <c r="F45" t="s">
        <v>104</v>
      </c>
      <c r="G45" t="str">
        <f>'App.2-JA_OM&amp;A_Summary_Analys'!$J$12</f>
        <v>2014 Last Rebasing Year  Board Approved</v>
      </c>
      <c r="H45">
        <f>'App.2-JA_OM&amp;A_Summary_Analys'!J$20</f>
        <v>17800</v>
      </c>
    </row>
    <row r="46" spans="1:8" x14ac:dyDescent="0.2">
      <c r="A46" t="str">
        <f>'LDC Info'!$E$14</f>
        <v>Niagara-on-the-Lake Hydro Inc.</v>
      </c>
      <c r="B46" t="str">
        <f t="shared" si="4"/>
        <v>EB-2018-0056</v>
      </c>
      <c r="C46">
        <f t="shared" si="5"/>
        <v>2019</v>
      </c>
      <c r="D46">
        <f t="shared" si="6"/>
        <v>2018</v>
      </c>
      <c r="E46">
        <f t="shared" si="7"/>
        <v>2014</v>
      </c>
      <c r="F46" t="s">
        <v>150</v>
      </c>
      <c r="G46" t="str">
        <f>'App.2-JA_OM&amp;A_Summary_Analys'!$J$12</f>
        <v>2014 Last Rebasing Year  Board Approved</v>
      </c>
      <c r="H46">
        <f>'App.2-JA_OM&amp;A_Summary_Analys'!J$21</f>
        <v>655025.86807409697</v>
      </c>
    </row>
    <row r="47" spans="1:8" x14ac:dyDescent="0.2">
      <c r="A47" t="str">
        <f>'LDC Info'!$E$14</f>
        <v>Niagara-on-the-Lake Hydro Inc.</v>
      </c>
      <c r="B47" t="str">
        <f t="shared" si="4"/>
        <v>EB-2018-0056</v>
      </c>
      <c r="C47">
        <f t="shared" si="5"/>
        <v>2019</v>
      </c>
      <c r="D47">
        <f t="shared" si="6"/>
        <v>2018</v>
      </c>
      <c r="E47">
        <f t="shared" si="7"/>
        <v>2014</v>
      </c>
      <c r="F47" t="s">
        <v>102</v>
      </c>
      <c r="G47" t="str">
        <f>'App.2-JA_OM&amp;A_Summary_Analys'!$K$12</f>
        <v>2014 Last Rebasing Year  Actuals</v>
      </c>
      <c r="H47">
        <f>'App.2-JA_OM&amp;A_Summary_Analys'!K$14</f>
        <v>491399.67</v>
      </c>
    </row>
    <row r="48" spans="1:8" x14ac:dyDescent="0.2">
      <c r="A48" t="str">
        <f>'LDC Info'!$E$14</f>
        <v>Niagara-on-the-Lake Hydro Inc.</v>
      </c>
      <c r="B48" t="str">
        <f t="shared" si="4"/>
        <v>EB-2018-0056</v>
      </c>
      <c r="C48">
        <f t="shared" si="5"/>
        <v>2019</v>
      </c>
      <c r="D48">
        <f t="shared" si="6"/>
        <v>2018</v>
      </c>
      <c r="E48">
        <f t="shared" si="7"/>
        <v>2014</v>
      </c>
      <c r="F48" t="s">
        <v>103</v>
      </c>
      <c r="G48" t="str">
        <f>'App.2-JA_OM&amp;A_Summary_Analys'!$K$12</f>
        <v>2014 Last Rebasing Year  Actuals</v>
      </c>
      <c r="H48">
        <f>'App.2-JA_OM&amp;A_Summary_Analys'!K$15</f>
        <v>412258.79000000004</v>
      </c>
    </row>
    <row r="49" spans="1:8" x14ac:dyDescent="0.2">
      <c r="A49" t="str">
        <f>'LDC Info'!$E$14</f>
        <v>Niagara-on-the-Lake Hydro Inc.</v>
      </c>
      <c r="B49" t="str">
        <f t="shared" si="4"/>
        <v>EB-2018-0056</v>
      </c>
      <c r="C49">
        <f t="shared" si="5"/>
        <v>2019</v>
      </c>
      <c r="D49">
        <f t="shared" si="6"/>
        <v>2018</v>
      </c>
      <c r="E49">
        <f t="shared" si="7"/>
        <v>2014</v>
      </c>
      <c r="F49" t="s">
        <v>90</v>
      </c>
      <c r="G49" t="str">
        <f>'App.2-JA_OM&amp;A_Summary_Analys'!$K$12</f>
        <v>2014 Last Rebasing Year  Actuals</v>
      </c>
      <c r="H49">
        <f>'App.2-JA_OM&amp;A_Summary_Analys'!K$19</f>
        <v>559555.86</v>
      </c>
    </row>
    <row r="50" spans="1:8" x14ac:dyDescent="0.2">
      <c r="A50" t="str">
        <f>'LDC Info'!$E$14</f>
        <v>Niagara-on-the-Lake Hydro Inc.</v>
      </c>
      <c r="B50" t="str">
        <f t="shared" si="4"/>
        <v>EB-2018-0056</v>
      </c>
      <c r="C50">
        <f t="shared" si="5"/>
        <v>2019</v>
      </c>
      <c r="D50">
        <f t="shared" si="6"/>
        <v>2018</v>
      </c>
      <c r="E50">
        <f t="shared" si="7"/>
        <v>2014</v>
      </c>
      <c r="F50" t="s">
        <v>104</v>
      </c>
      <c r="G50" t="str">
        <f>'App.2-JA_OM&amp;A_Summary_Analys'!$K$12</f>
        <v>2014 Last Rebasing Year  Actuals</v>
      </c>
      <c r="H50">
        <f>'App.2-JA_OM&amp;A_Summary_Analys'!K$20</f>
        <v>578</v>
      </c>
    </row>
    <row r="51" spans="1:8" x14ac:dyDescent="0.2">
      <c r="A51" t="str">
        <f>'LDC Info'!$E$14</f>
        <v>Niagara-on-the-Lake Hydro Inc.</v>
      </c>
      <c r="B51" t="str">
        <f t="shared" ref="B51:B71" si="8">EBNUMBER</f>
        <v>EB-2018-0056</v>
      </c>
      <c r="C51">
        <f t="shared" ref="C51:C71" si="9">TestYear</f>
        <v>2019</v>
      </c>
      <c r="D51">
        <f t="shared" ref="D51:D71" si="10">BridgeYear</f>
        <v>2018</v>
      </c>
      <c r="E51">
        <f t="shared" ref="E51:E71" si="11">RebaseYear</f>
        <v>2014</v>
      </c>
      <c r="F51" t="s">
        <v>150</v>
      </c>
      <c r="G51" t="str">
        <f>'App.2-JA_OM&amp;A_Summary_Analys'!$K$12</f>
        <v>2014 Last Rebasing Year  Actuals</v>
      </c>
      <c r="H51">
        <f>'App.2-JA_OM&amp;A_Summary_Analys'!K$21</f>
        <v>744410.69</v>
      </c>
    </row>
    <row r="52" spans="1:8" x14ac:dyDescent="0.2">
      <c r="A52" t="str">
        <f>'LDC Info'!$E$14</f>
        <v>Niagara-on-the-Lake Hydro Inc.</v>
      </c>
      <c r="B52" t="str">
        <f t="shared" si="8"/>
        <v>EB-2018-0056</v>
      </c>
      <c r="C52">
        <f t="shared" si="9"/>
        <v>2019</v>
      </c>
      <c r="D52">
        <f t="shared" si="10"/>
        <v>2018</v>
      </c>
      <c r="E52">
        <f t="shared" si="11"/>
        <v>2014</v>
      </c>
      <c r="F52" t="s">
        <v>102</v>
      </c>
      <c r="G52" t="str">
        <f>'App.2-JA_OM&amp;A_Summary_Analys'!$L$12</f>
        <v>2015  Board Approved</v>
      </c>
      <c r="H52">
        <f>'App.2-JA_OM&amp;A_Summary_Analys'!L$14</f>
        <v>0</v>
      </c>
    </row>
    <row r="53" spans="1:8" x14ac:dyDescent="0.2">
      <c r="A53" t="str">
        <f>'LDC Info'!$E$14</f>
        <v>Niagara-on-the-Lake Hydro Inc.</v>
      </c>
      <c r="B53" t="str">
        <f t="shared" si="8"/>
        <v>EB-2018-0056</v>
      </c>
      <c r="C53">
        <f t="shared" si="9"/>
        <v>2019</v>
      </c>
      <c r="D53">
        <f t="shared" si="10"/>
        <v>2018</v>
      </c>
      <c r="E53">
        <f t="shared" si="11"/>
        <v>2014</v>
      </c>
      <c r="F53" t="s">
        <v>103</v>
      </c>
      <c r="G53" t="str">
        <f>'App.2-JA_OM&amp;A_Summary_Analys'!$L$12</f>
        <v>2015  Board Approved</v>
      </c>
      <c r="H53">
        <f>'App.2-JA_OM&amp;A_Summary_Analys'!L$15</f>
        <v>0</v>
      </c>
    </row>
    <row r="54" spans="1:8" x14ac:dyDescent="0.2">
      <c r="A54" t="str">
        <f>'LDC Info'!$E$14</f>
        <v>Niagara-on-the-Lake Hydro Inc.</v>
      </c>
      <c r="B54" t="str">
        <f t="shared" si="8"/>
        <v>EB-2018-0056</v>
      </c>
      <c r="C54">
        <f t="shared" si="9"/>
        <v>2019</v>
      </c>
      <c r="D54">
        <f t="shared" si="10"/>
        <v>2018</v>
      </c>
      <c r="E54">
        <f t="shared" si="11"/>
        <v>2014</v>
      </c>
      <c r="F54" t="s">
        <v>90</v>
      </c>
      <c r="G54" t="str">
        <f>'App.2-JA_OM&amp;A_Summary_Analys'!$L$12</f>
        <v>2015  Board Approved</v>
      </c>
      <c r="H54">
        <f>'App.2-JA_OM&amp;A_Summary_Analys'!L$19</f>
        <v>0</v>
      </c>
    </row>
    <row r="55" spans="1:8" x14ac:dyDescent="0.2">
      <c r="A55" t="str">
        <f>'LDC Info'!$E$14</f>
        <v>Niagara-on-the-Lake Hydro Inc.</v>
      </c>
      <c r="B55" t="str">
        <f t="shared" si="8"/>
        <v>EB-2018-0056</v>
      </c>
      <c r="C55">
        <f t="shared" si="9"/>
        <v>2019</v>
      </c>
      <c r="D55">
        <f t="shared" si="10"/>
        <v>2018</v>
      </c>
      <c r="E55">
        <f t="shared" si="11"/>
        <v>2014</v>
      </c>
      <c r="F55" t="s">
        <v>104</v>
      </c>
      <c r="G55" t="str">
        <f>'App.2-JA_OM&amp;A_Summary_Analys'!$L$12</f>
        <v>2015  Board Approved</v>
      </c>
      <c r="H55">
        <f>'App.2-JA_OM&amp;A_Summary_Analys'!L$20</f>
        <v>0</v>
      </c>
    </row>
    <row r="56" spans="1:8" x14ac:dyDescent="0.2">
      <c r="A56" t="str">
        <f>'LDC Info'!$E$14</f>
        <v>Niagara-on-the-Lake Hydro Inc.</v>
      </c>
      <c r="B56" t="str">
        <f t="shared" si="8"/>
        <v>EB-2018-0056</v>
      </c>
      <c r="C56">
        <f t="shared" si="9"/>
        <v>2019</v>
      </c>
      <c r="D56">
        <f t="shared" si="10"/>
        <v>2018</v>
      </c>
      <c r="E56">
        <f t="shared" si="11"/>
        <v>2014</v>
      </c>
      <c r="F56" t="s">
        <v>150</v>
      </c>
      <c r="G56" t="str">
        <f>'App.2-JA_OM&amp;A_Summary_Analys'!$L$12</f>
        <v>2015  Board Approved</v>
      </c>
      <c r="H56">
        <f>'App.2-JA_OM&amp;A_Summary_Analys'!L$21</f>
        <v>0</v>
      </c>
    </row>
    <row r="57" spans="1:8" x14ac:dyDescent="0.2">
      <c r="A57" t="str">
        <f>'LDC Info'!$E$14</f>
        <v>Niagara-on-the-Lake Hydro Inc.</v>
      </c>
      <c r="B57" t="str">
        <f t="shared" si="8"/>
        <v>EB-2018-0056</v>
      </c>
      <c r="C57">
        <f t="shared" si="9"/>
        <v>2019</v>
      </c>
      <c r="D57">
        <f t="shared" si="10"/>
        <v>2018</v>
      </c>
      <c r="E57">
        <f t="shared" si="11"/>
        <v>2014</v>
      </c>
      <c r="F57" t="s">
        <v>102</v>
      </c>
      <c r="G57" t="str">
        <f>'App.2-JA_OM&amp;A_Summary_Analys'!$M$12</f>
        <v>2015  Actuals</v>
      </c>
      <c r="H57">
        <f>'App.2-JA_OM&amp;A_Summary_Analys'!M$14</f>
        <v>548539.79999999993</v>
      </c>
    </row>
    <row r="58" spans="1:8" x14ac:dyDescent="0.2">
      <c r="A58" t="str">
        <f>'LDC Info'!$E$14</f>
        <v>Niagara-on-the-Lake Hydro Inc.</v>
      </c>
      <c r="B58" t="str">
        <f t="shared" si="8"/>
        <v>EB-2018-0056</v>
      </c>
      <c r="C58">
        <f t="shared" si="9"/>
        <v>2019</v>
      </c>
      <c r="D58">
        <f t="shared" si="10"/>
        <v>2018</v>
      </c>
      <c r="E58">
        <f t="shared" si="11"/>
        <v>2014</v>
      </c>
      <c r="F58" t="s">
        <v>103</v>
      </c>
      <c r="G58" t="str">
        <f>'App.2-JA_OM&amp;A_Summary_Analys'!$M$12</f>
        <v>2015  Actuals</v>
      </c>
      <c r="H58">
        <f>'App.2-JA_OM&amp;A_Summary_Analys'!M$15</f>
        <v>451578.1</v>
      </c>
    </row>
    <row r="59" spans="1:8" x14ac:dyDescent="0.2">
      <c r="A59" t="str">
        <f>'LDC Info'!$E$14</f>
        <v>Niagara-on-the-Lake Hydro Inc.</v>
      </c>
      <c r="B59" t="str">
        <f t="shared" si="8"/>
        <v>EB-2018-0056</v>
      </c>
      <c r="C59">
        <f t="shared" si="9"/>
        <v>2019</v>
      </c>
      <c r="D59">
        <f t="shared" si="10"/>
        <v>2018</v>
      </c>
      <c r="E59">
        <f t="shared" si="11"/>
        <v>2014</v>
      </c>
      <c r="F59" t="s">
        <v>90</v>
      </c>
      <c r="G59" t="str">
        <f>'App.2-JA_OM&amp;A_Summary_Analys'!$M$12</f>
        <v>2015  Actuals</v>
      </c>
      <c r="H59">
        <f>'App.2-JA_OM&amp;A_Summary_Analys'!M$19</f>
        <v>601149.68000000005</v>
      </c>
    </row>
    <row r="60" spans="1:8" x14ac:dyDescent="0.2">
      <c r="A60" t="str">
        <f>'LDC Info'!$E$14</f>
        <v>Niagara-on-the-Lake Hydro Inc.</v>
      </c>
      <c r="B60" t="str">
        <f t="shared" si="8"/>
        <v>EB-2018-0056</v>
      </c>
      <c r="C60">
        <f t="shared" si="9"/>
        <v>2019</v>
      </c>
      <c r="D60">
        <f t="shared" si="10"/>
        <v>2018</v>
      </c>
      <c r="E60">
        <f t="shared" si="11"/>
        <v>2014</v>
      </c>
      <c r="F60" t="s">
        <v>104</v>
      </c>
      <c r="G60" t="str">
        <f>'App.2-JA_OM&amp;A_Summary_Analys'!$M$12</f>
        <v>2015  Actuals</v>
      </c>
      <c r="H60">
        <f>'App.2-JA_OM&amp;A_Summary_Analys'!M$20</f>
        <v>757.65</v>
      </c>
    </row>
    <row r="61" spans="1:8" x14ac:dyDescent="0.2">
      <c r="A61" t="str">
        <f>'LDC Info'!$E$14</f>
        <v>Niagara-on-the-Lake Hydro Inc.</v>
      </c>
      <c r="B61" t="str">
        <f t="shared" si="8"/>
        <v>EB-2018-0056</v>
      </c>
      <c r="C61">
        <f t="shared" si="9"/>
        <v>2019</v>
      </c>
      <c r="D61">
        <f t="shared" si="10"/>
        <v>2018</v>
      </c>
      <c r="E61">
        <f t="shared" si="11"/>
        <v>2014</v>
      </c>
      <c r="F61" t="s">
        <v>150</v>
      </c>
      <c r="G61" t="str">
        <f>'App.2-JA_OM&amp;A_Summary_Analys'!$M$12</f>
        <v>2015  Actuals</v>
      </c>
      <c r="H61">
        <f>'App.2-JA_OM&amp;A_Summary_Analys'!M$21</f>
        <v>721093.65999999992</v>
      </c>
    </row>
    <row r="62" spans="1:8" x14ac:dyDescent="0.2">
      <c r="A62" t="str">
        <f>'LDC Info'!$E$14</f>
        <v>Niagara-on-the-Lake Hydro Inc.</v>
      </c>
      <c r="B62" t="str">
        <f t="shared" si="8"/>
        <v>EB-2018-0056</v>
      </c>
      <c r="C62">
        <f t="shared" si="9"/>
        <v>2019</v>
      </c>
      <c r="D62">
        <f t="shared" si="10"/>
        <v>2018</v>
      </c>
      <c r="E62">
        <f t="shared" si="11"/>
        <v>2014</v>
      </c>
      <c r="F62" t="s">
        <v>102</v>
      </c>
      <c r="G62" t="str">
        <f>'App.2-JA_OM&amp;A_Summary_Analys'!$N$12</f>
        <v>2016  Board Approved</v>
      </c>
      <c r="H62">
        <f>'App.2-JA_OM&amp;A_Summary_Analys'!N$14</f>
        <v>0</v>
      </c>
    </row>
    <row r="63" spans="1:8" x14ac:dyDescent="0.2">
      <c r="A63" t="str">
        <f>'LDC Info'!$E$14</f>
        <v>Niagara-on-the-Lake Hydro Inc.</v>
      </c>
      <c r="B63" t="str">
        <f t="shared" si="8"/>
        <v>EB-2018-0056</v>
      </c>
      <c r="C63">
        <f t="shared" si="9"/>
        <v>2019</v>
      </c>
      <c r="D63">
        <f t="shared" si="10"/>
        <v>2018</v>
      </c>
      <c r="E63">
        <f t="shared" si="11"/>
        <v>2014</v>
      </c>
      <c r="F63" t="s">
        <v>103</v>
      </c>
      <c r="G63" t="str">
        <f>'App.2-JA_OM&amp;A_Summary_Analys'!$N$12</f>
        <v>2016  Board Approved</v>
      </c>
      <c r="H63">
        <f>'App.2-JA_OM&amp;A_Summary_Analys'!N$15</f>
        <v>0</v>
      </c>
    </row>
    <row r="64" spans="1:8" x14ac:dyDescent="0.2">
      <c r="A64" t="str">
        <f>'LDC Info'!$E$14</f>
        <v>Niagara-on-the-Lake Hydro Inc.</v>
      </c>
      <c r="B64" t="str">
        <f t="shared" si="8"/>
        <v>EB-2018-0056</v>
      </c>
      <c r="C64">
        <f t="shared" si="9"/>
        <v>2019</v>
      </c>
      <c r="D64">
        <f t="shared" si="10"/>
        <v>2018</v>
      </c>
      <c r="E64">
        <f t="shared" si="11"/>
        <v>2014</v>
      </c>
      <c r="F64" t="s">
        <v>90</v>
      </c>
      <c r="G64" t="str">
        <f>'App.2-JA_OM&amp;A_Summary_Analys'!$N$12</f>
        <v>2016  Board Approved</v>
      </c>
      <c r="H64">
        <f>'App.2-JA_OM&amp;A_Summary_Analys'!N$19</f>
        <v>0</v>
      </c>
    </row>
    <row r="65" spans="1:8" x14ac:dyDescent="0.2">
      <c r="A65" t="str">
        <f>'LDC Info'!$E$14</f>
        <v>Niagara-on-the-Lake Hydro Inc.</v>
      </c>
      <c r="B65" t="str">
        <f t="shared" si="8"/>
        <v>EB-2018-0056</v>
      </c>
      <c r="C65">
        <f t="shared" si="9"/>
        <v>2019</v>
      </c>
      <c r="D65">
        <f t="shared" si="10"/>
        <v>2018</v>
      </c>
      <c r="E65">
        <f t="shared" si="11"/>
        <v>2014</v>
      </c>
      <c r="F65" t="s">
        <v>104</v>
      </c>
      <c r="G65" t="str">
        <f>'App.2-JA_OM&amp;A_Summary_Analys'!$N$12</f>
        <v>2016  Board Approved</v>
      </c>
      <c r="H65">
        <f>'App.2-JA_OM&amp;A_Summary_Analys'!N$20</f>
        <v>0</v>
      </c>
    </row>
    <row r="66" spans="1:8" x14ac:dyDescent="0.2">
      <c r="A66" t="str">
        <f>'LDC Info'!$E$14</f>
        <v>Niagara-on-the-Lake Hydro Inc.</v>
      </c>
      <c r="B66" t="str">
        <f t="shared" si="8"/>
        <v>EB-2018-0056</v>
      </c>
      <c r="C66">
        <f t="shared" si="9"/>
        <v>2019</v>
      </c>
      <c r="D66">
        <f t="shared" si="10"/>
        <v>2018</v>
      </c>
      <c r="E66">
        <f t="shared" si="11"/>
        <v>2014</v>
      </c>
      <c r="F66" t="s">
        <v>150</v>
      </c>
      <c r="G66" t="str">
        <f>'App.2-JA_OM&amp;A_Summary_Analys'!$N$12</f>
        <v>2016  Board Approved</v>
      </c>
      <c r="H66">
        <f>'App.2-JA_OM&amp;A_Summary_Analys'!N$21</f>
        <v>0</v>
      </c>
    </row>
    <row r="67" spans="1:8" x14ac:dyDescent="0.2">
      <c r="A67" t="str">
        <f>'LDC Info'!$E$14</f>
        <v>Niagara-on-the-Lake Hydro Inc.</v>
      </c>
      <c r="B67" t="str">
        <f t="shared" si="8"/>
        <v>EB-2018-0056</v>
      </c>
      <c r="C67">
        <f t="shared" si="9"/>
        <v>2019</v>
      </c>
      <c r="D67">
        <f t="shared" si="10"/>
        <v>2018</v>
      </c>
      <c r="E67">
        <f t="shared" si="11"/>
        <v>2014</v>
      </c>
      <c r="F67" t="s">
        <v>102</v>
      </c>
      <c r="G67" t="str">
        <f>'App.2-JA_OM&amp;A_Summary_Analys'!$O$12</f>
        <v>2016  Actuals</v>
      </c>
      <c r="H67">
        <f>'App.2-JA_OM&amp;A_Summary_Analys'!O$14</f>
        <v>654294.7699999999</v>
      </c>
    </row>
    <row r="68" spans="1:8" x14ac:dyDescent="0.2">
      <c r="A68" t="str">
        <f>'LDC Info'!$E$14</f>
        <v>Niagara-on-the-Lake Hydro Inc.</v>
      </c>
      <c r="B68" t="str">
        <f t="shared" si="8"/>
        <v>EB-2018-0056</v>
      </c>
      <c r="C68">
        <f t="shared" si="9"/>
        <v>2019</v>
      </c>
      <c r="D68">
        <f t="shared" si="10"/>
        <v>2018</v>
      </c>
      <c r="E68">
        <f t="shared" si="11"/>
        <v>2014</v>
      </c>
      <c r="F68" t="s">
        <v>103</v>
      </c>
      <c r="G68" t="str">
        <f>'App.2-JA_OM&amp;A_Summary_Analys'!$O$12</f>
        <v>2016  Actuals</v>
      </c>
      <c r="H68">
        <f>'App.2-JA_OM&amp;A_Summary_Analys'!O$15</f>
        <v>476273.29999999993</v>
      </c>
    </row>
    <row r="69" spans="1:8" x14ac:dyDescent="0.2">
      <c r="A69" t="str">
        <f>'LDC Info'!$E$14</f>
        <v>Niagara-on-the-Lake Hydro Inc.</v>
      </c>
      <c r="B69" t="str">
        <f t="shared" si="8"/>
        <v>EB-2018-0056</v>
      </c>
      <c r="C69">
        <f t="shared" si="9"/>
        <v>2019</v>
      </c>
      <c r="D69">
        <f t="shared" si="10"/>
        <v>2018</v>
      </c>
      <c r="E69">
        <f t="shared" si="11"/>
        <v>2014</v>
      </c>
      <c r="F69" t="s">
        <v>90</v>
      </c>
      <c r="G69" t="str">
        <f>'App.2-JA_OM&amp;A_Summary_Analys'!$O$12</f>
        <v>2016  Actuals</v>
      </c>
      <c r="H69">
        <f>'App.2-JA_OM&amp;A_Summary_Analys'!O$19</f>
        <v>547187.65</v>
      </c>
    </row>
    <row r="70" spans="1:8" x14ac:dyDescent="0.2">
      <c r="A70" t="str">
        <f>'LDC Info'!$E$14</f>
        <v>Niagara-on-the-Lake Hydro Inc.</v>
      </c>
      <c r="B70" t="str">
        <f t="shared" si="8"/>
        <v>EB-2018-0056</v>
      </c>
      <c r="C70">
        <f t="shared" si="9"/>
        <v>2019</v>
      </c>
      <c r="D70">
        <f t="shared" si="10"/>
        <v>2018</v>
      </c>
      <c r="E70">
        <f t="shared" si="11"/>
        <v>2014</v>
      </c>
      <c r="F70" t="s">
        <v>104</v>
      </c>
      <c r="G70" t="str">
        <f>'App.2-JA_OM&amp;A_Summary_Analys'!$O$12</f>
        <v>2016  Actuals</v>
      </c>
      <c r="H70">
        <f>'App.2-JA_OM&amp;A_Summary_Analys'!O$20</f>
        <v>9700</v>
      </c>
    </row>
    <row r="71" spans="1:8" x14ac:dyDescent="0.2">
      <c r="A71" t="str">
        <f>'LDC Info'!$E$14</f>
        <v>Niagara-on-the-Lake Hydro Inc.</v>
      </c>
      <c r="B71" t="str">
        <f t="shared" si="8"/>
        <v>EB-2018-0056</v>
      </c>
      <c r="C71">
        <f t="shared" si="9"/>
        <v>2019</v>
      </c>
      <c r="D71">
        <f t="shared" si="10"/>
        <v>2018</v>
      </c>
      <c r="E71">
        <f t="shared" si="11"/>
        <v>2014</v>
      </c>
      <c r="F71" t="s">
        <v>150</v>
      </c>
      <c r="G71" t="str">
        <f>'App.2-JA_OM&amp;A_Summary_Analys'!$O$12</f>
        <v>2016  Actuals</v>
      </c>
      <c r="H71">
        <f>'App.2-JA_OM&amp;A_Summary_Analys'!O$21</f>
        <v>844735.11</v>
      </c>
    </row>
    <row r="72" spans="1:8" x14ac:dyDescent="0.2">
      <c r="A72" t="str">
        <f>'LDC Info'!$E$14</f>
        <v>Niagara-on-the-Lake Hydro Inc.</v>
      </c>
      <c r="B72" t="str">
        <f t="shared" ref="B72:B91" si="12">EBNUMBER</f>
        <v>EB-2018-0056</v>
      </c>
      <c r="C72">
        <f t="shared" ref="C72:C91" si="13">TestYear</f>
        <v>2019</v>
      </c>
      <c r="D72">
        <f t="shared" ref="D72:D91" si="14">BridgeYear</f>
        <v>2018</v>
      </c>
      <c r="E72">
        <f t="shared" ref="E72:E91" si="15">RebaseYear</f>
        <v>2014</v>
      </c>
      <c r="F72" t="s">
        <v>102</v>
      </c>
      <c r="G72" t="str">
        <f>'App.2-JA_OM&amp;A_Summary_Analys'!$P$12</f>
        <v>2017  Board Approved</v>
      </c>
      <c r="H72">
        <f>'App.2-JA_OM&amp;A_Summary_Analys'!P$14</f>
        <v>0</v>
      </c>
    </row>
    <row r="73" spans="1:8" x14ac:dyDescent="0.2">
      <c r="A73" t="str">
        <f>'LDC Info'!$E$14</f>
        <v>Niagara-on-the-Lake Hydro Inc.</v>
      </c>
      <c r="B73" t="str">
        <f t="shared" si="12"/>
        <v>EB-2018-0056</v>
      </c>
      <c r="C73">
        <f t="shared" si="13"/>
        <v>2019</v>
      </c>
      <c r="D73">
        <f t="shared" si="14"/>
        <v>2018</v>
      </c>
      <c r="E73">
        <f t="shared" si="15"/>
        <v>2014</v>
      </c>
      <c r="F73" t="s">
        <v>103</v>
      </c>
      <c r="G73" t="str">
        <f>'App.2-JA_OM&amp;A_Summary_Analys'!$P$12</f>
        <v>2017  Board Approved</v>
      </c>
      <c r="H73">
        <f>'App.2-JA_OM&amp;A_Summary_Analys'!P$15</f>
        <v>0</v>
      </c>
    </row>
    <row r="74" spans="1:8" x14ac:dyDescent="0.2">
      <c r="A74" t="str">
        <f>'LDC Info'!$E$14</f>
        <v>Niagara-on-the-Lake Hydro Inc.</v>
      </c>
      <c r="B74" t="str">
        <f t="shared" si="12"/>
        <v>EB-2018-0056</v>
      </c>
      <c r="C74">
        <f t="shared" si="13"/>
        <v>2019</v>
      </c>
      <c r="D74">
        <f t="shared" si="14"/>
        <v>2018</v>
      </c>
      <c r="E74">
        <f t="shared" si="15"/>
        <v>2014</v>
      </c>
      <c r="F74" t="s">
        <v>90</v>
      </c>
      <c r="G74" t="str">
        <f>'App.2-JA_OM&amp;A_Summary_Analys'!$P$12</f>
        <v>2017  Board Approved</v>
      </c>
      <c r="H74">
        <f>'App.2-JA_OM&amp;A_Summary_Analys'!P$19</f>
        <v>0</v>
      </c>
    </row>
    <row r="75" spans="1:8" x14ac:dyDescent="0.2">
      <c r="A75" t="str">
        <f>'LDC Info'!$E$14</f>
        <v>Niagara-on-the-Lake Hydro Inc.</v>
      </c>
      <c r="B75" t="str">
        <f t="shared" si="12"/>
        <v>EB-2018-0056</v>
      </c>
      <c r="C75">
        <f t="shared" si="13"/>
        <v>2019</v>
      </c>
      <c r="D75">
        <f t="shared" si="14"/>
        <v>2018</v>
      </c>
      <c r="E75">
        <f t="shared" si="15"/>
        <v>2014</v>
      </c>
      <c r="F75" t="s">
        <v>104</v>
      </c>
      <c r="G75" t="str">
        <f>'App.2-JA_OM&amp;A_Summary_Analys'!$P$12</f>
        <v>2017  Board Approved</v>
      </c>
      <c r="H75">
        <f>'App.2-JA_OM&amp;A_Summary_Analys'!P$20</f>
        <v>0</v>
      </c>
    </row>
    <row r="76" spans="1:8" x14ac:dyDescent="0.2">
      <c r="A76" t="str">
        <f>'LDC Info'!$E$14</f>
        <v>Niagara-on-the-Lake Hydro Inc.</v>
      </c>
      <c r="B76" t="str">
        <f t="shared" si="12"/>
        <v>EB-2018-0056</v>
      </c>
      <c r="C76">
        <f t="shared" si="13"/>
        <v>2019</v>
      </c>
      <c r="D76">
        <f t="shared" si="14"/>
        <v>2018</v>
      </c>
      <c r="E76">
        <f t="shared" si="15"/>
        <v>2014</v>
      </c>
      <c r="F76" t="s">
        <v>150</v>
      </c>
      <c r="G76" t="str">
        <f>'App.2-JA_OM&amp;A_Summary_Analys'!$P$12</f>
        <v>2017  Board Approved</v>
      </c>
      <c r="H76">
        <f>'App.2-JA_OM&amp;A_Summary_Analys'!P$21</f>
        <v>0</v>
      </c>
    </row>
    <row r="77" spans="1:8" x14ac:dyDescent="0.2">
      <c r="A77" t="str">
        <f>'LDC Info'!$E$14</f>
        <v>Niagara-on-the-Lake Hydro Inc.</v>
      </c>
      <c r="B77" t="str">
        <f t="shared" si="12"/>
        <v>EB-2018-0056</v>
      </c>
      <c r="C77">
        <f t="shared" si="13"/>
        <v>2019</v>
      </c>
      <c r="D77">
        <f t="shared" si="14"/>
        <v>2018</v>
      </c>
      <c r="E77">
        <f t="shared" si="15"/>
        <v>2014</v>
      </c>
      <c r="F77" t="s">
        <v>102</v>
      </c>
      <c r="G77" t="str">
        <f>'App.2-JA_OM&amp;A_Summary_Analys'!$Q$12</f>
        <v>2017  Actuals</v>
      </c>
      <c r="H77">
        <f>'App.2-JA_OM&amp;A_Summary_Analys'!Q$14</f>
        <v>673867.34</v>
      </c>
    </row>
    <row r="78" spans="1:8" x14ac:dyDescent="0.2">
      <c r="A78" t="str">
        <f>'LDC Info'!$E$14</f>
        <v>Niagara-on-the-Lake Hydro Inc.</v>
      </c>
      <c r="B78" t="str">
        <f t="shared" si="12"/>
        <v>EB-2018-0056</v>
      </c>
      <c r="C78">
        <f t="shared" si="13"/>
        <v>2019</v>
      </c>
      <c r="D78">
        <f t="shared" si="14"/>
        <v>2018</v>
      </c>
      <c r="E78">
        <f t="shared" si="15"/>
        <v>2014</v>
      </c>
      <c r="F78" t="s">
        <v>103</v>
      </c>
      <c r="G78" t="str">
        <f>'App.2-JA_OM&amp;A_Summary_Analys'!$Q$12</f>
        <v>2017  Actuals</v>
      </c>
      <c r="H78">
        <f>'App.2-JA_OM&amp;A_Summary_Analys'!Q$15</f>
        <v>414736.52</v>
      </c>
    </row>
    <row r="79" spans="1:8" x14ac:dyDescent="0.2">
      <c r="A79" t="str">
        <f>'LDC Info'!$E$14</f>
        <v>Niagara-on-the-Lake Hydro Inc.</v>
      </c>
      <c r="B79" t="str">
        <f t="shared" si="12"/>
        <v>EB-2018-0056</v>
      </c>
      <c r="C79">
        <f t="shared" si="13"/>
        <v>2019</v>
      </c>
      <c r="D79">
        <f t="shared" si="14"/>
        <v>2018</v>
      </c>
      <c r="E79">
        <f t="shared" si="15"/>
        <v>2014</v>
      </c>
      <c r="F79" t="s">
        <v>90</v>
      </c>
      <c r="G79" t="str">
        <f>'App.2-JA_OM&amp;A_Summary_Analys'!$Q$12</f>
        <v>2017  Actuals</v>
      </c>
      <c r="H79">
        <f>'App.2-JA_OM&amp;A_Summary_Analys'!Q$19</f>
        <v>573153.92000000004</v>
      </c>
    </row>
    <row r="80" spans="1:8" x14ac:dyDescent="0.2">
      <c r="A80" t="str">
        <f>'LDC Info'!$E$14</f>
        <v>Niagara-on-the-Lake Hydro Inc.</v>
      </c>
      <c r="B80" t="str">
        <f t="shared" si="12"/>
        <v>EB-2018-0056</v>
      </c>
      <c r="C80">
        <f t="shared" si="13"/>
        <v>2019</v>
      </c>
      <c r="D80">
        <f t="shared" si="14"/>
        <v>2018</v>
      </c>
      <c r="E80">
        <f t="shared" si="15"/>
        <v>2014</v>
      </c>
      <c r="F80" t="s">
        <v>104</v>
      </c>
      <c r="G80" t="str">
        <f>'App.2-JA_OM&amp;A_Summary_Analys'!$Q$12</f>
        <v>2017  Actuals</v>
      </c>
      <c r="H80">
        <f>'App.2-JA_OM&amp;A_Summary_Analys'!Q$20</f>
        <v>4161.21</v>
      </c>
    </row>
    <row r="81" spans="1:8" x14ac:dyDescent="0.2">
      <c r="A81" t="str">
        <f>'LDC Info'!$E$14</f>
        <v>Niagara-on-the-Lake Hydro Inc.</v>
      </c>
      <c r="B81" t="str">
        <f t="shared" si="12"/>
        <v>EB-2018-0056</v>
      </c>
      <c r="C81">
        <f t="shared" si="13"/>
        <v>2019</v>
      </c>
      <c r="D81">
        <f t="shared" si="14"/>
        <v>2018</v>
      </c>
      <c r="E81">
        <f t="shared" si="15"/>
        <v>2014</v>
      </c>
      <c r="F81" t="s">
        <v>150</v>
      </c>
      <c r="G81" t="str">
        <f>'App.2-JA_OM&amp;A_Summary_Analys'!$Q$12</f>
        <v>2017  Actuals</v>
      </c>
      <c r="H81">
        <f>'App.2-JA_OM&amp;A_Summary_Analys'!Q$21</f>
        <v>929201.6399999999</v>
      </c>
    </row>
    <row r="82" spans="1:8" x14ac:dyDescent="0.2">
      <c r="A82" t="str">
        <f>'LDC Info'!$E$14</f>
        <v>Niagara-on-the-Lake Hydro Inc.</v>
      </c>
      <c r="B82" t="str">
        <f t="shared" si="12"/>
        <v>EB-2018-0056</v>
      </c>
      <c r="C82">
        <f t="shared" si="13"/>
        <v>2019</v>
      </c>
      <c r="D82">
        <f t="shared" si="14"/>
        <v>2018</v>
      </c>
      <c r="E82">
        <f t="shared" si="15"/>
        <v>2014</v>
      </c>
      <c r="F82" t="s">
        <v>102</v>
      </c>
      <c r="G82" t="str">
        <f>'App.2-JA_OM&amp;A_Summary_Analys'!$R$12</f>
        <v>2018 Bridge Year</v>
      </c>
      <c r="H82">
        <f>'App.2-JA_OM&amp;A_Summary_Analys'!R$14</f>
        <v>679413.4056647789</v>
      </c>
    </row>
    <row r="83" spans="1:8" x14ac:dyDescent="0.2">
      <c r="A83" t="str">
        <f>'LDC Info'!$E$14</f>
        <v>Niagara-on-the-Lake Hydro Inc.</v>
      </c>
      <c r="B83" t="str">
        <f t="shared" si="12"/>
        <v>EB-2018-0056</v>
      </c>
      <c r="C83">
        <f t="shared" si="13"/>
        <v>2019</v>
      </c>
      <c r="D83">
        <f t="shared" si="14"/>
        <v>2018</v>
      </c>
      <c r="E83">
        <f t="shared" si="15"/>
        <v>2014</v>
      </c>
      <c r="F83" t="s">
        <v>103</v>
      </c>
      <c r="G83" t="str">
        <f>'App.2-JA_OM&amp;A_Summary_Analys'!$R$12</f>
        <v>2018 Bridge Year</v>
      </c>
      <c r="H83">
        <f>'App.2-JA_OM&amp;A_Summary_Analys'!R$15</f>
        <v>473074.05162520939</v>
      </c>
    </row>
    <row r="84" spans="1:8" x14ac:dyDescent="0.2">
      <c r="A84" t="str">
        <f>'LDC Info'!$E$14</f>
        <v>Niagara-on-the-Lake Hydro Inc.</v>
      </c>
      <c r="B84" t="str">
        <f t="shared" si="12"/>
        <v>EB-2018-0056</v>
      </c>
      <c r="C84">
        <f t="shared" si="13"/>
        <v>2019</v>
      </c>
      <c r="D84">
        <f t="shared" si="14"/>
        <v>2018</v>
      </c>
      <c r="E84">
        <f t="shared" si="15"/>
        <v>2014</v>
      </c>
      <c r="F84" t="s">
        <v>90</v>
      </c>
      <c r="G84" t="str">
        <f>'App.2-JA_OM&amp;A_Summary_Analys'!$R$12</f>
        <v>2018 Bridge Year</v>
      </c>
      <c r="H84">
        <f>'App.2-JA_OM&amp;A_Summary_Analys'!R$19</f>
        <v>597617.22904608655</v>
      </c>
    </row>
    <row r="85" spans="1:8" x14ac:dyDescent="0.2">
      <c r="A85" t="str">
        <f>'LDC Info'!$E$14</f>
        <v>Niagara-on-the-Lake Hydro Inc.</v>
      </c>
      <c r="B85" t="str">
        <f t="shared" si="12"/>
        <v>EB-2018-0056</v>
      </c>
      <c r="C85">
        <f t="shared" si="13"/>
        <v>2019</v>
      </c>
      <c r="D85">
        <f t="shared" si="14"/>
        <v>2018</v>
      </c>
      <c r="E85">
        <f t="shared" si="15"/>
        <v>2014</v>
      </c>
      <c r="F85" t="s">
        <v>104</v>
      </c>
      <c r="G85" t="str">
        <f>'App.2-JA_OM&amp;A_Summary_Analys'!$R$12</f>
        <v>2018 Bridge Year</v>
      </c>
      <c r="H85">
        <f>'App.2-JA_OM&amp;A_Summary_Analys'!R$20</f>
        <v>12765.056584028665</v>
      </c>
    </row>
    <row r="86" spans="1:8" x14ac:dyDescent="0.2">
      <c r="A86" t="str">
        <f>'LDC Info'!$E$14</f>
        <v>Niagara-on-the-Lake Hydro Inc.</v>
      </c>
      <c r="B86" t="str">
        <f t="shared" si="12"/>
        <v>EB-2018-0056</v>
      </c>
      <c r="C86">
        <f t="shared" si="13"/>
        <v>2019</v>
      </c>
      <c r="D86">
        <f t="shared" si="14"/>
        <v>2018</v>
      </c>
      <c r="E86">
        <f t="shared" si="15"/>
        <v>2014</v>
      </c>
      <c r="F86" t="s">
        <v>150</v>
      </c>
      <c r="G86" t="str">
        <f>'App.2-JA_OM&amp;A_Summary_Analys'!$R$12</f>
        <v>2018 Bridge Year</v>
      </c>
      <c r="H86">
        <f>'App.2-JA_OM&amp;A_Summary_Analys'!R$21</f>
        <v>1141995.0965386515</v>
      </c>
    </row>
    <row r="87" spans="1:8" x14ac:dyDescent="0.2">
      <c r="A87" t="str">
        <f>'LDC Info'!$E$14</f>
        <v>Niagara-on-the-Lake Hydro Inc.</v>
      </c>
      <c r="B87" t="str">
        <f t="shared" si="12"/>
        <v>EB-2018-0056</v>
      </c>
      <c r="C87">
        <f t="shared" si="13"/>
        <v>2019</v>
      </c>
      <c r="D87">
        <f t="shared" si="14"/>
        <v>2018</v>
      </c>
      <c r="E87">
        <f t="shared" si="15"/>
        <v>2014</v>
      </c>
      <c r="F87" t="s">
        <v>102</v>
      </c>
      <c r="G87" t="str">
        <f>'App.2-JA_OM&amp;A_Summary_Analys'!$S$12</f>
        <v>2019 Test Year</v>
      </c>
      <c r="H87">
        <f>'App.2-JA_OM&amp;A_Summary_Analys'!S14</f>
        <v>711610.17701706884</v>
      </c>
    </row>
    <row r="88" spans="1:8" x14ac:dyDescent="0.2">
      <c r="A88" t="str">
        <f>'LDC Info'!$E$14</f>
        <v>Niagara-on-the-Lake Hydro Inc.</v>
      </c>
      <c r="B88" t="str">
        <f t="shared" si="12"/>
        <v>EB-2018-0056</v>
      </c>
      <c r="C88">
        <f t="shared" si="13"/>
        <v>2019</v>
      </c>
      <c r="D88">
        <f t="shared" si="14"/>
        <v>2018</v>
      </c>
      <c r="E88">
        <f t="shared" si="15"/>
        <v>2014</v>
      </c>
      <c r="F88" t="s">
        <v>103</v>
      </c>
      <c r="G88" t="str">
        <f>'App.2-JA_OM&amp;A_Summary_Analys'!$S$12</f>
        <v>2019 Test Year</v>
      </c>
      <c r="H88">
        <f>'App.2-JA_OM&amp;A_Summary_Analys'!S15</f>
        <v>449790.28194628464</v>
      </c>
    </row>
    <row r="89" spans="1:8" x14ac:dyDescent="0.2">
      <c r="A89" t="str">
        <f>'LDC Info'!$E$14</f>
        <v>Niagara-on-the-Lake Hydro Inc.</v>
      </c>
      <c r="B89" t="str">
        <f t="shared" si="12"/>
        <v>EB-2018-0056</v>
      </c>
      <c r="C89">
        <f t="shared" si="13"/>
        <v>2019</v>
      </c>
      <c r="D89">
        <f t="shared" si="14"/>
        <v>2018</v>
      </c>
      <c r="E89">
        <f t="shared" si="15"/>
        <v>2014</v>
      </c>
      <c r="F89" t="s">
        <v>90</v>
      </c>
      <c r="G89" t="str">
        <f>'App.2-JA_OM&amp;A_Summary_Analys'!$S$12</f>
        <v>2019 Test Year</v>
      </c>
      <c r="H89">
        <f>'App.2-JA_OM&amp;A_Summary_Analys'!S19</f>
        <v>632867.42046056862</v>
      </c>
    </row>
    <row r="90" spans="1:8" x14ac:dyDescent="0.2">
      <c r="A90" t="str">
        <f>'LDC Info'!$E$14</f>
        <v>Niagara-on-the-Lake Hydro Inc.</v>
      </c>
      <c r="B90" t="str">
        <f t="shared" si="12"/>
        <v>EB-2018-0056</v>
      </c>
      <c r="C90">
        <f t="shared" si="13"/>
        <v>2019</v>
      </c>
      <c r="D90">
        <f t="shared" si="14"/>
        <v>2018</v>
      </c>
      <c r="E90">
        <f t="shared" si="15"/>
        <v>2014</v>
      </c>
      <c r="F90" t="s">
        <v>104</v>
      </c>
      <c r="G90" t="str">
        <f>'App.2-JA_OM&amp;A_Summary_Analys'!$S$12</f>
        <v>2019 Test Year</v>
      </c>
      <c r="H90">
        <f>'App.2-JA_OM&amp;A_Summary_Analys'!S20</f>
        <v>11484.753561720259</v>
      </c>
    </row>
    <row r="91" spans="1:8" x14ac:dyDescent="0.2">
      <c r="A91" t="str">
        <f>'LDC Info'!$E$14</f>
        <v>Niagara-on-the-Lake Hydro Inc.</v>
      </c>
      <c r="B91" t="str">
        <f t="shared" si="12"/>
        <v>EB-2018-0056</v>
      </c>
      <c r="C91">
        <f t="shared" si="13"/>
        <v>2019</v>
      </c>
      <c r="D91">
        <f t="shared" si="14"/>
        <v>2018</v>
      </c>
      <c r="E91">
        <f t="shared" si="15"/>
        <v>2014</v>
      </c>
      <c r="F91" t="s">
        <v>150</v>
      </c>
      <c r="G91" t="str">
        <f>'App.2-JA_OM&amp;A_Summary_Analys'!$S$12</f>
        <v>2019 Test Year</v>
      </c>
      <c r="H91">
        <f>'App.2-JA_OM&amp;A_Summary_Analys'!S21</f>
        <v>1159012.4956218726</v>
      </c>
    </row>
  </sheetData>
  <sheetProtection algorithmName="SHA-512" hashValue="rwQPamA5S2Op6S/AeblVVonlGhQ9mVYy07kUQfA78IcGietBGUteekDtRRpHfOtnZLhuhOtDno8JTr6cMXzKvg==" saltValue="cW/OkFOtm7rQCW1ljsUgtA==" spinCount="100000" sheet="1" objects="1" scenarios="1"/>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9">
    <tabColor theme="7" tint="0.39997558519241921"/>
    <pageSetUpPr fitToPage="1"/>
  </sheetPr>
  <dimension ref="A1:M49"/>
  <sheetViews>
    <sheetView showGridLines="0" zoomScaleNormal="100" workbookViewId="0"/>
  </sheetViews>
  <sheetFormatPr defaultColWidth="9.28515625" defaultRowHeight="12.75" x14ac:dyDescent="0.2"/>
  <cols>
    <col min="1" max="1" width="38.140625" style="27" bestFit="1" customWidth="1"/>
    <col min="2" max="2" width="17.7109375" style="27" customWidth="1"/>
    <col min="3" max="3" width="17.7109375" style="27" hidden="1" customWidth="1"/>
    <col min="4" max="6" width="17.7109375" style="27" customWidth="1"/>
    <col min="7" max="7" width="17.28515625" style="27" customWidth="1"/>
    <col min="8" max="16384" width="9.28515625" style="27"/>
  </cols>
  <sheetData>
    <row r="1" spans="1:13" x14ac:dyDescent="0.2">
      <c r="E1" s="217" t="s">
        <v>277</v>
      </c>
      <c r="F1" s="40" t="str">
        <f>EBNUMBER</f>
        <v>EB-2018-0056</v>
      </c>
    </row>
    <row r="2" spans="1:13" x14ac:dyDescent="0.2">
      <c r="E2" s="217" t="s">
        <v>278</v>
      </c>
      <c r="F2" s="41"/>
    </row>
    <row r="3" spans="1:13" x14ac:dyDescent="0.2">
      <c r="E3" s="217" t="s">
        <v>279</v>
      </c>
      <c r="F3" s="41"/>
    </row>
    <row r="4" spans="1:13" x14ac:dyDescent="0.2">
      <c r="F4" s="217" t="s">
        <v>280</v>
      </c>
      <c r="G4" s="41"/>
    </row>
    <row r="5" spans="1:13" x14ac:dyDescent="0.2">
      <c r="F5" s="217" t="s">
        <v>281</v>
      </c>
      <c r="G5" s="42"/>
    </row>
    <row r="6" spans="1:13" x14ac:dyDescent="0.2">
      <c r="F6" s="217"/>
      <c r="G6" s="40"/>
    </row>
    <row r="7" spans="1:13" x14ac:dyDescent="0.2">
      <c r="F7" s="217" t="s">
        <v>282</v>
      </c>
      <c r="G7" s="42"/>
    </row>
    <row r="8" spans="1:13" x14ac:dyDescent="0.2">
      <c r="F8" s="200"/>
    </row>
    <row r="9" spans="1:13" x14ac:dyDescent="0.2">
      <c r="F9" s="200"/>
    </row>
    <row r="10" spans="1:13" ht="18" x14ac:dyDescent="0.25">
      <c r="A10" s="1966" t="s">
        <v>811</v>
      </c>
      <c r="B10" s="1966"/>
      <c r="C10" s="1966"/>
      <c r="D10" s="1966"/>
      <c r="E10" s="1966"/>
      <c r="F10" s="1966"/>
    </row>
    <row r="11" spans="1:13" ht="18" x14ac:dyDescent="0.25">
      <c r="A11" s="1966" t="str">
        <f>"Recoverable OM&amp;A Cost Driver Table" &amp; CHAR(185)&amp;CHAR(183)&amp;CHAR(179)</f>
        <v>Recoverable OM&amp;A Cost Driver Table¹·³</v>
      </c>
      <c r="B11" s="1966"/>
      <c r="C11" s="1966"/>
      <c r="D11" s="1966"/>
      <c r="E11" s="1966"/>
      <c r="F11" s="1966"/>
    </row>
    <row r="12" spans="1:13" ht="13.5" thickBot="1" x14ac:dyDescent="0.25"/>
    <row r="13" spans="1:13" ht="43.5" customHeight="1" thickBot="1" x14ac:dyDescent="0.25">
      <c r="A13" s="242" t="s">
        <v>107</v>
      </c>
      <c r="B13" s="237" t="str">
        <f>"Last Rebasing Year ("&amp;RebaseYear&amp;" Actuals)"</f>
        <v>Last Rebasing Year (2014 Actuals)</v>
      </c>
      <c r="C13" s="237" t="str">
        <f>BridgeYear -3 &amp; " Actuals"</f>
        <v>2015 Actuals</v>
      </c>
      <c r="D13" s="237" t="str">
        <f>BridgeYear -2 &amp; " Actuals"</f>
        <v>2016 Actuals</v>
      </c>
      <c r="E13" s="237" t="str">
        <f>BridgeYear -1 &amp; " Actuals"</f>
        <v>2017 Actuals</v>
      </c>
      <c r="F13" s="237" t="str">
        <f>BridgeYear &amp; " Bridge Year"</f>
        <v>2018 Bridge Year</v>
      </c>
      <c r="G13" s="238" t="str">
        <f>TestYear &amp; " Test Year"</f>
        <v>2019 Test Year</v>
      </c>
    </row>
    <row r="14" spans="1:13" ht="13.5" thickBot="1" x14ac:dyDescent="0.25">
      <c r="A14" s="239" t="s">
        <v>93</v>
      </c>
      <c r="B14" s="240"/>
      <c r="C14" s="240"/>
      <c r="D14" s="240"/>
      <c r="E14" s="240"/>
      <c r="F14" s="240"/>
      <c r="G14" s="241"/>
      <c r="M14" s="243"/>
    </row>
    <row r="15" spans="1:13" ht="13.5" thickBot="1" x14ac:dyDescent="0.25">
      <c r="A15" s="244" t="str">
        <f>"Opening Balance" &amp; CHAR(178)</f>
        <v>Opening Balance²</v>
      </c>
      <c r="B15" s="245">
        <v>2155262.3544091564</v>
      </c>
      <c r="C15" s="246">
        <f>B40</f>
        <v>2208203.3544091564</v>
      </c>
      <c r="D15" s="246">
        <f>C40</f>
        <v>2323119.1935391566</v>
      </c>
      <c r="E15" s="246">
        <f>D40</f>
        <v>2532191.3335591564</v>
      </c>
      <c r="F15" s="246">
        <f>E40</f>
        <v>2595121.3868391565</v>
      </c>
      <c r="G15" s="246">
        <f>F40</f>
        <v>2904865.5962979114</v>
      </c>
    </row>
    <row r="16" spans="1:13" x14ac:dyDescent="0.2">
      <c r="A16" s="247" t="s">
        <v>1651</v>
      </c>
      <c r="B16" s="136"/>
      <c r="C16" s="136"/>
      <c r="D16" s="136"/>
      <c r="E16" s="136"/>
      <c r="F16" s="136"/>
      <c r="G16" s="136"/>
    </row>
    <row r="17" spans="1:7" x14ac:dyDescent="0.2">
      <c r="A17" s="247" t="s">
        <v>1536</v>
      </c>
      <c r="B17" s="136">
        <v>0</v>
      </c>
      <c r="C17" s="136">
        <v>42767</v>
      </c>
      <c r="D17" s="136">
        <v>69517</v>
      </c>
      <c r="E17" s="136">
        <v>71121</v>
      </c>
      <c r="F17" s="136">
        <v>42850</v>
      </c>
      <c r="G17" s="136">
        <v>43707</v>
      </c>
    </row>
    <row r="18" spans="1:7" x14ac:dyDescent="0.2">
      <c r="A18" s="247" t="s">
        <v>1537</v>
      </c>
      <c r="B18" s="136">
        <v>0</v>
      </c>
      <c r="C18" s="136">
        <v>11286.639129999996</v>
      </c>
      <c r="D18" s="136">
        <v>17696.140019999992</v>
      </c>
      <c r="E18" s="136">
        <v>17315.05328</v>
      </c>
      <c r="F18" s="136">
        <v>9046.0893037646874</v>
      </c>
      <c r="G18" s="136">
        <v>20720.617722775554</v>
      </c>
    </row>
    <row r="19" spans="1:7" x14ac:dyDescent="0.2">
      <c r="A19" s="247" t="s">
        <v>1538</v>
      </c>
      <c r="B19" s="136">
        <v>-100000</v>
      </c>
      <c r="C19" s="136">
        <v>0</v>
      </c>
      <c r="D19" s="136">
        <v>31780</v>
      </c>
      <c r="E19" s="136">
        <v>67541</v>
      </c>
      <c r="F19" s="136">
        <v>42000</v>
      </c>
      <c r="G19" s="136">
        <v>0</v>
      </c>
    </row>
    <row r="20" spans="1:7" x14ac:dyDescent="0.2">
      <c r="A20" s="247" t="s">
        <v>1539</v>
      </c>
      <c r="B20" s="136">
        <v>0</v>
      </c>
      <c r="C20" s="136">
        <v>26000</v>
      </c>
      <c r="D20" s="136">
        <v>0</v>
      </c>
      <c r="E20" s="136">
        <v>0</v>
      </c>
      <c r="F20" s="136">
        <v>0</v>
      </c>
      <c r="G20" s="136">
        <v>0</v>
      </c>
    </row>
    <row r="21" spans="1:7" x14ac:dyDescent="0.2">
      <c r="A21" s="247" t="s">
        <v>1540</v>
      </c>
      <c r="B21" s="136">
        <v>0</v>
      </c>
      <c r="C21" s="136">
        <v>0</v>
      </c>
      <c r="D21" s="136">
        <v>0</v>
      </c>
      <c r="E21" s="136">
        <v>25000</v>
      </c>
      <c r="F21" s="136">
        <v>5000</v>
      </c>
      <c r="G21" s="136">
        <v>0</v>
      </c>
    </row>
    <row r="22" spans="1:7" x14ac:dyDescent="0.2">
      <c r="A22" s="247" t="s">
        <v>1541</v>
      </c>
      <c r="B22" s="136">
        <v>0</v>
      </c>
      <c r="C22" s="136">
        <v>0</v>
      </c>
      <c r="D22" s="136">
        <v>0</v>
      </c>
      <c r="E22" s="136">
        <v>25000</v>
      </c>
      <c r="F22" s="136">
        <v>0</v>
      </c>
      <c r="G22" s="136">
        <v>0</v>
      </c>
    </row>
    <row r="23" spans="1:7" x14ac:dyDescent="0.2">
      <c r="A23" s="247" t="s">
        <v>1542</v>
      </c>
      <c r="B23" s="136">
        <v>0</v>
      </c>
      <c r="C23" s="136">
        <v>22300</v>
      </c>
      <c r="D23" s="136">
        <v>4700</v>
      </c>
      <c r="E23" s="136">
        <v>0</v>
      </c>
      <c r="F23" s="136">
        <v>0</v>
      </c>
      <c r="G23" s="136">
        <v>0</v>
      </c>
    </row>
    <row r="24" spans="1:7" x14ac:dyDescent="0.2">
      <c r="A24" s="247" t="s">
        <v>1620</v>
      </c>
      <c r="B24" s="136">
        <v>75445</v>
      </c>
      <c r="C24" s="136"/>
      <c r="D24" s="136"/>
      <c r="E24" s="136"/>
      <c r="F24" s="136"/>
      <c r="G24" s="136"/>
    </row>
    <row r="25" spans="1:7" x14ac:dyDescent="0.2">
      <c r="A25" s="247" t="s">
        <v>1652</v>
      </c>
      <c r="B25" s="95"/>
      <c r="C25" s="95"/>
      <c r="D25" s="95"/>
      <c r="E25" s="95"/>
      <c r="F25" s="95"/>
      <c r="G25" s="95"/>
    </row>
    <row r="26" spans="1:7" x14ac:dyDescent="0.2">
      <c r="A26" s="247" t="s">
        <v>1543</v>
      </c>
      <c r="B26" s="95">
        <v>0</v>
      </c>
      <c r="C26" s="95">
        <v>-82845</v>
      </c>
      <c r="D26" s="95">
        <v>56124</v>
      </c>
      <c r="E26" s="95">
        <v>19736</v>
      </c>
      <c r="F26" s="95">
        <v>73129</v>
      </c>
      <c r="G26" s="95">
        <v>1316</v>
      </c>
    </row>
    <row r="27" spans="1:7" x14ac:dyDescent="0.2">
      <c r="A27" s="247" t="s">
        <v>1544</v>
      </c>
      <c r="B27" s="95">
        <v>0</v>
      </c>
      <c r="C27" s="95">
        <v>15000</v>
      </c>
      <c r="D27" s="95">
        <v>13000</v>
      </c>
      <c r="E27" s="95">
        <v>-36000</v>
      </c>
      <c r="F27" s="95">
        <v>46000</v>
      </c>
      <c r="G27" s="95">
        <v>-25000</v>
      </c>
    </row>
    <row r="28" spans="1:7" x14ac:dyDescent="0.2">
      <c r="A28" s="247" t="s">
        <v>1545</v>
      </c>
      <c r="B28" s="95">
        <v>0</v>
      </c>
      <c r="C28" s="95">
        <v>23500</v>
      </c>
      <c r="D28" s="95">
        <v>0</v>
      </c>
      <c r="E28" s="95">
        <v>-40000</v>
      </c>
      <c r="F28" s="95">
        <v>45000</v>
      </c>
      <c r="G28" s="95">
        <v>0</v>
      </c>
    </row>
    <row r="29" spans="1:7" x14ac:dyDescent="0.2">
      <c r="A29" s="247" t="s">
        <v>1546</v>
      </c>
      <c r="B29" s="95">
        <v>0</v>
      </c>
      <c r="C29" s="95">
        <v>30000</v>
      </c>
      <c r="D29" s="95">
        <v>-17000</v>
      </c>
      <c r="E29" s="95">
        <v>0</v>
      </c>
      <c r="F29" s="95">
        <v>0</v>
      </c>
      <c r="G29" s="95">
        <v>0</v>
      </c>
    </row>
    <row r="30" spans="1:7" x14ac:dyDescent="0.2">
      <c r="A30" s="247"/>
      <c r="B30" s="95"/>
      <c r="C30" s="95"/>
      <c r="D30" s="95"/>
      <c r="E30" s="95"/>
      <c r="F30" s="95"/>
      <c r="G30" s="95"/>
    </row>
    <row r="31" spans="1:7" x14ac:dyDescent="0.2">
      <c r="A31" s="247" t="s">
        <v>1653</v>
      </c>
      <c r="B31" s="1506"/>
      <c r="C31" s="95"/>
      <c r="D31" s="95"/>
      <c r="E31" s="95"/>
      <c r="F31" s="95"/>
      <c r="G31" s="95"/>
    </row>
    <row r="32" spans="1:7" x14ac:dyDescent="0.2">
      <c r="A32" s="247" t="s">
        <v>1547</v>
      </c>
      <c r="B32" s="95">
        <v>52941</v>
      </c>
      <c r="C32" s="95">
        <v>-42352.800000000003</v>
      </c>
      <c r="D32" s="95">
        <v>0</v>
      </c>
      <c r="E32" s="95">
        <v>0</v>
      </c>
      <c r="F32" s="95">
        <v>0</v>
      </c>
      <c r="G32" s="95">
        <v>41197.94</v>
      </c>
    </row>
    <row r="33" spans="1:7" x14ac:dyDescent="0.2">
      <c r="A33" s="247" t="s">
        <v>1548</v>
      </c>
      <c r="B33" s="95">
        <v>0</v>
      </c>
      <c r="C33" s="95">
        <v>42000</v>
      </c>
      <c r="D33" s="95">
        <v>-42000</v>
      </c>
      <c r="E33" s="95">
        <v>0</v>
      </c>
      <c r="F33" s="95">
        <v>0</v>
      </c>
      <c r="G33" s="95">
        <v>0</v>
      </c>
    </row>
    <row r="34" spans="1:7" x14ac:dyDescent="0.2">
      <c r="A34" s="247" t="s">
        <v>1549</v>
      </c>
      <c r="B34" s="95">
        <v>0</v>
      </c>
      <c r="C34" s="95">
        <v>0</v>
      </c>
      <c r="D34" s="95">
        <v>100000</v>
      </c>
      <c r="E34" s="95">
        <v>-100000</v>
      </c>
      <c r="F34" s="95">
        <v>0</v>
      </c>
      <c r="G34" s="95">
        <v>0</v>
      </c>
    </row>
    <row r="35" spans="1:7" x14ac:dyDescent="0.2">
      <c r="A35" s="247" t="s">
        <v>1550</v>
      </c>
      <c r="B35" s="95">
        <v>0</v>
      </c>
      <c r="C35" s="95">
        <v>30490</v>
      </c>
      <c r="D35" s="95">
        <v>-11942</v>
      </c>
      <c r="E35" s="95">
        <v>-18548</v>
      </c>
      <c r="F35" s="95">
        <v>25000</v>
      </c>
      <c r="G35" s="95">
        <v>0</v>
      </c>
    </row>
    <row r="36" spans="1:7" x14ac:dyDescent="0.2">
      <c r="A36" s="247"/>
      <c r="B36" s="95"/>
      <c r="C36" s="95"/>
      <c r="D36" s="95"/>
      <c r="E36" s="95"/>
      <c r="F36" s="95"/>
      <c r="G36" s="95"/>
    </row>
    <row r="37" spans="1:7" x14ac:dyDescent="0.2">
      <c r="A37" s="247" t="s">
        <v>1577</v>
      </c>
      <c r="B37" s="95">
        <v>24555</v>
      </c>
      <c r="C37" s="95">
        <v>-3230</v>
      </c>
      <c r="D37" s="95">
        <v>-12803</v>
      </c>
      <c r="E37" s="95">
        <v>31765</v>
      </c>
      <c r="F37" s="95">
        <v>21719.120154990349</v>
      </c>
      <c r="G37" s="95">
        <v>-22041.268574014772</v>
      </c>
    </row>
    <row r="38" spans="1:7" x14ac:dyDescent="0.2">
      <c r="A38" s="248" t="s">
        <v>923</v>
      </c>
      <c r="B38" s="95"/>
      <c r="C38" s="95"/>
      <c r="D38" s="95"/>
      <c r="E38" s="95"/>
      <c r="F38" s="95"/>
      <c r="G38" s="221"/>
    </row>
    <row r="39" spans="1:7" ht="13.5" thickBot="1" x14ac:dyDescent="0.25">
      <c r="A39" s="249"/>
      <c r="B39" s="250"/>
      <c r="C39" s="123"/>
      <c r="D39" s="123"/>
      <c r="E39" s="123"/>
      <c r="F39" s="123"/>
      <c r="G39" s="233"/>
    </row>
    <row r="40" spans="1:7" ht="14.25" thickTop="1" thickBot="1" x14ac:dyDescent="0.25">
      <c r="A40" s="251" t="str">
        <f>"Closing Balance"&amp;CHAR(178)</f>
        <v>Closing Balance²</v>
      </c>
      <c r="B40" s="252">
        <f t="shared" ref="B40:G40" si="0">SUM(B15:B39)</f>
        <v>2208203.3544091564</v>
      </c>
      <c r="C40" s="125">
        <f t="shared" si="0"/>
        <v>2323119.1935391566</v>
      </c>
      <c r="D40" s="125">
        <f t="shared" si="0"/>
        <v>2532191.3335591564</v>
      </c>
      <c r="E40" s="125">
        <f t="shared" si="0"/>
        <v>2595121.3868391565</v>
      </c>
      <c r="F40" s="125">
        <f t="shared" si="0"/>
        <v>2904865.5962979114</v>
      </c>
      <c r="G40" s="226">
        <f t="shared" si="0"/>
        <v>2964765.8854466723</v>
      </c>
    </row>
    <row r="42" spans="1:7" x14ac:dyDescent="0.2">
      <c r="A42" s="635" t="s">
        <v>6</v>
      </c>
    </row>
    <row r="43" spans="1:7" x14ac:dyDescent="0.2">
      <c r="A43" s="631"/>
    </row>
    <row r="44" spans="1:7" x14ac:dyDescent="0.2">
      <c r="A44" s="196">
        <v>1</v>
      </c>
      <c r="B44" s="1623" t="s">
        <v>884</v>
      </c>
      <c r="C44" s="1623"/>
      <c r="D44" s="1623"/>
      <c r="E44" s="1623"/>
      <c r="F44" s="1623"/>
      <c r="G44" s="1623"/>
    </row>
    <row r="45" spans="1:7" ht="26.25" customHeight="1" x14ac:dyDescent="0.2">
      <c r="A45" s="632">
        <v>2</v>
      </c>
      <c r="B45" s="1623" t="s">
        <v>1087</v>
      </c>
      <c r="C45" s="1623"/>
      <c r="D45" s="1623"/>
      <c r="E45" s="1623"/>
      <c r="F45" s="1623"/>
      <c r="G45" s="1623"/>
    </row>
    <row r="46" spans="1:7" ht="12.75" customHeight="1" x14ac:dyDescent="0.2">
      <c r="A46" s="196">
        <v>3</v>
      </c>
      <c r="B46" s="1623" t="s">
        <v>1086</v>
      </c>
      <c r="C46" s="1623"/>
      <c r="D46" s="1623"/>
      <c r="E46" s="1623"/>
      <c r="F46" s="1623"/>
      <c r="G46" s="1623"/>
    </row>
    <row r="47" spans="1:7" x14ac:dyDescent="0.2">
      <c r="A47" s="196"/>
      <c r="B47" s="1623"/>
      <c r="C47" s="1623"/>
      <c r="D47" s="1623"/>
      <c r="E47" s="1623"/>
      <c r="F47" s="1623"/>
      <c r="G47" s="1623"/>
    </row>
    <row r="48" spans="1:7" ht="14.25" customHeight="1" x14ac:dyDescent="0.2">
      <c r="A48" s="196"/>
      <c r="B48" s="1623"/>
      <c r="C48" s="1623"/>
      <c r="D48" s="1623"/>
      <c r="E48" s="1623"/>
      <c r="F48" s="1623"/>
      <c r="G48" s="1623"/>
    </row>
    <row r="49" spans="2:6" ht="3.75" customHeight="1" x14ac:dyDescent="0.2">
      <c r="B49" s="1967"/>
      <c r="C49" s="1967"/>
      <c r="D49" s="1967"/>
      <c r="E49" s="1967"/>
      <c r="F49" s="1967"/>
    </row>
  </sheetData>
  <mergeCells count="6">
    <mergeCell ref="A10:F10"/>
    <mergeCell ref="A11:F11"/>
    <mergeCell ref="B49:F49"/>
    <mergeCell ref="B44:G44"/>
    <mergeCell ref="B45:G45"/>
    <mergeCell ref="B46:G48"/>
  </mergeCells>
  <phoneticPr fontId="16" type="noConversion"/>
  <dataValidations count="2">
    <dataValidation allowBlank="1" showInputMessage="1" showErrorMessage="1" promptTitle="Date Format" prompt="E.g:  &quot;August 1, 2011&quot;" sqref="G7" xr:uid="{00000000-0002-0000-1F00-000000000000}"/>
    <dataValidation type="list" allowBlank="1" showInputMessage="1" showErrorMessage="1" sqref="B14:G14" xr:uid="{00000000-0002-0000-1F00-000001000000}">
      <formula1>"CGAAP, MIFRS, USGAAP, ASPE"</formula1>
    </dataValidation>
  </dataValidations>
  <pageMargins left="0.75" right="0.75" top="1" bottom="1" header="0.5" footer="0.5"/>
  <pageSetup scale="71" orientation="landscape"/>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70">
    <tabColor theme="7" tint="0.39997558519241921"/>
    <pageSetUpPr fitToPage="1"/>
  </sheetPr>
  <dimension ref="A1:J67"/>
  <sheetViews>
    <sheetView showGridLines="0" zoomScaleNormal="100" workbookViewId="0"/>
  </sheetViews>
  <sheetFormatPr defaultColWidth="9.28515625" defaultRowHeight="12.75" x14ac:dyDescent="0.2"/>
  <cols>
    <col min="1" max="1" width="65.7109375" style="27" bestFit="1" customWidth="1"/>
    <col min="2" max="2" width="14.42578125" style="27" customWidth="1"/>
    <col min="3" max="3" width="14.28515625" style="27" customWidth="1"/>
    <col min="4" max="4" width="13.42578125" style="27" customWidth="1"/>
    <col min="5" max="7" width="12.7109375" style="27" customWidth="1"/>
    <col min="8" max="8" width="13.42578125" style="27" customWidth="1"/>
    <col min="9" max="9" width="16.5703125" style="27" customWidth="1"/>
    <col min="10" max="10" width="13.5703125" style="27" customWidth="1"/>
    <col min="11" max="16384" width="9.28515625" style="27"/>
  </cols>
  <sheetData>
    <row r="1" spans="1:10" x14ac:dyDescent="0.2">
      <c r="H1" s="39" t="s">
        <v>277</v>
      </c>
      <c r="I1" s="40" t="str">
        <f>EBNUMBER</f>
        <v>EB-2018-0056</v>
      </c>
    </row>
    <row r="2" spans="1:10" x14ac:dyDescent="0.2">
      <c r="H2" s="39" t="s">
        <v>278</v>
      </c>
      <c r="I2" s="41"/>
    </row>
    <row r="3" spans="1:10" x14ac:dyDescent="0.2">
      <c r="H3" s="39" t="s">
        <v>279</v>
      </c>
      <c r="I3" s="41"/>
    </row>
    <row r="4" spans="1:10" x14ac:dyDescent="0.2">
      <c r="H4" s="39" t="s">
        <v>280</v>
      </c>
      <c r="I4" s="41"/>
    </row>
    <row r="5" spans="1:10" x14ac:dyDescent="0.2">
      <c r="H5" s="39" t="s">
        <v>281</v>
      </c>
      <c r="I5" s="42"/>
    </row>
    <row r="6" spans="1:10" x14ac:dyDescent="0.2">
      <c r="H6" s="39"/>
      <c r="I6" s="40"/>
    </row>
    <row r="7" spans="1:10" x14ac:dyDescent="0.2">
      <c r="H7" s="39" t="s">
        <v>282</v>
      </c>
      <c r="I7" s="42"/>
    </row>
    <row r="9" spans="1:10" ht="18" x14ac:dyDescent="0.25">
      <c r="A9" s="1968" t="s">
        <v>569</v>
      </c>
      <c r="B9" s="1968"/>
      <c r="C9" s="1968"/>
      <c r="D9" s="1968"/>
      <c r="E9" s="1968"/>
      <c r="F9" s="1968"/>
      <c r="G9" s="1968"/>
      <c r="H9" s="1968"/>
      <c r="I9" s="43"/>
    </row>
    <row r="10" spans="1:10" ht="18" x14ac:dyDescent="0.25">
      <c r="A10" s="1968" t="s">
        <v>690</v>
      </c>
      <c r="B10" s="1968"/>
      <c r="C10" s="1968"/>
      <c r="D10" s="1968"/>
      <c r="E10" s="1968"/>
      <c r="F10" s="1968"/>
      <c r="G10" s="1968"/>
      <c r="H10" s="1968"/>
      <c r="I10" s="43"/>
    </row>
    <row r="12" spans="1:10" ht="13.5" thickBot="1" x14ac:dyDescent="0.25">
      <c r="A12" s="1620"/>
      <c r="B12" s="1620"/>
      <c r="C12" s="1620"/>
      <c r="D12" s="1620"/>
      <c r="E12" s="1620"/>
      <c r="F12" s="1620"/>
      <c r="G12" s="1620"/>
      <c r="H12" s="1620"/>
    </row>
    <row r="13" spans="1:10" ht="63" customHeight="1" thickBot="1" x14ac:dyDescent="0.25">
      <c r="A13" s="44" t="s">
        <v>691</v>
      </c>
      <c r="B13" s="237" t="str">
        <f>"Last Rebasing Year (" &amp; RebaseYear &amp; " Board-Approved)"</f>
        <v>Last Rebasing Year (2014 Board-Approved)</v>
      </c>
      <c r="C13" s="237" t="str">
        <f>"Last Rebasing Year (" &amp; RebaseYear &amp; " Actuals)"</f>
        <v>Last Rebasing Year (2014 Actuals)</v>
      </c>
      <c r="D13" s="237" t="str">
        <f>BridgeYear-3&amp;" Actuals"</f>
        <v>2015 Actuals</v>
      </c>
      <c r="E13" s="237" t="str">
        <f>BridgeYear -2 &amp; " Actuals"</f>
        <v>2016 Actuals</v>
      </c>
      <c r="F13" s="237" t="str">
        <f>BridgeYear -1 &amp; " Actuals"</f>
        <v>2017 Actuals</v>
      </c>
      <c r="G13" s="237" t="str">
        <f>BridgeYear &amp; " Bridge Year"</f>
        <v>2018 Bridge Year</v>
      </c>
      <c r="H13" s="238" t="str">
        <f>TestYear &amp; " Test Year"</f>
        <v>2019 Test Year</v>
      </c>
      <c r="I13" s="238" t="str">
        <f>"Variance 
(Test Year vs. " &amp; F13 &amp;")"</f>
        <v>Variance 
(Test Year vs. 2017 Actuals)</v>
      </c>
      <c r="J13" s="238" t="str">
        <f>"Variance 
(Test Year vs. " &amp; B13</f>
        <v>Variance 
(Test Year vs. Last Rebasing Year (2014 Board-Approved)</v>
      </c>
    </row>
    <row r="14" spans="1:10" ht="13.5" thickBot="1" x14ac:dyDescent="0.25">
      <c r="A14" s="239" t="s">
        <v>93</v>
      </c>
      <c r="B14" s="240"/>
      <c r="C14" s="240"/>
      <c r="D14" s="240"/>
      <c r="E14" s="240"/>
      <c r="F14" s="240"/>
      <c r="G14" s="240"/>
      <c r="H14" s="240"/>
      <c r="I14" s="240"/>
      <c r="J14" s="240"/>
    </row>
    <row r="15" spans="1:10" x14ac:dyDescent="0.2">
      <c r="A15" s="48" t="s">
        <v>1602</v>
      </c>
      <c r="B15" s="54"/>
      <c r="C15" s="49"/>
      <c r="D15" s="49"/>
      <c r="E15" s="49"/>
      <c r="F15" s="49"/>
      <c r="G15" s="49"/>
      <c r="H15" s="49"/>
      <c r="I15" s="49"/>
      <c r="J15" s="49"/>
    </row>
    <row r="16" spans="1:10" x14ac:dyDescent="0.2">
      <c r="A16" s="1464" t="s">
        <v>1552</v>
      </c>
      <c r="B16" s="52">
        <v>516259.55082691566</v>
      </c>
      <c r="C16" s="52">
        <v>507767.05</v>
      </c>
      <c r="D16" s="52">
        <v>573431.58000000007</v>
      </c>
      <c r="E16" s="52">
        <v>482433.77</v>
      </c>
      <c r="F16" s="52">
        <v>555365.16</v>
      </c>
      <c r="G16" s="52">
        <v>579617.22904608655</v>
      </c>
      <c r="H16" s="52">
        <v>612867.38046056859</v>
      </c>
      <c r="I16" s="253">
        <f t="shared" ref="I16:I50" si="0">H16-F16</f>
        <v>57502.220460568555</v>
      </c>
      <c r="J16" s="253">
        <f t="shared" ref="J16:J18" si="1">H16-B16</f>
        <v>96607.829633652931</v>
      </c>
    </row>
    <row r="17" spans="1:10" x14ac:dyDescent="0.2">
      <c r="A17" s="1464" t="s">
        <v>1553</v>
      </c>
      <c r="B17" s="52">
        <v>18000</v>
      </c>
      <c r="C17" s="52">
        <v>51788.81</v>
      </c>
      <c r="D17" s="52">
        <v>27718.1</v>
      </c>
      <c r="E17" s="52">
        <v>64753.88</v>
      </c>
      <c r="F17" s="52">
        <v>17788.759999999998</v>
      </c>
      <c r="G17" s="52">
        <v>18000</v>
      </c>
      <c r="H17" s="52">
        <v>20000.04</v>
      </c>
      <c r="I17" s="253">
        <f t="shared" si="0"/>
        <v>2211.2800000000025</v>
      </c>
      <c r="J17" s="253">
        <f t="shared" si="1"/>
        <v>2000.0400000000009</v>
      </c>
    </row>
    <row r="18" spans="1:10" x14ac:dyDescent="0.2">
      <c r="A18" s="1464" t="s">
        <v>1554</v>
      </c>
      <c r="B18" s="52">
        <v>0</v>
      </c>
      <c r="C18" s="52">
        <v>0</v>
      </c>
      <c r="D18" s="52">
        <v>0</v>
      </c>
      <c r="E18" s="52">
        <v>0</v>
      </c>
      <c r="F18" s="52">
        <v>0</v>
      </c>
      <c r="G18" s="52">
        <v>0</v>
      </c>
      <c r="H18" s="52">
        <v>0</v>
      </c>
      <c r="I18" s="253">
        <f t="shared" si="0"/>
        <v>0</v>
      </c>
      <c r="J18" s="253">
        <f t="shared" si="1"/>
        <v>0</v>
      </c>
    </row>
    <row r="19" spans="1:10" x14ac:dyDescent="0.2">
      <c r="A19" s="53" t="s">
        <v>180</v>
      </c>
      <c r="B19" s="54">
        <f>SUM(B16:B18)</f>
        <v>534259.55082691566</v>
      </c>
      <c r="C19" s="54">
        <f t="shared" ref="C19:J19" si="2">SUM(C16:C18)</f>
        <v>559555.86</v>
      </c>
      <c r="D19" s="54">
        <f t="shared" si="2"/>
        <v>601149.68000000005</v>
      </c>
      <c r="E19" s="54">
        <f t="shared" si="2"/>
        <v>547187.65</v>
      </c>
      <c r="F19" s="54">
        <f t="shared" si="2"/>
        <v>573153.92000000004</v>
      </c>
      <c r="G19" s="54">
        <f t="shared" si="2"/>
        <v>597617.22904608655</v>
      </c>
      <c r="H19" s="54">
        <f t="shared" si="2"/>
        <v>632867.42046056862</v>
      </c>
      <c r="I19" s="54">
        <f t="shared" si="2"/>
        <v>59713.500460568554</v>
      </c>
      <c r="J19" s="54">
        <f t="shared" si="2"/>
        <v>98607.869633652939</v>
      </c>
    </row>
    <row r="20" spans="1:10" x14ac:dyDescent="0.2">
      <c r="A20" s="55" t="s">
        <v>102</v>
      </c>
      <c r="B20" s="54"/>
      <c r="C20" s="49"/>
      <c r="D20" s="49"/>
      <c r="E20" s="49"/>
      <c r="F20" s="49"/>
      <c r="G20" s="49"/>
      <c r="H20" s="49"/>
      <c r="I20" s="253"/>
      <c r="J20" s="253"/>
    </row>
    <row r="21" spans="1:10" x14ac:dyDescent="0.2">
      <c r="A21" s="1464" t="s">
        <v>1555</v>
      </c>
      <c r="B21" s="52">
        <v>114036.8526592674</v>
      </c>
      <c r="C21" s="52">
        <v>141357.12</v>
      </c>
      <c r="D21" s="52">
        <v>165091.70000000001</v>
      </c>
      <c r="E21" s="52">
        <v>147767.63</v>
      </c>
      <c r="F21" s="52">
        <v>133371.66999999998</v>
      </c>
      <c r="G21" s="52">
        <v>127014.45794708256</v>
      </c>
      <c r="H21" s="52">
        <v>131198.3633344089</v>
      </c>
      <c r="I21" s="253">
        <f>H21-F21</f>
        <v>-2173.3066655910807</v>
      </c>
      <c r="J21" s="253">
        <f>H21-B21</f>
        <v>17161.510675141501</v>
      </c>
    </row>
    <row r="22" spans="1:10" x14ac:dyDescent="0.2">
      <c r="A22" s="1464" t="s">
        <v>1556</v>
      </c>
      <c r="B22" s="52">
        <v>48552.899451256031</v>
      </c>
      <c r="C22" s="52">
        <v>37319.31</v>
      </c>
      <c r="D22" s="52">
        <v>52839.600000000006</v>
      </c>
      <c r="E22" s="52">
        <v>64984.4</v>
      </c>
      <c r="F22" s="52">
        <v>38961.839999999997</v>
      </c>
      <c r="G22" s="52">
        <v>62332.475939163021</v>
      </c>
      <c r="H22" s="52">
        <v>33641.563441225859</v>
      </c>
      <c r="I22" s="253">
        <f t="shared" si="0"/>
        <v>-5320.2765587741378</v>
      </c>
      <c r="J22" s="253">
        <f t="shared" ref="J22:J25" si="3">H22-B22</f>
        <v>-14911.336010030172</v>
      </c>
    </row>
    <row r="23" spans="1:10" x14ac:dyDescent="0.2">
      <c r="A23" s="1464" t="s">
        <v>1557</v>
      </c>
      <c r="B23" s="52">
        <v>115386.22566092727</v>
      </c>
      <c r="C23" s="52">
        <v>48784.89</v>
      </c>
      <c r="D23" s="52">
        <v>68932.900000000009</v>
      </c>
      <c r="E23" s="52">
        <v>69501.490000000005</v>
      </c>
      <c r="F23" s="52">
        <v>78929.7</v>
      </c>
      <c r="G23" s="52">
        <v>95956.891565030601</v>
      </c>
      <c r="H23" s="52">
        <v>98565.560004568484</v>
      </c>
      <c r="I23" s="253">
        <f t="shared" si="0"/>
        <v>19635.860004568487</v>
      </c>
      <c r="J23" s="253">
        <f t="shared" si="3"/>
        <v>-16820.665656358789</v>
      </c>
    </row>
    <row r="24" spans="1:10" x14ac:dyDescent="0.2">
      <c r="A24" s="1464" t="s">
        <v>1558</v>
      </c>
      <c r="B24" s="52">
        <v>110908.09479547528</v>
      </c>
      <c r="C24" s="52">
        <v>94950.180000000008</v>
      </c>
      <c r="D24" s="52">
        <v>113901.98</v>
      </c>
      <c r="E24" s="52">
        <v>166422.46</v>
      </c>
      <c r="F24" s="52">
        <v>145614.44</v>
      </c>
      <c r="G24" s="52">
        <v>148071.66204221934</v>
      </c>
      <c r="H24" s="52">
        <v>164598.35776422138</v>
      </c>
      <c r="I24" s="253">
        <f t="shared" si="0"/>
        <v>18983.917764221376</v>
      </c>
      <c r="J24" s="253">
        <f t="shared" si="3"/>
        <v>53690.262968746101</v>
      </c>
    </row>
    <row r="25" spans="1:10" x14ac:dyDescent="0.2">
      <c r="A25" s="1464" t="s">
        <v>1559</v>
      </c>
      <c r="B25" s="52">
        <v>0</v>
      </c>
      <c r="C25" s="52">
        <v>0</v>
      </c>
      <c r="D25" s="52">
        <v>0</v>
      </c>
      <c r="E25" s="52">
        <v>0</v>
      </c>
      <c r="F25" s="52">
        <v>0</v>
      </c>
      <c r="G25" s="52">
        <v>0</v>
      </c>
      <c r="H25" s="52">
        <v>0</v>
      </c>
      <c r="I25" s="253">
        <f t="shared" si="0"/>
        <v>0</v>
      </c>
      <c r="J25" s="253">
        <f t="shared" si="3"/>
        <v>0</v>
      </c>
    </row>
    <row r="26" spans="1:10" x14ac:dyDescent="0.2">
      <c r="A26" s="1464" t="s">
        <v>1560</v>
      </c>
      <c r="B26" s="52">
        <v>141643.42946746523</v>
      </c>
      <c r="C26" s="52">
        <v>154412.49</v>
      </c>
      <c r="D26" s="52">
        <v>151554.63</v>
      </c>
      <c r="E26" s="52">
        <v>183886.88</v>
      </c>
      <c r="F26" s="52">
        <v>259156.36000000002</v>
      </c>
      <c r="G26" s="52">
        <v>337314.15207057178</v>
      </c>
      <c r="H26" s="52">
        <v>328887.92069629114</v>
      </c>
      <c r="I26" s="253">
        <f t="shared" ref="I26:I34" si="4">H26-F26</f>
        <v>69731.560696291126</v>
      </c>
      <c r="J26" s="253">
        <f t="shared" ref="J26:J34" si="5">H26-B26</f>
        <v>187244.49122882591</v>
      </c>
    </row>
    <row r="27" spans="1:10" x14ac:dyDescent="0.2">
      <c r="A27" s="1464" t="s">
        <v>1561</v>
      </c>
      <c r="B27" s="52">
        <v>89480.492528635223</v>
      </c>
      <c r="C27" s="52">
        <v>63453.55</v>
      </c>
      <c r="D27" s="52">
        <v>117548.45000000001</v>
      </c>
      <c r="E27" s="52">
        <v>94946.42</v>
      </c>
      <c r="F27" s="52">
        <v>91333.58</v>
      </c>
      <c r="G27" s="52">
        <v>79189.025006965239</v>
      </c>
      <c r="H27" s="52">
        <v>81202.901507310715</v>
      </c>
      <c r="I27" s="253">
        <f t="shared" si="4"/>
        <v>-10130.678492689287</v>
      </c>
      <c r="J27" s="253">
        <f t="shared" si="5"/>
        <v>-8277.5910213245079</v>
      </c>
    </row>
    <row r="28" spans="1:10" x14ac:dyDescent="0.2">
      <c r="A28" s="1464" t="s">
        <v>1562</v>
      </c>
      <c r="B28" s="52">
        <v>33366.773546590455</v>
      </c>
      <c r="C28" s="52">
        <v>48372.83</v>
      </c>
      <c r="D28" s="52">
        <v>42832.79</v>
      </c>
      <c r="E28" s="52">
        <v>40598.54</v>
      </c>
      <c r="F28" s="52">
        <v>41093.230000000003</v>
      </c>
      <c r="G28" s="52">
        <v>50829.06047669219</v>
      </c>
      <c r="H28" s="52">
        <v>51313.470603710084</v>
      </c>
      <c r="I28" s="253">
        <f t="shared" si="4"/>
        <v>10220.240603710081</v>
      </c>
      <c r="J28" s="253">
        <f t="shared" si="5"/>
        <v>17946.697057119629</v>
      </c>
    </row>
    <row r="29" spans="1:10" x14ac:dyDescent="0.2">
      <c r="A29" s="1464" t="s">
        <v>1563</v>
      </c>
      <c r="B29" s="52">
        <v>119013.47157910414</v>
      </c>
      <c r="C29" s="52">
        <v>111222.46</v>
      </c>
      <c r="D29" s="52">
        <v>113148.12</v>
      </c>
      <c r="E29" s="52">
        <v>152109.51999999999</v>
      </c>
      <c r="F29" s="52">
        <v>135409.96</v>
      </c>
      <c r="G29" s="52">
        <v>67286.923279335548</v>
      </c>
      <c r="H29" s="52">
        <v>73350.388374750459</v>
      </c>
      <c r="I29" s="253">
        <f t="shared" si="4"/>
        <v>-62059.571625249533</v>
      </c>
      <c r="J29" s="253">
        <f t="shared" si="5"/>
        <v>-45663.083204353679</v>
      </c>
    </row>
    <row r="30" spans="1:10" x14ac:dyDescent="0.2">
      <c r="A30" s="1464" t="s">
        <v>1564</v>
      </c>
      <c r="B30" s="52">
        <v>43238.53431149177</v>
      </c>
      <c r="C30" s="52">
        <v>60022.520000000004</v>
      </c>
      <c r="D30" s="52">
        <v>26607.99</v>
      </c>
      <c r="E30" s="52">
        <v>44823.62</v>
      </c>
      <c r="F30" s="52">
        <v>40319.89</v>
      </c>
      <c r="G30" s="52">
        <v>31814.027095697122</v>
      </c>
      <c r="H30" s="52">
        <v>33026.277426663321</v>
      </c>
      <c r="I30" s="253">
        <f t="shared" si="4"/>
        <v>-7293.6125733366789</v>
      </c>
      <c r="J30" s="253">
        <f t="shared" si="5"/>
        <v>-10212.25688482845</v>
      </c>
    </row>
    <row r="31" spans="1:10" x14ac:dyDescent="0.2">
      <c r="A31" s="1464" t="s">
        <v>1545</v>
      </c>
      <c r="B31" s="52">
        <v>65406.848454548424</v>
      </c>
      <c r="C31" s="52">
        <v>45225.1</v>
      </c>
      <c r="D31" s="52">
        <v>68691.25</v>
      </c>
      <c r="E31" s="52">
        <v>66939.31</v>
      </c>
      <c r="F31" s="52">
        <v>27851.26</v>
      </c>
      <c r="G31" s="52">
        <v>75745.115081286465</v>
      </c>
      <c r="H31" s="52">
        <v>76237.622814579096</v>
      </c>
      <c r="I31" s="253">
        <f t="shared" si="4"/>
        <v>48386.362814579101</v>
      </c>
      <c r="J31" s="253">
        <f t="shared" si="5"/>
        <v>10830.774360030671</v>
      </c>
    </row>
    <row r="32" spans="1:10" x14ac:dyDescent="0.2">
      <c r="A32" s="1464" t="s">
        <v>1565</v>
      </c>
      <c r="B32" s="52">
        <v>0</v>
      </c>
      <c r="C32" s="52">
        <v>0</v>
      </c>
      <c r="D32" s="52">
        <v>0</v>
      </c>
      <c r="E32" s="52">
        <v>0</v>
      </c>
      <c r="F32" s="52">
        <v>0</v>
      </c>
      <c r="G32" s="52">
        <v>0</v>
      </c>
      <c r="H32" s="52">
        <v>0</v>
      </c>
      <c r="I32" s="253">
        <f t="shared" si="4"/>
        <v>0</v>
      </c>
      <c r="J32" s="253">
        <f t="shared" si="5"/>
        <v>0</v>
      </c>
    </row>
    <row r="33" spans="1:10" x14ac:dyDescent="0.2">
      <c r="A33" s="1464" t="s">
        <v>1566</v>
      </c>
      <c r="B33" s="52">
        <v>67143.313053382735</v>
      </c>
      <c r="C33" s="52">
        <v>98538.01</v>
      </c>
      <c r="D33" s="52">
        <v>78968.489999999991</v>
      </c>
      <c r="E33" s="52">
        <v>98587.799999999988</v>
      </c>
      <c r="F33" s="52">
        <v>96561.93</v>
      </c>
      <c r="G33" s="52">
        <v>76933.666785944399</v>
      </c>
      <c r="H33" s="52">
        <v>89378.032995623988</v>
      </c>
      <c r="I33" s="253">
        <f t="shared" si="4"/>
        <v>-7183.8970043760055</v>
      </c>
      <c r="J33" s="253">
        <f t="shared" si="5"/>
        <v>22234.719942241252</v>
      </c>
    </row>
    <row r="34" spans="1:10" x14ac:dyDescent="0.2">
      <c r="A34" s="1464" t="s">
        <v>1567</v>
      </c>
      <c r="B34" s="52">
        <v>0</v>
      </c>
      <c r="C34" s="52">
        <v>0</v>
      </c>
      <c r="D34" s="52">
        <v>0</v>
      </c>
      <c r="E34" s="52">
        <v>0</v>
      </c>
      <c r="F34" s="52">
        <v>0</v>
      </c>
      <c r="G34" s="52">
        <v>0</v>
      </c>
      <c r="H34" s="52">
        <v>0</v>
      </c>
      <c r="I34" s="253">
        <f t="shared" si="4"/>
        <v>0</v>
      </c>
      <c r="J34" s="253">
        <f t="shared" si="5"/>
        <v>0</v>
      </c>
    </row>
    <row r="35" spans="1:10" x14ac:dyDescent="0.2">
      <c r="A35" s="53" t="s">
        <v>180</v>
      </c>
      <c r="B35" s="54">
        <f>SUM(B21:B34)</f>
        <v>948176.93550814386</v>
      </c>
      <c r="C35" s="54">
        <f t="shared" ref="C35:J35" si="6">SUM(C21:C34)</f>
        <v>903658.46</v>
      </c>
      <c r="D35" s="54">
        <f t="shared" si="6"/>
        <v>1000117.9</v>
      </c>
      <c r="E35" s="54">
        <f t="shared" si="6"/>
        <v>1130568.07</v>
      </c>
      <c r="F35" s="54">
        <f t="shared" si="6"/>
        <v>1088603.8599999999</v>
      </c>
      <c r="G35" s="54">
        <f t="shared" si="6"/>
        <v>1152487.4572899884</v>
      </c>
      <c r="H35" s="54">
        <f t="shared" si="6"/>
        <v>1161400.4589633534</v>
      </c>
      <c r="I35" s="54">
        <f t="shared" si="6"/>
        <v>72796.598963353448</v>
      </c>
      <c r="J35" s="54">
        <f t="shared" si="6"/>
        <v>213223.52345520945</v>
      </c>
    </row>
    <row r="36" spans="1:10" x14ac:dyDescent="0.2">
      <c r="A36" s="55" t="s">
        <v>150</v>
      </c>
      <c r="B36" s="54"/>
      <c r="C36" s="49"/>
      <c r="D36" s="49"/>
      <c r="E36" s="49"/>
      <c r="F36" s="49"/>
      <c r="G36" s="49"/>
      <c r="H36" s="49"/>
      <c r="I36" s="253"/>
      <c r="J36" s="253"/>
    </row>
    <row r="37" spans="1:10" x14ac:dyDescent="0.2">
      <c r="A37" s="1464" t="s">
        <v>1551</v>
      </c>
      <c r="B37" s="52">
        <v>17800</v>
      </c>
      <c r="C37" s="52">
        <v>578</v>
      </c>
      <c r="D37" s="52">
        <v>757.65</v>
      </c>
      <c r="E37" s="52">
        <v>9700</v>
      </c>
      <c r="F37" s="52">
        <v>4161.21</v>
      </c>
      <c r="G37" s="52">
        <v>12765.056584028665</v>
      </c>
      <c r="H37" s="52">
        <v>11484.753561720259</v>
      </c>
      <c r="I37" s="253">
        <f t="shared" ref="I37:I46" si="7">H37-F37</f>
        <v>7323.5435617202593</v>
      </c>
      <c r="J37" s="253">
        <f t="shared" ref="J37:J46" si="8">H37-B37</f>
        <v>-6315.2464382797407</v>
      </c>
    </row>
    <row r="38" spans="1:10" x14ac:dyDescent="0.2">
      <c r="A38" s="1464" t="s">
        <v>1568</v>
      </c>
      <c r="B38" s="52">
        <v>0</v>
      </c>
      <c r="C38" s="52">
        <v>0</v>
      </c>
      <c r="D38" s="52">
        <v>0</v>
      </c>
      <c r="E38" s="52">
        <v>0</v>
      </c>
      <c r="F38" s="52">
        <v>0</v>
      </c>
      <c r="G38" s="52">
        <v>0</v>
      </c>
      <c r="H38" s="52">
        <v>0</v>
      </c>
      <c r="I38" s="253">
        <f t="shared" si="7"/>
        <v>0</v>
      </c>
      <c r="J38" s="253">
        <f t="shared" si="8"/>
        <v>0</v>
      </c>
    </row>
    <row r="39" spans="1:10" x14ac:dyDescent="0.2">
      <c r="A39" s="1464" t="s">
        <v>1569</v>
      </c>
      <c r="B39" s="52">
        <v>413879.71172044985</v>
      </c>
      <c r="C39" s="52">
        <v>487200.74</v>
      </c>
      <c r="D39" s="52">
        <v>408252.44999999995</v>
      </c>
      <c r="E39" s="52">
        <v>510151.3</v>
      </c>
      <c r="F39" s="52">
        <v>548373.47</v>
      </c>
      <c r="G39" s="52">
        <v>742608.60024477867</v>
      </c>
      <c r="H39" s="52">
        <v>709984.66462360346</v>
      </c>
      <c r="I39" s="253">
        <f t="shared" si="7"/>
        <v>161611.19462360349</v>
      </c>
      <c r="J39" s="253">
        <f t="shared" si="8"/>
        <v>296104.95290315361</v>
      </c>
    </row>
    <row r="40" spans="1:10" x14ac:dyDescent="0.2">
      <c r="A40" s="1464" t="s">
        <v>1570</v>
      </c>
      <c r="B40" s="52">
        <v>24494</v>
      </c>
      <c r="C40" s="52">
        <v>17314.48</v>
      </c>
      <c r="D40" s="52">
        <v>11945</v>
      </c>
      <c r="E40" s="52">
        <v>41016.58</v>
      </c>
      <c r="F40" s="52">
        <v>26914.05</v>
      </c>
      <c r="G40" s="52">
        <v>51882.34</v>
      </c>
      <c r="H40" s="52">
        <v>53453.039999999986</v>
      </c>
      <c r="I40" s="253">
        <f t="shared" si="7"/>
        <v>26538.989999999987</v>
      </c>
      <c r="J40" s="253">
        <f t="shared" si="8"/>
        <v>28959.039999999986</v>
      </c>
    </row>
    <row r="41" spans="1:10" x14ac:dyDescent="0.2">
      <c r="A41" s="1464" t="s">
        <v>1571</v>
      </c>
      <c r="B41" s="52">
        <v>0</v>
      </c>
      <c r="C41" s="52">
        <v>0</v>
      </c>
      <c r="D41" s="52">
        <v>0</v>
      </c>
      <c r="E41" s="52">
        <v>0</v>
      </c>
      <c r="F41" s="52">
        <v>0</v>
      </c>
      <c r="G41" s="52">
        <v>0</v>
      </c>
      <c r="H41" s="52">
        <v>0</v>
      </c>
      <c r="I41" s="253">
        <f t="shared" si="7"/>
        <v>0</v>
      </c>
      <c r="J41" s="253">
        <f t="shared" si="8"/>
        <v>0</v>
      </c>
    </row>
    <row r="42" spans="1:10" x14ac:dyDescent="0.2">
      <c r="A42" s="1464" t="s">
        <v>1572</v>
      </c>
      <c r="B42" s="52">
        <v>31750.000000000004</v>
      </c>
      <c r="C42" s="52">
        <v>33904.49</v>
      </c>
      <c r="D42" s="52">
        <v>28191.14</v>
      </c>
      <c r="E42" s="52">
        <v>24947.75</v>
      </c>
      <c r="F42" s="52">
        <v>25362.04</v>
      </c>
      <c r="G42" s="52">
        <v>26660.1</v>
      </c>
      <c r="H42" s="52">
        <v>27182.640000000003</v>
      </c>
      <c r="I42" s="253">
        <f t="shared" si="7"/>
        <v>1820.6000000000022</v>
      </c>
      <c r="J42" s="253">
        <f t="shared" si="8"/>
        <v>-4567.3600000000006</v>
      </c>
    </row>
    <row r="43" spans="1:10" x14ac:dyDescent="0.2">
      <c r="A43" s="1464" t="s">
        <v>1573</v>
      </c>
      <c r="B43" s="52">
        <v>146242.15635364718</v>
      </c>
      <c r="C43" s="52">
        <v>144969.75</v>
      </c>
      <c r="D43" s="52">
        <v>151622.49</v>
      </c>
      <c r="E43" s="52">
        <v>162161.54</v>
      </c>
      <c r="F43" s="52">
        <v>202528.91</v>
      </c>
      <c r="G43" s="52">
        <v>213596.89017967295</v>
      </c>
      <c r="H43" s="52">
        <v>213514.76419470581</v>
      </c>
      <c r="I43" s="253">
        <f t="shared" si="7"/>
        <v>10985.854194705811</v>
      </c>
      <c r="J43" s="253">
        <f t="shared" si="8"/>
        <v>67272.607841058634</v>
      </c>
    </row>
    <row r="44" spans="1:10" x14ac:dyDescent="0.2">
      <c r="A44" s="1464" t="s">
        <v>1574</v>
      </c>
      <c r="B44" s="52">
        <v>0</v>
      </c>
      <c r="C44" s="52">
        <v>0</v>
      </c>
      <c r="D44" s="52">
        <v>0</v>
      </c>
      <c r="E44" s="52">
        <v>0</v>
      </c>
      <c r="F44" s="52">
        <v>0</v>
      </c>
      <c r="G44" s="52">
        <v>0</v>
      </c>
      <c r="H44" s="52">
        <v>0</v>
      </c>
      <c r="I44" s="253">
        <f t="shared" si="7"/>
        <v>0</v>
      </c>
      <c r="J44" s="253">
        <f t="shared" si="8"/>
        <v>0</v>
      </c>
    </row>
    <row r="45" spans="1:10" x14ac:dyDescent="0.2">
      <c r="A45" s="1464" t="s">
        <v>1575</v>
      </c>
      <c r="B45" s="52">
        <v>0</v>
      </c>
      <c r="C45" s="52">
        <v>0</v>
      </c>
      <c r="D45" s="52">
        <v>0</v>
      </c>
      <c r="E45" s="52">
        <v>0</v>
      </c>
      <c r="F45" s="52">
        <v>0</v>
      </c>
      <c r="G45" s="52">
        <v>0</v>
      </c>
      <c r="H45" s="52">
        <v>0</v>
      </c>
      <c r="I45" s="253">
        <f t="shared" si="7"/>
        <v>0</v>
      </c>
      <c r="J45" s="253">
        <f t="shared" si="8"/>
        <v>0</v>
      </c>
    </row>
    <row r="46" spans="1:10" x14ac:dyDescent="0.2">
      <c r="A46" s="1464" t="s">
        <v>1576</v>
      </c>
      <c r="B46" s="52">
        <v>0</v>
      </c>
      <c r="C46" s="52">
        <v>0</v>
      </c>
      <c r="D46" s="52">
        <v>0</v>
      </c>
      <c r="E46" s="52">
        <v>0</v>
      </c>
      <c r="F46" s="52">
        <v>0</v>
      </c>
      <c r="G46" s="52">
        <v>0</v>
      </c>
      <c r="H46" s="52">
        <v>0</v>
      </c>
      <c r="I46" s="253">
        <f t="shared" si="7"/>
        <v>0</v>
      </c>
      <c r="J46" s="253">
        <f t="shared" si="8"/>
        <v>0</v>
      </c>
    </row>
    <row r="47" spans="1:10" x14ac:dyDescent="0.2">
      <c r="A47" s="1464" t="s">
        <v>1578</v>
      </c>
      <c r="B47" s="52">
        <v>53000</v>
      </c>
      <c r="C47" s="52">
        <v>32347.66</v>
      </c>
      <c r="D47" s="52">
        <v>46540.19</v>
      </c>
      <c r="E47" s="52">
        <v>38202.080000000002</v>
      </c>
      <c r="F47" s="52">
        <v>46760.52</v>
      </c>
      <c r="G47" s="52">
        <v>37682.076114199997</v>
      </c>
      <c r="H47" s="52">
        <v>82150.631698969926</v>
      </c>
      <c r="I47" s="253">
        <f t="shared" si="0"/>
        <v>35390.111698969929</v>
      </c>
      <c r="J47" s="253">
        <f t="shared" ref="J47:J50" si="9">H47-B47</f>
        <v>29150.631698969926</v>
      </c>
    </row>
    <row r="48" spans="1:10" x14ac:dyDescent="0.2">
      <c r="A48" s="1464" t="s">
        <v>1579</v>
      </c>
      <c r="B48" s="52">
        <v>0</v>
      </c>
      <c r="C48" s="52">
        <v>0</v>
      </c>
      <c r="D48" s="52">
        <v>0</v>
      </c>
      <c r="E48" s="52">
        <v>0</v>
      </c>
      <c r="F48" s="52">
        <v>0</v>
      </c>
      <c r="G48" s="52">
        <v>0</v>
      </c>
      <c r="H48" s="52">
        <v>0</v>
      </c>
      <c r="I48" s="253">
        <f t="shared" si="0"/>
        <v>0</v>
      </c>
      <c r="J48" s="253">
        <f t="shared" si="9"/>
        <v>0</v>
      </c>
    </row>
    <row r="49" spans="1:10" x14ac:dyDescent="0.2">
      <c r="A49" s="1464" t="s">
        <v>1580</v>
      </c>
      <c r="B49" s="52">
        <v>0</v>
      </c>
      <c r="C49" s="52">
        <v>0</v>
      </c>
      <c r="D49" s="52">
        <v>0</v>
      </c>
      <c r="E49" s="52">
        <v>0</v>
      </c>
      <c r="F49" s="52">
        <v>0</v>
      </c>
      <c r="G49" s="52">
        <v>0</v>
      </c>
      <c r="H49" s="52">
        <v>0</v>
      </c>
      <c r="I49" s="253">
        <f t="shared" si="0"/>
        <v>0</v>
      </c>
      <c r="J49" s="253">
        <f t="shared" si="9"/>
        <v>0</v>
      </c>
    </row>
    <row r="50" spans="1:10" x14ac:dyDescent="0.2">
      <c r="A50" s="1464" t="s">
        <v>1581</v>
      </c>
      <c r="B50" s="52">
        <v>0</v>
      </c>
      <c r="C50" s="52">
        <v>0</v>
      </c>
      <c r="D50" s="52">
        <v>0</v>
      </c>
      <c r="E50" s="52">
        <v>0</v>
      </c>
      <c r="F50" s="52">
        <v>0</v>
      </c>
      <c r="G50" s="52">
        <v>0</v>
      </c>
      <c r="H50" s="52">
        <v>0</v>
      </c>
      <c r="I50" s="253">
        <f t="shared" si="0"/>
        <v>0</v>
      </c>
      <c r="J50" s="253">
        <f t="shared" si="9"/>
        <v>0</v>
      </c>
    </row>
    <row r="51" spans="1:10" x14ac:dyDescent="0.2">
      <c r="A51" s="1464" t="s">
        <v>1582</v>
      </c>
      <c r="B51" s="52">
        <v>5300</v>
      </c>
      <c r="C51" s="52">
        <v>5061.21</v>
      </c>
      <c r="D51" s="52">
        <v>5314.74</v>
      </c>
      <c r="E51" s="52">
        <v>5127.18</v>
      </c>
      <c r="F51" s="52">
        <v>5194</v>
      </c>
      <c r="G51" s="52">
        <v>5202</v>
      </c>
      <c r="H51" s="52">
        <v>5264.3999999999987</v>
      </c>
      <c r="I51" s="253">
        <f t="shared" ref="I51:I53" si="10">H51-F51</f>
        <v>70.399999999998727</v>
      </c>
      <c r="J51" s="253">
        <f t="shared" ref="J51:J53" si="11">H51-B51</f>
        <v>-35.600000000001273</v>
      </c>
    </row>
    <row r="52" spans="1:10" x14ac:dyDescent="0.2">
      <c r="A52" s="1464" t="s">
        <v>1583</v>
      </c>
      <c r="B52" s="52">
        <v>0</v>
      </c>
      <c r="C52" s="52">
        <v>0</v>
      </c>
      <c r="D52" s="52">
        <v>0</v>
      </c>
      <c r="E52" s="52">
        <v>0</v>
      </c>
      <c r="F52" s="52">
        <v>0</v>
      </c>
      <c r="G52" s="52">
        <v>5693.85</v>
      </c>
      <c r="H52" s="52">
        <v>7209.3951045936565</v>
      </c>
      <c r="I52" s="253">
        <f t="shared" si="10"/>
        <v>7209.3951045936565</v>
      </c>
      <c r="J52" s="253">
        <f t="shared" si="11"/>
        <v>7209.3951045936565</v>
      </c>
    </row>
    <row r="53" spans="1:10" x14ac:dyDescent="0.2">
      <c r="A53" s="1464" t="s">
        <v>1584</v>
      </c>
      <c r="B53" s="52">
        <v>0</v>
      </c>
      <c r="C53" s="52">
        <v>0</v>
      </c>
      <c r="D53" s="52">
        <v>12213.85</v>
      </c>
      <c r="E53" s="52">
        <v>6693.85</v>
      </c>
      <c r="F53" s="52">
        <v>6693.85</v>
      </c>
      <c r="G53" s="52">
        <v>0</v>
      </c>
      <c r="H53" s="52">
        <v>0</v>
      </c>
      <c r="I53" s="253">
        <f t="shared" si="10"/>
        <v>-6693.85</v>
      </c>
      <c r="J53" s="253">
        <f t="shared" si="11"/>
        <v>0</v>
      </c>
    </row>
    <row r="54" spans="1:10" x14ac:dyDescent="0.2">
      <c r="A54" s="1464" t="s">
        <v>1577</v>
      </c>
      <c r="B54" s="52">
        <v>-19640.000000000004</v>
      </c>
      <c r="C54" s="52">
        <v>23612.36</v>
      </c>
      <c r="D54" s="52">
        <v>57013.799999999996</v>
      </c>
      <c r="E54" s="52">
        <v>56434.83</v>
      </c>
      <c r="F54" s="52">
        <v>67374.8</v>
      </c>
      <c r="G54" s="52">
        <v>58669.240000000013</v>
      </c>
      <c r="H54" s="52">
        <v>60252.960000000014</v>
      </c>
      <c r="I54" s="253">
        <f>H54-F54</f>
        <v>-7121.8399999999892</v>
      </c>
      <c r="J54" s="253">
        <f>H54-B54</f>
        <v>79892.960000000021</v>
      </c>
    </row>
    <row r="55" spans="1:10" ht="13.5" thickBot="1" x14ac:dyDescent="0.25">
      <c r="A55" s="53" t="s">
        <v>180</v>
      </c>
      <c r="B55" s="54">
        <f>SUM(B37:B54)</f>
        <v>672825.86807409697</v>
      </c>
      <c r="C55" s="54">
        <f t="shared" ref="C55:J55" si="12">SUM(C37:C54)</f>
        <v>744988.69</v>
      </c>
      <c r="D55" s="54">
        <f t="shared" si="12"/>
        <v>721851.30999999994</v>
      </c>
      <c r="E55" s="54">
        <f t="shared" si="12"/>
        <v>854435.11</v>
      </c>
      <c r="F55" s="54">
        <f t="shared" si="12"/>
        <v>933362.85000000009</v>
      </c>
      <c r="G55" s="54">
        <f t="shared" si="12"/>
        <v>1154760.1531226803</v>
      </c>
      <c r="H55" s="54">
        <f t="shared" si="12"/>
        <v>1170497.2491835931</v>
      </c>
      <c r="I55" s="54">
        <f t="shared" si="12"/>
        <v>237134.39918359314</v>
      </c>
      <c r="J55" s="54">
        <f t="shared" si="12"/>
        <v>497671.38110949611</v>
      </c>
    </row>
    <row r="56" spans="1:10" ht="14.25" thickTop="1" thickBot="1" x14ac:dyDescent="0.25">
      <c r="A56" s="58" t="s">
        <v>272</v>
      </c>
      <c r="B56" s="58">
        <f t="shared" ref="B56:H56" si="13">SUMPRODUCT(--($A15:$A55="Sub-Total"), B$15:B$55)</f>
        <v>2155262.3544091564</v>
      </c>
      <c r="C56" s="58">
        <f t="shared" si="13"/>
        <v>2208203.0099999998</v>
      </c>
      <c r="D56" s="58">
        <f t="shared" si="13"/>
        <v>2323118.89</v>
      </c>
      <c r="E56" s="58">
        <f t="shared" si="13"/>
        <v>2532190.83</v>
      </c>
      <c r="F56" s="58">
        <f t="shared" si="13"/>
        <v>2595120.63</v>
      </c>
      <c r="G56" s="58">
        <f t="shared" si="13"/>
        <v>2904864.8394587552</v>
      </c>
      <c r="H56" s="58">
        <f t="shared" si="13"/>
        <v>2964765.1286075152</v>
      </c>
      <c r="I56" s="58">
        <f>H56-F56</f>
        <v>369644.49860751536</v>
      </c>
      <c r="J56" s="58">
        <f t="shared" ref="J56" si="14">H56-B56</f>
        <v>809502.77419835888</v>
      </c>
    </row>
    <row r="58" spans="1:10" x14ac:dyDescent="0.2">
      <c r="A58" s="61" t="s">
        <v>6</v>
      </c>
      <c r="G58" s="62"/>
    </row>
    <row r="60" spans="1:10" ht="27.75" customHeight="1" x14ac:dyDescent="0.2">
      <c r="A60" s="1623" t="s">
        <v>705</v>
      </c>
      <c r="B60" s="1623"/>
      <c r="C60" s="1623"/>
      <c r="D60" s="1623"/>
      <c r="E60" s="1623"/>
      <c r="F60" s="1623"/>
      <c r="G60" s="1623"/>
      <c r="H60" s="1623"/>
      <c r="I60" s="1623"/>
    </row>
    <row r="61" spans="1:10" ht="15" customHeight="1" x14ac:dyDescent="0.2">
      <c r="A61" s="1623" t="s">
        <v>808</v>
      </c>
      <c r="B61" s="1623"/>
      <c r="C61" s="1623"/>
      <c r="D61" s="1623"/>
      <c r="E61" s="1623"/>
      <c r="F61" s="1623"/>
      <c r="G61" s="1623"/>
      <c r="H61" s="1623"/>
      <c r="I61" s="1623"/>
    </row>
    <row r="62" spans="1:10" ht="27" customHeight="1" x14ac:dyDescent="0.2">
      <c r="A62" s="1623"/>
      <c r="B62" s="1624"/>
      <c r="C62" s="1624"/>
      <c r="D62" s="1624"/>
      <c r="E62" s="1624"/>
      <c r="F62" s="1624"/>
      <c r="G62" s="1624"/>
      <c r="H62" s="1624"/>
    </row>
    <row r="64" spans="1:10" x14ac:dyDescent="0.2">
      <c r="A64" s="1621"/>
      <c r="B64" s="1621"/>
      <c r="C64" s="1621"/>
      <c r="D64" s="1621"/>
      <c r="E64" s="1621"/>
      <c r="F64" s="1621"/>
      <c r="G64" s="1621"/>
      <c r="H64" s="1621"/>
      <c r="I64" s="1621"/>
    </row>
    <row r="65" spans="1:9" x14ac:dyDescent="0.2">
      <c r="A65" s="1621"/>
      <c r="B65" s="1621"/>
      <c r="C65" s="1621"/>
      <c r="D65" s="1621"/>
      <c r="E65" s="1621"/>
      <c r="F65" s="1621"/>
      <c r="G65" s="1621"/>
      <c r="H65" s="1621"/>
      <c r="I65" s="1621"/>
    </row>
    <row r="67" spans="1:9" x14ac:dyDescent="0.2">
      <c r="A67" s="39"/>
    </row>
  </sheetData>
  <mergeCells count="7">
    <mergeCell ref="A64:I65"/>
    <mergeCell ref="A9:H9"/>
    <mergeCell ref="A10:H10"/>
    <mergeCell ref="A12:H12"/>
    <mergeCell ref="A62:H62"/>
    <mergeCell ref="A60:I60"/>
    <mergeCell ref="A61:I61"/>
  </mergeCells>
  <dataValidations count="1">
    <dataValidation type="list" allowBlank="1" showInputMessage="1" showErrorMessage="1" sqref="B14:J14" xr:uid="{00000000-0002-0000-2000-000000000000}">
      <formula1>"CGAAP, MIFRS, USGAAP, ASPE"</formula1>
    </dataValidation>
  </dataValidations>
  <pageMargins left="0.75" right="0.75" top="1" bottom="1" header="0.5" footer="0.5"/>
  <pageSetup scale="51" orientation="portrait"/>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2">
    <tabColor theme="7" tint="0.39997558519241921"/>
    <pageSetUpPr autoPageBreaks="0" fitToPage="1"/>
  </sheetPr>
  <dimension ref="A1:AA32"/>
  <sheetViews>
    <sheetView showGridLines="0" zoomScaleNormal="100" workbookViewId="0"/>
  </sheetViews>
  <sheetFormatPr defaultColWidth="9.28515625" defaultRowHeight="12.75" x14ac:dyDescent="0.2"/>
  <cols>
    <col min="1" max="1" width="56.7109375" style="1" customWidth="1"/>
    <col min="2" max="12" width="15.7109375" style="1" hidden="1" customWidth="1"/>
    <col min="13" max="14" width="15.7109375" style="1" customWidth="1"/>
    <col min="15" max="17" width="15.7109375" style="1" hidden="1" customWidth="1"/>
    <col min="18" max="18" width="15.7109375" style="1" customWidth="1"/>
    <col min="19" max="20" width="15.7109375" style="1" hidden="1" customWidth="1"/>
    <col min="21" max="21" width="15.7109375" style="1" customWidth="1"/>
    <col min="22" max="23" width="15.7109375" style="1" hidden="1" customWidth="1"/>
    <col min="24" max="25" width="15.7109375" style="1" customWidth="1"/>
    <col min="26" max="26" width="13.28515625" style="1" customWidth="1"/>
    <col min="27" max="16384" width="9.28515625" style="1"/>
  </cols>
  <sheetData>
    <row r="1" spans="1:27" x14ac:dyDescent="0.2">
      <c r="Y1" s="1090" t="s">
        <v>277</v>
      </c>
      <c r="Z1" s="1026" t="str">
        <f>EBNUMBER</f>
        <v>EB-2018-0056</v>
      </c>
    </row>
    <row r="2" spans="1:27" x14ac:dyDescent="0.2">
      <c r="Y2" s="1090" t="s">
        <v>278</v>
      </c>
      <c r="Z2" s="41"/>
    </row>
    <row r="3" spans="1:27" x14ac:dyDescent="0.2">
      <c r="Y3" s="1090" t="s">
        <v>279</v>
      </c>
      <c r="Z3" s="41"/>
    </row>
    <row r="4" spans="1:27" ht="15" x14ac:dyDescent="0.25">
      <c r="A4" s="1969" t="s">
        <v>1310</v>
      </c>
      <c r="B4" s="1969"/>
      <c r="C4" s="1969"/>
      <c r="D4" s="1969"/>
      <c r="E4" s="1969"/>
      <c r="F4" s="1969"/>
      <c r="G4" s="1969"/>
      <c r="H4" s="1969"/>
      <c r="I4" s="1969"/>
      <c r="J4" s="1969"/>
      <c r="K4" s="1969"/>
      <c r="L4" s="1969"/>
      <c r="M4" s="1969"/>
      <c r="N4" s="1969"/>
      <c r="O4" s="1969"/>
      <c r="P4" s="1969"/>
      <c r="Q4" s="1969"/>
      <c r="R4" s="1969"/>
      <c r="S4" s="1969"/>
      <c r="T4" s="1969"/>
      <c r="U4" s="1969"/>
      <c r="V4" s="1969"/>
      <c r="W4" s="1969"/>
      <c r="X4" s="1969"/>
      <c r="Y4" s="1090" t="s">
        <v>280</v>
      </c>
      <c r="Z4" s="41"/>
    </row>
    <row r="5" spans="1:27" x14ac:dyDescent="0.2">
      <c r="Y5" s="1090" t="s">
        <v>281</v>
      </c>
      <c r="Z5" s="42"/>
    </row>
    <row r="6" spans="1:27" ht="9" customHeight="1" x14ac:dyDescent="0.2">
      <c r="Y6" s="1090"/>
      <c r="Z6" s="968"/>
    </row>
    <row r="7" spans="1:27" x14ac:dyDescent="0.2">
      <c r="Y7" s="1090" t="s">
        <v>282</v>
      </c>
      <c r="Z7" s="42"/>
    </row>
    <row r="8" spans="1:27" ht="9" customHeight="1" x14ac:dyDescent="0.2"/>
    <row r="9" spans="1:27" ht="17.25" customHeight="1" x14ac:dyDescent="0.25">
      <c r="A9" s="1611" t="s">
        <v>215</v>
      </c>
      <c r="B9" s="1611"/>
      <c r="C9" s="1611"/>
      <c r="D9" s="1611"/>
      <c r="E9" s="1611"/>
      <c r="F9" s="1611"/>
      <c r="G9" s="1611"/>
      <c r="H9" s="1611"/>
      <c r="I9" s="1611"/>
      <c r="J9" s="1611"/>
      <c r="K9" s="1611"/>
      <c r="L9" s="1611"/>
      <c r="M9" s="1611"/>
      <c r="N9" s="1611"/>
      <c r="O9" s="1611"/>
      <c r="P9" s="1611"/>
      <c r="Q9" s="1611"/>
      <c r="R9" s="1611"/>
      <c r="S9" s="1611"/>
      <c r="T9" s="1611"/>
      <c r="U9" s="1611"/>
      <c r="V9" s="1611"/>
      <c r="W9" s="1611"/>
      <c r="X9" s="1611"/>
      <c r="Y9" s="1611"/>
      <c r="Z9" s="1611"/>
    </row>
    <row r="10" spans="1:27" ht="18" x14ac:dyDescent="0.25">
      <c r="A10" s="1611" t="s">
        <v>1</v>
      </c>
      <c r="B10" s="1611"/>
      <c r="C10" s="1611"/>
      <c r="D10" s="1611"/>
      <c r="E10" s="1611"/>
      <c r="F10" s="1611"/>
      <c r="G10" s="1611"/>
      <c r="H10" s="1611"/>
      <c r="I10" s="1611"/>
      <c r="J10" s="1611"/>
      <c r="K10" s="1611"/>
      <c r="L10" s="1611"/>
      <c r="M10" s="1611"/>
      <c r="N10" s="1611"/>
      <c r="O10" s="1611"/>
      <c r="P10" s="1611"/>
      <c r="Q10" s="1611"/>
      <c r="R10" s="1611"/>
      <c r="S10" s="1611"/>
      <c r="T10" s="1611"/>
      <c r="U10" s="1611"/>
      <c r="V10" s="1611"/>
      <c r="W10" s="1611"/>
      <c r="X10" s="1611"/>
      <c r="Y10" s="1611"/>
      <c r="Z10" s="1611"/>
    </row>
    <row r="11" spans="1:27" ht="9" customHeight="1" thickBot="1" x14ac:dyDescent="0.25"/>
    <row r="12" spans="1:27" ht="51.75" thickBot="1" x14ac:dyDescent="0.25">
      <c r="A12" s="1294"/>
      <c r="B12" s="1232" t="s">
        <v>1222</v>
      </c>
      <c r="C12" s="1232" t="s">
        <v>1223</v>
      </c>
      <c r="D12" s="1232" t="s">
        <v>1224</v>
      </c>
      <c r="E12" s="1232" t="s">
        <v>1225</v>
      </c>
      <c r="F12" s="1232" t="s">
        <v>1226</v>
      </c>
      <c r="G12" s="1232" t="s">
        <v>1228</v>
      </c>
      <c r="H12" s="1232" t="s">
        <v>1229</v>
      </c>
      <c r="I12" s="1232" t="s">
        <v>1227</v>
      </c>
      <c r="J12" s="1232" t="s">
        <v>1231</v>
      </c>
      <c r="K12" s="1232" t="s">
        <v>1221</v>
      </c>
      <c r="L12" s="1232" t="s">
        <v>1230</v>
      </c>
      <c r="M12" s="1232" t="s">
        <v>1233</v>
      </c>
      <c r="N12" s="1232" t="s">
        <v>1234</v>
      </c>
      <c r="O12" s="1232" t="s">
        <v>1232</v>
      </c>
      <c r="P12" s="1232" t="s">
        <v>1236</v>
      </c>
      <c r="Q12" s="1232" t="s">
        <v>1237</v>
      </c>
      <c r="R12" s="1232" t="s">
        <v>1235</v>
      </c>
      <c r="S12" s="1232" t="s">
        <v>1238</v>
      </c>
      <c r="T12" s="1232" t="s">
        <v>1239</v>
      </c>
      <c r="U12" s="1232" t="str">
        <f>BridgeYear -2 &amp; " Actuals"</f>
        <v>2016 Actuals</v>
      </c>
      <c r="V12" s="1232" t="s">
        <v>1242</v>
      </c>
      <c r="W12" s="1232" t="s">
        <v>1240</v>
      </c>
      <c r="X12" s="1232" t="str">
        <f>BridgeYear -1 &amp; " Actuals"</f>
        <v>2017 Actuals</v>
      </c>
      <c r="Y12" s="1232" t="str">
        <f>BridgeYear &amp; " Bridge Year"</f>
        <v>2018 Bridge Year</v>
      </c>
      <c r="Z12" s="1233" t="str">
        <f>TestYear &amp; " Test Year"</f>
        <v>2019 Test Year</v>
      </c>
      <c r="AA12" s="1295"/>
    </row>
    <row r="13" spans="1:27" ht="14.25" x14ac:dyDescent="0.2">
      <c r="A13" s="1974" t="s">
        <v>87</v>
      </c>
      <c r="B13" s="1975"/>
      <c r="C13" s="1975"/>
      <c r="D13" s="1975"/>
      <c r="E13" s="1975"/>
      <c r="F13" s="1975"/>
      <c r="G13" s="1975"/>
      <c r="H13" s="1975"/>
      <c r="I13" s="1975"/>
      <c r="J13" s="1975"/>
      <c r="K13" s="1975"/>
      <c r="L13" s="1975"/>
      <c r="M13" s="1975"/>
      <c r="N13" s="1975"/>
      <c r="O13" s="1975"/>
      <c r="P13" s="1975"/>
      <c r="Q13" s="1975"/>
      <c r="R13" s="1975"/>
      <c r="S13" s="1975"/>
      <c r="T13" s="1975"/>
      <c r="U13" s="1975"/>
      <c r="V13" s="1975"/>
      <c r="W13" s="1975"/>
      <c r="X13" s="1975"/>
      <c r="Y13" s="1975"/>
      <c r="Z13" s="1976"/>
    </row>
    <row r="14" spans="1:27" x14ac:dyDescent="0.2">
      <c r="A14" s="1296" t="s">
        <v>684</v>
      </c>
      <c r="B14" s="254"/>
      <c r="C14" s="254"/>
      <c r="D14" s="254"/>
      <c r="E14" s="254"/>
      <c r="F14" s="254"/>
      <c r="G14" s="254"/>
      <c r="H14" s="254"/>
      <c r="I14" s="254"/>
      <c r="J14" s="254"/>
      <c r="K14" s="254"/>
      <c r="L14" s="254"/>
      <c r="M14" s="254">
        <v>6</v>
      </c>
      <c r="N14" s="254">
        <v>5</v>
      </c>
      <c r="O14" s="254">
        <v>5</v>
      </c>
      <c r="P14" s="254">
        <v>5</v>
      </c>
      <c r="Q14" s="254">
        <v>6</v>
      </c>
      <c r="R14" s="254">
        <v>5</v>
      </c>
      <c r="S14" s="254">
        <v>5</v>
      </c>
      <c r="T14" s="254">
        <v>6</v>
      </c>
      <c r="U14" s="254">
        <v>5</v>
      </c>
      <c r="V14" s="254">
        <v>6</v>
      </c>
      <c r="W14" s="254">
        <v>6</v>
      </c>
      <c r="X14" s="254">
        <v>6</v>
      </c>
      <c r="Y14" s="254">
        <v>6</v>
      </c>
      <c r="Z14" s="254">
        <v>6</v>
      </c>
    </row>
    <row r="15" spans="1:27" x14ac:dyDescent="0.2">
      <c r="A15" s="1296" t="s">
        <v>685</v>
      </c>
      <c r="B15" s="254"/>
      <c r="C15" s="254"/>
      <c r="D15" s="254"/>
      <c r="E15" s="254"/>
      <c r="F15" s="254"/>
      <c r="G15" s="254"/>
      <c r="H15" s="254"/>
      <c r="I15" s="254"/>
      <c r="J15" s="254"/>
      <c r="K15" s="254"/>
      <c r="L15" s="254"/>
      <c r="M15" s="254">
        <v>13.1</v>
      </c>
      <c r="N15" s="254">
        <v>10</v>
      </c>
      <c r="O15" s="254">
        <v>11</v>
      </c>
      <c r="P15" s="254">
        <v>12</v>
      </c>
      <c r="Q15" s="254">
        <v>12</v>
      </c>
      <c r="R15" s="254">
        <v>11</v>
      </c>
      <c r="S15" s="254">
        <v>12</v>
      </c>
      <c r="T15" s="254">
        <v>12</v>
      </c>
      <c r="U15" s="254">
        <v>12</v>
      </c>
      <c r="V15" s="254">
        <v>12</v>
      </c>
      <c r="W15" s="254">
        <v>0</v>
      </c>
      <c r="X15" s="254">
        <v>12</v>
      </c>
      <c r="Y15" s="254">
        <v>12</v>
      </c>
      <c r="Z15" s="254">
        <v>12</v>
      </c>
    </row>
    <row r="16" spans="1:27" x14ac:dyDescent="0.2">
      <c r="A16" s="1296" t="s">
        <v>272</v>
      </c>
      <c r="B16" s="1297">
        <f t="shared" ref="B16:Z16" si="0">SUM(B14:B15)</f>
        <v>0</v>
      </c>
      <c r="C16" s="1297">
        <f t="shared" si="0"/>
        <v>0</v>
      </c>
      <c r="D16" s="1297">
        <f t="shared" si="0"/>
        <v>0</v>
      </c>
      <c r="E16" s="1297">
        <f t="shared" si="0"/>
        <v>0</v>
      </c>
      <c r="F16" s="1297">
        <f t="shared" si="0"/>
        <v>0</v>
      </c>
      <c r="G16" s="1297">
        <f t="shared" si="0"/>
        <v>0</v>
      </c>
      <c r="H16" s="1297">
        <f t="shared" si="0"/>
        <v>0</v>
      </c>
      <c r="I16" s="1297">
        <f t="shared" si="0"/>
        <v>0</v>
      </c>
      <c r="J16" s="1297">
        <f t="shared" si="0"/>
        <v>0</v>
      </c>
      <c r="K16" s="1297">
        <f t="shared" si="0"/>
        <v>0</v>
      </c>
      <c r="L16" s="1297">
        <f t="shared" si="0"/>
        <v>0</v>
      </c>
      <c r="M16" s="1297">
        <f t="shared" si="0"/>
        <v>19.100000000000001</v>
      </c>
      <c r="N16" s="1297">
        <f t="shared" si="0"/>
        <v>15</v>
      </c>
      <c r="O16" s="1297">
        <f t="shared" si="0"/>
        <v>16</v>
      </c>
      <c r="P16" s="1297">
        <f t="shared" si="0"/>
        <v>17</v>
      </c>
      <c r="Q16" s="1297">
        <f t="shared" si="0"/>
        <v>18</v>
      </c>
      <c r="R16" s="1297">
        <f t="shared" si="0"/>
        <v>16</v>
      </c>
      <c r="S16" s="1297">
        <f t="shared" si="0"/>
        <v>17</v>
      </c>
      <c r="T16" s="1297">
        <f t="shared" si="0"/>
        <v>18</v>
      </c>
      <c r="U16" s="1297">
        <f t="shared" si="0"/>
        <v>17</v>
      </c>
      <c r="V16" s="1297">
        <f t="shared" si="0"/>
        <v>18</v>
      </c>
      <c r="W16" s="1297">
        <f t="shared" si="0"/>
        <v>6</v>
      </c>
      <c r="X16" s="1297">
        <f t="shared" si="0"/>
        <v>18</v>
      </c>
      <c r="Y16" s="1297">
        <f t="shared" si="0"/>
        <v>18</v>
      </c>
      <c r="Z16" s="1297">
        <f t="shared" si="0"/>
        <v>18</v>
      </c>
    </row>
    <row r="17" spans="1:26" x14ac:dyDescent="0.2">
      <c r="A17" s="1971" t="s">
        <v>686</v>
      </c>
      <c r="B17" s="1972"/>
      <c r="C17" s="1972"/>
      <c r="D17" s="1972"/>
      <c r="E17" s="1972"/>
      <c r="F17" s="1972"/>
      <c r="G17" s="1972"/>
      <c r="H17" s="1972"/>
      <c r="I17" s="1972"/>
      <c r="J17" s="1972"/>
      <c r="K17" s="1972"/>
      <c r="L17" s="1972"/>
      <c r="M17" s="1972"/>
      <c r="N17" s="1972"/>
      <c r="O17" s="1972"/>
      <c r="P17" s="1972"/>
      <c r="Q17" s="1972"/>
      <c r="R17" s="1972"/>
      <c r="S17" s="1972"/>
      <c r="T17" s="1972"/>
      <c r="U17" s="1972"/>
      <c r="V17" s="1972"/>
      <c r="W17" s="1972"/>
      <c r="X17" s="1972"/>
      <c r="Y17" s="1972"/>
      <c r="Z17" s="1973"/>
    </row>
    <row r="18" spans="1:26" x14ac:dyDescent="0.2">
      <c r="A18" s="1296" t="s">
        <v>684</v>
      </c>
      <c r="B18" s="135"/>
      <c r="C18" s="135"/>
      <c r="D18" s="135"/>
      <c r="E18" s="135"/>
      <c r="F18" s="135"/>
      <c r="G18" s="135"/>
      <c r="H18" s="135"/>
      <c r="I18" s="135"/>
      <c r="J18" s="135"/>
      <c r="K18" s="135"/>
      <c r="L18" s="135"/>
      <c r="M18" s="135">
        <v>611905.55002991052</v>
      </c>
      <c r="N18" s="135">
        <v>538997.11</v>
      </c>
      <c r="O18" s="135">
        <v>530811.09</v>
      </c>
      <c r="P18" s="135">
        <v>574605.03999999992</v>
      </c>
      <c r="Q18" s="135">
        <v>564590.77999999991</v>
      </c>
      <c r="R18" s="135">
        <v>530811.09</v>
      </c>
      <c r="S18" s="135">
        <v>665494.02240000002</v>
      </c>
      <c r="T18" s="135">
        <v>0</v>
      </c>
      <c r="U18" s="135">
        <v>574605.03999999992</v>
      </c>
      <c r="V18" s="135">
        <v>0</v>
      </c>
      <c r="W18" s="135">
        <v>0</v>
      </c>
      <c r="X18" s="135">
        <v>564590.77999999991</v>
      </c>
      <c r="Y18" s="135">
        <v>652445.12</v>
      </c>
      <c r="Z18" s="135">
        <v>665494.02240000002</v>
      </c>
    </row>
    <row r="19" spans="1:26" x14ac:dyDescent="0.2">
      <c r="A19" s="1296" t="s">
        <v>685</v>
      </c>
      <c r="B19" s="135"/>
      <c r="C19" s="135"/>
      <c r="D19" s="135"/>
      <c r="E19" s="135"/>
      <c r="F19" s="135"/>
      <c r="G19" s="135"/>
      <c r="H19" s="135"/>
      <c r="I19" s="135"/>
      <c r="J19" s="135"/>
      <c r="K19" s="135"/>
      <c r="L19" s="135"/>
      <c r="M19" s="135">
        <v>874308.69081707508</v>
      </c>
      <c r="N19" s="135">
        <v>794717.02999999991</v>
      </c>
      <c r="O19" s="135">
        <v>849768.61</v>
      </c>
      <c r="P19" s="135">
        <v>841183.75000000012</v>
      </c>
      <c r="Q19" s="135">
        <v>964936.30000000016</v>
      </c>
      <c r="R19" s="135">
        <v>849768.61</v>
      </c>
      <c r="S19" s="135">
        <v>995910.21654119028</v>
      </c>
      <c r="T19" s="135">
        <v>0</v>
      </c>
      <c r="U19" s="135">
        <v>841183.75000000012</v>
      </c>
      <c r="V19" s="135">
        <v>0</v>
      </c>
      <c r="W19" s="135">
        <v>0</v>
      </c>
      <c r="X19" s="135">
        <v>964936.30000000016</v>
      </c>
      <c r="Y19" s="135">
        <v>976380.41481717082</v>
      </c>
      <c r="Z19" s="135">
        <v>995910.21654119028</v>
      </c>
    </row>
    <row r="20" spans="1:26" x14ac:dyDescent="0.2">
      <c r="A20" s="1296" t="s">
        <v>272</v>
      </c>
      <c r="B20" s="1298">
        <f t="shared" ref="B20:Z20" si="1">SUM(B18:B19)</f>
        <v>0</v>
      </c>
      <c r="C20" s="1298">
        <f t="shared" si="1"/>
        <v>0</v>
      </c>
      <c r="D20" s="1298">
        <f t="shared" si="1"/>
        <v>0</v>
      </c>
      <c r="E20" s="1298">
        <f t="shared" si="1"/>
        <v>0</v>
      </c>
      <c r="F20" s="1298">
        <f t="shared" si="1"/>
        <v>0</v>
      </c>
      <c r="G20" s="1298">
        <f t="shared" si="1"/>
        <v>0</v>
      </c>
      <c r="H20" s="1298">
        <f t="shared" si="1"/>
        <v>0</v>
      </c>
      <c r="I20" s="1298">
        <f t="shared" si="1"/>
        <v>0</v>
      </c>
      <c r="J20" s="1298">
        <f t="shared" si="1"/>
        <v>0</v>
      </c>
      <c r="K20" s="1298">
        <f t="shared" si="1"/>
        <v>0</v>
      </c>
      <c r="L20" s="1298">
        <f t="shared" si="1"/>
        <v>0</v>
      </c>
      <c r="M20" s="1298">
        <f t="shared" si="1"/>
        <v>1486214.2408469855</v>
      </c>
      <c r="N20" s="1298">
        <f t="shared" si="1"/>
        <v>1333714.1399999999</v>
      </c>
      <c r="O20" s="1298">
        <f t="shared" si="1"/>
        <v>1380579.7</v>
      </c>
      <c r="P20" s="1298">
        <f t="shared" si="1"/>
        <v>1415788.79</v>
      </c>
      <c r="Q20" s="1298">
        <f t="shared" si="1"/>
        <v>1529527.08</v>
      </c>
      <c r="R20" s="1298">
        <f t="shared" si="1"/>
        <v>1380579.7</v>
      </c>
      <c r="S20" s="1298">
        <f t="shared" si="1"/>
        <v>1661404.2389411903</v>
      </c>
      <c r="T20" s="1298">
        <f t="shared" si="1"/>
        <v>0</v>
      </c>
      <c r="U20" s="1298">
        <f t="shared" si="1"/>
        <v>1415788.79</v>
      </c>
      <c r="V20" s="1298">
        <f t="shared" si="1"/>
        <v>0</v>
      </c>
      <c r="W20" s="1298">
        <f t="shared" si="1"/>
        <v>0</v>
      </c>
      <c r="X20" s="1298">
        <f t="shared" si="1"/>
        <v>1529527.08</v>
      </c>
      <c r="Y20" s="1298">
        <f t="shared" si="1"/>
        <v>1628825.5348171708</v>
      </c>
      <c r="Z20" s="1298">
        <f t="shared" si="1"/>
        <v>1661404.2389411903</v>
      </c>
    </row>
    <row r="21" spans="1:26" x14ac:dyDescent="0.2">
      <c r="A21" s="1971" t="s">
        <v>1201</v>
      </c>
      <c r="B21" s="1972"/>
      <c r="C21" s="1972"/>
      <c r="D21" s="1972"/>
      <c r="E21" s="1972"/>
      <c r="F21" s="1972"/>
      <c r="G21" s="1972"/>
      <c r="H21" s="1972"/>
      <c r="I21" s="1972"/>
      <c r="J21" s="1972"/>
      <c r="K21" s="1972"/>
      <c r="L21" s="1972"/>
      <c r="M21" s="1972"/>
      <c r="N21" s="1972"/>
      <c r="O21" s="1972"/>
      <c r="P21" s="1972"/>
      <c r="Q21" s="1972"/>
      <c r="R21" s="1972"/>
      <c r="S21" s="1972"/>
      <c r="T21" s="1972"/>
      <c r="U21" s="1972"/>
      <c r="V21" s="1972"/>
      <c r="W21" s="1972"/>
      <c r="X21" s="1972"/>
      <c r="Y21" s="1972"/>
      <c r="Z21" s="1973"/>
    </row>
    <row r="22" spans="1:26" x14ac:dyDescent="0.2">
      <c r="A22" s="1296" t="s">
        <v>684</v>
      </c>
      <c r="B22" s="135"/>
      <c r="C22" s="135"/>
      <c r="D22" s="135"/>
      <c r="E22" s="135"/>
      <c r="F22" s="135"/>
      <c r="G22" s="135"/>
      <c r="H22" s="135"/>
      <c r="I22" s="135"/>
      <c r="J22" s="135"/>
      <c r="K22" s="135"/>
      <c r="L22" s="135"/>
      <c r="M22" s="135">
        <v>130289.20723087844</v>
      </c>
      <c r="N22" s="135">
        <v>123542.46955256845</v>
      </c>
      <c r="O22" s="135">
        <v>99962.817728871436</v>
      </c>
      <c r="P22" s="135">
        <v>135695.60901721788</v>
      </c>
      <c r="Q22" s="135">
        <v>131592.17169015403</v>
      </c>
      <c r="R22" s="135">
        <v>99962.817728871436</v>
      </c>
      <c r="S22" s="135">
        <v>150441.96507413604</v>
      </c>
      <c r="T22" s="135">
        <v>0</v>
      </c>
      <c r="U22" s="135">
        <v>135695.60901721788</v>
      </c>
      <c r="V22" s="135">
        <v>0</v>
      </c>
      <c r="W22" s="135">
        <v>0</v>
      </c>
      <c r="X22" s="135">
        <v>131592.17169015403</v>
      </c>
      <c r="Y22" s="135">
        <v>148231.36066354692</v>
      </c>
      <c r="Z22" s="135">
        <v>150441.96507413604</v>
      </c>
    </row>
    <row r="23" spans="1:26" x14ac:dyDescent="0.2">
      <c r="A23" s="1296" t="s">
        <v>685</v>
      </c>
      <c r="B23" s="135"/>
      <c r="C23" s="135"/>
      <c r="D23" s="135"/>
      <c r="E23" s="135"/>
      <c r="F23" s="135"/>
      <c r="G23" s="135"/>
      <c r="H23" s="135"/>
      <c r="I23" s="135"/>
      <c r="J23" s="135"/>
      <c r="K23" s="135"/>
      <c r="L23" s="135"/>
      <c r="M23" s="135">
        <v>197428.0029828453</v>
      </c>
      <c r="N23" s="135">
        <v>182155.53044743155</v>
      </c>
      <c r="O23" s="135">
        <v>160029.18227112858</v>
      </c>
      <c r="P23" s="135">
        <v>198649.39098278212</v>
      </c>
      <c r="Q23" s="135">
        <v>224902.82830984597</v>
      </c>
      <c r="R23" s="135">
        <v>160029.18227112858</v>
      </c>
      <c r="S23" s="135">
        <v>230564.98133327352</v>
      </c>
      <c r="T23" s="135">
        <v>0</v>
      </c>
      <c r="U23" s="135">
        <v>198649.39098278212</v>
      </c>
      <c r="V23" s="135">
        <v>0</v>
      </c>
      <c r="W23" s="135">
        <v>0</v>
      </c>
      <c r="X23" s="135">
        <v>224902.82830984597</v>
      </c>
      <c r="Y23" s="135">
        <v>227360.48453839263</v>
      </c>
      <c r="Z23" s="135">
        <v>230564.98133327352</v>
      </c>
    </row>
    <row r="24" spans="1:26" x14ac:dyDescent="0.2">
      <c r="A24" s="1296" t="s">
        <v>272</v>
      </c>
      <c r="B24" s="1298">
        <f>SUM(B22:B23)</f>
        <v>0</v>
      </c>
      <c r="C24" s="1298">
        <f t="shared" ref="C24:Z24" si="2">SUM(C22:C23)</f>
        <v>0</v>
      </c>
      <c r="D24" s="1298">
        <f t="shared" si="2"/>
        <v>0</v>
      </c>
      <c r="E24" s="1298">
        <f t="shared" si="2"/>
        <v>0</v>
      </c>
      <c r="F24" s="1298">
        <f t="shared" si="2"/>
        <v>0</v>
      </c>
      <c r="G24" s="1298">
        <f t="shared" si="2"/>
        <v>0</v>
      </c>
      <c r="H24" s="1298">
        <f t="shared" si="2"/>
        <v>0</v>
      </c>
      <c r="I24" s="1298">
        <f t="shared" si="2"/>
        <v>0</v>
      </c>
      <c r="J24" s="1298">
        <f t="shared" si="2"/>
        <v>0</v>
      </c>
      <c r="K24" s="1298">
        <f t="shared" si="2"/>
        <v>0</v>
      </c>
      <c r="L24" s="1298">
        <f t="shared" si="2"/>
        <v>0</v>
      </c>
      <c r="M24" s="1298">
        <f t="shared" si="2"/>
        <v>327717.21021372371</v>
      </c>
      <c r="N24" s="1298">
        <f t="shared" si="2"/>
        <v>305698</v>
      </c>
      <c r="O24" s="1298">
        <f t="shared" si="2"/>
        <v>259992</v>
      </c>
      <c r="P24" s="1298">
        <f t="shared" si="2"/>
        <v>334345</v>
      </c>
      <c r="Q24" s="1298">
        <f t="shared" si="2"/>
        <v>356495</v>
      </c>
      <c r="R24" s="1298">
        <f t="shared" si="2"/>
        <v>259992</v>
      </c>
      <c r="S24" s="1298">
        <f t="shared" si="2"/>
        <v>381006.94640740956</v>
      </c>
      <c r="T24" s="1298">
        <f t="shared" si="2"/>
        <v>0</v>
      </c>
      <c r="U24" s="1298">
        <f t="shared" si="2"/>
        <v>334345</v>
      </c>
      <c r="V24" s="1298">
        <f t="shared" si="2"/>
        <v>0</v>
      </c>
      <c r="W24" s="1298">
        <f t="shared" si="2"/>
        <v>0</v>
      </c>
      <c r="X24" s="1298">
        <f t="shared" si="2"/>
        <v>356495</v>
      </c>
      <c r="Y24" s="1298">
        <f t="shared" si="2"/>
        <v>375591.84520193958</v>
      </c>
      <c r="Z24" s="1298">
        <f t="shared" si="2"/>
        <v>381006.94640740956</v>
      </c>
    </row>
    <row r="25" spans="1:26" x14ac:dyDescent="0.2">
      <c r="A25" s="1971" t="s">
        <v>0</v>
      </c>
      <c r="B25" s="1972"/>
      <c r="C25" s="1972"/>
      <c r="D25" s="1972"/>
      <c r="E25" s="1972"/>
      <c r="F25" s="1972"/>
      <c r="G25" s="1972"/>
      <c r="H25" s="1972"/>
      <c r="I25" s="1972"/>
      <c r="J25" s="1972"/>
      <c r="K25" s="1972"/>
      <c r="L25" s="1972"/>
      <c r="M25" s="1972"/>
      <c r="N25" s="1972"/>
      <c r="O25" s="1972"/>
      <c r="P25" s="1972"/>
      <c r="Q25" s="1972"/>
      <c r="R25" s="1972"/>
      <c r="S25" s="1972"/>
      <c r="T25" s="1972"/>
      <c r="U25" s="1972"/>
      <c r="V25" s="1972"/>
      <c r="W25" s="1972"/>
      <c r="X25" s="1972"/>
      <c r="Y25" s="1972"/>
      <c r="Z25" s="1973"/>
    </row>
    <row r="26" spans="1:26" x14ac:dyDescent="0.2">
      <c r="A26" s="1296" t="s">
        <v>684</v>
      </c>
      <c r="B26" s="1298">
        <f t="shared" ref="B26:Z28" si="3">B18+B22</f>
        <v>0</v>
      </c>
      <c r="C26" s="1298">
        <f t="shared" si="3"/>
        <v>0</v>
      </c>
      <c r="D26" s="1298">
        <f t="shared" si="3"/>
        <v>0</v>
      </c>
      <c r="E26" s="1298">
        <f t="shared" si="3"/>
        <v>0</v>
      </c>
      <c r="F26" s="1298">
        <f t="shared" si="3"/>
        <v>0</v>
      </c>
      <c r="G26" s="1298">
        <f t="shared" si="3"/>
        <v>0</v>
      </c>
      <c r="H26" s="1298">
        <f t="shared" si="3"/>
        <v>0</v>
      </c>
      <c r="I26" s="1298">
        <f t="shared" si="3"/>
        <v>0</v>
      </c>
      <c r="J26" s="1298">
        <f t="shared" si="3"/>
        <v>0</v>
      </c>
      <c r="K26" s="1298">
        <f t="shared" si="3"/>
        <v>0</v>
      </c>
      <c r="L26" s="1298">
        <f t="shared" si="3"/>
        <v>0</v>
      </c>
      <c r="M26" s="1298">
        <f t="shared" si="3"/>
        <v>742194.75726078893</v>
      </c>
      <c r="N26" s="1298">
        <f t="shared" si="3"/>
        <v>662539.5795525685</v>
      </c>
      <c r="O26" s="1298">
        <f t="shared" si="3"/>
        <v>630773.90772887145</v>
      </c>
      <c r="P26" s="1298">
        <f t="shared" si="3"/>
        <v>710300.6490172178</v>
      </c>
      <c r="Q26" s="1298">
        <f t="shared" si="3"/>
        <v>696182.95169015392</v>
      </c>
      <c r="R26" s="1298">
        <f t="shared" si="3"/>
        <v>630773.90772887145</v>
      </c>
      <c r="S26" s="1298">
        <f t="shared" si="3"/>
        <v>815935.98747413605</v>
      </c>
      <c r="T26" s="1298">
        <f t="shared" si="3"/>
        <v>0</v>
      </c>
      <c r="U26" s="1298">
        <f t="shared" si="3"/>
        <v>710300.6490172178</v>
      </c>
      <c r="V26" s="1298">
        <f t="shared" si="3"/>
        <v>0</v>
      </c>
      <c r="W26" s="1298">
        <f t="shared" si="3"/>
        <v>0</v>
      </c>
      <c r="X26" s="1298">
        <f t="shared" si="3"/>
        <v>696182.95169015392</v>
      </c>
      <c r="Y26" s="1298">
        <f t="shared" si="3"/>
        <v>800676.48066354694</v>
      </c>
      <c r="Z26" s="1298">
        <f t="shared" si="3"/>
        <v>815935.98747413605</v>
      </c>
    </row>
    <row r="27" spans="1:26" x14ac:dyDescent="0.2">
      <c r="A27" s="1296" t="s">
        <v>685</v>
      </c>
      <c r="B27" s="1298">
        <f t="shared" si="3"/>
        <v>0</v>
      </c>
      <c r="C27" s="1298">
        <f t="shared" si="3"/>
        <v>0</v>
      </c>
      <c r="D27" s="1298">
        <f t="shared" si="3"/>
        <v>0</v>
      </c>
      <c r="E27" s="1298">
        <f t="shared" si="3"/>
        <v>0</v>
      </c>
      <c r="F27" s="1298">
        <f t="shared" si="3"/>
        <v>0</v>
      </c>
      <c r="G27" s="1298">
        <f t="shared" si="3"/>
        <v>0</v>
      </c>
      <c r="H27" s="1298">
        <f t="shared" si="3"/>
        <v>0</v>
      </c>
      <c r="I27" s="1298">
        <f t="shared" si="3"/>
        <v>0</v>
      </c>
      <c r="J27" s="1298">
        <f t="shared" si="3"/>
        <v>0</v>
      </c>
      <c r="K27" s="1298">
        <f t="shared" si="3"/>
        <v>0</v>
      </c>
      <c r="L27" s="1298">
        <f t="shared" si="3"/>
        <v>0</v>
      </c>
      <c r="M27" s="1298">
        <f t="shared" si="3"/>
        <v>1071736.6937999204</v>
      </c>
      <c r="N27" s="1298">
        <f t="shared" si="3"/>
        <v>976872.5604474314</v>
      </c>
      <c r="O27" s="1298">
        <f t="shared" si="3"/>
        <v>1009797.7922711286</v>
      </c>
      <c r="P27" s="1298">
        <f t="shared" si="3"/>
        <v>1039833.1409827822</v>
      </c>
      <c r="Q27" s="1298">
        <f t="shared" si="3"/>
        <v>1189839.1283098462</v>
      </c>
      <c r="R27" s="1298">
        <f t="shared" si="3"/>
        <v>1009797.7922711286</v>
      </c>
      <c r="S27" s="1298">
        <f t="shared" si="3"/>
        <v>1226475.1978744639</v>
      </c>
      <c r="T27" s="1298">
        <f t="shared" si="3"/>
        <v>0</v>
      </c>
      <c r="U27" s="1298">
        <f t="shared" si="3"/>
        <v>1039833.1409827822</v>
      </c>
      <c r="V27" s="1298">
        <f t="shared" si="3"/>
        <v>0</v>
      </c>
      <c r="W27" s="1298">
        <f t="shared" si="3"/>
        <v>0</v>
      </c>
      <c r="X27" s="1298">
        <f t="shared" si="3"/>
        <v>1189839.1283098462</v>
      </c>
      <c r="Y27" s="1298">
        <f t="shared" si="3"/>
        <v>1203740.8993555633</v>
      </c>
      <c r="Z27" s="1298">
        <f t="shared" si="3"/>
        <v>1226475.1978744639</v>
      </c>
    </row>
    <row r="28" spans="1:26" x14ac:dyDescent="0.2">
      <c r="A28" s="1296" t="s">
        <v>272</v>
      </c>
      <c r="B28" s="1298">
        <f t="shared" si="3"/>
        <v>0</v>
      </c>
      <c r="C28" s="1298">
        <f t="shared" si="3"/>
        <v>0</v>
      </c>
      <c r="D28" s="1298">
        <f t="shared" si="3"/>
        <v>0</v>
      </c>
      <c r="E28" s="1298">
        <f t="shared" si="3"/>
        <v>0</v>
      </c>
      <c r="F28" s="1298">
        <f t="shared" si="3"/>
        <v>0</v>
      </c>
      <c r="G28" s="1298">
        <f t="shared" si="3"/>
        <v>0</v>
      </c>
      <c r="H28" s="1298">
        <f t="shared" si="3"/>
        <v>0</v>
      </c>
      <c r="I28" s="1298">
        <f t="shared" si="3"/>
        <v>0</v>
      </c>
      <c r="J28" s="1298">
        <f t="shared" si="3"/>
        <v>0</v>
      </c>
      <c r="K28" s="1298">
        <f t="shared" si="3"/>
        <v>0</v>
      </c>
      <c r="L28" s="1298">
        <f t="shared" si="3"/>
        <v>0</v>
      </c>
      <c r="M28" s="1298">
        <f t="shared" si="3"/>
        <v>1813931.4510607091</v>
      </c>
      <c r="N28" s="1298">
        <f t="shared" si="3"/>
        <v>1639412.14</v>
      </c>
      <c r="O28" s="1298">
        <f t="shared" si="3"/>
        <v>1640571.7</v>
      </c>
      <c r="P28" s="1298">
        <f t="shared" si="3"/>
        <v>1750133.79</v>
      </c>
      <c r="Q28" s="1298">
        <f t="shared" si="3"/>
        <v>1886022.08</v>
      </c>
      <c r="R28" s="1298">
        <f t="shared" si="3"/>
        <v>1640571.7</v>
      </c>
      <c r="S28" s="1298">
        <f t="shared" si="3"/>
        <v>2042411.1853485999</v>
      </c>
      <c r="T28" s="1298">
        <f t="shared" si="3"/>
        <v>0</v>
      </c>
      <c r="U28" s="1298">
        <f t="shared" si="3"/>
        <v>1750133.79</v>
      </c>
      <c r="V28" s="1298">
        <f t="shared" si="3"/>
        <v>0</v>
      </c>
      <c r="W28" s="1298">
        <f t="shared" si="3"/>
        <v>0</v>
      </c>
      <c r="X28" s="1298">
        <f t="shared" si="3"/>
        <v>1886022.08</v>
      </c>
      <c r="Y28" s="1298">
        <f t="shared" si="3"/>
        <v>2004417.3800191104</v>
      </c>
      <c r="Z28" s="1298">
        <f t="shared" si="3"/>
        <v>2042411.1853485999</v>
      </c>
    </row>
    <row r="30" spans="1:26" ht="19.5" customHeight="1" x14ac:dyDescent="0.2">
      <c r="A30" s="1977" t="s">
        <v>105</v>
      </c>
      <c r="B30" s="1977"/>
      <c r="C30" s="1977"/>
      <c r="D30" s="1977"/>
      <c r="E30" s="1977"/>
      <c r="F30" s="1977"/>
      <c r="G30" s="1977"/>
      <c r="H30" s="1977"/>
      <c r="I30" s="1977"/>
      <c r="J30" s="1977"/>
      <c r="K30" s="1977"/>
      <c r="L30" s="1977"/>
      <c r="M30" s="1977"/>
      <c r="N30" s="1977"/>
      <c r="O30" s="1977"/>
      <c r="P30" s="1977"/>
      <c r="Q30" s="1977"/>
      <c r="R30" s="1977"/>
      <c r="S30" s="1977"/>
      <c r="T30" s="1977"/>
      <c r="U30" s="1977"/>
      <c r="V30" s="1977"/>
      <c r="W30" s="1977"/>
      <c r="X30" s="1977"/>
      <c r="Y30" s="1977"/>
      <c r="Z30" s="1977"/>
    </row>
    <row r="31" spans="1:26" ht="14.25" x14ac:dyDescent="0.2">
      <c r="A31" s="1978" t="s">
        <v>1081</v>
      </c>
      <c r="B31" s="1978"/>
      <c r="C31" s="1978"/>
      <c r="D31" s="1978"/>
      <c r="E31" s="1978"/>
      <c r="F31" s="1978"/>
      <c r="G31" s="1978"/>
      <c r="H31" s="1978"/>
      <c r="I31" s="1978"/>
      <c r="J31" s="1978"/>
      <c r="K31" s="1978"/>
      <c r="L31" s="1978"/>
      <c r="M31" s="1978"/>
      <c r="N31" s="1978"/>
      <c r="O31" s="1978"/>
      <c r="P31" s="1978"/>
      <c r="Q31" s="1978"/>
      <c r="R31" s="1978"/>
      <c r="S31" s="1978"/>
      <c r="T31" s="1978"/>
      <c r="U31" s="1978"/>
      <c r="V31" s="1978"/>
      <c r="W31" s="1978"/>
      <c r="X31" s="1978"/>
      <c r="Y31" s="1978"/>
      <c r="Z31" s="1978"/>
    </row>
    <row r="32" spans="1:26" ht="29.25" customHeight="1" x14ac:dyDescent="0.2">
      <c r="A32" s="1970"/>
      <c r="B32" s="1970"/>
      <c r="C32" s="1970"/>
      <c r="D32" s="1970"/>
      <c r="E32" s="1970"/>
      <c r="F32" s="1970"/>
      <c r="G32" s="1970"/>
      <c r="H32" s="1970"/>
      <c r="I32" s="1970"/>
      <c r="J32" s="1970"/>
      <c r="K32" s="1970"/>
      <c r="L32" s="1970"/>
      <c r="M32" s="1970"/>
      <c r="N32" s="1970"/>
      <c r="O32" s="1970"/>
      <c r="P32" s="1970"/>
      <c r="Q32" s="1970"/>
      <c r="R32" s="1970"/>
      <c r="S32" s="1970"/>
      <c r="T32" s="1970"/>
      <c r="U32" s="1970"/>
      <c r="V32" s="1970"/>
      <c r="W32" s="1970"/>
      <c r="X32" s="1970"/>
      <c r="Y32" s="1970"/>
      <c r="Z32" s="1970"/>
    </row>
  </sheetData>
  <sheetProtection algorithmName="SHA-512" hashValue="+2DHlxxivI6YWbQitJtGlpEyPOj55ojQ1EzKYTtG3c8vCj+ycep3NlLC96JpAofyhOClSbfwhz5B/kYyJfV13A==" saltValue="DyFpA4Q6qY8bDetVq9e+Ag==" spinCount="100000" sheet="1" objects="1" scenarios="1"/>
  <mergeCells count="10">
    <mergeCell ref="A4:X4"/>
    <mergeCell ref="A32:Z32"/>
    <mergeCell ref="A25:Z25"/>
    <mergeCell ref="A9:Z9"/>
    <mergeCell ref="A10:Z10"/>
    <mergeCell ref="A13:Z13"/>
    <mergeCell ref="A17:Z17"/>
    <mergeCell ref="A21:Z21"/>
    <mergeCell ref="A30:Z30"/>
    <mergeCell ref="A31:Z31"/>
  </mergeCells>
  <phoneticPr fontId="16" type="noConversion"/>
  <dataValidations count="1">
    <dataValidation allowBlank="1" showInputMessage="1" showErrorMessage="1" promptTitle="Date Format" prompt="E.g:  &quot;August 1, 2011&quot;" sqref="Z7" xr:uid="{00000000-0002-0000-2100-000000000000}"/>
  </dataValidations>
  <printOptions horizontalCentered="1" headings="1" gridLines="1"/>
  <pageMargins left="0.74803149606299202" right="0.74803149606299202" top="0.98425196850393704" bottom="0.98425196850393704" header="0.511811023622047" footer="0.511811023622047"/>
  <pageSetup paperSize="17" orientation="landscape"/>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2">
    <tabColor theme="7" tint="0.39997558519241921"/>
  </sheetPr>
  <dimension ref="A1:I201"/>
  <sheetViews>
    <sheetView workbookViewId="0"/>
  </sheetViews>
  <sheetFormatPr defaultRowHeight="12.75" x14ac:dyDescent="0.2"/>
  <cols>
    <col min="1" max="1" width="10.5703125" bestFit="1" customWidth="1"/>
    <col min="2" max="2" width="10.28515625" bestFit="1" customWidth="1"/>
    <col min="4" max="4" width="10.7109375" bestFit="1" customWidth="1"/>
    <col min="5" max="5" width="17" bestFit="1" customWidth="1"/>
    <col min="6" max="6" width="34.42578125" bestFit="1" customWidth="1"/>
    <col min="7" max="7" width="50.7109375" bestFit="1" customWidth="1"/>
    <col min="8" max="8" width="23.7109375" bestFit="1" customWidth="1"/>
  </cols>
  <sheetData>
    <row r="1" spans="1:9" x14ac:dyDescent="0.2">
      <c r="A1" t="s">
        <v>1208</v>
      </c>
      <c r="B1" t="s">
        <v>1209</v>
      </c>
      <c r="C1" t="s">
        <v>290</v>
      </c>
      <c r="D1" t="s">
        <v>289</v>
      </c>
      <c r="E1" t="s">
        <v>288</v>
      </c>
      <c r="F1" t="s">
        <v>1244</v>
      </c>
      <c r="G1" t="s">
        <v>1243</v>
      </c>
      <c r="H1" t="s">
        <v>10</v>
      </c>
      <c r="I1" t="s">
        <v>1211</v>
      </c>
    </row>
    <row r="2" spans="1:9" x14ac:dyDescent="0.2">
      <c r="A2" t="str">
        <f>'LDC Info'!$E$14</f>
        <v>Niagara-on-the-Lake Hydro Inc.</v>
      </c>
      <c r="B2" t="str">
        <f t="shared" ref="B2:B33" si="0">EBNUMBER</f>
        <v>EB-2018-0056</v>
      </c>
      <c r="C2">
        <f t="shared" ref="C2:C33" si="1">TestYear</f>
        <v>2019</v>
      </c>
      <c r="D2">
        <f t="shared" ref="D2:D33" si="2">BridgeYear</f>
        <v>2018</v>
      </c>
      <c r="E2">
        <f t="shared" ref="E2:E33" si="3">RebaseYear</f>
        <v>2014</v>
      </c>
      <c r="F2" s="507" t="s">
        <v>684</v>
      </c>
      <c r="G2" s="507" t="s">
        <v>1245</v>
      </c>
      <c r="H2" s="507" t="s">
        <v>1249</v>
      </c>
      <c r="I2">
        <f>'App.2-K_Employee Costs'!B$14</f>
        <v>0</v>
      </c>
    </row>
    <row r="3" spans="1:9" x14ac:dyDescent="0.2">
      <c r="A3" t="str">
        <f>'LDC Info'!$E$14</f>
        <v>Niagara-on-the-Lake Hydro Inc.</v>
      </c>
      <c r="B3" t="str">
        <f t="shared" si="0"/>
        <v>EB-2018-0056</v>
      </c>
      <c r="C3">
        <f t="shared" si="1"/>
        <v>2019</v>
      </c>
      <c r="D3">
        <f t="shared" si="2"/>
        <v>2018</v>
      </c>
      <c r="E3">
        <f t="shared" si="3"/>
        <v>2014</v>
      </c>
      <c r="F3" s="507" t="s">
        <v>685</v>
      </c>
      <c r="G3" s="507" t="s">
        <v>1245</v>
      </c>
      <c r="H3" s="507" t="s">
        <v>1249</v>
      </c>
      <c r="I3">
        <f>'App.2-K_Employee Costs'!B$15</f>
        <v>0</v>
      </c>
    </row>
    <row r="4" spans="1:9" x14ac:dyDescent="0.2">
      <c r="A4" t="str">
        <f>'LDC Info'!$E$14</f>
        <v>Niagara-on-the-Lake Hydro Inc.</v>
      </c>
      <c r="B4" t="str">
        <f t="shared" si="0"/>
        <v>EB-2018-0056</v>
      </c>
      <c r="C4">
        <f t="shared" si="1"/>
        <v>2019</v>
      </c>
      <c r="D4">
        <f t="shared" si="2"/>
        <v>2018</v>
      </c>
      <c r="E4">
        <f t="shared" si="3"/>
        <v>2014</v>
      </c>
      <c r="F4" s="507" t="s">
        <v>684</v>
      </c>
      <c r="G4" s="507" t="s">
        <v>686</v>
      </c>
      <c r="H4" s="507" t="s">
        <v>1249</v>
      </c>
      <c r="I4">
        <f>'App.2-K_Employee Costs'!B$18</f>
        <v>0</v>
      </c>
    </row>
    <row r="5" spans="1:9" x14ac:dyDescent="0.2">
      <c r="A5" t="str">
        <f>'LDC Info'!$E$14</f>
        <v>Niagara-on-the-Lake Hydro Inc.</v>
      </c>
      <c r="B5" t="str">
        <f t="shared" si="0"/>
        <v>EB-2018-0056</v>
      </c>
      <c r="C5">
        <f t="shared" si="1"/>
        <v>2019</v>
      </c>
      <c r="D5">
        <f t="shared" si="2"/>
        <v>2018</v>
      </c>
      <c r="E5">
        <f t="shared" si="3"/>
        <v>2014</v>
      </c>
      <c r="F5" s="507" t="s">
        <v>685</v>
      </c>
      <c r="G5" s="507" t="s">
        <v>686</v>
      </c>
      <c r="H5" s="507" t="s">
        <v>1249</v>
      </c>
      <c r="I5">
        <f>'App.2-K_Employee Costs'!B$19</f>
        <v>0</v>
      </c>
    </row>
    <row r="6" spans="1:9" x14ac:dyDescent="0.2">
      <c r="A6" t="str">
        <f>'LDC Info'!$E$14</f>
        <v>Niagara-on-the-Lake Hydro Inc.</v>
      </c>
      <c r="B6" t="str">
        <f t="shared" si="0"/>
        <v>EB-2018-0056</v>
      </c>
      <c r="C6">
        <f t="shared" si="1"/>
        <v>2019</v>
      </c>
      <c r="D6">
        <f t="shared" si="2"/>
        <v>2018</v>
      </c>
      <c r="E6">
        <f t="shared" si="3"/>
        <v>2014</v>
      </c>
      <c r="F6" s="507" t="s">
        <v>684</v>
      </c>
      <c r="G6" s="507" t="s">
        <v>1201</v>
      </c>
      <c r="H6" s="507" t="s">
        <v>1249</v>
      </c>
      <c r="I6">
        <f>'App.2-K_Employee Costs'!B$22</f>
        <v>0</v>
      </c>
    </row>
    <row r="7" spans="1:9" x14ac:dyDescent="0.2">
      <c r="A7" t="str">
        <f>'LDC Info'!$E$14</f>
        <v>Niagara-on-the-Lake Hydro Inc.</v>
      </c>
      <c r="B7" t="str">
        <f t="shared" si="0"/>
        <v>EB-2018-0056</v>
      </c>
      <c r="C7">
        <f t="shared" si="1"/>
        <v>2019</v>
      </c>
      <c r="D7">
        <f t="shared" si="2"/>
        <v>2018</v>
      </c>
      <c r="E7">
        <f t="shared" si="3"/>
        <v>2014</v>
      </c>
      <c r="F7" s="507" t="s">
        <v>685</v>
      </c>
      <c r="G7" s="507" t="s">
        <v>1201</v>
      </c>
      <c r="H7" s="507" t="s">
        <v>1249</v>
      </c>
      <c r="I7">
        <f>'App.2-K_Employee Costs'!B$23</f>
        <v>0</v>
      </c>
    </row>
    <row r="8" spans="1:9" x14ac:dyDescent="0.2">
      <c r="A8" t="str">
        <f>'LDC Info'!$E$14</f>
        <v>Niagara-on-the-Lake Hydro Inc.</v>
      </c>
      <c r="B8" t="str">
        <f t="shared" si="0"/>
        <v>EB-2018-0056</v>
      </c>
      <c r="C8">
        <f t="shared" si="1"/>
        <v>2019</v>
      </c>
      <c r="D8">
        <f t="shared" si="2"/>
        <v>2018</v>
      </c>
      <c r="E8">
        <f t="shared" si="3"/>
        <v>2014</v>
      </c>
      <c r="F8" s="507" t="s">
        <v>684</v>
      </c>
      <c r="G8" s="507" t="s">
        <v>0</v>
      </c>
      <c r="H8" s="507" t="s">
        <v>1249</v>
      </c>
      <c r="I8">
        <f>'App.2-K_Employee Costs'!B$26</f>
        <v>0</v>
      </c>
    </row>
    <row r="9" spans="1:9" x14ac:dyDescent="0.2">
      <c r="A9" t="str">
        <f>'LDC Info'!$E$14</f>
        <v>Niagara-on-the-Lake Hydro Inc.</v>
      </c>
      <c r="B9" t="str">
        <f t="shared" si="0"/>
        <v>EB-2018-0056</v>
      </c>
      <c r="C9">
        <f t="shared" si="1"/>
        <v>2019</v>
      </c>
      <c r="D9">
        <f t="shared" si="2"/>
        <v>2018</v>
      </c>
      <c r="E9">
        <f t="shared" si="3"/>
        <v>2014</v>
      </c>
      <c r="F9" s="507" t="s">
        <v>685</v>
      </c>
      <c r="G9" s="507" t="s">
        <v>0</v>
      </c>
      <c r="H9" s="507" t="s">
        <v>1249</v>
      </c>
      <c r="I9">
        <f>'App.2-K_Employee Costs'!B$27</f>
        <v>0</v>
      </c>
    </row>
    <row r="10" spans="1:9" x14ac:dyDescent="0.2">
      <c r="A10" t="str">
        <f>'LDC Info'!$E$14</f>
        <v>Niagara-on-the-Lake Hydro Inc.</v>
      </c>
      <c r="B10" t="str">
        <f t="shared" si="0"/>
        <v>EB-2018-0056</v>
      </c>
      <c r="C10">
        <f t="shared" si="1"/>
        <v>2019</v>
      </c>
      <c r="D10">
        <f t="shared" si="2"/>
        <v>2018</v>
      </c>
      <c r="E10">
        <f t="shared" si="3"/>
        <v>2014</v>
      </c>
      <c r="F10" s="507" t="s">
        <v>684</v>
      </c>
      <c r="G10" s="507" t="s">
        <v>1245</v>
      </c>
      <c r="H10" s="507" t="s">
        <v>1246</v>
      </c>
      <c r="I10">
        <f>'App.2-K_Employee Costs'!C$14</f>
        <v>0</v>
      </c>
    </row>
    <row r="11" spans="1:9" x14ac:dyDescent="0.2">
      <c r="A11" t="str">
        <f>'LDC Info'!$E$14</f>
        <v>Niagara-on-the-Lake Hydro Inc.</v>
      </c>
      <c r="B11" t="str">
        <f t="shared" si="0"/>
        <v>EB-2018-0056</v>
      </c>
      <c r="C11">
        <f t="shared" si="1"/>
        <v>2019</v>
      </c>
      <c r="D11">
        <f t="shared" si="2"/>
        <v>2018</v>
      </c>
      <c r="E11">
        <f t="shared" si="3"/>
        <v>2014</v>
      </c>
      <c r="F11" s="507" t="s">
        <v>685</v>
      </c>
      <c r="G11" s="507" t="s">
        <v>1245</v>
      </c>
      <c r="H11" s="507" t="s">
        <v>1246</v>
      </c>
      <c r="I11">
        <f>'App.2-K_Employee Costs'!C$15</f>
        <v>0</v>
      </c>
    </row>
    <row r="12" spans="1:9" x14ac:dyDescent="0.2">
      <c r="A12" t="str">
        <f>'LDC Info'!$E$14</f>
        <v>Niagara-on-the-Lake Hydro Inc.</v>
      </c>
      <c r="B12" t="str">
        <f t="shared" si="0"/>
        <v>EB-2018-0056</v>
      </c>
      <c r="C12">
        <f t="shared" si="1"/>
        <v>2019</v>
      </c>
      <c r="D12">
        <f t="shared" si="2"/>
        <v>2018</v>
      </c>
      <c r="E12">
        <f t="shared" si="3"/>
        <v>2014</v>
      </c>
      <c r="F12" s="507" t="s">
        <v>684</v>
      </c>
      <c r="G12" s="507" t="s">
        <v>686</v>
      </c>
      <c r="H12" s="507" t="s">
        <v>1246</v>
      </c>
      <c r="I12">
        <f>'App.2-K_Employee Costs'!C$18</f>
        <v>0</v>
      </c>
    </row>
    <row r="13" spans="1:9" x14ac:dyDescent="0.2">
      <c r="A13" t="str">
        <f>'LDC Info'!$E$14</f>
        <v>Niagara-on-the-Lake Hydro Inc.</v>
      </c>
      <c r="B13" t="str">
        <f t="shared" si="0"/>
        <v>EB-2018-0056</v>
      </c>
      <c r="C13">
        <f t="shared" si="1"/>
        <v>2019</v>
      </c>
      <c r="D13">
        <f t="shared" si="2"/>
        <v>2018</v>
      </c>
      <c r="E13">
        <f t="shared" si="3"/>
        <v>2014</v>
      </c>
      <c r="F13" s="507" t="s">
        <v>685</v>
      </c>
      <c r="G13" s="507" t="s">
        <v>686</v>
      </c>
      <c r="H13" s="507" t="s">
        <v>1246</v>
      </c>
      <c r="I13">
        <f>'App.2-K_Employee Costs'!C$19</f>
        <v>0</v>
      </c>
    </row>
    <row r="14" spans="1:9" x14ac:dyDescent="0.2">
      <c r="A14" t="str">
        <f>'LDC Info'!$E$14</f>
        <v>Niagara-on-the-Lake Hydro Inc.</v>
      </c>
      <c r="B14" t="str">
        <f t="shared" si="0"/>
        <v>EB-2018-0056</v>
      </c>
      <c r="C14">
        <f t="shared" si="1"/>
        <v>2019</v>
      </c>
      <c r="D14">
        <f t="shared" si="2"/>
        <v>2018</v>
      </c>
      <c r="E14">
        <f t="shared" si="3"/>
        <v>2014</v>
      </c>
      <c r="F14" s="507" t="s">
        <v>684</v>
      </c>
      <c r="G14" s="507" t="s">
        <v>1201</v>
      </c>
      <c r="H14" s="507" t="s">
        <v>1246</v>
      </c>
      <c r="I14">
        <f>'App.2-K_Employee Costs'!C$22</f>
        <v>0</v>
      </c>
    </row>
    <row r="15" spans="1:9" x14ac:dyDescent="0.2">
      <c r="A15" t="str">
        <f>'LDC Info'!$E$14</f>
        <v>Niagara-on-the-Lake Hydro Inc.</v>
      </c>
      <c r="B15" t="str">
        <f t="shared" si="0"/>
        <v>EB-2018-0056</v>
      </c>
      <c r="C15">
        <f t="shared" si="1"/>
        <v>2019</v>
      </c>
      <c r="D15">
        <f t="shared" si="2"/>
        <v>2018</v>
      </c>
      <c r="E15">
        <f t="shared" si="3"/>
        <v>2014</v>
      </c>
      <c r="F15" s="507" t="s">
        <v>685</v>
      </c>
      <c r="G15" s="507" t="s">
        <v>1201</v>
      </c>
      <c r="H15" s="507" t="s">
        <v>1246</v>
      </c>
      <c r="I15">
        <f>'App.2-K_Employee Costs'!C$23</f>
        <v>0</v>
      </c>
    </row>
    <row r="16" spans="1:9" x14ac:dyDescent="0.2">
      <c r="A16" t="str">
        <f>'LDC Info'!$E$14</f>
        <v>Niagara-on-the-Lake Hydro Inc.</v>
      </c>
      <c r="B16" t="str">
        <f t="shared" si="0"/>
        <v>EB-2018-0056</v>
      </c>
      <c r="C16">
        <f t="shared" si="1"/>
        <v>2019</v>
      </c>
      <c r="D16">
        <f t="shared" si="2"/>
        <v>2018</v>
      </c>
      <c r="E16">
        <f t="shared" si="3"/>
        <v>2014</v>
      </c>
      <c r="F16" s="507" t="s">
        <v>684</v>
      </c>
      <c r="G16" s="507" t="s">
        <v>0</v>
      </c>
      <c r="H16" s="507" t="s">
        <v>1246</v>
      </c>
      <c r="I16">
        <f>'App.2-K_Employee Costs'!C$26</f>
        <v>0</v>
      </c>
    </row>
    <row r="17" spans="1:9" x14ac:dyDescent="0.2">
      <c r="A17" t="str">
        <f>'LDC Info'!$E$14</f>
        <v>Niagara-on-the-Lake Hydro Inc.</v>
      </c>
      <c r="B17" t="str">
        <f t="shared" si="0"/>
        <v>EB-2018-0056</v>
      </c>
      <c r="C17">
        <f t="shared" si="1"/>
        <v>2019</v>
      </c>
      <c r="D17">
        <f t="shared" si="2"/>
        <v>2018</v>
      </c>
      <c r="E17">
        <f t="shared" si="3"/>
        <v>2014</v>
      </c>
      <c r="F17" s="507" t="s">
        <v>685</v>
      </c>
      <c r="G17" s="507" t="s">
        <v>0</v>
      </c>
      <c r="H17" s="507" t="s">
        <v>1246</v>
      </c>
      <c r="I17">
        <f>'App.2-K_Employee Costs'!C$27</f>
        <v>0</v>
      </c>
    </row>
    <row r="18" spans="1:9" x14ac:dyDescent="0.2">
      <c r="A18" t="str">
        <f>'LDC Info'!$E$14</f>
        <v>Niagara-on-the-Lake Hydro Inc.</v>
      </c>
      <c r="B18" t="str">
        <f t="shared" si="0"/>
        <v>EB-2018-0056</v>
      </c>
      <c r="C18">
        <f t="shared" si="1"/>
        <v>2019</v>
      </c>
      <c r="D18">
        <f t="shared" si="2"/>
        <v>2018</v>
      </c>
      <c r="E18">
        <f t="shared" si="3"/>
        <v>2014</v>
      </c>
      <c r="F18" s="507" t="s">
        <v>684</v>
      </c>
      <c r="G18" s="507" t="s">
        <v>1245</v>
      </c>
      <c r="H18" s="507" t="s">
        <v>1250</v>
      </c>
      <c r="I18">
        <f>'App.2-K_Employee Costs'!D$14</f>
        <v>0</v>
      </c>
    </row>
    <row r="19" spans="1:9" x14ac:dyDescent="0.2">
      <c r="A19" t="str">
        <f>'LDC Info'!$E$14</f>
        <v>Niagara-on-the-Lake Hydro Inc.</v>
      </c>
      <c r="B19" t="str">
        <f t="shared" si="0"/>
        <v>EB-2018-0056</v>
      </c>
      <c r="C19">
        <f t="shared" si="1"/>
        <v>2019</v>
      </c>
      <c r="D19">
        <f t="shared" si="2"/>
        <v>2018</v>
      </c>
      <c r="E19">
        <f t="shared" si="3"/>
        <v>2014</v>
      </c>
      <c r="F19" s="507" t="s">
        <v>685</v>
      </c>
      <c r="G19" s="507" t="s">
        <v>1245</v>
      </c>
      <c r="H19" s="507" t="s">
        <v>1250</v>
      </c>
      <c r="I19">
        <f>'App.2-K_Employee Costs'!D$15</f>
        <v>0</v>
      </c>
    </row>
    <row r="20" spans="1:9" x14ac:dyDescent="0.2">
      <c r="A20" t="str">
        <f>'LDC Info'!$E$14</f>
        <v>Niagara-on-the-Lake Hydro Inc.</v>
      </c>
      <c r="B20" t="str">
        <f t="shared" si="0"/>
        <v>EB-2018-0056</v>
      </c>
      <c r="C20">
        <f t="shared" si="1"/>
        <v>2019</v>
      </c>
      <c r="D20">
        <f t="shared" si="2"/>
        <v>2018</v>
      </c>
      <c r="E20">
        <f t="shared" si="3"/>
        <v>2014</v>
      </c>
      <c r="F20" s="507" t="s">
        <v>684</v>
      </c>
      <c r="G20" s="507" t="s">
        <v>686</v>
      </c>
      <c r="H20" s="507" t="s">
        <v>1250</v>
      </c>
      <c r="I20">
        <f>'App.2-K_Employee Costs'!D$18</f>
        <v>0</v>
      </c>
    </row>
    <row r="21" spans="1:9" x14ac:dyDescent="0.2">
      <c r="A21" t="str">
        <f>'LDC Info'!$E$14</f>
        <v>Niagara-on-the-Lake Hydro Inc.</v>
      </c>
      <c r="B21" t="str">
        <f t="shared" si="0"/>
        <v>EB-2018-0056</v>
      </c>
      <c r="C21">
        <f t="shared" si="1"/>
        <v>2019</v>
      </c>
      <c r="D21">
        <f t="shared" si="2"/>
        <v>2018</v>
      </c>
      <c r="E21">
        <f t="shared" si="3"/>
        <v>2014</v>
      </c>
      <c r="F21" s="507" t="s">
        <v>685</v>
      </c>
      <c r="G21" s="507" t="s">
        <v>686</v>
      </c>
      <c r="H21" s="507" t="s">
        <v>1250</v>
      </c>
      <c r="I21">
        <f>'App.2-K_Employee Costs'!D$19</f>
        <v>0</v>
      </c>
    </row>
    <row r="22" spans="1:9" x14ac:dyDescent="0.2">
      <c r="A22" t="str">
        <f>'LDC Info'!$E$14</f>
        <v>Niagara-on-the-Lake Hydro Inc.</v>
      </c>
      <c r="B22" t="str">
        <f t="shared" si="0"/>
        <v>EB-2018-0056</v>
      </c>
      <c r="C22">
        <f t="shared" si="1"/>
        <v>2019</v>
      </c>
      <c r="D22">
        <f t="shared" si="2"/>
        <v>2018</v>
      </c>
      <c r="E22">
        <f t="shared" si="3"/>
        <v>2014</v>
      </c>
      <c r="F22" s="507" t="s">
        <v>684</v>
      </c>
      <c r="G22" s="507" t="s">
        <v>1201</v>
      </c>
      <c r="H22" s="507" t="s">
        <v>1250</v>
      </c>
      <c r="I22">
        <f>'App.2-K_Employee Costs'!D$22</f>
        <v>0</v>
      </c>
    </row>
    <row r="23" spans="1:9" x14ac:dyDescent="0.2">
      <c r="A23" t="str">
        <f>'LDC Info'!$E$14</f>
        <v>Niagara-on-the-Lake Hydro Inc.</v>
      </c>
      <c r="B23" t="str">
        <f t="shared" si="0"/>
        <v>EB-2018-0056</v>
      </c>
      <c r="C23">
        <f t="shared" si="1"/>
        <v>2019</v>
      </c>
      <c r="D23">
        <f t="shared" si="2"/>
        <v>2018</v>
      </c>
      <c r="E23">
        <f t="shared" si="3"/>
        <v>2014</v>
      </c>
      <c r="F23" s="507" t="s">
        <v>685</v>
      </c>
      <c r="G23" s="507" t="s">
        <v>1201</v>
      </c>
      <c r="H23" s="507" t="s">
        <v>1250</v>
      </c>
      <c r="I23">
        <f>'App.2-K_Employee Costs'!D$23</f>
        <v>0</v>
      </c>
    </row>
    <row r="24" spans="1:9" x14ac:dyDescent="0.2">
      <c r="A24" t="str">
        <f>'LDC Info'!$E$14</f>
        <v>Niagara-on-the-Lake Hydro Inc.</v>
      </c>
      <c r="B24" t="str">
        <f t="shared" si="0"/>
        <v>EB-2018-0056</v>
      </c>
      <c r="C24">
        <f t="shared" si="1"/>
        <v>2019</v>
      </c>
      <c r="D24">
        <f t="shared" si="2"/>
        <v>2018</v>
      </c>
      <c r="E24">
        <f t="shared" si="3"/>
        <v>2014</v>
      </c>
      <c r="F24" s="507" t="s">
        <v>684</v>
      </c>
      <c r="G24" s="507" t="s">
        <v>0</v>
      </c>
      <c r="H24" s="507" t="s">
        <v>1250</v>
      </c>
      <c r="I24">
        <f>'App.2-K_Employee Costs'!D$26</f>
        <v>0</v>
      </c>
    </row>
    <row r="25" spans="1:9" x14ac:dyDescent="0.2">
      <c r="A25" t="str">
        <f>'LDC Info'!$E$14</f>
        <v>Niagara-on-the-Lake Hydro Inc.</v>
      </c>
      <c r="B25" t="str">
        <f t="shared" si="0"/>
        <v>EB-2018-0056</v>
      </c>
      <c r="C25">
        <f t="shared" si="1"/>
        <v>2019</v>
      </c>
      <c r="D25">
        <f t="shared" si="2"/>
        <v>2018</v>
      </c>
      <c r="E25">
        <f t="shared" si="3"/>
        <v>2014</v>
      </c>
      <c r="F25" s="507" t="s">
        <v>685</v>
      </c>
      <c r="G25" s="507" t="s">
        <v>0</v>
      </c>
      <c r="H25" s="507" t="s">
        <v>1250</v>
      </c>
      <c r="I25">
        <f>'App.2-K_Employee Costs'!D$27</f>
        <v>0</v>
      </c>
    </row>
    <row r="26" spans="1:9" x14ac:dyDescent="0.2">
      <c r="A26" t="str">
        <f>'LDC Info'!$E$14</f>
        <v>Niagara-on-the-Lake Hydro Inc.</v>
      </c>
      <c r="B26" t="str">
        <f t="shared" si="0"/>
        <v>EB-2018-0056</v>
      </c>
      <c r="C26">
        <f t="shared" si="1"/>
        <v>2019</v>
      </c>
      <c r="D26">
        <f t="shared" si="2"/>
        <v>2018</v>
      </c>
      <c r="E26">
        <f t="shared" si="3"/>
        <v>2014</v>
      </c>
      <c r="F26" s="507" t="s">
        <v>684</v>
      </c>
      <c r="G26" s="507" t="s">
        <v>1245</v>
      </c>
      <c r="H26" s="507" t="s">
        <v>1247</v>
      </c>
      <c r="I26">
        <f>'App.2-K_Employee Costs'!E$14</f>
        <v>0</v>
      </c>
    </row>
    <row r="27" spans="1:9" x14ac:dyDescent="0.2">
      <c r="A27" t="str">
        <f>'LDC Info'!$E$14</f>
        <v>Niagara-on-the-Lake Hydro Inc.</v>
      </c>
      <c r="B27" t="str">
        <f t="shared" si="0"/>
        <v>EB-2018-0056</v>
      </c>
      <c r="C27">
        <f t="shared" si="1"/>
        <v>2019</v>
      </c>
      <c r="D27">
        <f t="shared" si="2"/>
        <v>2018</v>
      </c>
      <c r="E27">
        <f t="shared" si="3"/>
        <v>2014</v>
      </c>
      <c r="F27" s="507" t="s">
        <v>685</v>
      </c>
      <c r="G27" s="507" t="s">
        <v>1245</v>
      </c>
      <c r="H27" s="507" t="s">
        <v>1247</v>
      </c>
      <c r="I27">
        <f>'App.2-K_Employee Costs'!E$15</f>
        <v>0</v>
      </c>
    </row>
    <row r="28" spans="1:9" x14ac:dyDescent="0.2">
      <c r="A28" t="str">
        <f>'LDC Info'!$E$14</f>
        <v>Niagara-on-the-Lake Hydro Inc.</v>
      </c>
      <c r="B28" t="str">
        <f t="shared" si="0"/>
        <v>EB-2018-0056</v>
      </c>
      <c r="C28">
        <f t="shared" si="1"/>
        <v>2019</v>
      </c>
      <c r="D28">
        <f t="shared" si="2"/>
        <v>2018</v>
      </c>
      <c r="E28">
        <f t="shared" si="3"/>
        <v>2014</v>
      </c>
      <c r="F28" s="507" t="s">
        <v>684</v>
      </c>
      <c r="G28" s="507" t="s">
        <v>686</v>
      </c>
      <c r="H28" s="507" t="s">
        <v>1247</v>
      </c>
      <c r="I28">
        <f>'App.2-K_Employee Costs'!E$18</f>
        <v>0</v>
      </c>
    </row>
    <row r="29" spans="1:9" x14ac:dyDescent="0.2">
      <c r="A29" t="str">
        <f>'LDC Info'!$E$14</f>
        <v>Niagara-on-the-Lake Hydro Inc.</v>
      </c>
      <c r="B29" t="str">
        <f t="shared" si="0"/>
        <v>EB-2018-0056</v>
      </c>
      <c r="C29">
        <f t="shared" si="1"/>
        <v>2019</v>
      </c>
      <c r="D29">
        <f t="shared" si="2"/>
        <v>2018</v>
      </c>
      <c r="E29">
        <f t="shared" si="3"/>
        <v>2014</v>
      </c>
      <c r="F29" s="507" t="s">
        <v>685</v>
      </c>
      <c r="G29" s="507" t="s">
        <v>686</v>
      </c>
      <c r="H29" s="507" t="s">
        <v>1247</v>
      </c>
      <c r="I29">
        <f>'App.2-K_Employee Costs'!E$19</f>
        <v>0</v>
      </c>
    </row>
    <row r="30" spans="1:9" x14ac:dyDescent="0.2">
      <c r="A30" t="str">
        <f>'LDC Info'!$E$14</f>
        <v>Niagara-on-the-Lake Hydro Inc.</v>
      </c>
      <c r="B30" t="str">
        <f t="shared" si="0"/>
        <v>EB-2018-0056</v>
      </c>
      <c r="C30">
        <f t="shared" si="1"/>
        <v>2019</v>
      </c>
      <c r="D30">
        <f t="shared" si="2"/>
        <v>2018</v>
      </c>
      <c r="E30">
        <f t="shared" si="3"/>
        <v>2014</v>
      </c>
      <c r="F30" s="507" t="s">
        <v>684</v>
      </c>
      <c r="G30" s="507" t="s">
        <v>1201</v>
      </c>
      <c r="H30" s="507" t="s">
        <v>1247</v>
      </c>
      <c r="I30">
        <f>'App.2-K_Employee Costs'!E$22</f>
        <v>0</v>
      </c>
    </row>
    <row r="31" spans="1:9" x14ac:dyDescent="0.2">
      <c r="A31" t="str">
        <f>'LDC Info'!$E$14</f>
        <v>Niagara-on-the-Lake Hydro Inc.</v>
      </c>
      <c r="B31" t="str">
        <f t="shared" si="0"/>
        <v>EB-2018-0056</v>
      </c>
      <c r="C31">
        <f t="shared" si="1"/>
        <v>2019</v>
      </c>
      <c r="D31">
        <f t="shared" si="2"/>
        <v>2018</v>
      </c>
      <c r="E31">
        <f t="shared" si="3"/>
        <v>2014</v>
      </c>
      <c r="F31" t="s">
        <v>685</v>
      </c>
      <c r="G31" t="s">
        <v>1201</v>
      </c>
      <c r="H31" t="s">
        <v>1247</v>
      </c>
      <c r="I31">
        <f>'App.2-K_Employee Costs'!E$23</f>
        <v>0</v>
      </c>
    </row>
    <row r="32" spans="1:9" x14ac:dyDescent="0.2">
      <c r="A32" t="str">
        <f>'LDC Info'!$E$14</f>
        <v>Niagara-on-the-Lake Hydro Inc.</v>
      </c>
      <c r="B32" t="str">
        <f t="shared" si="0"/>
        <v>EB-2018-0056</v>
      </c>
      <c r="C32">
        <f t="shared" si="1"/>
        <v>2019</v>
      </c>
      <c r="D32">
        <f t="shared" si="2"/>
        <v>2018</v>
      </c>
      <c r="E32">
        <f t="shared" si="3"/>
        <v>2014</v>
      </c>
      <c r="F32" t="s">
        <v>684</v>
      </c>
      <c r="G32" t="s">
        <v>0</v>
      </c>
      <c r="H32" t="s">
        <v>1247</v>
      </c>
      <c r="I32">
        <f>'App.2-K_Employee Costs'!E$26</f>
        <v>0</v>
      </c>
    </row>
    <row r="33" spans="1:9" x14ac:dyDescent="0.2">
      <c r="A33" t="str">
        <f>'LDC Info'!$E$14</f>
        <v>Niagara-on-the-Lake Hydro Inc.</v>
      </c>
      <c r="B33" t="str">
        <f t="shared" si="0"/>
        <v>EB-2018-0056</v>
      </c>
      <c r="C33">
        <f t="shared" si="1"/>
        <v>2019</v>
      </c>
      <c r="D33">
        <f t="shared" si="2"/>
        <v>2018</v>
      </c>
      <c r="E33">
        <f t="shared" si="3"/>
        <v>2014</v>
      </c>
      <c r="F33" t="s">
        <v>685</v>
      </c>
      <c r="G33" t="s">
        <v>0</v>
      </c>
      <c r="H33" t="s">
        <v>1247</v>
      </c>
      <c r="I33">
        <f>'App.2-K_Employee Costs'!E$27</f>
        <v>0</v>
      </c>
    </row>
    <row r="34" spans="1:9" x14ac:dyDescent="0.2">
      <c r="A34" t="str">
        <f>'LDC Info'!$E$14</f>
        <v>Niagara-on-the-Lake Hydro Inc.</v>
      </c>
      <c r="B34" t="str">
        <f t="shared" ref="B34:B65" si="4">EBNUMBER</f>
        <v>EB-2018-0056</v>
      </c>
      <c r="C34">
        <f t="shared" ref="C34:C65" si="5">TestYear</f>
        <v>2019</v>
      </c>
      <c r="D34">
        <f t="shared" ref="D34:D65" si="6">BridgeYear</f>
        <v>2018</v>
      </c>
      <c r="E34">
        <f t="shared" ref="E34:E65" si="7">RebaseYear</f>
        <v>2014</v>
      </c>
      <c r="F34" s="507" t="s">
        <v>684</v>
      </c>
      <c r="G34" s="507" t="s">
        <v>1245</v>
      </c>
      <c r="H34" t="s">
        <v>1226</v>
      </c>
      <c r="I34">
        <f>'App.2-K_Employee Costs'!F$14</f>
        <v>0</v>
      </c>
    </row>
    <row r="35" spans="1:9" x14ac:dyDescent="0.2">
      <c r="A35" t="str">
        <f>'LDC Info'!$E$14</f>
        <v>Niagara-on-the-Lake Hydro Inc.</v>
      </c>
      <c r="B35" t="str">
        <f t="shared" si="4"/>
        <v>EB-2018-0056</v>
      </c>
      <c r="C35">
        <f t="shared" si="5"/>
        <v>2019</v>
      </c>
      <c r="D35">
        <f t="shared" si="6"/>
        <v>2018</v>
      </c>
      <c r="E35">
        <f t="shared" si="7"/>
        <v>2014</v>
      </c>
      <c r="F35" s="507" t="s">
        <v>685</v>
      </c>
      <c r="G35" s="507" t="s">
        <v>1245</v>
      </c>
      <c r="H35" t="s">
        <v>1226</v>
      </c>
      <c r="I35">
        <f>'App.2-K_Employee Costs'!F$15</f>
        <v>0</v>
      </c>
    </row>
    <row r="36" spans="1:9" x14ac:dyDescent="0.2">
      <c r="A36" t="str">
        <f>'LDC Info'!$E$14</f>
        <v>Niagara-on-the-Lake Hydro Inc.</v>
      </c>
      <c r="B36" t="str">
        <f t="shared" si="4"/>
        <v>EB-2018-0056</v>
      </c>
      <c r="C36">
        <f t="shared" si="5"/>
        <v>2019</v>
      </c>
      <c r="D36">
        <f t="shared" si="6"/>
        <v>2018</v>
      </c>
      <c r="E36">
        <f t="shared" si="7"/>
        <v>2014</v>
      </c>
      <c r="F36" s="507" t="s">
        <v>684</v>
      </c>
      <c r="G36" s="507" t="s">
        <v>686</v>
      </c>
      <c r="H36" t="s">
        <v>1226</v>
      </c>
      <c r="I36">
        <f>'App.2-K_Employee Costs'!F$18</f>
        <v>0</v>
      </c>
    </row>
    <row r="37" spans="1:9" x14ac:dyDescent="0.2">
      <c r="A37" t="str">
        <f>'LDC Info'!$E$14</f>
        <v>Niagara-on-the-Lake Hydro Inc.</v>
      </c>
      <c r="B37" t="str">
        <f t="shared" si="4"/>
        <v>EB-2018-0056</v>
      </c>
      <c r="C37">
        <f t="shared" si="5"/>
        <v>2019</v>
      </c>
      <c r="D37">
        <f t="shared" si="6"/>
        <v>2018</v>
      </c>
      <c r="E37">
        <f t="shared" si="7"/>
        <v>2014</v>
      </c>
      <c r="F37" s="507" t="s">
        <v>685</v>
      </c>
      <c r="G37" s="507" t="s">
        <v>686</v>
      </c>
      <c r="H37" t="s">
        <v>1226</v>
      </c>
      <c r="I37">
        <f>'App.2-K_Employee Costs'!F$19</f>
        <v>0</v>
      </c>
    </row>
    <row r="38" spans="1:9" x14ac:dyDescent="0.2">
      <c r="A38" t="str">
        <f>'LDC Info'!$E$14</f>
        <v>Niagara-on-the-Lake Hydro Inc.</v>
      </c>
      <c r="B38" t="str">
        <f t="shared" si="4"/>
        <v>EB-2018-0056</v>
      </c>
      <c r="C38">
        <f t="shared" si="5"/>
        <v>2019</v>
      </c>
      <c r="D38">
        <f t="shared" si="6"/>
        <v>2018</v>
      </c>
      <c r="E38">
        <f t="shared" si="7"/>
        <v>2014</v>
      </c>
      <c r="F38" s="507" t="s">
        <v>684</v>
      </c>
      <c r="G38" s="507" t="s">
        <v>1201</v>
      </c>
      <c r="H38" t="s">
        <v>1226</v>
      </c>
      <c r="I38">
        <f>'App.2-K_Employee Costs'!F$22</f>
        <v>0</v>
      </c>
    </row>
    <row r="39" spans="1:9" x14ac:dyDescent="0.2">
      <c r="A39" t="str">
        <f>'LDC Info'!$E$14</f>
        <v>Niagara-on-the-Lake Hydro Inc.</v>
      </c>
      <c r="B39" t="str">
        <f t="shared" si="4"/>
        <v>EB-2018-0056</v>
      </c>
      <c r="C39">
        <f t="shared" si="5"/>
        <v>2019</v>
      </c>
      <c r="D39">
        <f t="shared" si="6"/>
        <v>2018</v>
      </c>
      <c r="E39">
        <f t="shared" si="7"/>
        <v>2014</v>
      </c>
      <c r="F39" s="507" t="s">
        <v>685</v>
      </c>
      <c r="G39" s="507" t="s">
        <v>1201</v>
      </c>
      <c r="H39" t="s">
        <v>1226</v>
      </c>
      <c r="I39">
        <f>'App.2-K_Employee Costs'!F$23</f>
        <v>0</v>
      </c>
    </row>
    <row r="40" spans="1:9" x14ac:dyDescent="0.2">
      <c r="A40" t="str">
        <f>'LDC Info'!$E$14</f>
        <v>Niagara-on-the-Lake Hydro Inc.</v>
      </c>
      <c r="B40" t="str">
        <f t="shared" si="4"/>
        <v>EB-2018-0056</v>
      </c>
      <c r="C40">
        <f t="shared" si="5"/>
        <v>2019</v>
      </c>
      <c r="D40">
        <f t="shared" si="6"/>
        <v>2018</v>
      </c>
      <c r="E40">
        <f t="shared" si="7"/>
        <v>2014</v>
      </c>
      <c r="F40" s="507" t="s">
        <v>684</v>
      </c>
      <c r="G40" s="507" t="s">
        <v>0</v>
      </c>
      <c r="H40" t="s">
        <v>1226</v>
      </c>
      <c r="I40">
        <f>'App.2-K_Employee Costs'!F$26</f>
        <v>0</v>
      </c>
    </row>
    <row r="41" spans="1:9" x14ac:dyDescent="0.2">
      <c r="A41" t="str">
        <f>'LDC Info'!$E$14</f>
        <v>Niagara-on-the-Lake Hydro Inc.</v>
      </c>
      <c r="B41" t="str">
        <f t="shared" si="4"/>
        <v>EB-2018-0056</v>
      </c>
      <c r="C41">
        <f t="shared" si="5"/>
        <v>2019</v>
      </c>
      <c r="D41">
        <f t="shared" si="6"/>
        <v>2018</v>
      </c>
      <c r="E41">
        <f t="shared" si="7"/>
        <v>2014</v>
      </c>
      <c r="F41" s="507" t="s">
        <v>685</v>
      </c>
      <c r="G41" s="507" t="s">
        <v>0</v>
      </c>
      <c r="H41" t="s">
        <v>1226</v>
      </c>
      <c r="I41">
        <f>'App.2-K_Employee Costs'!F$27</f>
        <v>0</v>
      </c>
    </row>
    <row r="42" spans="1:9" x14ac:dyDescent="0.2">
      <c r="A42" t="str">
        <f>'LDC Info'!$E$14</f>
        <v>Niagara-on-the-Lake Hydro Inc.</v>
      </c>
      <c r="B42" t="str">
        <f t="shared" si="4"/>
        <v>EB-2018-0056</v>
      </c>
      <c r="C42">
        <f t="shared" si="5"/>
        <v>2019</v>
      </c>
      <c r="D42">
        <f t="shared" si="6"/>
        <v>2018</v>
      </c>
      <c r="E42">
        <f t="shared" si="7"/>
        <v>2014</v>
      </c>
      <c r="F42" t="s">
        <v>684</v>
      </c>
      <c r="G42" t="s">
        <v>1245</v>
      </c>
      <c r="H42" t="s">
        <v>1251</v>
      </c>
      <c r="I42">
        <f>'App.2-K_Employee Costs'!G$14</f>
        <v>0</v>
      </c>
    </row>
    <row r="43" spans="1:9" x14ac:dyDescent="0.2">
      <c r="A43" t="str">
        <f>'LDC Info'!$E$14</f>
        <v>Niagara-on-the-Lake Hydro Inc.</v>
      </c>
      <c r="B43" t="str">
        <f t="shared" si="4"/>
        <v>EB-2018-0056</v>
      </c>
      <c r="C43">
        <f t="shared" si="5"/>
        <v>2019</v>
      </c>
      <c r="D43">
        <f t="shared" si="6"/>
        <v>2018</v>
      </c>
      <c r="E43">
        <f t="shared" si="7"/>
        <v>2014</v>
      </c>
      <c r="F43" t="s">
        <v>685</v>
      </c>
      <c r="G43" t="s">
        <v>1245</v>
      </c>
      <c r="H43" t="s">
        <v>1251</v>
      </c>
      <c r="I43">
        <f>'App.2-K_Employee Costs'!G$15</f>
        <v>0</v>
      </c>
    </row>
    <row r="44" spans="1:9" x14ac:dyDescent="0.2">
      <c r="A44" t="str">
        <f>'LDC Info'!$E$14</f>
        <v>Niagara-on-the-Lake Hydro Inc.</v>
      </c>
      <c r="B44" t="str">
        <f t="shared" si="4"/>
        <v>EB-2018-0056</v>
      </c>
      <c r="C44">
        <f t="shared" si="5"/>
        <v>2019</v>
      </c>
      <c r="D44">
        <f t="shared" si="6"/>
        <v>2018</v>
      </c>
      <c r="E44">
        <f t="shared" si="7"/>
        <v>2014</v>
      </c>
      <c r="F44" t="s">
        <v>684</v>
      </c>
      <c r="G44" t="s">
        <v>686</v>
      </c>
      <c r="H44" t="s">
        <v>1251</v>
      </c>
      <c r="I44">
        <f>'App.2-K_Employee Costs'!G$18</f>
        <v>0</v>
      </c>
    </row>
    <row r="45" spans="1:9" x14ac:dyDescent="0.2">
      <c r="A45" t="str">
        <f>'LDC Info'!$E$14</f>
        <v>Niagara-on-the-Lake Hydro Inc.</v>
      </c>
      <c r="B45" t="str">
        <f t="shared" si="4"/>
        <v>EB-2018-0056</v>
      </c>
      <c r="C45">
        <f t="shared" si="5"/>
        <v>2019</v>
      </c>
      <c r="D45">
        <f t="shared" si="6"/>
        <v>2018</v>
      </c>
      <c r="E45">
        <f t="shared" si="7"/>
        <v>2014</v>
      </c>
      <c r="F45" t="s">
        <v>685</v>
      </c>
      <c r="G45" t="s">
        <v>686</v>
      </c>
      <c r="H45" t="s">
        <v>1251</v>
      </c>
      <c r="I45">
        <f>'App.2-K_Employee Costs'!G$19</f>
        <v>0</v>
      </c>
    </row>
    <row r="46" spans="1:9" x14ac:dyDescent="0.2">
      <c r="A46" t="str">
        <f>'LDC Info'!$E$14</f>
        <v>Niagara-on-the-Lake Hydro Inc.</v>
      </c>
      <c r="B46" t="str">
        <f t="shared" si="4"/>
        <v>EB-2018-0056</v>
      </c>
      <c r="C46">
        <f t="shared" si="5"/>
        <v>2019</v>
      </c>
      <c r="D46">
        <f t="shared" si="6"/>
        <v>2018</v>
      </c>
      <c r="E46">
        <f t="shared" si="7"/>
        <v>2014</v>
      </c>
      <c r="F46" t="s">
        <v>684</v>
      </c>
      <c r="G46" t="s">
        <v>1201</v>
      </c>
      <c r="H46" t="s">
        <v>1251</v>
      </c>
      <c r="I46">
        <f>'App.2-K_Employee Costs'!G$22</f>
        <v>0</v>
      </c>
    </row>
    <row r="47" spans="1:9" x14ac:dyDescent="0.2">
      <c r="A47" t="str">
        <f>'LDC Info'!$E$14</f>
        <v>Niagara-on-the-Lake Hydro Inc.</v>
      </c>
      <c r="B47" t="str">
        <f t="shared" si="4"/>
        <v>EB-2018-0056</v>
      </c>
      <c r="C47">
        <f t="shared" si="5"/>
        <v>2019</v>
      </c>
      <c r="D47">
        <f t="shared" si="6"/>
        <v>2018</v>
      </c>
      <c r="E47">
        <f t="shared" si="7"/>
        <v>2014</v>
      </c>
      <c r="F47" t="s">
        <v>685</v>
      </c>
      <c r="G47" t="s">
        <v>1201</v>
      </c>
      <c r="H47" t="s">
        <v>1251</v>
      </c>
      <c r="I47">
        <f>'App.2-K_Employee Costs'!G$23</f>
        <v>0</v>
      </c>
    </row>
    <row r="48" spans="1:9" x14ac:dyDescent="0.2">
      <c r="A48" t="str">
        <f>'LDC Info'!$E$14</f>
        <v>Niagara-on-the-Lake Hydro Inc.</v>
      </c>
      <c r="B48" t="str">
        <f t="shared" si="4"/>
        <v>EB-2018-0056</v>
      </c>
      <c r="C48">
        <f t="shared" si="5"/>
        <v>2019</v>
      </c>
      <c r="D48">
        <f t="shared" si="6"/>
        <v>2018</v>
      </c>
      <c r="E48">
        <f t="shared" si="7"/>
        <v>2014</v>
      </c>
      <c r="F48" t="s">
        <v>684</v>
      </c>
      <c r="G48" t="s">
        <v>0</v>
      </c>
      <c r="H48" t="s">
        <v>1251</v>
      </c>
      <c r="I48">
        <f>'App.2-K_Employee Costs'!G$26</f>
        <v>0</v>
      </c>
    </row>
    <row r="49" spans="1:9" x14ac:dyDescent="0.2">
      <c r="A49" t="str">
        <f>'LDC Info'!$E$14</f>
        <v>Niagara-on-the-Lake Hydro Inc.</v>
      </c>
      <c r="B49" t="str">
        <f t="shared" si="4"/>
        <v>EB-2018-0056</v>
      </c>
      <c r="C49">
        <f t="shared" si="5"/>
        <v>2019</v>
      </c>
      <c r="D49">
        <f t="shared" si="6"/>
        <v>2018</v>
      </c>
      <c r="E49">
        <f t="shared" si="7"/>
        <v>2014</v>
      </c>
      <c r="F49" t="s">
        <v>685</v>
      </c>
      <c r="G49" t="s">
        <v>0</v>
      </c>
      <c r="H49" t="s">
        <v>1251</v>
      </c>
      <c r="I49">
        <f>'App.2-K_Employee Costs'!G$27</f>
        <v>0</v>
      </c>
    </row>
    <row r="50" spans="1:9" x14ac:dyDescent="0.2">
      <c r="A50" t="str">
        <f>'LDC Info'!$E$14</f>
        <v>Niagara-on-the-Lake Hydro Inc.</v>
      </c>
      <c r="B50" t="str">
        <f t="shared" si="4"/>
        <v>EB-2018-0056</v>
      </c>
      <c r="C50">
        <f t="shared" si="5"/>
        <v>2019</v>
      </c>
      <c r="D50">
        <f t="shared" si="6"/>
        <v>2018</v>
      </c>
      <c r="E50">
        <f t="shared" si="7"/>
        <v>2014</v>
      </c>
      <c r="F50" t="s">
        <v>684</v>
      </c>
      <c r="G50" t="s">
        <v>1245</v>
      </c>
      <c r="H50" t="s">
        <v>1248</v>
      </c>
      <c r="I50">
        <f>'App.2-K_Employee Costs'!H$14</f>
        <v>0</v>
      </c>
    </row>
    <row r="51" spans="1:9" x14ac:dyDescent="0.2">
      <c r="A51" t="str">
        <f>'LDC Info'!$E$14</f>
        <v>Niagara-on-the-Lake Hydro Inc.</v>
      </c>
      <c r="B51" t="str">
        <f t="shared" si="4"/>
        <v>EB-2018-0056</v>
      </c>
      <c r="C51">
        <f t="shared" si="5"/>
        <v>2019</v>
      </c>
      <c r="D51">
        <f t="shared" si="6"/>
        <v>2018</v>
      </c>
      <c r="E51">
        <f t="shared" si="7"/>
        <v>2014</v>
      </c>
      <c r="F51" t="s">
        <v>685</v>
      </c>
      <c r="G51" t="s">
        <v>1245</v>
      </c>
      <c r="H51" t="s">
        <v>1248</v>
      </c>
      <c r="I51">
        <f>'App.2-K_Employee Costs'!H$15</f>
        <v>0</v>
      </c>
    </row>
    <row r="52" spans="1:9" x14ac:dyDescent="0.2">
      <c r="A52" t="str">
        <f>'LDC Info'!$E$14</f>
        <v>Niagara-on-the-Lake Hydro Inc.</v>
      </c>
      <c r="B52" t="str">
        <f t="shared" si="4"/>
        <v>EB-2018-0056</v>
      </c>
      <c r="C52">
        <f t="shared" si="5"/>
        <v>2019</v>
      </c>
      <c r="D52">
        <f t="shared" si="6"/>
        <v>2018</v>
      </c>
      <c r="E52">
        <f t="shared" si="7"/>
        <v>2014</v>
      </c>
      <c r="F52" t="s">
        <v>684</v>
      </c>
      <c r="G52" t="s">
        <v>686</v>
      </c>
      <c r="H52" t="s">
        <v>1248</v>
      </c>
      <c r="I52">
        <f>'App.2-K_Employee Costs'!H$18</f>
        <v>0</v>
      </c>
    </row>
    <row r="53" spans="1:9" x14ac:dyDescent="0.2">
      <c r="A53" t="str">
        <f>'LDC Info'!$E$14</f>
        <v>Niagara-on-the-Lake Hydro Inc.</v>
      </c>
      <c r="B53" t="str">
        <f t="shared" si="4"/>
        <v>EB-2018-0056</v>
      </c>
      <c r="C53">
        <f t="shared" si="5"/>
        <v>2019</v>
      </c>
      <c r="D53">
        <f t="shared" si="6"/>
        <v>2018</v>
      </c>
      <c r="E53">
        <f t="shared" si="7"/>
        <v>2014</v>
      </c>
      <c r="F53" t="s">
        <v>685</v>
      </c>
      <c r="G53" t="s">
        <v>686</v>
      </c>
      <c r="H53" t="s">
        <v>1248</v>
      </c>
      <c r="I53">
        <f>'App.2-K_Employee Costs'!H$19</f>
        <v>0</v>
      </c>
    </row>
    <row r="54" spans="1:9" x14ac:dyDescent="0.2">
      <c r="A54" t="str">
        <f>'LDC Info'!$E$14</f>
        <v>Niagara-on-the-Lake Hydro Inc.</v>
      </c>
      <c r="B54" t="str">
        <f t="shared" si="4"/>
        <v>EB-2018-0056</v>
      </c>
      <c r="C54">
        <f t="shared" si="5"/>
        <v>2019</v>
      </c>
      <c r="D54">
        <f t="shared" si="6"/>
        <v>2018</v>
      </c>
      <c r="E54">
        <f t="shared" si="7"/>
        <v>2014</v>
      </c>
      <c r="F54" t="s">
        <v>684</v>
      </c>
      <c r="G54" t="s">
        <v>1201</v>
      </c>
      <c r="H54" t="s">
        <v>1248</v>
      </c>
      <c r="I54">
        <f>'App.2-K_Employee Costs'!H$22</f>
        <v>0</v>
      </c>
    </row>
    <row r="55" spans="1:9" x14ac:dyDescent="0.2">
      <c r="A55" t="str">
        <f>'LDC Info'!$E$14</f>
        <v>Niagara-on-the-Lake Hydro Inc.</v>
      </c>
      <c r="B55" t="str">
        <f t="shared" si="4"/>
        <v>EB-2018-0056</v>
      </c>
      <c r="C55">
        <f t="shared" si="5"/>
        <v>2019</v>
      </c>
      <c r="D55">
        <f t="shared" si="6"/>
        <v>2018</v>
      </c>
      <c r="E55">
        <f t="shared" si="7"/>
        <v>2014</v>
      </c>
      <c r="F55" t="s">
        <v>685</v>
      </c>
      <c r="G55" t="s">
        <v>1201</v>
      </c>
      <c r="H55" t="s">
        <v>1248</v>
      </c>
      <c r="I55">
        <f>'App.2-K_Employee Costs'!H$23</f>
        <v>0</v>
      </c>
    </row>
    <row r="56" spans="1:9" x14ac:dyDescent="0.2">
      <c r="A56" t="str">
        <f>'LDC Info'!$E$14</f>
        <v>Niagara-on-the-Lake Hydro Inc.</v>
      </c>
      <c r="B56" t="str">
        <f t="shared" si="4"/>
        <v>EB-2018-0056</v>
      </c>
      <c r="C56">
        <f t="shared" si="5"/>
        <v>2019</v>
      </c>
      <c r="D56">
        <f t="shared" si="6"/>
        <v>2018</v>
      </c>
      <c r="E56">
        <f t="shared" si="7"/>
        <v>2014</v>
      </c>
      <c r="F56" t="s">
        <v>684</v>
      </c>
      <c r="G56" t="s">
        <v>0</v>
      </c>
      <c r="H56" t="s">
        <v>1248</v>
      </c>
      <c r="I56">
        <f>'App.2-K_Employee Costs'!H$26</f>
        <v>0</v>
      </c>
    </row>
    <row r="57" spans="1:9" x14ac:dyDescent="0.2">
      <c r="A57" t="str">
        <f>'LDC Info'!$E$14</f>
        <v>Niagara-on-the-Lake Hydro Inc.</v>
      </c>
      <c r="B57" t="str">
        <f t="shared" si="4"/>
        <v>EB-2018-0056</v>
      </c>
      <c r="C57">
        <f t="shared" si="5"/>
        <v>2019</v>
      </c>
      <c r="D57">
        <f t="shared" si="6"/>
        <v>2018</v>
      </c>
      <c r="E57">
        <f t="shared" si="7"/>
        <v>2014</v>
      </c>
      <c r="F57" t="s">
        <v>685</v>
      </c>
      <c r="G57" t="s">
        <v>0</v>
      </c>
      <c r="H57" t="s">
        <v>1248</v>
      </c>
      <c r="I57">
        <f>'App.2-K_Employee Costs'!H$27</f>
        <v>0</v>
      </c>
    </row>
    <row r="58" spans="1:9" x14ac:dyDescent="0.2">
      <c r="A58" t="str">
        <f>'LDC Info'!$E$14</f>
        <v>Niagara-on-the-Lake Hydro Inc.</v>
      </c>
      <c r="B58" t="str">
        <f t="shared" si="4"/>
        <v>EB-2018-0056</v>
      </c>
      <c r="C58">
        <f t="shared" si="5"/>
        <v>2019</v>
      </c>
      <c r="D58">
        <f t="shared" si="6"/>
        <v>2018</v>
      </c>
      <c r="E58">
        <f t="shared" si="7"/>
        <v>2014</v>
      </c>
      <c r="F58" t="s">
        <v>684</v>
      </c>
      <c r="G58" t="s">
        <v>1245</v>
      </c>
      <c r="H58" t="s">
        <v>1227</v>
      </c>
      <c r="I58">
        <f>'App.2-K_Employee Costs'!I$14</f>
        <v>0</v>
      </c>
    </row>
    <row r="59" spans="1:9" x14ac:dyDescent="0.2">
      <c r="A59" t="str">
        <f>'LDC Info'!$E$14</f>
        <v>Niagara-on-the-Lake Hydro Inc.</v>
      </c>
      <c r="B59" t="str">
        <f t="shared" si="4"/>
        <v>EB-2018-0056</v>
      </c>
      <c r="C59">
        <f t="shared" si="5"/>
        <v>2019</v>
      </c>
      <c r="D59">
        <f t="shared" si="6"/>
        <v>2018</v>
      </c>
      <c r="E59">
        <f t="shared" si="7"/>
        <v>2014</v>
      </c>
      <c r="F59" t="s">
        <v>685</v>
      </c>
      <c r="G59" t="s">
        <v>1245</v>
      </c>
      <c r="H59" t="s">
        <v>1227</v>
      </c>
      <c r="I59">
        <f>'App.2-K_Employee Costs'!I$15</f>
        <v>0</v>
      </c>
    </row>
    <row r="60" spans="1:9" x14ac:dyDescent="0.2">
      <c r="A60" t="str">
        <f>'LDC Info'!$E$14</f>
        <v>Niagara-on-the-Lake Hydro Inc.</v>
      </c>
      <c r="B60" t="str">
        <f t="shared" si="4"/>
        <v>EB-2018-0056</v>
      </c>
      <c r="C60">
        <f t="shared" si="5"/>
        <v>2019</v>
      </c>
      <c r="D60">
        <f t="shared" si="6"/>
        <v>2018</v>
      </c>
      <c r="E60">
        <f t="shared" si="7"/>
        <v>2014</v>
      </c>
      <c r="F60" t="s">
        <v>684</v>
      </c>
      <c r="G60" t="s">
        <v>686</v>
      </c>
      <c r="H60" t="s">
        <v>1227</v>
      </c>
      <c r="I60">
        <f>'App.2-K_Employee Costs'!I$18</f>
        <v>0</v>
      </c>
    </row>
    <row r="61" spans="1:9" x14ac:dyDescent="0.2">
      <c r="A61" t="str">
        <f>'LDC Info'!$E$14</f>
        <v>Niagara-on-the-Lake Hydro Inc.</v>
      </c>
      <c r="B61" t="str">
        <f t="shared" si="4"/>
        <v>EB-2018-0056</v>
      </c>
      <c r="C61">
        <f t="shared" si="5"/>
        <v>2019</v>
      </c>
      <c r="D61">
        <f t="shared" si="6"/>
        <v>2018</v>
      </c>
      <c r="E61">
        <f t="shared" si="7"/>
        <v>2014</v>
      </c>
      <c r="F61" t="s">
        <v>685</v>
      </c>
      <c r="G61" t="s">
        <v>686</v>
      </c>
      <c r="H61" t="s">
        <v>1227</v>
      </c>
      <c r="I61">
        <f>'App.2-K_Employee Costs'!I$19</f>
        <v>0</v>
      </c>
    </row>
    <row r="62" spans="1:9" x14ac:dyDescent="0.2">
      <c r="A62" t="str">
        <f>'LDC Info'!$E$14</f>
        <v>Niagara-on-the-Lake Hydro Inc.</v>
      </c>
      <c r="B62" t="str">
        <f t="shared" si="4"/>
        <v>EB-2018-0056</v>
      </c>
      <c r="C62">
        <f t="shared" si="5"/>
        <v>2019</v>
      </c>
      <c r="D62">
        <f t="shared" si="6"/>
        <v>2018</v>
      </c>
      <c r="E62">
        <f t="shared" si="7"/>
        <v>2014</v>
      </c>
      <c r="F62" t="s">
        <v>684</v>
      </c>
      <c r="G62" t="s">
        <v>1201</v>
      </c>
      <c r="H62" t="s">
        <v>1227</v>
      </c>
      <c r="I62">
        <f>'App.2-K_Employee Costs'!I$22</f>
        <v>0</v>
      </c>
    </row>
    <row r="63" spans="1:9" x14ac:dyDescent="0.2">
      <c r="A63" t="str">
        <f>'LDC Info'!$E$14</f>
        <v>Niagara-on-the-Lake Hydro Inc.</v>
      </c>
      <c r="B63" t="str">
        <f t="shared" si="4"/>
        <v>EB-2018-0056</v>
      </c>
      <c r="C63">
        <f t="shared" si="5"/>
        <v>2019</v>
      </c>
      <c r="D63">
        <f t="shared" si="6"/>
        <v>2018</v>
      </c>
      <c r="E63">
        <f t="shared" si="7"/>
        <v>2014</v>
      </c>
      <c r="F63" t="s">
        <v>685</v>
      </c>
      <c r="G63" t="s">
        <v>1201</v>
      </c>
      <c r="H63" t="s">
        <v>1227</v>
      </c>
      <c r="I63">
        <f>'App.2-K_Employee Costs'!I$23</f>
        <v>0</v>
      </c>
    </row>
    <row r="64" spans="1:9" x14ac:dyDescent="0.2">
      <c r="A64" t="str">
        <f>'LDC Info'!$E$14</f>
        <v>Niagara-on-the-Lake Hydro Inc.</v>
      </c>
      <c r="B64" t="str">
        <f t="shared" si="4"/>
        <v>EB-2018-0056</v>
      </c>
      <c r="C64">
        <f t="shared" si="5"/>
        <v>2019</v>
      </c>
      <c r="D64">
        <f t="shared" si="6"/>
        <v>2018</v>
      </c>
      <c r="E64">
        <f t="shared" si="7"/>
        <v>2014</v>
      </c>
      <c r="F64" t="s">
        <v>684</v>
      </c>
      <c r="G64" t="s">
        <v>0</v>
      </c>
      <c r="H64" t="s">
        <v>1227</v>
      </c>
      <c r="I64">
        <f>'App.2-K_Employee Costs'!I$26</f>
        <v>0</v>
      </c>
    </row>
    <row r="65" spans="1:9" x14ac:dyDescent="0.2">
      <c r="A65" t="str">
        <f>'LDC Info'!$E$14</f>
        <v>Niagara-on-the-Lake Hydro Inc.</v>
      </c>
      <c r="B65" t="str">
        <f t="shared" si="4"/>
        <v>EB-2018-0056</v>
      </c>
      <c r="C65">
        <f t="shared" si="5"/>
        <v>2019</v>
      </c>
      <c r="D65">
        <f t="shared" si="6"/>
        <v>2018</v>
      </c>
      <c r="E65">
        <f t="shared" si="7"/>
        <v>2014</v>
      </c>
      <c r="F65" t="s">
        <v>685</v>
      </c>
      <c r="G65" t="s">
        <v>0</v>
      </c>
      <c r="H65" t="s">
        <v>1227</v>
      </c>
      <c r="I65">
        <f>'App.2-K_Employee Costs'!I$27</f>
        <v>0</v>
      </c>
    </row>
    <row r="66" spans="1:9" x14ac:dyDescent="0.2">
      <c r="A66" t="str">
        <f>'LDC Info'!$E$14</f>
        <v>Niagara-on-the-Lake Hydro Inc.</v>
      </c>
      <c r="B66" t="str">
        <f t="shared" ref="B66:B97" si="8">EBNUMBER</f>
        <v>EB-2018-0056</v>
      </c>
      <c r="C66">
        <f t="shared" ref="C66:C97" si="9">TestYear</f>
        <v>2019</v>
      </c>
      <c r="D66">
        <f t="shared" ref="D66:D97" si="10">BridgeYear</f>
        <v>2018</v>
      </c>
      <c r="E66">
        <f t="shared" ref="E66:E97" si="11">RebaseYear</f>
        <v>2014</v>
      </c>
      <c r="F66" t="s">
        <v>684</v>
      </c>
      <c r="G66" t="s">
        <v>1245</v>
      </c>
      <c r="H66" t="s">
        <v>1252</v>
      </c>
      <c r="I66">
        <f>'App.2-K_Employee Costs'!J$14</f>
        <v>0</v>
      </c>
    </row>
    <row r="67" spans="1:9" x14ac:dyDescent="0.2">
      <c r="A67" t="str">
        <f>'LDC Info'!$E$14</f>
        <v>Niagara-on-the-Lake Hydro Inc.</v>
      </c>
      <c r="B67" t="str">
        <f t="shared" si="8"/>
        <v>EB-2018-0056</v>
      </c>
      <c r="C67">
        <f t="shared" si="9"/>
        <v>2019</v>
      </c>
      <c r="D67">
        <f t="shared" si="10"/>
        <v>2018</v>
      </c>
      <c r="E67">
        <f t="shared" si="11"/>
        <v>2014</v>
      </c>
      <c r="F67" t="s">
        <v>685</v>
      </c>
      <c r="G67" t="s">
        <v>1245</v>
      </c>
      <c r="H67" t="s">
        <v>1252</v>
      </c>
      <c r="I67">
        <f>'App.2-K_Employee Costs'!J$15</f>
        <v>0</v>
      </c>
    </row>
    <row r="68" spans="1:9" x14ac:dyDescent="0.2">
      <c r="A68" t="str">
        <f>'LDC Info'!$E$14</f>
        <v>Niagara-on-the-Lake Hydro Inc.</v>
      </c>
      <c r="B68" t="str">
        <f t="shared" si="8"/>
        <v>EB-2018-0056</v>
      </c>
      <c r="C68">
        <f t="shared" si="9"/>
        <v>2019</v>
      </c>
      <c r="D68">
        <f t="shared" si="10"/>
        <v>2018</v>
      </c>
      <c r="E68">
        <f t="shared" si="11"/>
        <v>2014</v>
      </c>
      <c r="F68" t="s">
        <v>684</v>
      </c>
      <c r="G68" t="s">
        <v>686</v>
      </c>
      <c r="H68" t="s">
        <v>1252</v>
      </c>
      <c r="I68">
        <f>'App.2-K_Employee Costs'!J$18</f>
        <v>0</v>
      </c>
    </row>
    <row r="69" spans="1:9" x14ac:dyDescent="0.2">
      <c r="A69" t="str">
        <f>'LDC Info'!$E$14</f>
        <v>Niagara-on-the-Lake Hydro Inc.</v>
      </c>
      <c r="B69" t="str">
        <f t="shared" si="8"/>
        <v>EB-2018-0056</v>
      </c>
      <c r="C69">
        <f t="shared" si="9"/>
        <v>2019</v>
      </c>
      <c r="D69">
        <f t="shared" si="10"/>
        <v>2018</v>
      </c>
      <c r="E69">
        <f t="shared" si="11"/>
        <v>2014</v>
      </c>
      <c r="F69" t="s">
        <v>685</v>
      </c>
      <c r="G69" t="s">
        <v>686</v>
      </c>
      <c r="H69" t="s">
        <v>1252</v>
      </c>
      <c r="I69">
        <f>'App.2-K_Employee Costs'!J$19</f>
        <v>0</v>
      </c>
    </row>
    <row r="70" spans="1:9" x14ac:dyDescent="0.2">
      <c r="A70" t="str">
        <f>'LDC Info'!$E$14</f>
        <v>Niagara-on-the-Lake Hydro Inc.</v>
      </c>
      <c r="B70" t="str">
        <f t="shared" si="8"/>
        <v>EB-2018-0056</v>
      </c>
      <c r="C70">
        <f t="shared" si="9"/>
        <v>2019</v>
      </c>
      <c r="D70">
        <f t="shared" si="10"/>
        <v>2018</v>
      </c>
      <c r="E70">
        <f t="shared" si="11"/>
        <v>2014</v>
      </c>
      <c r="F70" t="s">
        <v>684</v>
      </c>
      <c r="G70" t="s">
        <v>1201</v>
      </c>
      <c r="H70" t="s">
        <v>1252</v>
      </c>
      <c r="I70">
        <f>'App.2-K_Employee Costs'!J$22</f>
        <v>0</v>
      </c>
    </row>
    <row r="71" spans="1:9" x14ac:dyDescent="0.2">
      <c r="A71" t="str">
        <f>'LDC Info'!$E$14</f>
        <v>Niagara-on-the-Lake Hydro Inc.</v>
      </c>
      <c r="B71" t="str">
        <f t="shared" si="8"/>
        <v>EB-2018-0056</v>
      </c>
      <c r="C71">
        <f t="shared" si="9"/>
        <v>2019</v>
      </c>
      <c r="D71">
        <f t="shared" si="10"/>
        <v>2018</v>
      </c>
      <c r="E71">
        <f t="shared" si="11"/>
        <v>2014</v>
      </c>
      <c r="F71" t="s">
        <v>685</v>
      </c>
      <c r="G71" t="s">
        <v>1201</v>
      </c>
      <c r="H71" t="s">
        <v>1252</v>
      </c>
      <c r="I71">
        <f>'App.2-K_Employee Costs'!J$23</f>
        <v>0</v>
      </c>
    </row>
    <row r="72" spans="1:9" x14ac:dyDescent="0.2">
      <c r="A72" t="str">
        <f>'LDC Info'!$E$14</f>
        <v>Niagara-on-the-Lake Hydro Inc.</v>
      </c>
      <c r="B72" t="str">
        <f t="shared" si="8"/>
        <v>EB-2018-0056</v>
      </c>
      <c r="C72">
        <f t="shared" si="9"/>
        <v>2019</v>
      </c>
      <c r="D72">
        <f t="shared" si="10"/>
        <v>2018</v>
      </c>
      <c r="E72">
        <f t="shared" si="11"/>
        <v>2014</v>
      </c>
      <c r="F72" t="s">
        <v>684</v>
      </c>
      <c r="G72" t="s">
        <v>0</v>
      </c>
      <c r="H72" t="s">
        <v>1252</v>
      </c>
      <c r="I72">
        <f>'App.2-K_Employee Costs'!J$26</f>
        <v>0</v>
      </c>
    </row>
    <row r="73" spans="1:9" x14ac:dyDescent="0.2">
      <c r="A73" t="str">
        <f>'LDC Info'!$E$14</f>
        <v>Niagara-on-the-Lake Hydro Inc.</v>
      </c>
      <c r="B73" t="str">
        <f t="shared" si="8"/>
        <v>EB-2018-0056</v>
      </c>
      <c r="C73">
        <f t="shared" si="9"/>
        <v>2019</v>
      </c>
      <c r="D73">
        <f t="shared" si="10"/>
        <v>2018</v>
      </c>
      <c r="E73">
        <f t="shared" si="11"/>
        <v>2014</v>
      </c>
      <c r="F73" t="s">
        <v>685</v>
      </c>
      <c r="G73" t="s">
        <v>0</v>
      </c>
      <c r="H73" t="s">
        <v>1252</v>
      </c>
      <c r="I73">
        <f>'App.2-K_Employee Costs'!J$27</f>
        <v>0</v>
      </c>
    </row>
    <row r="74" spans="1:9" x14ac:dyDescent="0.2">
      <c r="A74" t="str">
        <f>'LDC Info'!$E$14</f>
        <v>Niagara-on-the-Lake Hydro Inc.</v>
      </c>
      <c r="B74" t="str">
        <f t="shared" si="8"/>
        <v>EB-2018-0056</v>
      </c>
      <c r="C74">
        <f t="shared" si="9"/>
        <v>2019</v>
      </c>
      <c r="D74">
        <f t="shared" si="10"/>
        <v>2018</v>
      </c>
      <c r="E74">
        <f t="shared" si="11"/>
        <v>2014</v>
      </c>
      <c r="F74" t="s">
        <v>684</v>
      </c>
      <c r="G74" t="s">
        <v>1245</v>
      </c>
      <c r="H74" t="s">
        <v>1253</v>
      </c>
      <c r="I74">
        <f>'App.2-K_Employee Costs'!K$14</f>
        <v>0</v>
      </c>
    </row>
    <row r="75" spans="1:9" x14ac:dyDescent="0.2">
      <c r="A75" t="str">
        <f>'LDC Info'!$E$14</f>
        <v>Niagara-on-the-Lake Hydro Inc.</v>
      </c>
      <c r="B75" t="str">
        <f t="shared" si="8"/>
        <v>EB-2018-0056</v>
      </c>
      <c r="C75">
        <f t="shared" si="9"/>
        <v>2019</v>
      </c>
      <c r="D75">
        <f t="shared" si="10"/>
        <v>2018</v>
      </c>
      <c r="E75">
        <f t="shared" si="11"/>
        <v>2014</v>
      </c>
      <c r="F75" t="s">
        <v>685</v>
      </c>
      <c r="G75" t="s">
        <v>1245</v>
      </c>
      <c r="H75" t="s">
        <v>1253</v>
      </c>
      <c r="I75">
        <f>'App.2-K_Employee Costs'!K$15</f>
        <v>0</v>
      </c>
    </row>
    <row r="76" spans="1:9" x14ac:dyDescent="0.2">
      <c r="A76" t="str">
        <f>'LDC Info'!$E$14</f>
        <v>Niagara-on-the-Lake Hydro Inc.</v>
      </c>
      <c r="B76" t="str">
        <f t="shared" si="8"/>
        <v>EB-2018-0056</v>
      </c>
      <c r="C76">
        <f t="shared" si="9"/>
        <v>2019</v>
      </c>
      <c r="D76">
        <f t="shared" si="10"/>
        <v>2018</v>
      </c>
      <c r="E76">
        <f t="shared" si="11"/>
        <v>2014</v>
      </c>
      <c r="F76" t="s">
        <v>684</v>
      </c>
      <c r="G76" t="s">
        <v>686</v>
      </c>
      <c r="H76" t="s">
        <v>1253</v>
      </c>
      <c r="I76">
        <f>'App.2-K_Employee Costs'!K$18</f>
        <v>0</v>
      </c>
    </row>
    <row r="77" spans="1:9" x14ac:dyDescent="0.2">
      <c r="A77" t="str">
        <f>'LDC Info'!$E$14</f>
        <v>Niagara-on-the-Lake Hydro Inc.</v>
      </c>
      <c r="B77" t="str">
        <f t="shared" si="8"/>
        <v>EB-2018-0056</v>
      </c>
      <c r="C77">
        <f t="shared" si="9"/>
        <v>2019</v>
      </c>
      <c r="D77">
        <f t="shared" si="10"/>
        <v>2018</v>
      </c>
      <c r="E77">
        <f t="shared" si="11"/>
        <v>2014</v>
      </c>
      <c r="F77" t="s">
        <v>685</v>
      </c>
      <c r="G77" t="s">
        <v>686</v>
      </c>
      <c r="H77" t="s">
        <v>1253</v>
      </c>
      <c r="I77">
        <f>'App.2-K_Employee Costs'!K$19</f>
        <v>0</v>
      </c>
    </row>
    <row r="78" spans="1:9" x14ac:dyDescent="0.2">
      <c r="A78" t="str">
        <f>'LDC Info'!$E$14</f>
        <v>Niagara-on-the-Lake Hydro Inc.</v>
      </c>
      <c r="B78" t="str">
        <f t="shared" si="8"/>
        <v>EB-2018-0056</v>
      </c>
      <c r="C78">
        <f t="shared" si="9"/>
        <v>2019</v>
      </c>
      <c r="D78">
        <f t="shared" si="10"/>
        <v>2018</v>
      </c>
      <c r="E78">
        <f t="shared" si="11"/>
        <v>2014</v>
      </c>
      <c r="F78" t="s">
        <v>684</v>
      </c>
      <c r="G78" t="s">
        <v>1201</v>
      </c>
      <c r="H78" t="s">
        <v>1253</v>
      </c>
      <c r="I78">
        <f>'App.2-K_Employee Costs'!K$22</f>
        <v>0</v>
      </c>
    </row>
    <row r="79" spans="1:9" x14ac:dyDescent="0.2">
      <c r="A79" t="str">
        <f>'LDC Info'!$E$14</f>
        <v>Niagara-on-the-Lake Hydro Inc.</v>
      </c>
      <c r="B79" t="str">
        <f t="shared" si="8"/>
        <v>EB-2018-0056</v>
      </c>
      <c r="C79">
        <f t="shared" si="9"/>
        <v>2019</v>
      </c>
      <c r="D79">
        <f t="shared" si="10"/>
        <v>2018</v>
      </c>
      <c r="E79">
        <f t="shared" si="11"/>
        <v>2014</v>
      </c>
      <c r="F79" t="s">
        <v>685</v>
      </c>
      <c r="G79" t="s">
        <v>1201</v>
      </c>
      <c r="H79" t="s">
        <v>1253</v>
      </c>
      <c r="I79">
        <f>'App.2-K_Employee Costs'!K$23</f>
        <v>0</v>
      </c>
    </row>
    <row r="80" spans="1:9" x14ac:dyDescent="0.2">
      <c r="A80" t="str">
        <f>'LDC Info'!$E$14</f>
        <v>Niagara-on-the-Lake Hydro Inc.</v>
      </c>
      <c r="B80" t="str">
        <f t="shared" si="8"/>
        <v>EB-2018-0056</v>
      </c>
      <c r="C80">
        <f t="shared" si="9"/>
        <v>2019</v>
      </c>
      <c r="D80">
        <f t="shared" si="10"/>
        <v>2018</v>
      </c>
      <c r="E80">
        <f t="shared" si="11"/>
        <v>2014</v>
      </c>
      <c r="F80" t="s">
        <v>684</v>
      </c>
      <c r="G80" t="s">
        <v>0</v>
      </c>
      <c r="H80" t="s">
        <v>1253</v>
      </c>
      <c r="I80">
        <f>'App.2-K_Employee Costs'!K$26</f>
        <v>0</v>
      </c>
    </row>
    <row r="81" spans="1:9" x14ac:dyDescent="0.2">
      <c r="A81" t="str">
        <f>'LDC Info'!$E$14</f>
        <v>Niagara-on-the-Lake Hydro Inc.</v>
      </c>
      <c r="B81" t="str">
        <f t="shared" si="8"/>
        <v>EB-2018-0056</v>
      </c>
      <c r="C81">
        <f t="shared" si="9"/>
        <v>2019</v>
      </c>
      <c r="D81">
        <f t="shared" si="10"/>
        <v>2018</v>
      </c>
      <c r="E81">
        <f t="shared" si="11"/>
        <v>2014</v>
      </c>
      <c r="F81" t="s">
        <v>685</v>
      </c>
      <c r="G81" t="s">
        <v>0</v>
      </c>
      <c r="H81" t="s">
        <v>1253</v>
      </c>
      <c r="I81">
        <f>'App.2-K_Employee Costs'!K$27</f>
        <v>0</v>
      </c>
    </row>
    <row r="82" spans="1:9" x14ac:dyDescent="0.2">
      <c r="A82" t="str">
        <f>'LDC Info'!$E$14</f>
        <v>Niagara-on-the-Lake Hydro Inc.</v>
      </c>
      <c r="B82" t="str">
        <f t="shared" si="8"/>
        <v>EB-2018-0056</v>
      </c>
      <c r="C82">
        <f t="shared" si="9"/>
        <v>2019</v>
      </c>
      <c r="D82">
        <f t="shared" si="10"/>
        <v>2018</v>
      </c>
      <c r="E82">
        <f t="shared" si="11"/>
        <v>2014</v>
      </c>
      <c r="F82" t="s">
        <v>684</v>
      </c>
      <c r="G82" t="s">
        <v>1245</v>
      </c>
      <c r="H82" t="s">
        <v>1230</v>
      </c>
      <c r="I82">
        <f>'App.2-K_Employee Costs'!L$14</f>
        <v>0</v>
      </c>
    </row>
    <row r="83" spans="1:9" x14ac:dyDescent="0.2">
      <c r="A83" t="str">
        <f>'LDC Info'!$E$14</f>
        <v>Niagara-on-the-Lake Hydro Inc.</v>
      </c>
      <c r="B83" t="str">
        <f t="shared" si="8"/>
        <v>EB-2018-0056</v>
      </c>
      <c r="C83">
        <f t="shared" si="9"/>
        <v>2019</v>
      </c>
      <c r="D83">
        <f t="shared" si="10"/>
        <v>2018</v>
      </c>
      <c r="E83">
        <f t="shared" si="11"/>
        <v>2014</v>
      </c>
      <c r="F83" t="s">
        <v>685</v>
      </c>
      <c r="G83" t="s">
        <v>1245</v>
      </c>
      <c r="H83" t="s">
        <v>1230</v>
      </c>
      <c r="I83">
        <f>'App.2-K_Employee Costs'!L$15</f>
        <v>0</v>
      </c>
    </row>
    <row r="84" spans="1:9" x14ac:dyDescent="0.2">
      <c r="A84" t="str">
        <f>'LDC Info'!$E$14</f>
        <v>Niagara-on-the-Lake Hydro Inc.</v>
      </c>
      <c r="B84" t="str">
        <f t="shared" si="8"/>
        <v>EB-2018-0056</v>
      </c>
      <c r="C84">
        <f t="shared" si="9"/>
        <v>2019</v>
      </c>
      <c r="D84">
        <f t="shared" si="10"/>
        <v>2018</v>
      </c>
      <c r="E84">
        <f t="shared" si="11"/>
        <v>2014</v>
      </c>
      <c r="F84" t="s">
        <v>684</v>
      </c>
      <c r="G84" t="s">
        <v>686</v>
      </c>
      <c r="H84" t="s">
        <v>1230</v>
      </c>
      <c r="I84">
        <f>'App.2-K_Employee Costs'!L$18</f>
        <v>0</v>
      </c>
    </row>
    <row r="85" spans="1:9" x14ac:dyDescent="0.2">
      <c r="A85" t="str">
        <f>'LDC Info'!$E$14</f>
        <v>Niagara-on-the-Lake Hydro Inc.</v>
      </c>
      <c r="B85" t="str">
        <f t="shared" si="8"/>
        <v>EB-2018-0056</v>
      </c>
      <c r="C85">
        <f t="shared" si="9"/>
        <v>2019</v>
      </c>
      <c r="D85">
        <f t="shared" si="10"/>
        <v>2018</v>
      </c>
      <c r="E85">
        <f t="shared" si="11"/>
        <v>2014</v>
      </c>
      <c r="F85" t="s">
        <v>685</v>
      </c>
      <c r="G85" t="s">
        <v>686</v>
      </c>
      <c r="H85" t="s">
        <v>1230</v>
      </c>
      <c r="I85">
        <f>'App.2-K_Employee Costs'!L$19</f>
        <v>0</v>
      </c>
    </row>
    <row r="86" spans="1:9" x14ac:dyDescent="0.2">
      <c r="A86" t="str">
        <f>'LDC Info'!$E$14</f>
        <v>Niagara-on-the-Lake Hydro Inc.</v>
      </c>
      <c r="B86" t="str">
        <f t="shared" si="8"/>
        <v>EB-2018-0056</v>
      </c>
      <c r="C86">
        <f t="shared" si="9"/>
        <v>2019</v>
      </c>
      <c r="D86">
        <f t="shared" si="10"/>
        <v>2018</v>
      </c>
      <c r="E86">
        <f t="shared" si="11"/>
        <v>2014</v>
      </c>
      <c r="F86" t="s">
        <v>684</v>
      </c>
      <c r="G86" t="s">
        <v>1201</v>
      </c>
      <c r="H86" t="s">
        <v>1230</v>
      </c>
      <c r="I86">
        <f>'App.2-K_Employee Costs'!L$22</f>
        <v>0</v>
      </c>
    </row>
    <row r="87" spans="1:9" x14ac:dyDescent="0.2">
      <c r="A87" t="str">
        <f>'LDC Info'!$E$14</f>
        <v>Niagara-on-the-Lake Hydro Inc.</v>
      </c>
      <c r="B87" t="str">
        <f t="shared" si="8"/>
        <v>EB-2018-0056</v>
      </c>
      <c r="C87">
        <f t="shared" si="9"/>
        <v>2019</v>
      </c>
      <c r="D87">
        <f t="shared" si="10"/>
        <v>2018</v>
      </c>
      <c r="E87">
        <f t="shared" si="11"/>
        <v>2014</v>
      </c>
      <c r="F87" t="s">
        <v>685</v>
      </c>
      <c r="G87" t="s">
        <v>1201</v>
      </c>
      <c r="H87" t="s">
        <v>1230</v>
      </c>
      <c r="I87">
        <f>'App.2-K_Employee Costs'!L$23</f>
        <v>0</v>
      </c>
    </row>
    <row r="88" spans="1:9" x14ac:dyDescent="0.2">
      <c r="A88" t="str">
        <f>'LDC Info'!$E$14</f>
        <v>Niagara-on-the-Lake Hydro Inc.</v>
      </c>
      <c r="B88" t="str">
        <f t="shared" si="8"/>
        <v>EB-2018-0056</v>
      </c>
      <c r="C88">
        <f t="shared" si="9"/>
        <v>2019</v>
      </c>
      <c r="D88">
        <f t="shared" si="10"/>
        <v>2018</v>
      </c>
      <c r="E88">
        <f t="shared" si="11"/>
        <v>2014</v>
      </c>
      <c r="F88" t="s">
        <v>684</v>
      </c>
      <c r="G88" t="s">
        <v>0</v>
      </c>
      <c r="H88" t="s">
        <v>1230</v>
      </c>
      <c r="I88">
        <f>'App.2-K_Employee Costs'!L$26</f>
        <v>0</v>
      </c>
    </row>
    <row r="89" spans="1:9" x14ac:dyDescent="0.2">
      <c r="A89" t="str">
        <f>'LDC Info'!$E$14</f>
        <v>Niagara-on-the-Lake Hydro Inc.</v>
      </c>
      <c r="B89" t="str">
        <f t="shared" si="8"/>
        <v>EB-2018-0056</v>
      </c>
      <c r="C89">
        <f t="shared" si="9"/>
        <v>2019</v>
      </c>
      <c r="D89">
        <f t="shared" si="10"/>
        <v>2018</v>
      </c>
      <c r="E89">
        <f t="shared" si="11"/>
        <v>2014</v>
      </c>
      <c r="F89" t="s">
        <v>685</v>
      </c>
      <c r="G89" t="s">
        <v>0</v>
      </c>
      <c r="H89" t="s">
        <v>1230</v>
      </c>
      <c r="I89">
        <f>'App.2-K_Employee Costs'!L$27</f>
        <v>0</v>
      </c>
    </row>
    <row r="90" spans="1:9" x14ac:dyDescent="0.2">
      <c r="A90" t="str">
        <f>'LDC Info'!$E$14</f>
        <v>Niagara-on-the-Lake Hydro Inc.</v>
      </c>
      <c r="B90" t="str">
        <f t="shared" si="8"/>
        <v>EB-2018-0056</v>
      </c>
      <c r="C90">
        <f t="shared" si="9"/>
        <v>2019</v>
      </c>
      <c r="D90">
        <f t="shared" si="10"/>
        <v>2018</v>
      </c>
      <c r="E90">
        <f t="shared" si="11"/>
        <v>2014</v>
      </c>
      <c r="F90" t="s">
        <v>684</v>
      </c>
      <c r="G90" t="s">
        <v>1245</v>
      </c>
      <c r="H90" t="s">
        <v>1254</v>
      </c>
      <c r="I90">
        <f>'App.2-K_Employee Costs'!M$14</f>
        <v>6</v>
      </c>
    </row>
    <row r="91" spans="1:9" x14ac:dyDescent="0.2">
      <c r="A91" t="str">
        <f>'LDC Info'!$E$14</f>
        <v>Niagara-on-the-Lake Hydro Inc.</v>
      </c>
      <c r="B91" t="str">
        <f t="shared" si="8"/>
        <v>EB-2018-0056</v>
      </c>
      <c r="C91">
        <f t="shared" si="9"/>
        <v>2019</v>
      </c>
      <c r="D91">
        <f t="shared" si="10"/>
        <v>2018</v>
      </c>
      <c r="E91">
        <f t="shared" si="11"/>
        <v>2014</v>
      </c>
      <c r="F91" t="s">
        <v>685</v>
      </c>
      <c r="G91" t="s">
        <v>1245</v>
      </c>
      <c r="H91" t="s">
        <v>1254</v>
      </c>
      <c r="I91">
        <f>'App.2-K_Employee Costs'!M$15</f>
        <v>13.1</v>
      </c>
    </row>
    <row r="92" spans="1:9" x14ac:dyDescent="0.2">
      <c r="A92" t="str">
        <f>'LDC Info'!$E$14</f>
        <v>Niagara-on-the-Lake Hydro Inc.</v>
      </c>
      <c r="B92" t="str">
        <f t="shared" si="8"/>
        <v>EB-2018-0056</v>
      </c>
      <c r="C92">
        <f t="shared" si="9"/>
        <v>2019</v>
      </c>
      <c r="D92">
        <f t="shared" si="10"/>
        <v>2018</v>
      </c>
      <c r="E92">
        <f t="shared" si="11"/>
        <v>2014</v>
      </c>
      <c r="F92" t="s">
        <v>684</v>
      </c>
      <c r="G92" t="s">
        <v>686</v>
      </c>
      <c r="H92" t="s">
        <v>1254</v>
      </c>
      <c r="I92">
        <f>'App.2-K_Employee Costs'!M$18</f>
        <v>611905.55002991052</v>
      </c>
    </row>
    <row r="93" spans="1:9" x14ac:dyDescent="0.2">
      <c r="A93" t="str">
        <f>'LDC Info'!$E$14</f>
        <v>Niagara-on-the-Lake Hydro Inc.</v>
      </c>
      <c r="B93" t="str">
        <f t="shared" si="8"/>
        <v>EB-2018-0056</v>
      </c>
      <c r="C93">
        <f t="shared" si="9"/>
        <v>2019</v>
      </c>
      <c r="D93">
        <f t="shared" si="10"/>
        <v>2018</v>
      </c>
      <c r="E93">
        <f t="shared" si="11"/>
        <v>2014</v>
      </c>
      <c r="F93" t="s">
        <v>685</v>
      </c>
      <c r="G93" t="s">
        <v>686</v>
      </c>
      <c r="H93" t="s">
        <v>1254</v>
      </c>
      <c r="I93">
        <f>'App.2-K_Employee Costs'!M$19</f>
        <v>874308.69081707508</v>
      </c>
    </row>
    <row r="94" spans="1:9" x14ac:dyDescent="0.2">
      <c r="A94" t="str">
        <f>'LDC Info'!$E$14</f>
        <v>Niagara-on-the-Lake Hydro Inc.</v>
      </c>
      <c r="B94" t="str">
        <f t="shared" si="8"/>
        <v>EB-2018-0056</v>
      </c>
      <c r="C94">
        <f t="shared" si="9"/>
        <v>2019</v>
      </c>
      <c r="D94">
        <f t="shared" si="10"/>
        <v>2018</v>
      </c>
      <c r="E94">
        <f t="shared" si="11"/>
        <v>2014</v>
      </c>
      <c r="F94" t="s">
        <v>684</v>
      </c>
      <c r="G94" t="s">
        <v>1201</v>
      </c>
      <c r="H94" t="s">
        <v>1254</v>
      </c>
      <c r="I94">
        <f>'App.2-K_Employee Costs'!M$22</f>
        <v>130289.20723087844</v>
      </c>
    </row>
    <row r="95" spans="1:9" x14ac:dyDescent="0.2">
      <c r="A95" t="str">
        <f>'LDC Info'!$E$14</f>
        <v>Niagara-on-the-Lake Hydro Inc.</v>
      </c>
      <c r="B95" t="str">
        <f t="shared" si="8"/>
        <v>EB-2018-0056</v>
      </c>
      <c r="C95">
        <f t="shared" si="9"/>
        <v>2019</v>
      </c>
      <c r="D95">
        <f t="shared" si="10"/>
        <v>2018</v>
      </c>
      <c r="E95">
        <f t="shared" si="11"/>
        <v>2014</v>
      </c>
      <c r="F95" t="s">
        <v>685</v>
      </c>
      <c r="G95" t="s">
        <v>1201</v>
      </c>
      <c r="H95" t="s">
        <v>1254</v>
      </c>
      <c r="I95">
        <f>'App.2-K_Employee Costs'!M$23</f>
        <v>197428.0029828453</v>
      </c>
    </row>
    <row r="96" spans="1:9" x14ac:dyDescent="0.2">
      <c r="A96" t="str">
        <f>'LDC Info'!$E$14</f>
        <v>Niagara-on-the-Lake Hydro Inc.</v>
      </c>
      <c r="B96" t="str">
        <f t="shared" si="8"/>
        <v>EB-2018-0056</v>
      </c>
      <c r="C96">
        <f t="shared" si="9"/>
        <v>2019</v>
      </c>
      <c r="D96">
        <f t="shared" si="10"/>
        <v>2018</v>
      </c>
      <c r="E96">
        <f t="shared" si="11"/>
        <v>2014</v>
      </c>
      <c r="F96" t="s">
        <v>684</v>
      </c>
      <c r="G96" t="s">
        <v>0</v>
      </c>
      <c r="H96" t="s">
        <v>1254</v>
      </c>
      <c r="I96">
        <f>'App.2-K_Employee Costs'!M$26</f>
        <v>742194.75726078893</v>
      </c>
    </row>
    <row r="97" spans="1:9" x14ac:dyDescent="0.2">
      <c r="A97" t="str">
        <f>'LDC Info'!$E$14</f>
        <v>Niagara-on-the-Lake Hydro Inc.</v>
      </c>
      <c r="B97" t="str">
        <f t="shared" si="8"/>
        <v>EB-2018-0056</v>
      </c>
      <c r="C97">
        <f t="shared" si="9"/>
        <v>2019</v>
      </c>
      <c r="D97">
        <f t="shared" si="10"/>
        <v>2018</v>
      </c>
      <c r="E97">
        <f t="shared" si="11"/>
        <v>2014</v>
      </c>
      <c r="F97" t="s">
        <v>685</v>
      </c>
      <c r="G97" t="s">
        <v>0</v>
      </c>
      <c r="H97" t="s">
        <v>1254</v>
      </c>
      <c r="I97">
        <f>'App.2-K_Employee Costs'!M$27</f>
        <v>1071736.6937999204</v>
      </c>
    </row>
    <row r="98" spans="1:9" x14ac:dyDescent="0.2">
      <c r="A98" t="str">
        <f>'LDC Info'!$E$14</f>
        <v>Niagara-on-the-Lake Hydro Inc.</v>
      </c>
      <c r="B98" t="str">
        <f t="shared" ref="B98:B129" si="12">EBNUMBER</f>
        <v>EB-2018-0056</v>
      </c>
      <c r="C98">
        <f t="shared" ref="C98:C129" si="13">TestYear</f>
        <v>2019</v>
      </c>
      <c r="D98">
        <f t="shared" ref="D98:D129" si="14">BridgeYear</f>
        <v>2018</v>
      </c>
      <c r="E98">
        <f t="shared" ref="E98:E129" si="15">RebaseYear</f>
        <v>2014</v>
      </c>
      <c r="F98" t="s">
        <v>684</v>
      </c>
      <c r="G98" t="s">
        <v>1245</v>
      </c>
      <c r="H98" t="s">
        <v>1255</v>
      </c>
      <c r="I98">
        <f>'App.2-K_Employee Costs'!N$14</f>
        <v>5</v>
      </c>
    </row>
    <row r="99" spans="1:9" x14ac:dyDescent="0.2">
      <c r="A99" t="str">
        <f>'LDC Info'!$E$14</f>
        <v>Niagara-on-the-Lake Hydro Inc.</v>
      </c>
      <c r="B99" t="str">
        <f t="shared" si="12"/>
        <v>EB-2018-0056</v>
      </c>
      <c r="C99">
        <f t="shared" si="13"/>
        <v>2019</v>
      </c>
      <c r="D99">
        <f t="shared" si="14"/>
        <v>2018</v>
      </c>
      <c r="E99">
        <f t="shared" si="15"/>
        <v>2014</v>
      </c>
      <c r="F99" t="s">
        <v>685</v>
      </c>
      <c r="G99" t="s">
        <v>1245</v>
      </c>
      <c r="H99" t="s">
        <v>1255</v>
      </c>
      <c r="I99">
        <f>'App.2-K_Employee Costs'!N$15</f>
        <v>10</v>
      </c>
    </row>
    <row r="100" spans="1:9" x14ac:dyDescent="0.2">
      <c r="A100" t="str">
        <f>'LDC Info'!$E$14</f>
        <v>Niagara-on-the-Lake Hydro Inc.</v>
      </c>
      <c r="B100" t="str">
        <f t="shared" si="12"/>
        <v>EB-2018-0056</v>
      </c>
      <c r="C100">
        <f t="shared" si="13"/>
        <v>2019</v>
      </c>
      <c r="D100">
        <f t="shared" si="14"/>
        <v>2018</v>
      </c>
      <c r="E100">
        <f t="shared" si="15"/>
        <v>2014</v>
      </c>
      <c r="F100" t="s">
        <v>684</v>
      </c>
      <c r="G100" t="s">
        <v>686</v>
      </c>
      <c r="H100" t="s">
        <v>1255</v>
      </c>
      <c r="I100">
        <f>'App.2-K_Employee Costs'!N$18</f>
        <v>538997.11</v>
      </c>
    </row>
    <row r="101" spans="1:9" x14ac:dyDescent="0.2">
      <c r="A101" t="str">
        <f>'LDC Info'!$E$14</f>
        <v>Niagara-on-the-Lake Hydro Inc.</v>
      </c>
      <c r="B101" t="str">
        <f t="shared" si="12"/>
        <v>EB-2018-0056</v>
      </c>
      <c r="C101">
        <f t="shared" si="13"/>
        <v>2019</v>
      </c>
      <c r="D101">
        <f t="shared" si="14"/>
        <v>2018</v>
      </c>
      <c r="E101">
        <f t="shared" si="15"/>
        <v>2014</v>
      </c>
      <c r="F101" t="s">
        <v>685</v>
      </c>
      <c r="G101" t="s">
        <v>686</v>
      </c>
      <c r="H101" t="s">
        <v>1255</v>
      </c>
      <c r="I101">
        <f>'App.2-K_Employee Costs'!N$19</f>
        <v>794717.02999999991</v>
      </c>
    </row>
    <row r="102" spans="1:9" x14ac:dyDescent="0.2">
      <c r="A102" t="str">
        <f>'LDC Info'!$E$14</f>
        <v>Niagara-on-the-Lake Hydro Inc.</v>
      </c>
      <c r="B102" t="str">
        <f t="shared" si="12"/>
        <v>EB-2018-0056</v>
      </c>
      <c r="C102">
        <f t="shared" si="13"/>
        <v>2019</v>
      </c>
      <c r="D102">
        <f t="shared" si="14"/>
        <v>2018</v>
      </c>
      <c r="E102">
        <f t="shared" si="15"/>
        <v>2014</v>
      </c>
      <c r="F102" t="s">
        <v>684</v>
      </c>
      <c r="G102" t="s">
        <v>1201</v>
      </c>
      <c r="H102" t="s">
        <v>1255</v>
      </c>
      <c r="I102">
        <f>'App.2-K_Employee Costs'!N$22</f>
        <v>123542.46955256845</v>
      </c>
    </row>
    <row r="103" spans="1:9" x14ac:dyDescent="0.2">
      <c r="A103" t="str">
        <f>'LDC Info'!$E$14</f>
        <v>Niagara-on-the-Lake Hydro Inc.</v>
      </c>
      <c r="B103" t="str">
        <f t="shared" si="12"/>
        <v>EB-2018-0056</v>
      </c>
      <c r="C103">
        <f t="shared" si="13"/>
        <v>2019</v>
      </c>
      <c r="D103">
        <f t="shared" si="14"/>
        <v>2018</v>
      </c>
      <c r="E103">
        <f t="shared" si="15"/>
        <v>2014</v>
      </c>
      <c r="F103" t="s">
        <v>685</v>
      </c>
      <c r="G103" t="s">
        <v>1201</v>
      </c>
      <c r="H103" t="s">
        <v>1255</v>
      </c>
      <c r="I103">
        <f>'App.2-K_Employee Costs'!N$23</f>
        <v>182155.53044743155</v>
      </c>
    </row>
    <row r="104" spans="1:9" x14ac:dyDescent="0.2">
      <c r="A104" t="str">
        <f>'LDC Info'!$E$14</f>
        <v>Niagara-on-the-Lake Hydro Inc.</v>
      </c>
      <c r="B104" t="str">
        <f t="shared" si="12"/>
        <v>EB-2018-0056</v>
      </c>
      <c r="C104">
        <f t="shared" si="13"/>
        <v>2019</v>
      </c>
      <c r="D104">
        <f t="shared" si="14"/>
        <v>2018</v>
      </c>
      <c r="E104">
        <f t="shared" si="15"/>
        <v>2014</v>
      </c>
      <c r="F104" t="s">
        <v>684</v>
      </c>
      <c r="G104" t="s">
        <v>0</v>
      </c>
      <c r="H104" t="s">
        <v>1255</v>
      </c>
      <c r="I104">
        <f>'App.2-K_Employee Costs'!N$26</f>
        <v>662539.5795525685</v>
      </c>
    </row>
    <row r="105" spans="1:9" x14ac:dyDescent="0.2">
      <c r="A105" t="str">
        <f>'LDC Info'!$E$14</f>
        <v>Niagara-on-the-Lake Hydro Inc.</v>
      </c>
      <c r="B105" t="str">
        <f t="shared" si="12"/>
        <v>EB-2018-0056</v>
      </c>
      <c r="C105">
        <f t="shared" si="13"/>
        <v>2019</v>
      </c>
      <c r="D105">
        <f t="shared" si="14"/>
        <v>2018</v>
      </c>
      <c r="E105">
        <f t="shared" si="15"/>
        <v>2014</v>
      </c>
      <c r="F105" t="s">
        <v>685</v>
      </c>
      <c r="G105" t="s">
        <v>0</v>
      </c>
      <c r="H105" t="s">
        <v>1255</v>
      </c>
      <c r="I105">
        <f>'App.2-K_Employee Costs'!N$27</f>
        <v>976872.5604474314</v>
      </c>
    </row>
    <row r="106" spans="1:9" x14ac:dyDescent="0.2">
      <c r="A106" t="str">
        <f>'LDC Info'!$E$14</f>
        <v>Niagara-on-the-Lake Hydro Inc.</v>
      </c>
      <c r="B106" t="str">
        <f t="shared" si="12"/>
        <v>EB-2018-0056</v>
      </c>
      <c r="C106">
        <f t="shared" si="13"/>
        <v>2019</v>
      </c>
      <c r="D106">
        <f t="shared" si="14"/>
        <v>2018</v>
      </c>
      <c r="E106">
        <f t="shared" si="15"/>
        <v>2014</v>
      </c>
      <c r="F106" t="s">
        <v>684</v>
      </c>
      <c r="G106" t="s">
        <v>1245</v>
      </c>
      <c r="H106" t="s">
        <v>1232</v>
      </c>
      <c r="I106">
        <f>'App.2-K_Employee Costs'!O$14</f>
        <v>5</v>
      </c>
    </row>
    <row r="107" spans="1:9" x14ac:dyDescent="0.2">
      <c r="A107" t="str">
        <f>'LDC Info'!$E$14</f>
        <v>Niagara-on-the-Lake Hydro Inc.</v>
      </c>
      <c r="B107" t="str">
        <f t="shared" si="12"/>
        <v>EB-2018-0056</v>
      </c>
      <c r="C107">
        <f t="shared" si="13"/>
        <v>2019</v>
      </c>
      <c r="D107">
        <f t="shared" si="14"/>
        <v>2018</v>
      </c>
      <c r="E107">
        <f t="shared" si="15"/>
        <v>2014</v>
      </c>
      <c r="F107" t="s">
        <v>685</v>
      </c>
      <c r="G107" t="s">
        <v>1245</v>
      </c>
      <c r="H107" t="s">
        <v>1232</v>
      </c>
      <c r="I107">
        <f>'App.2-K_Employee Costs'!O$15</f>
        <v>11</v>
      </c>
    </row>
    <row r="108" spans="1:9" x14ac:dyDescent="0.2">
      <c r="A108" t="str">
        <f>'LDC Info'!$E$14</f>
        <v>Niagara-on-the-Lake Hydro Inc.</v>
      </c>
      <c r="B108" t="str">
        <f t="shared" si="12"/>
        <v>EB-2018-0056</v>
      </c>
      <c r="C108">
        <f t="shared" si="13"/>
        <v>2019</v>
      </c>
      <c r="D108">
        <f t="shared" si="14"/>
        <v>2018</v>
      </c>
      <c r="E108">
        <f t="shared" si="15"/>
        <v>2014</v>
      </c>
      <c r="F108" t="s">
        <v>684</v>
      </c>
      <c r="G108" t="s">
        <v>686</v>
      </c>
      <c r="H108" t="s">
        <v>1232</v>
      </c>
      <c r="I108">
        <f>'App.2-K_Employee Costs'!O$18</f>
        <v>530811.09</v>
      </c>
    </row>
    <row r="109" spans="1:9" x14ac:dyDescent="0.2">
      <c r="A109" t="str">
        <f>'LDC Info'!$E$14</f>
        <v>Niagara-on-the-Lake Hydro Inc.</v>
      </c>
      <c r="B109" t="str">
        <f t="shared" si="12"/>
        <v>EB-2018-0056</v>
      </c>
      <c r="C109">
        <f t="shared" si="13"/>
        <v>2019</v>
      </c>
      <c r="D109">
        <f t="shared" si="14"/>
        <v>2018</v>
      </c>
      <c r="E109">
        <f t="shared" si="15"/>
        <v>2014</v>
      </c>
      <c r="F109" t="s">
        <v>685</v>
      </c>
      <c r="G109" t="s">
        <v>686</v>
      </c>
      <c r="H109" t="s">
        <v>1232</v>
      </c>
      <c r="I109">
        <f>'App.2-K_Employee Costs'!O$19</f>
        <v>849768.61</v>
      </c>
    </row>
    <row r="110" spans="1:9" x14ac:dyDescent="0.2">
      <c r="A110" t="str">
        <f>'LDC Info'!$E$14</f>
        <v>Niagara-on-the-Lake Hydro Inc.</v>
      </c>
      <c r="B110" t="str">
        <f t="shared" si="12"/>
        <v>EB-2018-0056</v>
      </c>
      <c r="C110">
        <f t="shared" si="13"/>
        <v>2019</v>
      </c>
      <c r="D110">
        <f t="shared" si="14"/>
        <v>2018</v>
      </c>
      <c r="E110">
        <f t="shared" si="15"/>
        <v>2014</v>
      </c>
      <c r="F110" t="s">
        <v>684</v>
      </c>
      <c r="G110" t="s">
        <v>1201</v>
      </c>
      <c r="H110" t="s">
        <v>1232</v>
      </c>
      <c r="I110">
        <f>'App.2-K_Employee Costs'!O$22</f>
        <v>99962.817728871436</v>
      </c>
    </row>
    <row r="111" spans="1:9" x14ac:dyDescent="0.2">
      <c r="A111" t="str">
        <f>'LDC Info'!$E$14</f>
        <v>Niagara-on-the-Lake Hydro Inc.</v>
      </c>
      <c r="B111" t="str">
        <f t="shared" si="12"/>
        <v>EB-2018-0056</v>
      </c>
      <c r="C111">
        <f t="shared" si="13"/>
        <v>2019</v>
      </c>
      <c r="D111">
        <f t="shared" si="14"/>
        <v>2018</v>
      </c>
      <c r="E111">
        <f t="shared" si="15"/>
        <v>2014</v>
      </c>
      <c r="F111" t="s">
        <v>685</v>
      </c>
      <c r="G111" t="s">
        <v>1201</v>
      </c>
      <c r="H111" t="s">
        <v>1232</v>
      </c>
      <c r="I111">
        <f>'App.2-K_Employee Costs'!O$23</f>
        <v>160029.18227112858</v>
      </c>
    </row>
    <row r="112" spans="1:9" x14ac:dyDescent="0.2">
      <c r="A112" t="str">
        <f>'LDC Info'!$E$14</f>
        <v>Niagara-on-the-Lake Hydro Inc.</v>
      </c>
      <c r="B112" t="str">
        <f t="shared" si="12"/>
        <v>EB-2018-0056</v>
      </c>
      <c r="C112">
        <f t="shared" si="13"/>
        <v>2019</v>
      </c>
      <c r="D112">
        <f t="shared" si="14"/>
        <v>2018</v>
      </c>
      <c r="E112">
        <f t="shared" si="15"/>
        <v>2014</v>
      </c>
      <c r="F112" t="s">
        <v>684</v>
      </c>
      <c r="G112" t="s">
        <v>0</v>
      </c>
      <c r="H112" t="s">
        <v>1232</v>
      </c>
      <c r="I112">
        <f>'App.2-K_Employee Costs'!O$26</f>
        <v>630773.90772887145</v>
      </c>
    </row>
    <row r="113" spans="1:9" x14ac:dyDescent="0.2">
      <c r="A113" t="str">
        <f>'LDC Info'!$E$14</f>
        <v>Niagara-on-the-Lake Hydro Inc.</v>
      </c>
      <c r="B113" t="str">
        <f t="shared" si="12"/>
        <v>EB-2018-0056</v>
      </c>
      <c r="C113">
        <f t="shared" si="13"/>
        <v>2019</v>
      </c>
      <c r="D113">
        <f t="shared" si="14"/>
        <v>2018</v>
      </c>
      <c r="E113">
        <f t="shared" si="15"/>
        <v>2014</v>
      </c>
      <c r="F113" t="s">
        <v>685</v>
      </c>
      <c r="G113" t="s">
        <v>0</v>
      </c>
      <c r="H113" t="s">
        <v>1232</v>
      </c>
      <c r="I113">
        <f>'App.2-K_Employee Costs'!O$27</f>
        <v>1009797.7922711286</v>
      </c>
    </row>
    <row r="114" spans="1:9" x14ac:dyDescent="0.2">
      <c r="A114" t="str">
        <f>'LDC Info'!$E$14</f>
        <v>Niagara-on-the-Lake Hydro Inc.</v>
      </c>
      <c r="B114" t="str">
        <f t="shared" si="12"/>
        <v>EB-2018-0056</v>
      </c>
      <c r="C114">
        <f t="shared" si="13"/>
        <v>2019</v>
      </c>
      <c r="D114">
        <f t="shared" si="14"/>
        <v>2018</v>
      </c>
      <c r="E114">
        <f t="shared" si="15"/>
        <v>2014</v>
      </c>
      <c r="F114" t="s">
        <v>684</v>
      </c>
      <c r="G114" t="s">
        <v>1245</v>
      </c>
      <c r="H114" t="s">
        <v>1256</v>
      </c>
      <c r="I114">
        <f>'App.2-K_Employee Costs'!P$14</f>
        <v>5</v>
      </c>
    </row>
    <row r="115" spans="1:9" x14ac:dyDescent="0.2">
      <c r="A115" t="str">
        <f>'LDC Info'!$E$14</f>
        <v>Niagara-on-the-Lake Hydro Inc.</v>
      </c>
      <c r="B115" t="str">
        <f t="shared" si="12"/>
        <v>EB-2018-0056</v>
      </c>
      <c r="C115">
        <f t="shared" si="13"/>
        <v>2019</v>
      </c>
      <c r="D115">
        <f t="shared" si="14"/>
        <v>2018</v>
      </c>
      <c r="E115">
        <f t="shared" si="15"/>
        <v>2014</v>
      </c>
      <c r="F115" t="s">
        <v>685</v>
      </c>
      <c r="G115" t="s">
        <v>1245</v>
      </c>
      <c r="H115" t="s">
        <v>1256</v>
      </c>
      <c r="I115">
        <f>'App.2-K_Employee Costs'!P$15</f>
        <v>12</v>
      </c>
    </row>
    <row r="116" spans="1:9" x14ac:dyDescent="0.2">
      <c r="A116" t="str">
        <f>'LDC Info'!$E$14</f>
        <v>Niagara-on-the-Lake Hydro Inc.</v>
      </c>
      <c r="B116" t="str">
        <f t="shared" si="12"/>
        <v>EB-2018-0056</v>
      </c>
      <c r="C116">
        <f t="shared" si="13"/>
        <v>2019</v>
      </c>
      <c r="D116">
        <f t="shared" si="14"/>
        <v>2018</v>
      </c>
      <c r="E116">
        <f t="shared" si="15"/>
        <v>2014</v>
      </c>
      <c r="F116" t="s">
        <v>684</v>
      </c>
      <c r="G116" t="s">
        <v>686</v>
      </c>
      <c r="H116" t="s">
        <v>1256</v>
      </c>
      <c r="I116">
        <f>'App.2-K_Employee Costs'!P$18</f>
        <v>574605.03999999992</v>
      </c>
    </row>
    <row r="117" spans="1:9" x14ac:dyDescent="0.2">
      <c r="A117" t="str">
        <f>'LDC Info'!$E$14</f>
        <v>Niagara-on-the-Lake Hydro Inc.</v>
      </c>
      <c r="B117" t="str">
        <f t="shared" si="12"/>
        <v>EB-2018-0056</v>
      </c>
      <c r="C117">
        <f t="shared" si="13"/>
        <v>2019</v>
      </c>
      <c r="D117">
        <f t="shared" si="14"/>
        <v>2018</v>
      </c>
      <c r="E117">
        <f t="shared" si="15"/>
        <v>2014</v>
      </c>
      <c r="F117" t="s">
        <v>685</v>
      </c>
      <c r="G117" t="s">
        <v>686</v>
      </c>
      <c r="H117" t="s">
        <v>1256</v>
      </c>
      <c r="I117">
        <f>'App.2-K_Employee Costs'!P$19</f>
        <v>841183.75000000012</v>
      </c>
    </row>
    <row r="118" spans="1:9" x14ac:dyDescent="0.2">
      <c r="A118" t="str">
        <f>'LDC Info'!$E$14</f>
        <v>Niagara-on-the-Lake Hydro Inc.</v>
      </c>
      <c r="B118" t="str">
        <f t="shared" si="12"/>
        <v>EB-2018-0056</v>
      </c>
      <c r="C118">
        <f t="shared" si="13"/>
        <v>2019</v>
      </c>
      <c r="D118">
        <f t="shared" si="14"/>
        <v>2018</v>
      </c>
      <c r="E118">
        <f t="shared" si="15"/>
        <v>2014</v>
      </c>
      <c r="F118" t="s">
        <v>684</v>
      </c>
      <c r="G118" t="s">
        <v>1201</v>
      </c>
      <c r="H118" t="s">
        <v>1256</v>
      </c>
      <c r="I118">
        <f>'App.2-K_Employee Costs'!P$22</f>
        <v>135695.60901721788</v>
      </c>
    </row>
    <row r="119" spans="1:9" x14ac:dyDescent="0.2">
      <c r="A119" t="str">
        <f>'LDC Info'!$E$14</f>
        <v>Niagara-on-the-Lake Hydro Inc.</v>
      </c>
      <c r="B119" t="str">
        <f t="shared" si="12"/>
        <v>EB-2018-0056</v>
      </c>
      <c r="C119">
        <f t="shared" si="13"/>
        <v>2019</v>
      </c>
      <c r="D119">
        <f t="shared" si="14"/>
        <v>2018</v>
      </c>
      <c r="E119">
        <f t="shared" si="15"/>
        <v>2014</v>
      </c>
      <c r="F119" t="s">
        <v>685</v>
      </c>
      <c r="G119" t="s">
        <v>1201</v>
      </c>
      <c r="H119" t="s">
        <v>1256</v>
      </c>
      <c r="I119">
        <f>'App.2-K_Employee Costs'!P$23</f>
        <v>198649.39098278212</v>
      </c>
    </row>
    <row r="120" spans="1:9" x14ac:dyDescent="0.2">
      <c r="A120" t="str">
        <f>'LDC Info'!$E$14</f>
        <v>Niagara-on-the-Lake Hydro Inc.</v>
      </c>
      <c r="B120" t="str">
        <f t="shared" si="12"/>
        <v>EB-2018-0056</v>
      </c>
      <c r="C120">
        <f t="shared" si="13"/>
        <v>2019</v>
      </c>
      <c r="D120">
        <f t="shared" si="14"/>
        <v>2018</v>
      </c>
      <c r="E120">
        <f t="shared" si="15"/>
        <v>2014</v>
      </c>
      <c r="F120" t="s">
        <v>684</v>
      </c>
      <c r="G120" t="s">
        <v>0</v>
      </c>
      <c r="H120" t="s">
        <v>1256</v>
      </c>
      <c r="I120">
        <f>'App.2-K_Employee Costs'!P$26</f>
        <v>710300.6490172178</v>
      </c>
    </row>
    <row r="121" spans="1:9" x14ac:dyDescent="0.2">
      <c r="A121" t="str">
        <f>'LDC Info'!$E$14</f>
        <v>Niagara-on-the-Lake Hydro Inc.</v>
      </c>
      <c r="B121" t="str">
        <f t="shared" si="12"/>
        <v>EB-2018-0056</v>
      </c>
      <c r="C121">
        <f t="shared" si="13"/>
        <v>2019</v>
      </c>
      <c r="D121">
        <f t="shared" si="14"/>
        <v>2018</v>
      </c>
      <c r="E121">
        <f t="shared" si="15"/>
        <v>2014</v>
      </c>
      <c r="F121" t="s">
        <v>685</v>
      </c>
      <c r="G121" t="s">
        <v>0</v>
      </c>
      <c r="H121" t="s">
        <v>1256</v>
      </c>
      <c r="I121">
        <f>'App.2-K_Employee Costs'!P$27</f>
        <v>1039833.1409827822</v>
      </c>
    </row>
    <row r="122" spans="1:9" x14ac:dyDescent="0.2">
      <c r="A122" t="str">
        <f>'LDC Info'!$E$14</f>
        <v>Niagara-on-the-Lake Hydro Inc.</v>
      </c>
      <c r="B122" t="str">
        <f t="shared" si="12"/>
        <v>EB-2018-0056</v>
      </c>
      <c r="C122">
        <f t="shared" si="13"/>
        <v>2019</v>
      </c>
      <c r="D122">
        <f t="shared" si="14"/>
        <v>2018</v>
      </c>
      <c r="E122">
        <f t="shared" si="15"/>
        <v>2014</v>
      </c>
      <c r="F122" t="s">
        <v>684</v>
      </c>
      <c r="G122" t="s">
        <v>1245</v>
      </c>
      <c r="H122" t="s">
        <v>1257</v>
      </c>
      <c r="I122">
        <f>'App.2-K_Employee Costs'!Q$14</f>
        <v>6</v>
      </c>
    </row>
    <row r="123" spans="1:9" x14ac:dyDescent="0.2">
      <c r="A123" t="str">
        <f>'LDC Info'!$E$14</f>
        <v>Niagara-on-the-Lake Hydro Inc.</v>
      </c>
      <c r="B123" t="str">
        <f t="shared" si="12"/>
        <v>EB-2018-0056</v>
      </c>
      <c r="C123">
        <f t="shared" si="13"/>
        <v>2019</v>
      </c>
      <c r="D123">
        <f t="shared" si="14"/>
        <v>2018</v>
      </c>
      <c r="E123">
        <f t="shared" si="15"/>
        <v>2014</v>
      </c>
      <c r="F123" t="s">
        <v>685</v>
      </c>
      <c r="G123" t="s">
        <v>1245</v>
      </c>
      <c r="H123" t="s">
        <v>1257</v>
      </c>
      <c r="I123">
        <f>'App.2-K_Employee Costs'!Q$15</f>
        <v>12</v>
      </c>
    </row>
    <row r="124" spans="1:9" x14ac:dyDescent="0.2">
      <c r="A124" t="str">
        <f>'LDC Info'!$E$14</f>
        <v>Niagara-on-the-Lake Hydro Inc.</v>
      </c>
      <c r="B124" t="str">
        <f t="shared" si="12"/>
        <v>EB-2018-0056</v>
      </c>
      <c r="C124">
        <f t="shared" si="13"/>
        <v>2019</v>
      </c>
      <c r="D124">
        <f t="shared" si="14"/>
        <v>2018</v>
      </c>
      <c r="E124">
        <f t="shared" si="15"/>
        <v>2014</v>
      </c>
      <c r="F124" t="s">
        <v>684</v>
      </c>
      <c r="G124" t="s">
        <v>686</v>
      </c>
      <c r="H124" t="s">
        <v>1257</v>
      </c>
      <c r="I124">
        <f>'App.2-K_Employee Costs'!Q$18</f>
        <v>564590.77999999991</v>
      </c>
    </row>
    <row r="125" spans="1:9" x14ac:dyDescent="0.2">
      <c r="A125" t="str">
        <f>'LDC Info'!$E$14</f>
        <v>Niagara-on-the-Lake Hydro Inc.</v>
      </c>
      <c r="B125" t="str">
        <f t="shared" si="12"/>
        <v>EB-2018-0056</v>
      </c>
      <c r="C125">
        <f t="shared" si="13"/>
        <v>2019</v>
      </c>
      <c r="D125">
        <f t="shared" si="14"/>
        <v>2018</v>
      </c>
      <c r="E125">
        <f t="shared" si="15"/>
        <v>2014</v>
      </c>
      <c r="F125" t="s">
        <v>685</v>
      </c>
      <c r="G125" t="s">
        <v>686</v>
      </c>
      <c r="H125" t="s">
        <v>1257</v>
      </c>
      <c r="I125">
        <f>'App.2-K_Employee Costs'!Q$19</f>
        <v>964936.30000000016</v>
      </c>
    </row>
    <row r="126" spans="1:9" x14ac:dyDescent="0.2">
      <c r="A126" t="str">
        <f>'LDC Info'!$E$14</f>
        <v>Niagara-on-the-Lake Hydro Inc.</v>
      </c>
      <c r="B126" t="str">
        <f t="shared" si="12"/>
        <v>EB-2018-0056</v>
      </c>
      <c r="C126">
        <f t="shared" si="13"/>
        <v>2019</v>
      </c>
      <c r="D126">
        <f t="shared" si="14"/>
        <v>2018</v>
      </c>
      <c r="E126">
        <f t="shared" si="15"/>
        <v>2014</v>
      </c>
      <c r="F126" t="s">
        <v>684</v>
      </c>
      <c r="G126" t="s">
        <v>1201</v>
      </c>
      <c r="H126" t="s">
        <v>1257</v>
      </c>
      <c r="I126">
        <f>'App.2-K_Employee Costs'!Q$22</f>
        <v>131592.17169015403</v>
      </c>
    </row>
    <row r="127" spans="1:9" x14ac:dyDescent="0.2">
      <c r="A127" t="str">
        <f>'LDC Info'!$E$14</f>
        <v>Niagara-on-the-Lake Hydro Inc.</v>
      </c>
      <c r="B127" t="str">
        <f t="shared" si="12"/>
        <v>EB-2018-0056</v>
      </c>
      <c r="C127">
        <f t="shared" si="13"/>
        <v>2019</v>
      </c>
      <c r="D127">
        <f t="shared" si="14"/>
        <v>2018</v>
      </c>
      <c r="E127">
        <f t="shared" si="15"/>
        <v>2014</v>
      </c>
      <c r="F127" t="s">
        <v>685</v>
      </c>
      <c r="G127" t="s">
        <v>1201</v>
      </c>
      <c r="H127" t="s">
        <v>1257</v>
      </c>
      <c r="I127">
        <f>'App.2-K_Employee Costs'!Q$23</f>
        <v>224902.82830984597</v>
      </c>
    </row>
    <row r="128" spans="1:9" x14ac:dyDescent="0.2">
      <c r="A128" t="str">
        <f>'LDC Info'!$E$14</f>
        <v>Niagara-on-the-Lake Hydro Inc.</v>
      </c>
      <c r="B128" t="str">
        <f t="shared" si="12"/>
        <v>EB-2018-0056</v>
      </c>
      <c r="C128">
        <f t="shared" si="13"/>
        <v>2019</v>
      </c>
      <c r="D128">
        <f t="shared" si="14"/>
        <v>2018</v>
      </c>
      <c r="E128">
        <f t="shared" si="15"/>
        <v>2014</v>
      </c>
      <c r="F128" t="s">
        <v>684</v>
      </c>
      <c r="G128" t="s">
        <v>0</v>
      </c>
      <c r="H128" t="s">
        <v>1257</v>
      </c>
      <c r="I128">
        <f>'App.2-K_Employee Costs'!Q$26</f>
        <v>696182.95169015392</v>
      </c>
    </row>
    <row r="129" spans="1:9" x14ac:dyDescent="0.2">
      <c r="A129" t="str">
        <f>'LDC Info'!$E$14</f>
        <v>Niagara-on-the-Lake Hydro Inc.</v>
      </c>
      <c r="B129" t="str">
        <f t="shared" si="12"/>
        <v>EB-2018-0056</v>
      </c>
      <c r="C129">
        <f t="shared" si="13"/>
        <v>2019</v>
      </c>
      <c r="D129">
        <f t="shared" si="14"/>
        <v>2018</v>
      </c>
      <c r="E129">
        <f t="shared" si="15"/>
        <v>2014</v>
      </c>
      <c r="F129" t="s">
        <v>685</v>
      </c>
      <c r="G129" t="s">
        <v>0</v>
      </c>
      <c r="H129" t="s">
        <v>1257</v>
      </c>
      <c r="I129">
        <f>'App.2-K_Employee Costs'!Q$27</f>
        <v>1189839.1283098462</v>
      </c>
    </row>
    <row r="130" spans="1:9" x14ac:dyDescent="0.2">
      <c r="A130" t="str">
        <f>'LDC Info'!$E$14</f>
        <v>Niagara-on-the-Lake Hydro Inc.</v>
      </c>
      <c r="B130" t="str">
        <f t="shared" ref="B130:B161" si="16">EBNUMBER</f>
        <v>EB-2018-0056</v>
      </c>
      <c r="C130">
        <f t="shared" ref="C130:C161" si="17">TestYear</f>
        <v>2019</v>
      </c>
      <c r="D130">
        <f t="shared" ref="D130:D161" si="18">BridgeYear</f>
        <v>2018</v>
      </c>
      <c r="E130">
        <f t="shared" ref="E130:E161" si="19">RebaseYear</f>
        <v>2014</v>
      </c>
      <c r="F130" t="s">
        <v>684</v>
      </c>
      <c r="G130" t="s">
        <v>1245</v>
      </c>
      <c r="H130" t="s">
        <v>1235</v>
      </c>
      <c r="I130">
        <f>'App.2-K_Employee Costs'!R$14</f>
        <v>5</v>
      </c>
    </row>
    <row r="131" spans="1:9" x14ac:dyDescent="0.2">
      <c r="A131" t="str">
        <f>'LDC Info'!$E$14</f>
        <v>Niagara-on-the-Lake Hydro Inc.</v>
      </c>
      <c r="B131" t="str">
        <f t="shared" si="16"/>
        <v>EB-2018-0056</v>
      </c>
      <c r="C131">
        <f t="shared" si="17"/>
        <v>2019</v>
      </c>
      <c r="D131">
        <f t="shared" si="18"/>
        <v>2018</v>
      </c>
      <c r="E131">
        <f t="shared" si="19"/>
        <v>2014</v>
      </c>
      <c r="F131" t="s">
        <v>685</v>
      </c>
      <c r="G131" t="s">
        <v>1245</v>
      </c>
      <c r="H131" t="s">
        <v>1235</v>
      </c>
      <c r="I131">
        <f>'App.2-K_Employee Costs'!R$15</f>
        <v>11</v>
      </c>
    </row>
    <row r="132" spans="1:9" x14ac:dyDescent="0.2">
      <c r="A132" t="str">
        <f>'LDC Info'!$E$14</f>
        <v>Niagara-on-the-Lake Hydro Inc.</v>
      </c>
      <c r="B132" t="str">
        <f t="shared" si="16"/>
        <v>EB-2018-0056</v>
      </c>
      <c r="C132">
        <f t="shared" si="17"/>
        <v>2019</v>
      </c>
      <c r="D132">
        <f t="shared" si="18"/>
        <v>2018</v>
      </c>
      <c r="E132">
        <f t="shared" si="19"/>
        <v>2014</v>
      </c>
      <c r="F132" t="s">
        <v>684</v>
      </c>
      <c r="G132" t="s">
        <v>686</v>
      </c>
      <c r="H132" t="s">
        <v>1235</v>
      </c>
      <c r="I132">
        <f>'App.2-K_Employee Costs'!R$18</f>
        <v>530811.09</v>
      </c>
    </row>
    <row r="133" spans="1:9" x14ac:dyDescent="0.2">
      <c r="A133" t="str">
        <f>'LDC Info'!$E$14</f>
        <v>Niagara-on-the-Lake Hydro Inc.</v>
      </c>
      <c r="B133" t="str">
        <f t="shared" si="16"/>
        <v>EB-2018-0056</v>
      </c>
      <c r="C133">
        <f t="shared" si="17"/>
        <v>2019</v>
      </c>
      <c r="D133">
        <f t="shared" si="18"/>
        <v>2018</v>
      </c>
      <c r="E133">
        <f t="shared" si="19"/>
        <v>2014</v>
      </c>
      <c r="F133" t="s">
        <v>685</v>
      </c>
      <c r="G133" t="s">
        <v>686</v>
      </c>
      <c r="H133" t="s">
        <v>1235</v>
      </c>
      <c r="I133">
        <f>'App.2-K_Employee Costs'!R$19</f>
        <v>849768.61</v>
      </c>
    </row>
    <row r="134" spans="1:9" x14ac:dyDescent="0.2">
      <c r="A134" t="str">
        <f>'LDC Info'!$E$14</f>
        <v>Niagara-on-the-Lake Hydro Inc.</v>
      </c>
      <c r="B134" t="str">
        <f t="shared" si="16"/>
        <v>EB-2018-0056</v>
      </c>
      <c r="C134">
        <f t="shared" si="17"/>
        <v>2019</v>
      </c>
      <c r="D134">
        <f t="shared" si="18"/>
        <v>2018</v>
      </c>
      <c r="E134">
        <f t="shared" si="19"/>
        <v>2014</v>
      </c>
      <c r="F134" t="s">
        <v>684</v>
      </c>
      <c r="G134" t="s">
        <v>1201</v>
      </c>
      <c r="H134" t="s">
        <v>1235</v>
      </c>
      <c r="I134">
        <f>'App.2-K_Employee Costs'!R$22</f>
        <v>99962.817728871436</v>
      </c>
    </row>
    <row r="135" spans="1:9" x14ac:dyDescent="0.2">
      <c r="A135" t="str">
        <f>'LDC Info'!$E$14</f>
        <v>Niagara-on-the-Lake Hydro Inc.</v>
      </c>
      <c r="B135" t="str">
        <f t="shared" si="16"/>
        <v>EB-2018-0056</v>
      </c>
      <c r="C135">
        <f t="shared" si="17"/>
        <v>2019</v>
      </c>
      <c r="D135">
        <f t="shared" si="18"/>
        <v>2018</v>
      </c>
      <c r="E135">
        <f t="shared" si="19"/>
        <v>2014</v>
      </c>
      <c r="F135" t="s">
        <v>685</v>
      </c>
      <c r="G135" t="s">
        <v>1201</v>
      </c>
      <c r="H135" t="s">
        <v>1235</v>
      </c>
      <c r="I135">
        <f>'App.2-K_Employee Costs'!R$23</f>
        <v>160029.18227112858</v>
      </c>
    </row>
    <row r="136" spans="1:9" x14ac:dyDescent="0.2">
      <c r="A136" t="str">
        <f>'LDC Info'!$E$14</f>
        <v>Niagara-on-the-Lake Hydro Inc.</v>
      </c>
      <c r="B136" t="str">
        <f t="shared" si="16"/>
        <v>EB-2018-0056</v>
      </c>
      <c r="C136">
        <f t="shared" si="17"/>
        <v>2019</v>
      </c>
      <c r="D136">
        <f t="shared" si="18"/>
        <v>2018</v>
      </c>
      <c r="E136">
        <f t="shared" si="19"/>
        <v>2014</v>
      </c>
      <c r="F136" t="s">
        <v>684</v>
      </c>
      <c r="G136" t="s">
        <v>0</v>
      </c>
      <c r="H136" t="s">
        <v>1235</v>
      </c>
      <c r="I136">
        <f>'App.2-K_Employee Costs'!R$26</f>
        <v>630773.90772887145</v>
      </c>
    </row>
    <row r="137" spans="1:9" x14ac:dyDescent="0.2">
      <c r="A137" t="str">
        <f>'LDC Info'!$E$14</f>
        <v>Niagara-on-the-Lake Hydro Inc.</v>
      </c>
      <c r="B137" t="str">
        <f t="shared" si="16"/>
        <v>EB-2018-0056</v>
      </c>
      <c r="C137">
        <f t="shared" si="17"/>
        <v>2019</v>
      </c>
      <c r="D137">
        <f t="shared" si="18"/>
        <v>2018</v>
      </c>
      <c r="E137">
        <f t="shared" si="19"/>
        <v>2014</v>
      </c>
      <c r="F137" t="s">
        <v>685</v>
      </c>
      <c r="G137" t="s">
        <v>0</v>
      </c>
      <c r="H137" t="s">
        <v>1235</v>
      </c>
      <c r="I137">
        <f>'App.2-K_Employee Costs'!R$27</f>
        <v>1009797.7922711286</v>
      </c>
    </row>
    <row r="138" spans="1:9" x14ac:dyDescent="0.2">
      <c r="A138" t="str">
        <f>'LDC Info'!$E$14</f>
        <v>Niagara-on-the-Lake Hydro Inc.</v>
      </c>
      <c r="B138" t="str">
        <f t="shared" si="16"/>
        <v>EB-2018-0056</v>
      </c>
      <c r="C138">
        <f t="shared" si="17"/>
        <v>2019</v>
      </c>
      <c r="D138">
        <f t="shared" si="18"/>
        <v>2018</v>
      </c>
      <c r="E138">
        <f t="shared" si="19"/>
        <v>2014</v>
      </c>
      <c r="F138" t="s">
        <v>684</v>
      </c>
      <c r="G138" t="s">
        <v>1245</v>
      </c>
      <c r="H138" t="s">
        <v>1258</v>
      </c>
      <c r="I138">
        <f>'App.2-K_Employee Costs'!S$14</f>
        <v>5</v>
      </c>
    </row>
    <row r="139" spans="1:9" x14ac:dyDescent="0.2">
      <c r="A139" t="str">
        <f>'LDC Info'!$E$14</f>
        <v>Niagara-on-the-Lake Hydro Inc.</v>
      </c>
      <c r="B139" t="str">
        <f t="shared" si="16"/>
        <v>EB-2018-0056</v>
      </c>
      <c r="C139">
        <f t="shared" si="17"/>
        <v>2019</v>
      </c>
      <c r="D139">
        <f t="shared" si="18"/>
        <v>2018</v>
      </c>
      <c r="E139">
        <f t="shared" si="19"/>
        <v>2014</v>
      </c>
      <c r="F139" t="s">
        <v>685</v>
      </c>
      <c r="G139" t="s">
        <v>1245</v>
      </c>
      <c r="H139" t="s">
        <v>1258</v>
      </c>
      <c r="I139">
        <f>'App.2-K_Employee Costs'!S$15</f>
        <v>12</v>
      </c>
    </row>
    <row r="140" spans="1:9" x14ac:dyDescent="0.2">
      <c r="A140" t="str">
        <f>'LDC Info'!$E$14</f>
        <v>Niagara-on-the-Lake Hydro Inc.</v>
      </c>
      <c r="B140" t="str">
        <f t="shared" si="16"/>
        <v>EB-2018-0056</v>
      </c>
      <c r="C140">
        <f t="shared" si="17"/>
        <v>2019</v>
      </c>
      <c r="D140">
        <f t="shared" si="18"/>
        <v>2018</v>
      </c>
      <c r="E140">
        <f t="shared" si="19"/>
        <v>2014</v>
      </c>
      <c r="F140" t="s">
        <v>684</v>
      </c>
      <c r="G140" t="s">
        <v>686</v>
      </c>
      <c r="H140" t="s">
        <v>1258</v>
      </c>
      <c r="I140">
        <f>'App.2-K_Employee Costs'!S$18</f>
        <v>665494.02240000002</v>
      </c>
    </row>
    <row r="141" spans="1:9" x14ac:dyDescent="0.2">
      <c r="A141" t="str">
        <f>'LDC Info'!$E$14</f>
        <v>Niagara-on-the-Lake Hydro Inc.</v>
      </c>
      <c r="B141" t="str">
        <f t="shared" si="16"/>
        <v>EB-2018-0056</v>
      </c>
      <c r="C141">
        <f t="shared" si="17"/>
        <v>2019</v>
      </c>
      <c r="D141">
        <f t="shared" si="18"/>
        <v>2018</v>
      </c>
      <c r="E141">
        <f t="shared" si="19"/>
        <v>2014</v>
      </c>
      <c r="F141" t="s">
        <v>685</v>
      </c>
      <c r="G141" t="s">
        <v>686</v>
      </c>
      <c r="H141" t="s">
        <v>1258</v>
      </c>
      <c r="I141">
        <f>'App.2-K_Employee Costs'!S$19</f>
        <v>995910.21654119028</v>
      </c>
    </row>
    <row r="142" spans="1:9" x14ac:dyDescent="0.2">
      <c r="A142" t="str">
        <f>'LDC Info'!$E$14</f>
        <v>Niagara-on-the-Lake Hydro Inc.</v>
      </c>
      <c r="B142" t="str">
        <f t="shared" si="16"/>
        <v>EB-2018-0056</v>
      </c>
      <c r="C142">
        <f t="shared" si="17"/>
        <v>2019</v>
      </c>
      <c r="D142">
        <f t="shared" si="18"/>
        <v>2018</v>
      </c>
      <c r="E142">
        <f t="shared" si="19"/>
        <v>2014</v>
      </c>
      <c r="F142" t="s">
        <v>684</v>
      </c>
      <c r="G142" t="s">
        <v>1201</v>
      </c>
      <c r="H142" t="s">
        <v>1258</v>
      </c>
      <c r="I142">
        <f>'App.2-K_Employee Costs'!S$22</f>
        <v>150441.96507413604</v>
      </c>
    </row>
    <row r="143" spans="1:9" x14ac:dyDescent="0.2">
      <c r="A143" t="str">
        <f>'LDC Info'!$E$14</f>
        <v>Niagara-on-the-Lake Hydro Inc.</v>
      </c>
      <c r="B143" t="str">
        <f t="shared" si="16"/>
        <v>EB-2018-0056</v>
      </c>
      <c r="C143">
        <f t="shared" si="17"/>
        <v>2019</v>
      </c>
      <c r="D143">
        <f t="shared" si="18"/>
        <v>2018</v>
      </c>
      <c r="E143">
        <f t="shared" si="19"/>
        <v>2014</v>
      </c>
      <c r="F143" t="s">
        <v>685</v>
      </c>
      <c r="G143" t="s">
        <v>1201</v>
      </c>
      <c r="H143" t="s">
        <v>1258</v>
      </c>
      <c r="I143">
        <f>'App.2-K_Employee Costs'!S$23</f>
        <v>230564.98133327352</v>
      </c>
    </row>
    <row r="144" spans="1:9" x14ac:dyDescent="0.2">
      <c r="A144" t="str">
        <f>'LDC Info'!$E$14</f>
        <v>Niagara-on-the-Lake Hydro Inc.</v>
      </c>
      <c r="B144" t="str">
        <f t="shared" si="16"/>
        <v>EB-2018-0056</v>
      </c>
      <c r="C144">
        <f t="shared" si="17"/>
        <v>2019</v>
      </c>
      <c r="D144">
        <f t="shared" si="18"/>
        <v>2018</v>
      </c>
      <c r="E144">
        <f t="shared" si="19"/>
        <v>2014</v>
      </c>
      <c r="F144" t="s">
        <v>684</v>
      </c>
      <c r="G144" t="s">
        <v>0</v>
      </c>
      <c r="H144" t="s">
        <v>1258</v>
      </c>
      <c r="I144">
        <f>'App.2-K_Employee Costs'!S$26</f>
        <v>815935.98747413605</v>
      </c>
    </row>
    <row r="145" spans="1:9" x14ac:dyDescent="0.2">
      <c r="A145" t="str">
        <f>'LDC Info'!$E$14</f>
        <v>Niagara-on-the-Lake Hydro Inc.</v>
      </c>
      <c r="B145" t="str">
        <f t="shared" si="16"/>
        <v>EB-2018-0056</v>
      </c>
      <c r="C145">
        <f t="shared" si="17"/>
        <v>2019</v>
      </c>
      <c r="D145">
        <f t="shared" si="18"/>
        <v>2018</v>
      </c>
      <c r="E145">
        <f t="shared" si="19"/>
        <v>2014</v>
      </c>
      <c r="F145" t="s">
        <v>685</v>
      </c>
      <c r="G145" t="s">
        <v>0</v>
      </c>
      <c r="H145" t="s">
        <v>1258</v>
      </c>
      <c r="I145">
        <f>'App.2-K_Employee Costs'!S$27</f>
        <v>1226475.1978744639</v>
      </c>
    </row>
    <row r="146" spans="1:9" x14ac:dyDescent="0.2">
      <c r="A146" t="str">
        <f>'LDC Info'!$E$14</f>
        <v>Niagara-on-the-Lake Hydro Inc.</v>
      </c>
      <c r="B146" t="str">
        <f t="shared" si="16"/>
        <v>EB-2018-0056</v>
      </c>
      <c r="C146">
        <f t="shared" si="17"/>
        <v>2019</v>
      </c>
      <c r="D146">
        <f t="shared" si="18"/>
        <v>2018</v>
      </c>
      <c r="E146">
        <f t="shared" si="19"/>
        <v>2014</v>
      </c>
      <c r="F146" t="s">
        <v>684</v>
      </c>
      <c r="G146" t="s">
        <v>1245</v>
      </c>
      <c r="H146" t="s">
        <v>1259</v>
      </c>
      <c r="I146">
        <f>'App.2-K_Employee Costs'!T$14</f>
        <v>6</v>
      </c>
    </row>
    <row r="147" spans="1:9" x14ac:dyDescent="0.2">
      <c r="A147" t="str">
        <f>'LDC Info'!$E$14</f>
        <v>Niagara-on-the-Lake Hydro Inc.</v>
      </c>
      <c r="B147" t="str">
        <f t="shared" si="16"/>
        <v>EB-2018-0056</v>
      </c>
      <c r="C147">
        <f t="shared" si="17"/>
        <v>2019</v>
      </c>
      <c r="D147">
        <f t="shared" si="18"/>
        <v>2018</v>
      </c>
      <c r="E147">
        <f t="shared" si="19"/>
        <v>2014</v>
      </c>
      <c r="F147" t="s">
        <v>685</v>
      </c>
      <c r="G147" t="s">
        <v>1245</v>
      </c>
      <c r="H147" t="s">
        <v>1259</v>
      </c>
      <c r="I147">
        <f>'App.2-K_Employee Costs'!T$15</f>
        <v>12</v>
      </c>
    </row>
    <row r="148" spans="1:9" x14ac:dyDescent="0.2">
      <c r="A148" t="str">
        <f>'LDC Info'!$E$14</f>
        <v>Niagara-on-the-Lake Hydro Inc.</v>
      </c>
      <c r="B148" t="str">
        <f t="shared" si="16"/>
        <v>EB-2018-0056</v>
      </c>
      <c r="C148">
        <f t="shared" si="17"/>
        <v>2019</v>
      </c>
      <c r="D148">
        <f t="shared" si="18"/>
        <v>2018</v>
      </c>
      <c r="E148">
        <f t="shared" si="19"/>
        <v>2014</v>
      </c>
      <c r="F148" t="s">
        <v>684</v>
      </c>
      <c r="G148" t="s">
        <v>686</v>
      </c>
      <c r="H148" t="s">
        <v>1259</v>
      </c>
      <c r="I148">
        <f>'App.2-K_Employee Costs'!T$18</f>
        <v>0</v>
      </c>
    </row>
    <row r="149" spans="1:9" x14ac:dyDescent="0.2">
      <c r="A149" t="str">
        <f>'LDC Info'!$E$14</f>
        <v>Niagara-on-the-Lake Hydro Inc.</v>
      </c>
      <c r="B149" t="str">
        <f t="shared" si="16"/>
        <v>EB-2018-0056</v>
      </c>
      <c r="C149">
        <f t="shared" si="17"/>
        <v>2019</v>
      </c>
      <c r="D149">
        <f t="shared" si="18"/>
        <v>2018</v>
      </c>
      <c r="E149">
        <f t="shared" si="19"/>
        <v>2014</v>
      </c>
      <c r="F149" t="s">
        <v>685</v>
      </c>
      <c r="G149" t="s">
        <v>686</v>
      </c>
      <c r="H149" t="s">
        <v>1259</v>
      </c>
      <c r="I149">
        <f>'App.2-K_Employee Costs'!T$19</f>
        <v>0</v>
      </c>
    </row>
    <row r="150" spans="1:9" x14ac:dyDescent="0.2">
      <c r="A150" t="str">
        <f>'LDC Info'!$E$14</f>
        <v>Niagara-on-the-Lake Hydro Inc.</v>
      </c>
      <c r="B150" t="str">
        <f t="shared" si="16"/>
        <v>EB-2018-0056</v>
      </c>
      <c r="C150">
        <f t="shared" si="17"/>
        <v>2019</v>
      </c>
      <c r="D150">
        <f t="shared" si="18"/>
        <v>2018</v>
      </c>
      <c r="E150">
        <f t="shared" si="19"/>
        <v>2014</v>
      </c>
      <c r="F150" t="s">
        <v>684</v>
      </c>
      <c r="G150" t="s">
        <v>1201</v>
      </c>
      <c r="H150" t="s">
        <v>1259</v>
      </c>
      <c r="I150">
        <f>'App.2-K_Employee Costs'!T$22</f>
        <v>0</v>
      </c>
    </row>
    <row r="151" spans="1:9" x14ac:dyDescent="0.2">
      <c r="A151" t="str">
        <f>'LDC Info'!$E$14</f>
        <v>Niagara-on-the-Lake Hydro Inc.</v>
      </c>
      <c r="B151" t="str">
        <f t="shared" si="16"/>
        <v>EB-2018-0056</v>
      </c>
      <c r="C151">
        <f t="shared" si="17"/>
        <v>2019</v>
      </c>
      <c r="D151">
        <f t="shared" si="18"/>
        <v>2018</v>
      </c>
      <c r="E151">
        <f t="shared" si="19"/>
        <v>2014</v>
      </c>
      <c r="F151" t="s">
        <v>685</v>
      </c>
      <c r="G151" t="s">
        <v>1201</v>
      </c>
      <c r="H151" t="s">
        <v>1259</v>
      </c>
      <c r="I151">
        <f>'App.2-K_Employee Costs'!T$23</f>
        <v>0</v>
      </c>
    </row>
    <row r="152" spans="1:9" x14ac:dyDescent="0.2">
      <c r="A152" t="str">
        <f>'LDC Info'!$E$14</f>
        <v>Niagara-on-the-Lake Hydro Inc.</v>
      </c>
      <c r="B152" t="str">
        <f t="shared" si="16"/>
        <v>EB-2018-0056</v>
      </c>
      <c r="C152">
        <f t="shared" si="17"/>
        <v>2019</v>
      </c>
      <c r="D152">
        <f t="shared" si="18"/>
        <v>2018</v>
      </c>
      <c r="E152">
        <f t="shared" si="19"/>
        <v>2014</v>
      </c>
      <c r="F152" t="s">
        <v>684</v>
      </c>
      <c r="G152" t="s">
        <v>0</v>
      </c>
      <c r="H152" t="s">
        <v>1259</v>
      </c>
      <c r="I152">
        <f>'App.2-K_Employee Costs'!T$26</f>
        <v>0</v>
      </c>
    </row>
    <row r="153" spans="1:9" x14ac:dyDescent="0.2">
      <c r="A153" t="str">
        <f>'LDC Info'!$E$14</f>
        <v>Niagara-on-the-Lake Hydro Inc.</v>
      </c>
      <c r="B153" t="str">
        <f t="shared" si="16"/>
        <v>EB-2018-0056</v>
      </c>
      <c r="C153">
        <f t="shared" si="17"/>
        <v>2019</v>
      </c>
      <c r="D153">
        <f t="shared" si="18"/>
        <v>2018</v>
      </c>
      <c r="E153">
        <f t="shared" si="19"/>
        <v>2014</v>
      </c>
      <c r="F153" t="s">
        <v>685</v>
      </c>
      <c r="G153" t="s">
        <v>0</v>
      </c>
      <c r="H153" t="s">
        <v>1259</v>
      </c>
      <c r="I153">
        <f>'App.2-K_Employee Costs'!T$27</f>
        <v>0</v>
      </c>
    </row>
    <row r="154" spans="1:9" x14ac:dyDescent="0.2">
      <c r="A154" t="str">
        <f>'LDC Info'!$E$14</f>
        <v>Niagara-on-the-Lake Hydro Inc.</v>
      </c>
      <c r="B154" t="str">
        <f t="shared" si="16"/>
        <v>EB-2018-0056</v>
      </c>
      <c r="C154">
        <f t="shared" si="17"/>
        <v>2019</v>
      </c>
      <c r="D154">
        <f t="shared" si="18"/>
        <v>2018</v>
      </c>
      <c r="E154">
        <f t="shared" si="19"/>
        <v>2014</v>
      </c>
      <c r="F154" t="s">
        <v>684</v>
      </c>
      <c r="G154" t="s">
        <v>1245</v>
      </c>
      <c r="H154" t="s">
        <v>1260</v>
      </c>
      <c r="I154">
        <f>'App.2-K_Employee Costs'!U$14</f>
        <v>5</v>
      </c>
    </row>
    <row r="155" spans="1:9" x14ac:dyDescent="0.2">
      <c r="A155" t="str">
        <f>'LDC Info'!$E$14</f>
        <v>Niagara-on-the-Lake Hydro Inc.</v>
      </c>
      <c r="B155" t="str">
        <f t="shared" si="16"/>
        <v>EB-2018-0056</v>
      </c>
      <c r="C155">
        <f t="shared" si="17"/>
        <v>2019</v>
      </c>
      <c r="D155">
        <f t="shared" si="18"/>
        <v>2018</v>
      </c>
      <c r="E155">
        <f t="shared" si="19"/>
        <v>2014</v>
      </c>
      <c r="F155" t="s">
        <v>685</v>
      </c>
      <c r="G155" t="s">
        <v>1245</v>
      </c>
      <c r="H155" t="s">
        <v>1260</v>
      </c>
      <c r="I155">
        <f>'App.2-K_Employee Costs'!U$15</f>
        <v>12</v>
      </c>
    </row>
    <row r="156" spans="1:9" x14ac:dyDescent="0.2">
      <c r="A156" t="str">
        <f>'LDC Info'!$E$14</f>
        <v>Niagara-on-the-Lake Hydro Inc.</v>
      </c>
      <c r="B156" t="str">
        <f t="shared" si="16"/>
        <v>EB-2018-0056</v>
      </c>
      <c r="C156">
        <f t="shared" si="17"/>
        <v>2019</v>
      </c>
      <c r="D156">
        <f t="shared" si="18"/>
        <v>2018</v>
      </c>
      <c r="E156">
        <f t="shared" si="19"/>
        <v>2014</v>
      </c>
      <c r="F156" t="s">
        <v>684</v>
      </c>
      <c r="G156" t="s">
        <v>686</v>
      </c>
      <c r="H156" t="s">
        <v>1260</v>
      </c>
      <c r="I156">
        <f>'App.2-K_Employee Costs'!U$18</f>
        <v>574605.03999999992</v>
      </c>
    </row>
    <row r="157" spans="1:9" x14ac:dyDescent="0.2">
      <c r="A157" t="str">
        <f>'LDC Info'!$E$14</f>
        <v>Niagara-on-the-Lake Hydro Inc.</v>
      </c>
      <c r="B157" t="str">
        <f t="shared" si="16"/>
        <v>EB-2018-0056</v>
      </c>
      <c r="C157">
        <f t="shared" si="17"/>
        <v>2019</v>
      </c>
      <c r="D157">
        <f t="shared" si="18"/>
        <v>2018</v>
      </c>
      <c r="E157">
        <f t="shared" si="19"/>
        <v>2014</v>
      </c>
      <c r="F157" t="s">
        <v>685</v>
      </c>
      <c r="G157" t="s">
        <v>686</v>
      </c>
      <c r="H157" t="s">
        <v>1260</v>
      </c>
      <c r="I157">
        <f>'App.2-K_Employee Costs'!U$19</f>
        <v>841183.75000000012</v>
      </c>
    </row>
    <row r="158" spans="1:9" x14ac:dyDescent="0.2">
      <c r="A158" t="str">
        <f>'LDC Info'!$E$14</f>
        <v>Niagara-on-the-Lake Hydro Inc.</v>
      </c>
      <c r="B158" t="str">
        <f t="shared" si="16"/>
        <v>EB-2018-0056</v>
      </c>
      <c r="C158">
        <f t="shared" si="17"/>
        <v>2019</v>
      </c>
      <c r="D158">
        <f t="shared" si="18"/>
        <v>2018</v>
      </c>
      <c r="E158">
        <f t="shared" si="19"/>
        <v>2014</v>
      </c>
      <c r="F158" t="s">
        <v>684</v>
      </c>
      <c r="G158" t="s">
        <v>1201</v>
      </c>
      <c r="H158" t="s">
        <v>1260</v>
      </c>
      <c r="I158">
        <f>'App.2-K_Employee Costs'!U$22</f>
        <v>135695.60901721788</v>
      </c>
    </row>
    <row r="159" spans="1:9" x14ac:dyDescent="0.2">
      <c r="A159" t="str">
        <f>'LDC Info'!$E$14</f>
        <v>Niagara-on-the-Lake Hydro Inc.</v>
      </c>
      <c r="B159" t="str">
        <f t="shared" si="16"/>
        <v>EB-2018-0056</v>
      </c>
      <c r="C159">
        <f t="shared" si="17"/>
        <v>2019</v>
      </c>
      <c r="D159">
        <f t="shared" si="18"/>
        <v>2018</v>
      </c>
      <c r="E159">
        <f t="shared" si="19"/>
        <v>2014</v>
      </c>
      <c r="F159" t="s">
        <v>685</v>
      </c>
      <c r="G159" t="s">
        <v>1201</v>
      </c>
      <c r="H159" t="s">
        <v>1260</v>
      </c>
      <c r="I159">
        <f>'App.2-K_Employee Costs'!U$23</f>
        <v>198649.39098278212</v>
      </c>
    </row>
    <row r="160" spans="1:9" x14ac:dyDescent="0.2">
      <c r="A160" t="str">
        <f>'LDC Info'!$E$14</f>
        <v>Niagara-on-the-Lake Hydro Inc.</v>
      </c>
      <c r="B160" t="str">
        <f t="shared" si="16"/>
        <v>EB-2018-0056</v>
      </c>
      <c r="C160">
        <f t="shared" si="17"/>
        <v>2019</v>
      </c>
      <c r="D160">
        <f t="shared" si="18"/>
        <v>2018</v>
      </c>
      <c r="E160">
        <f t="shared" si="19"/>
        <v>2014</v>
      </c>
      <c r="F160" t="s">
        <v>684</v>
      </c>
      <c r="G160" t="s">
        <v>0</v>
      </c>
      <c r="H160" t="s">
        <v>1260</v>
      </c>
      <c r="I160">
        <f>'App.2-K_Employee Costs'!U$26</f>
        <v>710300.6490172178</v>
      </c>
    </row>
    <row r="161" spans="1:9" x14ac:dyDescent="0.2">
      <c r="A161" t="str">
        <f>'LDC Info'!$E$14</f>
        <v>Niagara-on-the-Lake Hydro Inc.</v>
      </c>
      <c r="B161" t="str">
        <f t="shared" si="16"/>
        <v>EB-2018-0056</v>
      </c>
      <c r="C161">
        <f t="shared" si="17"/>
        <v>2019</v>
      </c>
      <c r="D161">
        <f t="shared" si="18"/>
        <v>2018</v>
      </c>
      <c r="E161">
        <f t="shared" si="19"/>
        <v>2014</v>
      </c>
      <c r="F161" t="s">
        <v>685</v>
      </c>
      <c r="G161" t="s">
        <v>0</v>
      </c>
      <c r="H161" t="s">
        <v>1260</v>
      </c>
      <c r="I161">
        <f>'App.2-K_Employee Costs'!U$27</f>
        <v>1039833.1409827822</v>
      </c>
    </row>
    <row r="162" spans="1:9" x14ac:dyDescent="0.2">
      <c r="A162" t="str">
        <f>'LDC Info'!$E$14</f>
        <v>Niagara-on-the-Lake Hydro Inc.</v>
      </c>
      <c r="B162" t="str">
        <f t="shared" ref="B162:B193" si="20">EBNUMBER</f>
        <v>EB-2018-0056</v>
      </c>
      <c r="C162">
        <f t="shared" ref="C162:C193" si="21">TestYear</f>
        <v>2019</v>
      </c>
      <c r="D162">
        <f t="shared" ref="D162:D193" si="22">BridgeYear</f>
        <v>2018</v>
      </c>
      <c r="E162">
        <f t="shared" ref="E162:E193" si="23">RebaseYear</f>
        <v>2014</v>
      </c>
      <c r="F162" t="s">
        <v>684</v>
      </c>
      <c r="G162" t="s">
        <v>1245</v>
      </c>
      <c r="H162" t="s">
        <v>1261</v>
      </c>
      <c r="I162">
        <f>'App.2-K_Employee Costs'!V$14</f>
        <v>6</v>
      </c>
    </row>
    <row r="163" spans="1:9" x14ac:dyDescent="0.2">
      <c r="A163" t="str">
        <f>'LDC Info'!$E$14</f>
        <v>Niagara-on-the-Lake Hydro Inc.</v>
      </c>
      <c r="B163" t="str">
        <f t="shared" si="20"/>
        <v>EB-2018-0056</v>
      </c>
      <c r="C163">
        <f t="shared" si="21"/>
        <v>2019</v>
      </c>
      <c r="D163">
        <f t="shared" si="22"/>
        <v>2018</v>
      </c>
      <c r="E163">
        <f t="shared" si="23"/>
        <v>2014</v>
      </c>
      <c r="F163" t="s">
        <v>685</v>
      </c>
      <c r="G163" t="s">
        <v>1245</v>
      </c>
      <c r="H163" t="s">
        <v>1261</v>
      </c>
      <c r="I163">
        <f>'App.2-K_Employee Costs'!V$15</f>
        <v>12</v>
      </c>
    </row>
    <row r="164" spans="1:9" x14ac:dyDescent="0.2">
      <c r="A164" t="str">
        <f>'LDC Info'!$E$14</f>
        <v>Niagara-on-the-Lake Hydro Inc.</v>
      </c>
      <c r="B164" t="str">
        <f t="shared" si="20"/>
        <v>EB-2018-0056</v>
      </c>
      <c r="C164">
        <f t="shared" si="21"/>
        <v>2019</v>
      </c>
      <c r="D164">
        <f t="shared" si="22"/>
        <v>2018</v>
      </c>
      <c r="E164">
        <f t="shared" si="23"/>
        <v>2014</v>
      </c>
      <c r="F164" t="s">
        <v>684</v>
      </c>
      <c r="G164" t="s">
        <v>686</v>
      </c>
      <c r="H164" t="s">
        <v>1261</v>
      </c>
      <c r="I164">
        <f>'App.2-K_Employee Costs'!V$18</f>
        <v>0</v>
      </c>
    </row>
    <row r="165" spans="1:9" x14ac:dyDescent="0.2">
      <c r="A165" t="str">
        <f>'LDC Info'!$E$14</f>
        <v>Niagara-on-the-Lake Hydro Inc.</v>
      </c>
      <c r="B165" t="str">
        <f t="shared" si="20"/>
        <v>EB-2018-0056</v>
      </c>
      <c r="C165">
        <f t="shared" si="21"/>
        <v>2019</v>
      </c>
      <c r="D165">
        <f t="shared" si="22"/>
        <v>2018</v>
      </c>
      <c r="E165">
        <f t="shared" si="23"/>
        <v>2014</v>
      </c>
      <c r="F165" t="s">
        <v>685</v>
      </c>
      <c r="G165" t="s">
        <v>686</v>
      </c>
      <c r="H165" t="s">
        <v>1261</v>
      </c>
      <c r="I165">
        <f>'App.2-K_Employee Costs'!V$19</f>
        <v>0</v>
      </c>
    </row>
    <row r="166" spans="1:9" x14ac:dyDescent="0.2">
      <c r="A166" t="str">
        <f>'LDC Info'!$E$14</f>
        <v>Niagara-on-the-Lake Hydro Inc.</v>
      </c>
      <c r="B166" t="str">
        <f t="shared" si="20"/>
        <v>EB-2018-0056</v>
      </c>
      <c r="C166">
        <f t="shared" si="21"/>
        <v>2019</v>
      </c>
      <c r="D166">
        <f t="shared" si="22"/>
        <v>2018</v>
      </c>
      <c r="E166">
        <f t="shared" si="23"/>
        <v>2014</v>
      </c>
      <c r="F166" t="s">
        <v>684</v>
      </c>
      <c r="G166" t="s">
        <v>1201</v>
      </c>
      <c r="H166" t="s">
        <v>1261</v>
      </c>
      <c r="I166">
        <f>'App.2-K_Employee Costs'!V$22</f>
        <v>0</v>
      </c>
    </row>
    <row r="167" spans="1:9" x14ac:dyDescent="0.2">
      <c r="A167" t="str">
        <f>'LDC Info'!$E$14</f>
        <v>Niagara-on-the-Lake Hydro Inc.</v>
      </c>
      <c r="B167" t="str">
        <f t="shared" si="20"/>
        <v>EB-2018-0056</v>
      </c>
      <c r="C167">
        <f t="shared" si="21"/>
        <v>2019</v>
      </c>
      <c r="D167">
        <f t="shared" si="22"/>
        <v>2018</v>
      </c>
      <c r="E167">
        <f t="shared" si="23"/>
        <v>2014</v>
      </c>
      <c r="F167" t="s">
        <v>685</v>
      </c>
      <c r="G167" t="s">
        <v>1201</v>
      </c>
      <c r="H167" t="s">
        <v>1261</v>
      </c>
      <c r="I167">
        <f>'App.2-K_Employee Costs'!V$23</f>
        <v>0</v>
      </c>
    </row>
    <row r="168" spans="1:9" x14ac:dyDescent="0.2">
      <c r="A168" t="str">
        <f>'LDC Info'!$E$14</f>
        <v>Niagara-on-the-Lake Hydro Inc.</v>
      </c>
      <c r="B168" t="str">
        <f t="shared" si="20"/>
        <v>EB-2018-0056</v>
      </c>
      <c r="C168">
        <f t="shared" si="21"/>
        <v>2019</v>
      </c>
      <c r="D168">
        <f t="shared" si="22"/>
        <v>2018</v>
      </c>
      <c r="E168">
        <f t="shared" si="23"/>
        <v>2014</v>
      </c>
      <c r="F168" t="s">
        <v>684</v>
      </c>
      <c r="G168" t="s">
        <v>0</v>
      </c>
      <c r="H168" t="s">
        <v>1261</v>
      </c>
      <c r="I168">
        <f>'App.2-K_Employee Costs'!V$26</f>
        <v>0</v>
      </c>
    </row>
    <row r="169" spans="1:9" x14ac:dyDescent="0.2">
      <c r="A169" t="str">
        <f>'LDC Info'!$E$14</f>
        <v>Niagara-on-the-Lake Hydro Inc.</v>
      </c>
      <c r="B169" t="str">
        <f t="shared" si="20"/>
        <v>EB-2018-0056</v>
      </c>
      <c r="C169">
        <f t="shared" si="21"/>
        <v>2019</v>
      </c>
      <c r="D169">
        <f t="shared" si="22"/>
        <v>2018</v>
      </c>
      <c r="E169">
        <f t="shared" si="23"/>
        <v>2014</v>
      </c>
      <c r="F169" t="s">
        <v>685</v>
      </c>
      <c r="G169" t="s">
        <v>0</v>
      </c>
      <c r="H169" t="s">
        <v>1261</v>
      </c>
      <c r="I169">
        <f>'App.2-K_Employee Costs'!V$27</f>
        <v>0</v>
      </c>
    </row>
    <row r="170" spans="1:9" x14ac:dyDescent="0.2">
      <c r="A170" t="str">
        <f>'LDC Info'!$E$14</f>
        <v>Niagara-on-the-Lake Hydro Inc.</v>
      </c>
      <c r="B170" t="str">
        <f t="shared" si="20"/>
        <v>EB-2018-0056</v>
      </c>
      <c r="C170">
        <f t="shared" si="21"/>
        <v>2019</v>
      </c>
      <c r="D170">
        <f t="shared" si="22"/>
        <v>2018</v>
      </c>
      <c r="E170">
        <f t="shared" si="23"/>
        <v>2014</v>
      </c>
      <c r="F170" t="s">
        <v>684</v>
      </c>
      <c r="G170" t="s">
        <v>1245</v>
      </c>
      <c r="H170" t="s">
        <v>1262</v>
      </c>
      <c r="I170">
        <f>'App.2-K_Employee Costs'!W$14</f>
        <v>6</v>
      </c>
    </row>
    <row r="171" spans="1:9" x14ac:dyDescent="0.2">
      <c r="A171" t="str">
        <f>'LDC Info'!$E$14</f>
        <v>Niagara-on-the-Lake Hydro Inc.</v>
      </c>
      <c r="B171" t="str">
        <f t="shared" si="20"/>
        <v>EB-2018-0056</v>
      </c>
      <c r="C171">
        <f t="shared" si="21"/>
        <v>2019</v>
      </c>
      <c r="D171">
        <f t="shared" si="22"/>
        <v>2018</v>
      </c>
      <c r="E171">
        <f t="shared" si="23"/>
        <v>2014</v>
      </c>
      <c r="F171" t="s">
        <v>685</v>
      </c>
      <c r="G171" t="s">
        <v>1245</v>
      </c>
      <c r="H171" t="s">
        <v>1262</v>
      </c>
      <c r="I171">
        <f>'App.2-K_Employee Costs'!W$15</f>
        <v>0</v>
      </c>
    </row>
    <row r="172" spans="1:9" x14ac:dyDescent="0.2">
      <c r="A172" t="str">
        <f>'LDC Info'!$E$14</f>
        <v>Niagara-on-the-Lake Hydro Inc.</v>
      </c>
      <c r="B172" t="str">
        <f t="shared" si="20"/>
        <v>EB-2018-0056</v>
      </c>
      <c r="C172">
        <f t="shared" si="21"/>
        <v>2019</v>
      </c>
      <c r="D172">
        <f t="shared" si="22"/>
        <v>2018</v>
      </c>
      <c r="E172">
        <f t="shared" si="23"/>
        <v>2014</v>
      </c>
      <c r="F172" t="s">
        <v>684</v>
      </c>
      <c r="G172" t="s">
        <v>686</v>
      </c>
      <c r="H172" t="s">
        <v>1262</v>
      </c>
      <c r="I172">
        <f>'App.2-K_Employee Costs'!W$18</f>
        <v>0</v>
      </c>
    </row>
    <row r="173" spans="1:9" x14ac:dyDescent="0.2">
      <c r="A173" t="str">
        <f>'LDC Info'!$E$14</f>
        <v>Niagara-on-the-Lake Hydro Inc.</v>
      </c>
      <c r="B173" t="str">
        <f t="shared" si="20"/>
        <v>EB-2018-0056</v>
      </c>
      <c r="C173">
        <f t="shared" si="21"/>
        <v>2019</v>
      </c>
      <c r="D173">
        <f t="shared" si="22"/>
        <v>2018</v>
      </c>
      <c r="E173">
        <f t="shared" si="23"/>
        <v>2014</v>
      </c>
      <c r="F173" t="s">
        <v>685</v>
      </c>
      <c r="G173" t="s">
        <v>686</v>
      </c>
      <c r="H173" t="s">
        <v>1262</v>
      </c>
      <c r="I173">
        <f>'App.2-K_Employee Costs'!W$19</f>
        <v>0</v>
      </c>
    </row>
    <row r="174" spans="1:9" x14ac:dyDescent="0.2">
      <c r="A174" t="str">
        <f>'LDC Info'!$E$14</f>
        <v>Niagara-on-the-Lake Hydro Inc.</v>
      </c>
      <c r="B174" t="str">
        <f t="shared" si="20"/>
        <v>EB-2018-0056</v>
      </c>
      <c r="C174">
        <f t="shared" si="21"/>
        <v>2019</v>
      </c>
      <c r="D174">
        <f t="shared" si="22"/>
        <v>2018</v>
      </c>
      <c r="E174">
        <f t="shared" si="23"/>
        <v>2014</v>
      </c>
      <c r="F174" t="s">
        <v>684</v>
      </c>
      <c r="G174" t="s">
        <v>1201</v>
      </c>
      <c r="H174" t="s">
        <v>1262</v>
      </c>
      <c r="I174">
        <f>'App.2-K_Employee Costs'!W$22</f>
        <v>0</v>
      </c>
    </row>
    <row r="175" spans="1:9" x14ac:dyDescent="0.2">
      <c r="A175" t="str">
        <f>'LDC Info'!$E$14</f>
        <v>Niagara-on-the-Lake Hydro Inc.</v>
      </c>
      <c r="B175" t="str">
        <f t="shared" si="20"/>
        <v>EB-2018-0056</v>
      </c>
      <c r="C175">
        <f t="shared" si="21"/>
        <v>2019</v>
      </c>
      <c r="D175">
        <f t="shared" si="22"/>
        <v>2018</v>
      </c>
      <c r="E175">
        <f t="shared" si="23"/>
        <v>2014</v>
      </c>
      <c r="F175" t="s">
        <v>685</v>
      </c>
      <c r="G175" t="s">
        <v>1201</v>
      </c>
      <c r="H175" t="s">
        <v>1262</v>
      </c>
      <c r="I175">
        <f>'App.2-K_Employee Costs'!W$23</f>
        <v>0</v>
      </c>
    </row>
    <row r="176" spans="1:9" x14ac:dyDescent="0.2">
      <c r="A176" t="str">
        <f>'LDC Info'!$E$14</f>
        <v>Niagara-on-the-Lake Hydro Inc.</v>
      </c>
      <c r="B176" t="str">
        <f t="shared" si="20"/>
        <v>EB-2018-0056</v>
      </c>
      <c r="C176">
        <f t="shared" si="21"/>
        <v>2019</v>
      </c>
      <c r="D176">
        <f t="shared" si="22"/>
        <v>2018</v>
      </c>
      <c r="E176">
        <f t="shared" si="23"/>
        <v>2014</v>
      </c>
      <c r="F176" t="s">
        <v>684</v>
      </c>
      <c r="G176" t="s">
        <v>0</v>
      </c>
      <c r="H176" t="s">
        <v>1262</v>
      </c>
      <c r="I176">
        <f>'App.2-K_Employee Costs'!W$26</f>
        <v>0</v>
      </c>
    </row>
    <row r="177" spans="1:9" x14ac:dyDescent="0.2">
      <c r="A177" t="str">
        <f>'LDC Info'!$E$14</f>
        <v>Niagara-on-the-Lake Hydro Inc.</v>
      </c>
      <c r="B177" t="str">
        <f t="shared" si="20"/>
        <v>EB-2018-0056</v>
      </c>
      <c r="C177">
        <f t="shared" si="21"/>
        <v>2019</v>
      </c>
      <c r="D177">
        <f t="shared" si="22"/>
        <v>2018</v>
      </c>
      <c r="E177">
        <f t="shared" si="23"/>
        <v>2014</v>
      </c>
      <c r="F177" t="s">
        <v>685</v>
      </c>
      <c r="G177" t="s">
        <v>0</v>
      </c>
      <c r="H177" t="s">
        <v>1262</v>
      </c>
      <c r="I177">
        <f>'App.2-K_Employee Costs'!W$27</f>
        <v>0</v>
      </c>
    </row>
    <row r="178" spans="1:9" x14ac:dyDescent="0.2">
      <c r="A178" t="str">
        <f>'LDC Info'!$E$14</f>
        <v>Niagara-on-the-Lake Hydro Inc.</v>
      </c>
      <c r="B178" t="str">
        <f t="shared" si="20"/>
        <v>EB-2018-0056</v>
      </c>
      <c r="C178">
        <f t="shared" si="21"/>
        <v>2019</v>
      </c>
      <c r="D178">
        <f t="shared" si="22"/>
        <v>2018</v>
      </c>
      <c r="E178">
        <f t="shared" si="23"/>
        <v>2014</v>
      </c>
      <c r="F178" t="s">
        <v>684</v>
      </c>
      <c r="G178" t="s">
        <v>1245</v>
      </c>
      <c r="H178" t="s">
        <v>1263</v>
      </c>
      <c r="I178">
        <f>'App.2-K_Employee Costs'!X$14</f>
        <v>6</v>
      </c>
    </row>
    <row r="179" spans="1:9" x14ac:dyDescent="0.2">
      <c r="A179" t="str">
        <f>'LDC Info'!$E$14</f>
        <v>Niagara-on-the-Lake Hydro Inc.</v>
      </c>
      <c r="B179" t="str">
        <f t="shared" si="20"/>
        <v>EB-2018-0056</v>
      </c>
      <c r="C179">
        <f t="shared" si="21"/>
        <v>2019</v>
      </c>
      <c r="D179">
        <f t="shared" si="22"/>
        <v>2018</v>
      </c>
      <c r="E179">
        <f t="shared" si="23"/>
        <v>2014</v>
      </c>
      <c r="F179" t="s">
        <v>685</v>
      </c>
      <c r="G179" t="s">
        <v>1245</v>
      </c>
      <c r="H179" t="s">
        <v>1263</v>
      </c>
      <c r="I179">
        <f>'App.2-K_Employee Costs'!X$15</f>
        <v>12</v>
      </c>
    </row>
    <row r="180" spans="1:9" x14ac:dyDescent="0.2">
      <c r="A180" t="str">
        <f>'LDC Info'!$E$14</f>
        <v>Niagara-on-the-Lake Hydro Inc.</v>
      </c>
      <c r="B180" t="str">
        <f t="shared" si="20"/>
        <v>EB-2018-0056</v>
      </c>
      <c r="C180">
        <f t="shared" si="21"/>
        <v>2019</v>
      </c>
      <c r="D180">
        <f t="shared" si="22"/>
        <v>2018</v>
      </c>
      <c r="E180">
        <f t="shared" si="23"/>
        <v>2014</v>
      </c>
      <c r="F180" t="s">
        <v>684</v>
      </c>
      <c r="G180" t="s">
        <v>686</v>
      </c>
      <c r="H180" t="s">
        <v>1263</v>
      </c>
      <c r="I180">
        <f>'App.2-K_Employee Costs'!X$18</f>
        <v>564590.77999999991</v>
      </c>
    </row>
    <row r="181" spans="1:9" x14ac:dyDescent="0.2">
      <c r="A181" t="str">
        <f>'LDC Info'!$E$14</f>
        <v>Niagara-on-the-Lake Hydro Inc.</v>
      </c>
      <c r="B181" t="str">
        <f t="shared" si="20"/>
        <v>EB-2018-0056</v>
      </c>
      <c r="C181">
        <f t="shared" si="21"/>
        <v>2019</v>
      </c>
      <c r="D181">
        <f t="shared" si="22"/>
        <v>2018</v>
      </c>
      <c r="E181">
        <f t="shared" si="23"/>
        <v>2014</v>
      </c>
      <c r="F181" t="s">
        <v>685</v>
      </c>
      <c r="G181" t="s">
        <v>686</v>
      </c>
      <c r="H181" t="s">
        <v>1263</v>
      </c>
      <c r="I181">
        <f>'App.2-K_Employee Costs'!X$19</f>
        <v>964936.30000000016</v>
      </c>
    </row>
    <row r="182" spans="1:9" x14ac:dyDescent="0.2">
      <c r="A182" t="str">
        <f>'LDC Info'!$E$14</f>
        <v>Niagara-on-the-Lake Hydro Inc.</v>
      </c>
      <c r="B182" t="str">
        <f t="shared" si="20"/>
        <v>EB-2018-0056</v>
      </c>
      <c r="C182">
        <f t="shared" si="21"/>
        <v>2019</v>
      </c>
      <c r="D182">
        <f t="shared" si="22"/>
        <v>2018</v>
      </c>
      <c r="E182">
        <f t="shared" si="23"/>
        <v>2014</v>
      </c>
      <c r="F182" t="s">
        <v>684</v>
      </c>
      <c r="G182" t="s">
        <v>1201</v>
      </c>
      <c r="H182" t="s">
        <v>1263</v>
      </c>
      <c r="I182">
        <f>'App.2-K_Employee Costs'!X$22</f>
        <v>131592.17169015403</v>
      </c>
    </row>
    <row r="183" spans="1:9" x14ac:dyDescent="0.2">
      <c r="A183" t="str">
        <f>'LDC Info'!$E$14</f>
        <v>Niagara-on-the-Lake Hydro Inc.</v>
      </c>
      <c r="B183" t="str">
        <f t="shared" si="20"/>
        <v>EB-2018-0056</v>
      </c>
      <c r="C183">
        <f t="shared" si="21"/>
        <v>2019</v>
      </c>
      <c r="D183">
        <f t="shared" si="22"/>
        <v>2018</v>
      </c>
      <c r="E183">
        <f t="shared" si="23"/>
        <v>2014</v>
      </c>
      <c r="F183" t="s">
        <v>685</v>
      </c>
      <c r="G183" t="s">
        <v>1201</v>
      </c>
      <c r="H183" t="s">
        <v>1263</v>
      </c>
      <c r="I183">
        <f>'App.2-K_Employee Costs'!X$23</f>
        <v>224902.82830984597</v>
      </c>
    </row>
    <row r="184" spans="1:9" x14ac:dyDescent="0.2">
      <c r="A184" t="str">
        <f>'LDC Info'!$E$14</f>
        <v>Niagara-on-the-Lake Hydro Inc.</v>
      </c>
      <c r="B184" t="str">
        <f t="shared" si="20"/>
        <v>EB-2018-0056</v>
      </c>
      <c r="C184">
        <f t="shared" si="21"/>
        <v>2019</v>
      </c>
      <c r="D184">
        <f t="shared" si="22"/>
        <v>2018</v>
      </c>
      <c r="E184">
        <f t="shared" si="23"/>
        <v>2014</v>
      </c>
      <c r="F184" t="s">
        <v>684</v>
      </c>
      <c r="G184" t="s">
        <v>0</v>
      </c>
      <c r="H184" t="s">
        <v>1263</v>
      </c>
      <c r="I184">
        <f>'App.2-K_Employee Costs'!X$26</f>
        <v>696182.95169015392</v>
      </c>
    </row>
    <row r="185" spans="1:9" x14ac:dyDescent="0.2">
      <c r="A185" t="str">
        <f>'LDC Info'!$E$14</f>
        <v>Niagara-on-the-Lake Hydro Inc.</v>
      </c>
      <c r="B185" t="str">
        <f t="shared" si="20"/>
        <v>EB-2018-0056</v>
      </c>
      <c r="C185">
        <f t="shared" si="21"/>
        <v>2019</v>
      </c>
      <c r="D185">
        <f t="shared" si="22"/>
        <v>2018</v>
      </c>
      <c r="E185">
        <f t="shared" si="23"/>
        <v>2014</v>
      </c>
      <c r="F185" t="s">
        <v>685</v>
      </c>
      <c r="G185" t="s">
        <v>0</v>
      </c>
      <c r="H185" t="s">
        <v>1263</v>
      </c>
      <c r="I185">
        <f>'App.2-K_Employee Costs'!X$27</f>
        <v>1189839.1283098462</v>
      </c>
    </row>
    <row r="186" spans="1:9" x14ac:dyDescent="0.2">
      <c r="A186" t="str">
        <f>'LDC Info'!$E$14</f>
        <v>Niagara-on-the-Lake Hydro Inc.</v>
      </c>
      <c r="B186" t="str">
        <f t="shared" si="20"/>
        <v>EB-2018-0056</v>
      </c>
      <c r="C186">
        <f t="shared" si="21"/>
        <v>2019</v>
      </c>
      <c r="D186">
        <f t="shared" si="22"/>
        <v>2018</v>
      </c>
      <c r="E186">
        <f t="shared" si="23"/>
        <v>2014</v>
      </c>
      <c r="F186" t="s">
        <v>684</v>
      </c>
      <c r="G186" t="s">
        <v>1245</v>
      </c>
      <c r="H186" t="s">
        <v>1264</v>
      </c>
      <c r="I186">
        <f>'App.2-K_Employee Costs'!Y$14</f>
        <v>6</v>
      </c>
    </row>
    <row r="187" spans="1:9" x14ac:dyDescent="0.2">
      <c r="A187" t="str">
        <f>'LDC Info'!$E$14</f>
        <v>Niagara-on-the-Lake Hydro Inc.</v>
      </c>
      <c r="B187" t="str">
        <f t="shared" si="20"/>
        <v>EB-2018-0056</v>
      </c>
      <c r="C187">
        <f t="shared" si="21"/>
        <v>2019</v>
      </c>
      <c r="D187">
        <f t="shared" si="22"/>
        <v>2018</v>
      </c>
      <c r="E187">
        <f t="shared" si="23"/>
        <v>2014</v>
      </c>
      <c r="F187" t="s">
        <v>685</v>
      </c>
      <c r="G187" t="s">
        <v>1245</v>
      </c>
      <c r="H187" t="s">
        <v>1264</v>
      </c>
      <c r="I187">
        <f>'App.2-K_Employee Costs'!Y$15</f>
        <v>12</v>
      </c>
    </row>
    <row r="188" spans="1:9" x14ac:dyDescent="0.2">
      <c r="A188" t="str">
        <f>'LDC Info'!$E$14</f>
        <v>Niagara-on-the-Lake Hydro Inc.</v>
      </c>
      <c r="B188" t="str">
        <f t="shared" si="20"/>
        <v>EB-2018-0056</v>
      </c>
      <c r="C188">
        <f t="shared" si="21"/>
        <v>2019</v>
      </c>
      <c r="D188">
        <f t="shared" si="22"/>
        <v>2018</v>
      </c>
      <c r="E188">
        <f t="shared" si="23"/>
        <v>2014</v>
      </c>
      <c r="F188" t="s">
        <v>684</v>
      </c>
      <c r="G188" t="s">
        <v>686</v>
      </c>
      <c r="H188" t="s">
        <v>1264</v>
      </c>
      <c r="I188">
        <f>'App.2-K_Employee Costs'!Y$18</f>
        <v>652445.12</v>
      </c>
    </row>
    <row r="189" spans="1:9" x14ac:dyDescent="0.2">
      <c r="A189" t="str">
        <f>'LDC Info'!$E$14</f>
        <v>Niagara-on-the-Lake Hydro Inc.</v>
      </c>
      <c r="B189" t="str">
        <f t="shared" si="20"/>
        <v>EB-2018-0056</v>
      </c>
      <c r="C189">
        <f t="shared" si="21"/>
        <v>2019</v>
      </c>
      <c r="D189">
        <f t="shared" si="22"/>
        <v>2018</v>
      </c>
      <c r="E189">
        <f t="shared" si="23"/>
        <v>2014</v>
      </c>
      <c r="F189" t="s">
        <v>685</v>
      </c>
      <c r="G189" t="s">
        <v>686</v>
      </c>
      <c r="H189" t="s">
        <v>1264</v>
      </c>
      <c r="I189">
        <f>'App.2-K_Employee Costs'!Y$19</f>
        <v>976380.41481717082</v>
      </c>
    </row>
    <row r="190" spans="1:9" x14ac:dyDescent="0.2">
      <c r="A190" t="str">
        <f>'LDC Info'!$E$14</f>
        <v>Niagara-on-the-Lake Hydro Inc.</v>
      </c>
      <c r="B190" t="str">
        <f t="shared" si="20"/>
        <v>EB-2018-0056</v>
      </c>
      <c r="C190">
        <f t="shared" si="21"/>
        <v>2019</v>
      </c>
      <c r="D190">
        <f t="shared" si="22"/>
        <v>2018</v>
      </c>
      <c r="E190">
        <f t="shared" si="23"/>
        <v>2014</v>
      </c>
      <c r="F190" t="s">
        <v>684</v>
      </c>
      <c r="G190" t="s">
        <v>1201</v>
      </c>
      <c r="H190" t="s">
        <v>1264</v>
      </c>
      <c r="I190">
        <f>'App.2-K_Employee Costs'!Y$22</f>
        <v>148231.36066354692</v>
      </c>
    </row>
    <row r="191" spans="1:9" x14ac:dyDescent="0.2">
      <c r="A191" t="str">
        <f>'LDC Info'!$E$14</f>
        <v>Niagara-on-the-Lake Hydro Inc.</v>
      </c>
      <c r="B191" t="str">
        <f t="shared" si="20"/>
        <v>EB-2018-0056</v>
      </c>
      <c r="C191">
        <f t="shared" si="21"/>
        <v>2019</v>
      </c>
      <c r="D191">
        <f t="shared" si="22"/>
        <v>2018</v>
      </c>
      <c r="E191">
        <f t="shared" si="23"/>
        <v>2014</v>
      </c>
      <c r="F191" t="s">
        <v>685</v>
      </c>
      <c r="G191" t="s">
        <v>1201</v>
      </c>
      <c r="H191" t="s">
        <v>1264</v>
      </c>
      <c r="I191">
        <f>'App.2-K_Employee Costs'!Y$23</f>
        <v>227360.48453839263</v>
      </c>
    </row>
    <row r="192" spans="1:9" x14ac:dyDescent="0.2">
      <c r="A192" t="str">
        <f>'LDC Info'!$E$14</f>
        <v>Niagara-on-the-Lake Hydro Inc.</v>
      </c>
      <c r="B192" t="str">
        <f t="shared" si="20"/>
        <v>EB-2018-0056</v>
      </c>
      <c r="C192">
        <f t="shared" si="21"/>
        <v>2019</v>
      </c>
      <c r="D192">
        <f t="shared" si="22"/>
        <v>2018</v>
      </c>
      <c r="E192">
        <f t="shared" si="23"/>
        <v>2014</v>
      </c>
      <c r="F192" t="s">
        <v>684</v>
      </c>
      <c r="G192" t="s">
        <v>0</v>
      </c>
      <c r="H192" t="s">
        <v>1264</v>
      </c>
      <c r="I192">
        <f>'App.2-K_Employee Costs'!Y$26</f>
        <v>800676.48066354694</v>
      </c>
    </row>
    <row r="193" spans="1:9" x14ac:dyDescent="0.2">
      <c r="A193" t="str">
        <f>'LDC Info'!$E$14</f>
        <v>Niagara-on-the-Lake Hydro Inc.</v>
      </c>
      <c r="B193" t="str">
        <f t="shared" si="20"/>
        <v>EB-2018-0056</v>
      </c>
      <c r="C193">
        <f t="shared" si="21"/>
        <v>2019</v>
      </c>
      <c r="D193">
        <f t="shared" si="22"/>
        <v>2018</v>
      </c>
      <c r="E193">
        <f t="shared" si="23"/>
        <v>2014</v>
      </c>
      <c r="F193" t="s">
        <v>685</v>
      </c>
      <c r="G193" t="s">
        <v>0</v>
      </c>
      <c r="H193" t="s">
        <v>1264</v>
      </c>
      <c r="I193">
        <f>'App.2-K_Employee Costs'!Y$27</f>
        <v>1203740.8993555633</v>
      </c>
    </row>
    <row r="194" spans="1:9" x14ac:dyDescent="0.2">
      <c r="A194" t="str">
        <f>'LDC Info'!$E$14</f>
        <v>Niagara-on-the-Lake Hydro Inc.</v>
      </c>
      <c r="B194" t="str">
        <f t="shared" ref="B194:B201" si="24">EBNUMBER</f>
        <v>EB-2018-0056</v>
      </c>
      <c r="C194">
        <f t="shared" ref="C194:C201" si="25">TestYear</f>
        <v>2019</v>
      </c>
      <c r="D194">
        <f t="shared" ref="D194:D201" si="26">BridgeYear</f>
        <v>2018</v>
      </c>
      <c r="E194">
        <f t="shared" ref="E194:E201" si="27">RebaseYear</f>
        <v>2014</v>
      </c>
      <c r="F194" t="s">
        <v>684</v>
      </c>
      <c r="G194" t="s">
        <v>1245</v>
      </c>
      <c r="H194" t="s">
        <v>1265</v>
      </c>
      <c r="I194">
        <f>'App.2-K_Employee Costs'!Z$14</f>
        <v>6</v>
      </c>
    </row>
    <row r="195" spans="1:9" x14ac:dyDescent="0.2">
      <c r="A195" t="str">
        <f>'LDC Info'!$E$14</f>
        <v>Niagara-on-the-Lake Hydro Inc.</v>
      </c>
      <c r="B195" t="str">
        <f t="shared" si="24"/>
        <v>EB-2018-0056</v>
      </c>
      <c r="C195">
        <f t="shared" si="25"/>
        <v>2019</v>
      </c>
      <c r="D195">
        <f t="shared" si="26"/>
        <v>2018</v>
      </c>
      <c r="E195">
        <f t="shared" si="27"/>
        <v>2014</v>
      </c>
      <c r="F195" t="s">
        <v>685</v>
      </c>
      <c r="G195" t="s">
        <v>1245</v>
      </c>
      <c r="H195" t="s">
        <v>1265</v>
      </c>
      <c r="I195">
        <f>'App.2-K_Employee Costs'!Z$15</f>
        <v>12</v>
      </c>
    </row>
    <row r="196" spans="1:9" x14ac:dyDescent="0.2">
      <c r="A196" t="str">
        <f>'LDC Info'!$E$14</f>
        <v>Niagara-on-the-Lake Hydro Inc.</v>
      </c>
      <c r="B196" t="str">
        <f t="shared" si="24"/>
        <v>EB-2018-0056</v>
      </c>
      <c r="C196">
        <f t="shared" si="25"/>
        <v>2019</v>
      </c>
      <c r="D196">
        <f t="shared" si="26"/>
        <v>2018</v>
      </c>
      <c r="E196">
        <f t="shared" si="27"/>
        <v>2014</v>
      </c>
      <c r="F196" t="s">
        <v>684</v>
      </c>
      <c r="G196" t="s">
        <v>686</v>
      </c>
      <c r="H196" t="s">
        <v>1265</v>
      </c>
      <c r="I196">
        <f>'App.2-K_Employee Costs'!Z$18</f>
        <v>665494.02240000002</v>
      </c>
    </row>
    <row r="197" spans="1:9" x14ac:dyDescent="0.2">
      <c r="A197" t="str">
        <f>'LDC Info'!$E$14</f>
        <v>Niagara-on-the-Lake Hydro Inc.</v>
      </c>
      <c r="B197" t="str">
        <f t="shared" si="24"/>
        <v>EB-2018-0056</v>
      </c>
      <c r="C197">
        <f t="shared" si="25"/>
        <v>2019</v>
      </c>
      <c r="D197">
        <f t="shared" si="26"/>
        <v>2018</v>
      </c>
      <c r="E197">
        <f t="shared" si="27"/>
        <v>2014</v>
      </c>
      <c r="F197" t="s">
        <v>685</v>
      </c>
      <c r="G197" t="s">
        <v>686</v>
      </c>
      <c r="H197" t="s">
        <v>1265</v>
      </c>
      <c r="I197">
        <f>'App.2-K_Employee Costs'!Z$19</f>
        <v>995910.21654119028</v>
      </c>
    </row>
    <row r="198" spans="1:9" x14ac:dyDescent="0.2">
      <c r="A198" t="str">
        <f>'LDC Info'!$E$14</f>
        <v>Niagara-on-the-Lake Hydro Inc.</v>
      </c>
      <c r="B198" t="str">
        <f t="shared" si="24"/>
        <v>EB-2018-0056</v>
      </c>
      <c r="C198">
        <f t="shared" si="25"/>
        <v>2019</v>
      </c>
      <c r="D198">
        <f t="shared" si="26"/>
        <v>2018</v>
      </c>
      <c r="E198">
        <f t="shared" si="27"/>
        <v>2014</v>
      </c>
      <c r="F198" t="s">
        <v>684</v>
      </c>
      <c r="G198" t="s">
        <v>1201</v>
      </c>
      <c r="H198" t="s">
        <v>1265</v>
      </c>
      <c r="I198">
        <f>'App.2-K_Employee Costs'!Z$22</f>
        <v>150441.96507413604</v>
      </c>
    </row>
    <row r="199" spans="1:9" x14ac:dyDescent="0.2">
      <c r="A199" t="str">
        <f>'LDC Info'!$E$14</f>
        <v>Niagara-on-the-Lake Hydro Inc.</v>
      </c>
      <c r="B199" t="str">
        <f t="shared" si="24"/>
        <v>EB-2018-0056</v>
      </c>
      <c r="C199">
        <f t="shared" si="25"/>
        <v>2019</v>
      </c>
      <c r="D199">
        <f t="shared" si="26"/>
        <v>2018</v>
      </c>
      <c r="E199">
        <f t="shared" si="27"/>
        <v>2014</v>
      </c>
      <c r="F199" t="s">
        <v>685</v>
      </c>
      <c r="G199" t="s">
        <v>1201</v>
      </c>
      <c r="H199" t="s">
        <v>1265</v>
      </c>
      <c r="I199">
        <f>'App.2-K_Employee Costs'!Z$23</f>
        <v>230564.98133327352</v>
      </c>
    </row>
    <row r="200" spans="1:9" x14ac:dyDescent="0.2">
      <c r="A200" t="str">
        <f>'LDC Info'!$E$14</f>
        <v>Niagara-on-the-Lake Hydro Inc.</v>
      </c>
      <c r="B200" t="str">
        <f t="shared" si="24"/>
        <v>EB-2018-0056</v>
      </c>
      <c r="C200">
        <f t="shared" si="25"/>
        <v>2019</v>
      </c>
      <c r="D200">
        <f t="shared" si="26"/>
        <v>2018</v>
      </c>
      <c r="E200">
        <f t="shared" si="27"/>
        <v>2014</v>
      </c>
      <c r="F200" t="s">
        <v>684</v>
      </c>
      <c r="G200" t="s">
        <v>0</v>
      </c>
      <c r="H200" t="s">
        <v>1265</v>
      </c>
      <c r="I200">
        <f>'App.2-K_Employee Costs'!Z$26</f>
        <v>815935.98747413605</v>
      </c>
    </row>
    <row r="201" spans="1:9" x14ac:dyDescent="0.2">
      <c r="A201" t="str">
        <f>'LDC Info'!$E$14</f>
        <v>Niagara-on-the-Lake Hydro Inc.</v>
      </c>
      <c r="B201" t="str">
        <f t="shared" si="24"/>
        <v>EB-2018-0056</v>
      </c>
      <c r="C201">
        <f t="shared" si="25"/>
        <v>2019</v>
      </c>
      <c r="D201">
        <f t="shared" si="26"/>
        <v>2018</v>
      </c>
      <c r="E201">
        <f t="shared" si="27"/>
        <v>2014</v>
      </c>
      <c r="F201" t="s">
        <v>685</v>
      </c>
      <c r="G201" t="s">
        <v>0</v>
      </c>
      <c r="H201" t="s">
        <v>1265</v>
      </c>
      <c r="I201">
        <f>'App.2-K_Employee Costs'!Z$27</f>
        <v>1226475.1978744639</v>
      </c>
    </row>
  </sheetData>
  <sheetProtection algorithmName="SHA-512" hashValue="MWkSXZYvAdVwfcvY4yx5eNaqjDPgy/9dJ4q5iyigUXjJByZKMAXoAwwAK8PlFnH4f0ScoqbHVct/KXbwYshGDw==" saltValue="fmnkQjBH7VnglpQv0Xs+bg==" spinCount="100000" sheet="1" objects="1" scenarios="1"/>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1">
    <tabColor theme="7" tint="0.39997558519241921"/>
    <pageSetUpPr fitToPage="1"/>
  </sheetPr>
  <dimension ref="B1:J38"/>
  <sheetViews>
    <sheetView showGridLines="0" zoomScaleNormal="100" workbookViewId="0"/>
  </sheetViews>
  <sheetFormatPr defaultColWidth="9.28515625" defaultRowHeight="12.75" x14ac:dyDescent="0.2"/>
  <cols>
    <col min="1" max="1" width="2.7109375" style="27" customWidth="1"/>
    <col min="2" max="2" width="6" style="27" customWidth="1"/>
    <col min="3" max="3" width="21.7109375" style="27" customWidth="1"/>
    <col min="4" max="4" width="17.7109375" style="27" customWidth="1"/>
    <col min="5" max="9" width="14.7109375" style="27" customWidth="1"/>
    <col min="10" max="10" width="15.7109375" style="27" customWidth="1"/>
    <col min="11" max="16384" width="9.28515625" style="27"/>
  </cols>
  <sheetData>
    <row r="1" spans="2:10" x14ac:dyDescent="0.2">
      <c r="I1" s="217" t="s">
        <v>277</v>
      </c>
      <c r="J1" s="620" t="str">
        <f>EBNUMBER</f>
        <v>EB-2018-0056</v>
      </c>
    </row>
    <row r="2" spans="2:10" x14ac:dyDescent="0.2">
      <c r="I2" s="217" t="s">
        <v>278</v>
      </c>
      <c r="J2" s="41"/>
    </row>
    <row r="3" spans="2:10" x14ac:dyDescent="0.2">
      <c r="I3" s="217" t="s">
        <v>279</v>
      </c>
      <c r="J3" s="41"/>
    </row>
    <row r="4" spans="2:10" x14ac:dyDescent="0.2">
      <c r="I4" s="217" t="s">
        <v>280</v>
      </c>
      <c r="J4" s="41"/>
    </row>
    <row r="5" spans="2:10" x14ac:dyDescent="0.2">
      <c r="I5" s="217" t="s">
        <v>281</v>
      </c>
      <c r="J5" s="42"/>
    </row>
    <row r="6" spans="2:10" x14ac:dyDescent="0.2">
      <c r="I6" s="217"/>
      <c r="J6" s="40"/>
    </row>
    <row r="7" spans="2:10" x14ac:dyDescent="0.2">
      <c r="I7" s="217" t="s">
        <v>282</v>
      </c>
      <c r="J7" s="42"/>
    </row>
    <row r="9" spans="2:10" ht="18" x14ac:dyDescent="0.25">
      <c r="B9" s="1966" t="s">
        <v>156</v>
      </c>
      <c r="C9" s="1966"/>
      <c r="D9" s="1966"/>
      <c r="E9" s="1966"/>
      <c r="F9" s="1966"/>
      <c r="G9" s="1966"/>
      <c r="H9" s="1966"/>
      <c r="I9" s="1966"/>
      <c r="J9" s="1966"/>
    </row>
    <row r="10" spans="2:10" ht="21" x14ac:dyDescent="0.25">
      <c r="B10" s="1966" t="s">
        <v>926</v>
      </c>
      <c r="C10" s="1966"/>
      <c r="D10" s="1966"/>
      <c r="E10" s="1966"/>
      <c r="F10" s="1966"/>
      <c r="G10" s="1966"/>
      <c r="H10" s="1966"/>
      <c r="I10" s="1966"/>
      <c r="J10" s="1966"/>
    </row>
    <row r="11" spans="2:10" ht="18" x14ac:dyDescent="0.25">
      <c r="B11" s="617"/>
      <c r="C11" s="617"/>
      <c r="D11" s="617"/>
      <c r="E11" s="617"/>
      <c r="F11" s="634"/>
      <c r="G11" s="617"/>
      <c r="H11" s="617"/>
      <c r="I11" s="617"/>
      <c r="J11" s="622"/>
    </row>
    <row r="12" spans="2:10" ht="13.5" thickBot="1" x14ac:dyDescent="0.25">
      <c r="J12" s="621"/>
    </row>
    <row r="13" spans="2:10" ht="39" thickBot="1" x14ac:dyDescent="0.25">
      <c r="B13" s="255"/>
      <c r="C13" s="256"/>
      <c r="D13" s="257" t="str">
        <f>"Last Rebasing Year - "&amp;RebaseYear&amp;"- Board Approved"</f>
        <v>Last Rebasing Year - 2014- Board Approved</v>
      </c>
      <c r="E13" s="257" t="str">
        <f>"Last Rebasing Year - "&amp;RebaseYear&amp;"-  Actual"</f>
        <v>Last Rebasing Year - 2014-  Actual</v>
      </c>
      <c r="F13" s="237" t="str">
        <f>BridgeYear -3 &amp; " Actuals"</f>
        <v>2015 Actuals</v>
      </c>
      <c r="G13" s="237" t="str">
        <f>BridgeYear -2 &amp; " Actuals"</f>
        <v>2016 Actuals</v>
      </c>
      <c r="H13" s="237" t="str">
        <f>BridgeYear -1 &amp; " Actuals"</f>
        <v>2017 Actuals</v>
      </c>
      <c r="I13" s="237" t="str">
        <f>BridgeYear &amp; " Bridge Year"</f>
        <v>2018 Bridge Year</v>
      </c>
      <c r="J13" s="238" t="str">
        <f>TestYear &amp; " Test Year"</f>
        <v>2019 Test Year</v>
      </c>
    </row>
    <row r="14" spans="2:10" ht="13.5" thickBot="1" x14ac:dyDescent="0.25">
      <c r="B14" s="1985" t="s">
        <v>93</v>
      </c>
      <c r="C14" s="1986"/>
      <c r="D14" s="240"/>
      <c r="E14" s="240"/>
      <c r="F14" s="240"/>
      <c r="G14" s="240"/>
      <c r="H14" s="240"/>
      <c r="I14" s="240"/>
      <c r="J14" s="241"/>
    </row>
    <row r="15" spans="2:10" ht="12.75" customHeight="1" x14ac:dyDescent="0.2">
      <c r="B15" s="1987" t="s">
        <v>983</v>
      </c>
      <c r="C15" s="1988"/>
      <c r="D15" s="473"/>
      <c r="E15" s="473"/>
      <c r="F15" s="473"/>
      <c r="G15" s="473"/>
      <c r="H15" s="473"/>
      <c r="I15" s="473"/>
      <c r="J15" s="474"/>
    </row>
    <row r="16" spans="2:10" ht="15" customHeight="1" x14ac:dyDescent="0.2">
      <c r="B16" s="1983" t="s">
        <v>981</v>
      </c>
      <c r="C16" s="1984"/>
      <c r="D16" s="1506">
        <v>1500236.4863350596</v>
      </c>
      <c r="E16" s="1506">
        <v>1463792.3199999998</v>
      </c>
      <c r="F16" s="1506">
        <v>1602025.23</v>
      </c>
      <c r="G16" s="1506">
        <v>1687455.7199999997</v>
      </c>
      <c r="H16" s="1506">
        <v>1665918.9899999998</v>
      </c>
      <c r="I16" s="1506">
        <v>1762869.7429201035</v>
      </c>
      <c r="J16" s="1506">
        <v>1805752.6329856422</v>
      </c>
    </row>
    <row r="17" spans="2:10" ht="15" customHeight="1" x14ac:dyDescent="0.2">
      <c r="B17" s="1983" t="s">
        <v>982</v>
      </c>
      <c r="C17" s="1984"/>
      <c r="D17" s="1506">
        <v>655025.86807409697</v>
      </c>
      <c r="E17" s="1506">
        <v>744410.69</v>
      </c>
      <c r="F17" s="1506">
        <v>721093.65999999992</v>
      </c>
      <c r="G17" s="1506">
        <v>844735.11</v>
      </c>
      <c r="H17" s="1506">
        <v>929201.6399999999</v>
      </c>
      <c r="I17" s="1506">
        <v>1141995.0965386515</v>
      </c>
      <c r="J17" s="1506">
        <v>1159012.4956218726</v>
      </c>
    </row>
    <row r="18" spans="2:10" ht="28.5" customHeight="1" x14ac:dyDescent="0.2">
      <c r="B18" s="1983" t="s">
        <v>969</v>
      </c>
      <c r="C18" s="1984"/>
      <c r="D18" s="1508">
        <f>SUM(D16:D17)</f>
        <v>2155262.3544091564</v>
      </c>
      <c r="E18" s="1508">
        <f t="shared" ref="E18:J18" si="0">SUM(E16:E17)</f>
        <v>2208203.0099999998</v>
      </c>
      <c r="F18" s="1508">
        <f t="shared" si="0"/>
        <v>2323118.8899999997</v>
      </c>
      <c r="G18" s="1508">
        <f t="shared" si="0"/>
        <v>2532190.8299999996</v>
      </c>
      <c r="H18" s="1508">
        <f t="shared" si="0"/>
        <v>2595120.63</v>
      </c>
      <c r="I18" s="1508">
        <f t="shared" si="0"/>
        <v>2904864.8394587552</v>
      </c>
      <c r="J18" s="1508">
        <f t="shared" si="0"/>
        <v>2964765.1286075148</v>
      </c>
    </row>
    <row r="19" spans="2:10" ht="27" customHeight="1" x14ac:dyDescent="0.2">
      <c r="B19" s="1882" t="s">
        <v>924</v>
      </c>
      <c r="C19" s="1883"/>
      <c r="D19" s="1509">
        <v>8522</v>
      </c>
      <c r="E19" s="1509">
        <v>8574.0416666666661</v>
      </c>
      <c r="F19" s="1509">
        <v>8859.9583333333339</v>
      </c>
      <c r="G19" s="1509">
        <v>9133.7083333333339</v>
      </c>
      <c r="H19" s="1509">
        <v>9321.25</v>
      </c>
      <c r="I19" s="1509">
        <v>9470.5492188784738</v>
      </c>
      <c r="J19" s="1509">
        <v>9653.0416666666661</v>
      </c>
    </row>
    <row r="20" spans="2:10" ht="27" customHeight="1" x14ac:dyDescent="0.2">
      <c r="B20" s="1982" t="s">
        <v>925</v>
      </c>
      <c r="C20" s="1981"/>
      <c r="D20" s="1509">
        <v>19.100000000000001</v>
      </c>
      <c r="E20" s="1509">
        <v>16.027598566308242</v>
      </c>
      <c r="F20" s="1509">
        <v>17.447580645161288</v>
      </c>
      <c r="G20" s="1509">
        <v>17.481003584229391</v>
      </c>
      <c r="H20" s="1509">
        <v>17.598476702508961</v>
      </c>
      <c r="I20" s="1509">
        <v>18.083333333333332</v>
      </c>
      <c r="J20" s="1509">
        <v>18</v>
      </c>
    </row>
    <row r="21" spans="2:10" ht="15.75" customHeight="1" x14ac:dyDescent="0.2">
      <c r="B21" s="1982" t="s">
        <v>543</v>
      </c>
      <c r="C21" s="1981"/>
      <c r="D21" s="1510">
        <f>IF(D20=0,"",D19/D20)</f>
        <v>446.17801047120417</v>
      </c>
      <c r="E21" s="1510">
        <f t="shared" ref="E21:J21" si="1">IF(E20=0,"",E19/E20)</f>
        <v>534.95485497685445</v>
      </c>
      <c r="F21" s="1510">
        <f>IF(F20=0,"",F19/F20)</f>
        <v>507.80440644018188</v>
      </c>
      <c r="G21" s="1510">
        <f t="shared" si="1"/>
        <v>522.49336196998274</v>
      </c>
      <c r="H21" s="1510">
        <f t="shared" si="1"/>
        <v>529.66232007291273</v>
      </c>
      <c r="I21" s="1510">
        <f t="shared" si="1"/>
        <v>523.71700749558386</v>
      </c>
      <c r="J21" s="1510">
        <f t="shared" si="1"/>
        <v>536.28009259259261</v>
      </c>
    </row>
    <row r="22" spans="2:10" x14ac:dyDescent="0.2">
      <c r="B22" s="1982" t="s">
        <v>155</v>
      </c>
      <c r="C22" s="1981"/>
      <c r="D22" s="1511"/>
      <c r="E22" s="1511"/>
      <c r="F22" s="1511"/>
      <c r="G22" s="1511"/>
      <c r="H22" s="1511"/>
      <c r="I22" s="1511"/>
      <c r="J22" s="1512"/>
    </row>
    <row r="23" spans="2:10" x14ac:dyDescent="0.2">
      <c r="B23" s="1980" t="s">
        <v>974</v>
      </c>
      <c r="C23" s="1981"/>
      <c r="D23" s="1573">
        <f>IF(D19=0,"",D16/D19)</f>
        <v>176.04277004635762</v>
      </c>
      <c r="E23" s="1573">
        <f t="shared" ref="E23:J23" si="2">IF(E19=0,"",E16/E19)</f>
        <v>170.72372364258396</v>
      </c>
      <c r="F23" s="1573">
        <f>IF(F19=0,"",F16/F19)</f>
        <v>180.81633905351322</v>
      </c>
      <c r="G23" s="1573">
        <f t="shared" si="2"/>
        <v>184.75033999516438</v>
      </c>
      <c r="H23" s="1573">
        <f t="shared" si="2"/>
        <v>178.72270242724954</v>
      </c>
      <c r="I23" s="1573">
        <f t="shared" si="2"/>
        <v>186.14229250886751</v>
      </c>
      <c r="J23" s="1573">
        <f t="shared" si="2"/>
        <v>187.06566234155648</v>
      </c>
    </row>
    <row r="24" spans="2:10" x14ac:dyDescent="0.2">
      <c r="B24" s="619" t="s">
        <v>975</v>
      </c>
      <c r="C24" s="618"/>
      <c r="D24" s="1573">
        <f>IF(D19=0,"",D17/D19)</f>
        <v>76.862927490506564</v>
      </c>
      <c r="E24" s="1573">
        <f t="shared" ref="E24:J24" si="3">IF(E19=0,"",E17/E19)</f>
        <v>86.821445351035351</v>
      </c>
      <c r="F24" s="1573">
        <f>IF(F19=0,"",F17/F19)</f>
        <v>81.387929025249349</v>
      </c>
      <c r="G24" s="1573">
        <f t="shared" si="3"/>
        <v>92.485448316446849</v>
      </c>
      <c r="H24" s="1573">
        <f t="shared" si="3"/>
        <v>99.686376827142269</v>
      </c>
      <c r="I24" s="1573">
        <f t="shared" si="3"/>
        <v>120.58382994960976</v>
      </c>
      <c r="J24" s="1573">
        <f t="shared" si="3"/>
        <v>120.06707684937366</v>
      </c>
    </row>
    <row r="25" spans="2:10" x14ac:dyDescent="0.2">
      <c r="B25" s="619" t="s">
        <v>976</v>
      </c>
      <c r="C25" s="618"/>
      <c r="D25" s="1573">
        <f>IF(D19=0,"",D18/D19)</f>
        <v>252.90569753686415</v>
      </c>
      <c r="E25" s="1573">
        <f t="shared" ref="E25:J25" si="4">IF(E19=0,"",E18/E19)</f>
        <v>257.54516899361931</v>
      </c>
      <c r="F25" s="1573">
        <f>IF(F19=0,"",F18/F19)</f>
        <v>262.20426807876254</v>
      </c>
      <c r="G25" s="1573">
        <f t="shared" si="4"/>
        <v>277.23578831161126</v>
      </c>
      <c r="H25" s="1573">
        <f t="shared" si="4"/>
        <v>278.40907925439183</v>
      </c>
      <c r="I25" s="1573">
        <f t="shared" si="4"/>
        <v>306.72612245847728</v>
      </c>
      <c r="J25" s="1573">
        <f t="shared" si="4"/>
        <v>307.13273919093012</v>
      </c>
    </row>
    <row r="26" spans="2:10" x14ac:dyDescent="0.2">
      <c r="B26" s="1982" t="s">
        <v>977</v>
      </c>
      <c r="C26" s="1981"/>
      <c r="D26" s="1574"/>
      <c r="E26" s="1574"/>
      <c r="F26" s="1574"/>
      <c r="G26" s="1574"/>
      <c r="H26" s="1574"/>
      <c r="I26" s="1574"/>
      <c r="J26" s="1575"/>
    </row>
    <row r="27" spans="2:10" x14ac:dyDescent="0.2">
      <c r="B27" s="1980" t="s">
        <v>978</v>
      </c>
      <c r="C27" s="1981"/>
      <c r="D27" s="1573">
        <f>IF(D20=0,"",D16/D20)</f>
        <v>78546.412897123533</v>
      </c>
      <c r="E27" s="1573">
        <f t="shared" ref="E27:J27" si="5">IF(E20=0,"",E16/E20)</f>
        <v>91329.484822327082</v>
      </c>
      <c r="F27" s="1573">
        <f>IF(F20=0,"",F16/F20)</f>
        <v>91819.333727755962</v>
      </c>
      <c r="G27" s="1573">
        <f t="shared" si="5"/>
        <v>96530.826269170822</v>
      </c>
      <c r="H27" s="1573">
        <f t="shared" si="5"/>
        <v>94662.68121731779</v>
      </c>
      <c r="I27" s="1573">
        <f t="shared" si="5"/>
        <v>97485.884401111718</v>
      </c>
      <c r="J27" s="1573">
        <f t="shared" si="5"/>
        <v>100319.59072142457</v>
      </c>
    </row>
    <row r="28" spans="2:10" x14ac:dyDescent="0.2">
      <c r="B28" s="619" t="s">
        <v>979</v>
      </c>
      <c r="C28" s="618"/>
      <c r="D28" s="1573">
        <f>IF(D20=0,"",D17/D20)</f>
        <v>34294.548066706644</v>
      </c>
      <c r="E28" s="1573">
        <f t="shared" ref="E28:J28" si="6">IF(E20=0,"",E17/E20)</f>
        <v>46445.553706644008</v>
      </c>
      <c r="F28" s="1573">
        <f>IF(F20=0,"",F17/F20)</f>
        <v>41329.1489900624</v>
      </c>
      <c r="G28" s="1573">
        <f t="shared" si="6"/>
        <v>48323.032824161404</v>
      </c>
      <c r="H28" s="1573">
        <f t="shared" si="6"/>
        <v>52800.117629926826</v>
      </c>
      <c r="I28" s="1573">
        <f t="shared" si="6"/>
        <v>63151.802573565983</v>
      </c>
      <c r="J28" s="1573">
        <f t="shared" si="6"/>
        <v>64389.583090104032</v>
      </c>
    </row>
    <row r="29" spans="2:10" x14ac:dyDescent="0.2">
      <c r="B29" s="619" t="s">
        <v>980</v>
      </c>
      <c r="C29" s="618"/>
      <c r="D29" s="1573">
        <f>IF(D20=0,"",D18/D20)</f>
        <v>112840.96096383016</v>
      </c>
      <c r="E29" s="1573">
        <f t="shared" ref="E29:J29" si="7">IF(E20=0,"",E18/E20)</f>
        <v>137775.03852897108</v>
      </c>
      <c r="F29" s="1573">
        <f>IF(F20=0,"",F18/F20)</f>
        <v>133148.48271781835</v>
      </c>
      <c r="G29" s="1573">
        <f t="shared" si="7"/>
        <v>144853.8590933322</v>
      </c>
      <c r="H29" s="1573">
        <f t="shared" si="7"/>
        <v>147462.79884724462</v>
      </c>
      <c r="I29" s="1573">
        <f t="shared" si="7"/>
        <v>160637.68697467772</v>
      </c>
      <c r="J29" s="1573">
        <f t="shared" si="7"/>
        <v>164709.1738115286</v>
      </c>
    </row>
    <row r="31" spans="2:10" x14ac:dyDescent="0.2">
      <c r="B31" s="192" t="s">
        <v>6</v>
      </c>
    </row>
    <row r="33" spans="2:10" ht="12.75" customHeight="1" x14ac:dyDescent="0.2">
      <c r="B33" s="268">
        <v>1</v>
      </c>
      <c r="C33" s="1623" t="s">
        <v>1089</v>
      </c>
      <c r="D33" s="1967"/>
      <c r="E33" s="1967"/>
      <c r="F33" s="1967"/>
      <c r="G33" s="1967"/>
      <c r="H33" s="1967"/>
      <c r="I33" s="1967"/>
      <c r="J33" s="1967"/>
    </row>
    <row r="34" spans="2:10" ht="25.5" customHeight="1" x14ac:dyDescent="0.2">
      <c r="B34" s="197"/>
      <c r="C34" s="1967"/>
      <c r="D34" s="1967"/>
      <c r="E34" s="1967"/>
      <c r="F34" s="1967"/>
      <c r="G34" s="1967"/>
      <c r="H34" s="1967"/>
      <c r="I34" s="1967"/>
      <c r="J34" s="1967"/>
    </row>
    <row r="35" spans="2:10" x14ac:dyDescent="0.2">
      <c r="B35" s="268">
        <v>2</v>
      </c>
      <c r="C35" s="1979" t="s">
        <v>1090</v>
      </c>
      <c r="D35" s="1979"/>
      <c r="E35" s="1979"/>
      <c r="F35" s="1979"/>
      <c r="G35" s="1979"/>
      <c r="H35" s="1979"/>
      <c r="I35" s="1979"/>
      <c r="J35" s="1979"/>
    </row>
    <row r="36" spans="2:10" x14ac:dyDescent="0.2">
      <c r="B36" s="268">
        <v>3</v>
      </c>
      <c r="C36" s="1623" t="s">
        <v>1088</v>
      </c>
      <c r="D36" s="1623"/>
      <c r="E36" s="1623"/>
      <c r="F36" s="1623"/>
      <c r="G36" s="1623"/>
      <c r="H36" s="1623"/>
      <c r="I36" s="1623"/>
      <c r="J36" s="1623"/>
    </row>
    <row r="37" spans="2:10" ht="13.5" customHeight="1" x14ac:dyDescent="0.2">
      <c r="B37" s="268">
        <v>4</v>
      </c>
      <c r="C37" s="1623" t="s">
        <v>545</v>
      </c>
      <c r="D37" s="1623"/>
      <c r="E37" s="1623"/>
      <c r="F37" s="1623"/>
      <c r="G37" s="1623"/>
      <c r="H37" s="1623"/>
      <c r="I37" s="1623"/>
      <c r="J37" s="1623"/>
    </row>
    <row r="38" spans="2:10" ht="14.25" customHeight="1" x14ac:dyDescent="0.2">
      <c r="B38" s="234">
        <v>5</v>
      </c>
      <c r="C38" s="1623" t="s">
        <v>1071</v>
      </c>
      <c r="D38" s="1623"/>
      <c r="E38" s="1623"/>
      <c r="F38" s="1623"/>
      <c r="G38" s="1623"/>
      <c r="H38" s="1623"/>
      <c r="I38" s="1623"/>
      <c r="J38" s="1623"/>
    </row>
  </sheetData>
  <mergeCells count="19">
    <mergeCell ref="B14:C14"/>
    <mergeCell ref="B15:C15"/>
    <mergeCell ref="B16:C16"/>
    <mergeCell ref="B9:J9"/>
    <mergeCell ref="B10:J10"/>
    <mergeCell ref="B23:C23"/>
    <mergeCell ref="B26:C26"/>
    <mergeCell ref="B27:C27"/>
    <mergeCell ref="B17:C17"/>
    <mergeCell ref="B18:C18"/>
    <mergeCell ref="B19:C19"/>
    <mergeCell ref="B20:C20"/>
    <mergeCell ref="B21:C21"/>
    <mergeCell ref="B22:C22"/>
    <mergeCell ref="C38:J38"/>
    <mergeCell ref="C35:J35"/>
    <mergeCell ref="C36:J36"/>
    <mergeCell ref="C37:J37"/>
    <mergeCell ref="C33:J34"/>
  </mergeCells>
  <dataValidations count="2">
    <dataValidation type="list" allowBlank="1" showInputMessage="1" showErrorMessage="1" sqref="D14:J14" xr:uid="{00000000-0002-0000-2300-000000000000}">
      <formula1>"CGAAP, MIFRS, USGAAP, ASPE"</formula1>
    </dataValidation>
    <dataValidation allowBlank="1" showInputMessage="1" showErrorMessage="1" promptTitle="Date Format" prompt="E.g:  &quot;August 1, 2011&quot;" sqref="J7" xr:uid="{00000000-0002-0000-2300-000001000000}"/>
  </dataValidations>
  <pageMargins left="0.75" right="0.75" top="1" bottom="1" header="0.5" footer="0.5"/>
  <pageSetup scale="80" orientation="landscape"/>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1">
    <tabColor theme="7" tint="0.39997558519241921"/>
    <pageSetUpPr fitToPage="1"/>
  </sheetPr>
  <dimension ref="A1:L39"/>
  <sheetViews>
    <sheetView showGridLines="0" zoomScaleNormal="100" workbookViewId="0"/>
  </sheetViews>
  <sheetFormatPr defaultColWidth="9.28515625" defaultRowHeight="12.75" x14ac:dyDescent="0.2"/>
  <cols>
    <col min="1" max="1" width="6" style="27" customWidth="1"/>
    <col min="2" max="2" width="21.7109375" style="27" customWidth="1"/>
    <col min="3" max="3" width="17.7109375" style="27" customWidth="1"/>
    <col min="4" max="4" width="14.7109375" style="27" customWidth="1"/>
    <col min="5" max="7" width="13.7109375" style="27" customWidth="1"/>
    <col min="8" max="8" width="13" style="27" customWidth="1"/>
    <col min="9" max="11" width="12.28515625" style="27" customWidth="1"/>
    <col min="12" max="12" width="12.7109375" style="27" customWidth="1"/>
    <col min="13" max="16384" width="9.28515625" style="27"/>
  </cols>
  <sheetData>
    <row r="1" spans="1:12" x14ac:dyDescent="0.2">
      <c r="K1" s="217" t="s">
        <v>277</v>
      </c>
      <c r="L1" s="464" t="str">
        <f>EBNUMBER</f>
        <v>EB-2018-0056</v>
      </c>
    </row>
    <row r="2" spans="1:12" x14ac:dyDescent="0.2">
      <c r="K2" s="217" t="s">
        <v>278</v>
      </c>
      <c r="L2" s="41"/>
    </row>
    <row r="3" spans="1:12" x14ac:dyDescent="0.2">
      <c r="K3" s="217" t="s">
        <v>279</v>
      </c>
      <c r="L3" s="41"/>
    </row>
    <row r="4" spans="1:12" x14ac:dyDescent="0.2">
      <c r="K4" s="217" t="s">
        <v>280</v>
      </c>
      <c r="L4" s="41"/>
    </row>
    <row r="5" spans="1:12" x14ac:dyDescent="0.2">
      <c r="K5" s="217" t="s">
        <v>281</v>
      </c>
      <c r="L5" s="42"/>
    </row>
    <row r="6" spans="1:12" x14ac:dyDescent="0.2">
      <c r="K6" s="217"/>
      <c r="L6" s="40"/>
    </row>
    <row r="7" spans="1:12" x14ac:dyDescent="0.2">
      <c r="K7" s="217" t="s">
        <v>282</v>
      </c>
      <c r="L7" s="42"/>
    </row>
    <row r="9" spans="1:12" ht="18" x14ac:dyDescent="0.25">
      <c r="A9" s="1966" t="s">
        <v>156</v>
      </c>
      <c r="B9" s="1966"/>
      <c r="C9" s="1966"/>
      <c r="D9" s="1966"/>
      <c r="E9" s="1966"/>
      <c r="F9" s="1966"/>
      <c r="G9" s="1966"/>
      <c r="H9" s="1966"/>
      <c r="I9" s="1966"/>
      <c r="J9" s="1966"/>
      <c r="K9" s="1966"/>
      <c r="L9" s="1966"/>
    </row>
    <row r="10" spans="1:12" ht="21" x14ac:dyDescent="0.25">
      <c r="A10" s="1966" t="s">
        <v>926</v>
      </c>
      <c r="B10" s="1966"/>
      <c r="C10" s="1966"/>
      <c r="D10" s="1966"/>
      <c r="E10" s="1966"/>
      <c r="F10" s="1966"/>
      <c r="G10" s="1966"/>
      <c r="H10" s="1966"/>
      <c r="I10" s="1966"/>
      <c r="J10" s="1966"/>
      <c r="K10" s="1966"/>
      <c r="L10" s="1966"/>
    </row>
    <row r="11" spans="1:12" ht="18.75" thickBot="1" x14ac:dyDescent="0.3">
      <c r="A11" s="470"/>
      <c r="B11" s="470"/>
      <c r="C11" s="470"/>
      <c r="D11" s="470"/>
      <c r="E11" s="470"/>
      <c r="F11" s="470"/>
      <c r="G11" s="470"/>
      <c r="H11" s="470"/>
    </row>
    <row r="12" spans="1:12" ht="13.5" thickBot="1" x14ac:dyDescent="0.25">
      <c r="H12" s="1991" t="s">
        <v>968</v>
      </c>
      <c r="I12" s="1992"/>
      <c r="J12" s="1992"/>
      <c r="K12" s="1992"/>
      <c r="L12" s="1993"/>
    </row>
    <row r="13" spans="1:12" ht="39" thickBot="1" x14ac:dyDescent="0.25">
      <c r="A13" s="255"/>
      <c r="B13" s="256"/>
      <c r="C13" s="257" t="str">
        <f>"Last Rebasing Year - "&amp;RebaseYear&amp;"- Board Approved"</f>
        <v>Last Rebasing Year - 2014- Board Approved</v>
      </c>
      <c r="D13" s="257" t="str">
        <f>"Last Rebasing Year - "&amp;RebaseYear&amp;"-  Actual"</f>
        <v>Last Rebasing Year - 2014-  Actual</v>
      </c>
      <c r="E13" s="237" t="str">
        <f>BridgeYear -2 &amp; " Actuals"</f>
        <v>2016 Actuals</v>
      </c>
      <c r="F13" s="237" t="str">
        <f>BridgeYear -1 &amp; " Actuals"</f>
        <v>2017 Actuals</v>
      </c>
      <c r="G13" s="237" t="str">
        <f>BridgeYear &amp; " Bridge Year"</f>
        <v>2018 Bridge Year</v>
      </c>
      <c r="H13" s="238" t="str">
        <f>TestYear &amp; " Test Year"</f>
        <v>2019 Test Year</v>
      </c>
      <c r="I13" s="238" t="str">
        <f>TestYear+1 &amp; " Year"</f>
        <v>2020 Year</v>
      </c>
      <c r="J13" s="238" t="str">
        <f>TestYear+2 &amp; " Year"</f>
        <v>2021 Year</v>
      </c>
      <c r="K13" s="238" t="str">
        <f>TestYear+3 &amp; " Year"</f>
        <v>2022 Year</v>
      </c>
      <c r="L13" s="238" t="str">
        <f>TestYear+4 &amp; " Year"</f>
        <v>2023 Year</v>
      </c>
    </row>
    <row r="14" spans="1:12" ht="13.5" thickBot="1" x14ac:dyDescent="0.25">
      <c r="A14" s="1985" t="s">
        <v>93</v>
      </c>
      <c r="B14" s="1986"/>
      <c r="C14" s="240"/>
      <c r="D14" s="240"/>
      <c r="E14" s="240"/>
      <c r="F14" s="240"/>
      <c r="G14" s="240"/>
      <c r="H14" s="241"/>
      <c r="I14" s="241"/>
      <c r="J14" s="241"/>
      <c r="K14" s="241"/>
      <c r="L14" s="241"/>
    </row>
    <row r="15" spans="1:12" ht="12.75" customHeight="1" x14ac:dyDescent="0.2">
      <c r="A15" s="1987" t="s">
        <v>983</v>
      </c>
      <c r="B15" s="1988"/>
      <c r="C15" s="473"/>
      <c r="D15" s="473"/>
      <c r="E15" s="473"/>
      <c r="F15" s="473"/>
      <c r="G15" s="473"/>
      <c r="H15" s="474"/>
      <c r="I15" s="474"/>
      <c r="J15" s="474"/>
      <c r="K15" s="474"/>
      <c r="L15" s="474"/>
    </row>
    <row r="16" spans="1:12" ht="15" customHeight="1" x14ac:dyDescent="0.2">
      <c r="A16" s="1983" t="s">
        <v>981</v>
      </c>
      <c r="B16" s="1984"/>
      <c r="C16" s="260"/>
      <c r="D16" s="260"/>
      <c r="E16" s="260"/>
      <c r="F16" s="260"/>
      <c r="G16" s="260"/>
      <c r="H16" s="261"/>
      <c r="I16" s="261"/>
      <c r="J16" s="261"/>
      <c r="K16" s="261"/>
      <c r="L16" s="261"/>
    </row>
    <row r="17" spans="1:12" ht="15" customHeight="1" x14ac:dyDescent="0.2">
      <c r="A17" s="1983" t="s">
        <v>982</v>
      </c>
      <c r="B17" s="1984"/>
      <c r="C17" s="260"/>
      <c r="D17" s="260"/>
      <c r="E17" s="260"/>
      <c r="F17" s="260"/>
      <c r="G17" s="260"/>
      <c r="H17" s="261"/>
      <c r="I17" s="261"/>
      <c r="J17" s="261"/>
      <c r="K17" s="261"/>
      <c r="L17" s="261"/>
    </row>
    <row r="18" spans="1:12" ht="28.5" customHeight="1" x14ac:dyDescent="0.2">
      <c r="A18" s="1983" t="s">
        <v>969</v>
      </c>
      <c r="B18" s="1984"/>
      <c r="C18" s="475">
        <f>SUM(C16:C17)</f>
        <v>0</v>
      </c>
      <c r="D18" s="475">
        <f t="shared" ref="D18:L18" si="0">SUM(D16:D17)</f>
        <v>0</v>
      </c>
      <c r="E18" s="475">
        <f t="shared" si="0"/>
        <v>0</v>
      </c>
      <c r="F18" s="475">
        <f t="shared" si="0"/>
        <v>0</v>
      </c>
      <c r="G18" s="475">
        <f t="shared" si="0"/>
        <v>0</v>
      </c>
      <c r="H18" s="475">
        <f t="shared" si="0"/>
        <v>0</v>
      </c>
      <c r="I18" s="475">
        <f t="shared" si="0"/>
        <v>0</v>
      </c>
      <c r="J18" s="475">
        <f t="shared" si="0"/>
        <v>0</v>
      </c>
      <c r="K18" s="475">
        <f t="shared" si="0"/>
        <v>0</v>
      </c>
      <c r="L18" s="475">
        <f t="shared" si="0"/>
        <v>0</v>
      </c>
    </row>
    <row r="19" spans="1:12" ht="27" customHeight="1" x14ac:dyDescent="0.2">
      <c r="A19" s="1882" t="s">
        <v>924</v>
      </c>
      <c r="B19" s="1883"/>
      <c r="C19" s="258"/>
      <c r="D19" s="258"/>
      <c r="E19" s="258"/>
      <c r="F19" s="258"/>
      <c r="G19" s="258"/>
      <c r="H19" s="259"/>
      <c r="I19" s="259"/>
      <c r="J19" s="259"/>
      <c r="K19" s="259"/>
      <c r="L19" s="259"/>
    </row>
    <row r="20" spans="1:12" ht="27" customHeight="1" x14ac:dyDescent="0.2">
      <c r="A20" s="1982" t="s">
        <v>925</v>
      </c>
      <c r="B20" s="1981"/>
      <c r="C20" s="264"/>
      <c r="D20" s="264"/>
      <c r="E20" s="264"/>
      <c r="F20" s="264"/>
      <c r="G20" s="264"/>
      <c r="H20" s="265"/>
      <c r="I20" s="265"/>
      <c r="J20" s="265"/>
      <c r="K20" s="265"/>
      <c r="L20" s="265"/>
    </row>
    <row r="21" spans="1:12" ht="27" customHeight="1" x14ac:dyDescent="0.2">
      <c r="A21" s="1982" t="s">
        <v>543</v>
      </c>
      <c r="B21" s="1981"/>
      <c r="C21" s="266" t="str">
        <f>IF(C20=0,"",C19/C20)</f>
        <v/>
      </c>
      <c r="D21" s="266" t="str">
        <f t="shared" ref="D21:L21" si="1">IF(D20=0,"",D19/D20)</f>
        <v/>
      </c>
      <c r="E21" s="266" t="str">
        <f t="shared" si="1"/>
        <v/>
      </c>
      <c r="F21" s="266" t="str">
        <f t="shared" si="1"/>
        <v/>
      </c>
      <c r="G21" s="266" t="str">
        <f t="shared" si="1"/>
        <v/>
      </c>
      <c r="H21" s="266" t="str">
        <f t="shared" si="1"/>
        <v/>
      </c>
      <c r="I21" s="266" t="str">
        <f t="shared" si="1"/>
        <v/>
      </c>
      <c r="J21" s="266" t="str">
        <f t="shared" si="1"/>
        <v/>
      </c>
      <c r="K21" s="266" t="str">
        <f t="shared" si="1"/>
        <v/>
      </c>
      <c r="L21" s="266" t="str">
        <f t="shared" si="1"/>
        <v/>
      </c>
    </row>
    <row r="22" spans="1:12" x14ac:dyDescent="0.2">
      <c r="A22" s="1982" t="s">
        <v>155</v>
      </c>
      <c r="B22" s="1981"/>
      <c r="C22" s="262"/>
      <c r="D22" s="262"/>
      <c r="E22" s="262"/>
      <c r="F22" s="262"/>
      <c r="G22" s="262"/>
      <c r="H22" s="263"/>
      <c r="I22" s="263"/>
      <c r="J22" s="263"/>
      <c r="K22" s="263"/>
      <c r="L22" s="263"/>
    </row>
    <row r="23" spans="1:12" x14ac:dyDescent="0.2">
      <c r="A23" s="1980" t="s">
        <v>974</v>
      </c>
      <c r="B23" s="1981"/>
      <c r="C23" s="236" t="str">
        <f>IF(C19=0,"",C16/C19)</f>
        <v/>
      </c>
      <c r="D23" s="236" t="str">
        <f t="shared" ref="D23:L23" si="2">IF(D19=0,"",D16/D19)</f>
        <v/>
      </c>
      <c r="E23" s="236" t="str">
        <f t="shared" si="2"/>
        <v/>
      </c>
      <c r="F23" s="236" t="str">
        <f t="shared" si="2"/>
        <v/>
      </c>
      <c r="G23" s="236" t="str">
        <f t="shared" si="2"/>
        <v/>
      </c>
      <c r="H23" s="236" t="str">
        <f t="shared" si="2"/>
        <v/>
      </c>
      <c r="I23" s="236" t="str">
        <f t="shared" si="2"/>
        <v/>
      </c>
      <c r="J23" s="236" t="str">
        <f t="shared" si="2"/>
        <v/>
      </c>
      <c r="K23" s="236" t="str">
        <f t="shared" si="2"/>
        <v/>
      </c>
      <c r="L23" s="236" t="str">
        <f t="shared" si="2"/>
        <v/>
      </c>
    </row>
    <row r="24" spans="1:12" x14ac:dyDescent="0.2">
      <c r="A24" s="472" t="s">
        <v>975</v>
      </c>
      <c r="B24" s="471"/>
      <c r="C24" s="236" t="str">
        <f>IF(C19=0,"",C17/C19)</f>
        <v/>
      </c>
      <c r="D24" s="236" t="str">
        <f t="shared" ref="D24:L24" si="3">IF(D19=0,"",D17/D19)</f>
        <v/>
      </c>
      <c r="E24" s="236" t="str">
        <f t="shared" si="3"/>
        <v/>
      </c>
      <c r="F24" s="236" t="str">
        <f t="shared" si="3"/>
        <v/>
      </c>
      <c r="G24" s="236" t="str">
        <f t="shared" si="3"/>
        <v/>
      </c>
      <c r="H24" s="236" t="str">
        <f t="shared" si="3"/>
        <v/>
      </c>
      <c r="I24" s="236" t="str">
        <f t="shared" si="3"/>
        <v/>
      </c>
      <c r="J24" s="236" t="str">
        <f t="shared" si="3"/>
        <v/>
      </c>
      <c r="K24" s="236" t="str">
        <f t="shared" si="3"/>
        <v/>
      </c>
      <c r="L24" s="236" t="str">
        <f t="shared" si="3"/>
        <v/>
      </c>
    </row>
    <row r="25" spans="1:12" x14ac:dyDescent="0.2">
      <c r="A25" s="472" t="s">
        <v>976</v>
      </c>
      <c r="B25" s="471"/>
      <c r="C25" s="236" t="str">
        <f>IF(C19=0,"",C18/C19)</f>
        <v/>
      </c>
      <c r="D25" s="236" t="str">
        <f t="shared" ref="D25:L25" si="4">IF(D19=0,"",D18/D19)</f>
        <v/>
      </c>
      <c r="E25" s="236" t="str">
        <f t="shared" si="4"/>
        <v/>
      </c>
      <c r="F25" s="236" t="str">
        <f t="shared" si="4"/>
        <v/>
      </c>
      <c r="G25" s="236" t="str">
        <f t="shared" si="4"/>
        <v/>
      </c>
      <c r="H25" s="236" t="str">
        <f t="shared" si="4"/>
        <v/>
      </c>
      <c r="I25" s="236" t="str">
        <f t="shared" si="4"/>
        <v/>
      </c>
      <c r="J25" s="236" t="str">
        <f t="shared" si="4"/>
        <v/>
      </c>
      <c r="K25" s="236" t="str">
        <f t="shared" si="4"/>
        <v/>
      </c>
      <c r="L25" s="236" t="str">
        <f t="shared" si="4"/>
        <v/>
      </c>
    </row>
    <row r="26" spans="1:12" x14ac:dyDescent="0.2">
      <c r="A26" s="1982" t="s">
        <v>977</v>
      </c>
      <c r="B26" s="1981"/>
      <c r="C26" s="266"/>
      <c r="D26" s="266"/>
      <c r="E26" s="266"/>
      <c r="F26" s="266"/>
      <c r="G26" s="266"/>
      <c r="H26" s="267"/>
      <c r="I26" s="267"/>
      <c r="J26" s="267"/>
      <c r="K26" s="267"/>
      <c r="L26" s="267"/>
    </row>
    <row r="27" spans="1:12" x14ac:dyDescent="0.2">
      <c r="A27" s="1980" t="s">
        <v>978</v>
      </c>
      <c r="B27" s="1981"/>
      <c r="C27" s="236" t="str">
        <f>IF(C20=0,"",C16/C20)</f>
        <v/>
      </c>
      <c r="D27" s="236" t="str">
        <f t="shared" ref="D27:L27" si="5">IF(D20=0,"",D16/D20)</f>
        <v/>
      </c>
      <c r="E27" s="236" t="str">
        <f t="shared" si="5"/>
        <v/>
      </c>
      <c r="F27" s="236" t="str">
        <f t="shared" si="5"/>
        <v/>
      </c>
      <c r="G27" s="236" t="str">
        <f t="shared" si="5"/>
        <v/>
      </c>
      <c r="H27" s="236" t="str">
        <f t="shared" si="5"/>
        <v/>
      </c>
      <c r="I27" s="236" t="str">
        <f t="shared" si="5"/>
        <v/>
      </c>
      <c r="J27" s="236" t="str">
        <f t="shared" si="5"/>
        <v/>
      </c>
      <c r="K27" s="236" t="str">
        <f t="shared" si="5"/>
        <v/>
      </c>
      <c r="L27" s="236" t="str">
        <f t="shared" si="5"/>
        <v/>
      </c>
    </row>
    <row r="28" spans="1:12" x14ac:dyDescent="0.2">
      <c r="A28" s="472" t="s">
        <v>979</v>
      </c>
      <c r="B28" s="471"/>
      <c r="C28" s="236" t="str">
        <f>IF(C20=0,"",C17/C20)</f>
        <v/>
      </c>
      <c r="D28" s="236" t="str">
        <f t="shared" ref="D28:L28" si="6">IF(D20=0,"",D17/D20)</f>
        <v/>
      </c>
      <c r="E28" s="236" t="str">
        <f t="shared" si="6"/>
        <v/>
      </c>
      <c r="F28" s="236" t="str">
        <f t="shared" si="6"/>
        <v/>
      </c>
      <c r="G28" s="236" t="str">
        <f t="shared" si="6"/>
        <v/>
      </c>
      <c r="H28" s="236" t="str">
        <f t="shared" si="6"/>
        <v/>
      </c>
      <c r="I28" s="236" t="str">
        <f t="shared" si="6"/>
        <v/>
      </c>
      <c r="J28" s="236" t="str">
        <f t="shared" si="6"/>
        <v/>
      </c>
      <c r="K28" s="236" t="str">
        <f t="shared" si="6"/>
        <v/>
      </c>
      <c r="L28" s="236" t="str">
        <f t="shared" si="6"/>
        <v/>
      </c>
    </row>
    <row r="29" spans="1:12" x14ac:dyDescent="0.2">
      <c r="A29" s="472" t="s">
        <v>980</v>
      </c>
      <c r="B29" s="471"/>
      <c r="C29" s="236" t="str">
        <f>IF(C20=0,"",C18/C20)</f>
        <v/>
      </c>
      <c r="D29" s="236" t="str">
        <f t="shared" ref="D29:L29" si="7">IF(D20=0,"",D18/D20)</f>
        <v/>
      </c>
      <c r="E29" s="236" t="str">
        <f t="shared" si="7"/>
        <v/>
      </c>
      <c r="F29" s="236" t="str">
        <f t="shared" si="7"/>
        <v/>
      </c>
      <c r="G29" s="236" t="str">
        <f t="shared" si="7"/>
        <v/>
      </c>
      <c r="H29" s="236" t="str">
        <f t="shared" si="7"/>
        <v/>
      </c>
      <c r="I29" s="236" t="str">
        <f t="shared" si="7"/>
        <v/>
      </c>
      <c r="J29" s="236" t="str">
        <f t="shared" si="7"/>
        <v/>
      </c>
      <c r="K29" s="236" t="str">
        <f t="shared" si="7"/>
        <v/>
      </c>
      <c r="L29" s="236" t="str">
        <f t="shared" si="7"/>
        <v/>
      </c>
    </row>
    <row r="31" spans="1:12" x14ac:dyDescent="0.2">
      <c r="A31" s="192" t="s">
        <v>6</v>
      </c>
    </row>
    <row r="33" spans="1:12" ht="12.75" customHeight="1" x14ac:dyDescent="0.2">
      <c r="A33" s="268">
        <v>1</v>
      </c>
      <c r="B33" s="1967" t="s">
        <v>171</v>
      </c>
      <c r="C33" s="1967"/>
      <c r="D33" s="1967"/>
      <c r="E33" s="1967"/>
      <c r="F33" s="1967"/>
      <c r="G33" s="1967"/>
      <c r="H33" s="1967"/>
      <c r="I33" s="1967"/>
      <c r="J33" s="1967"/>
      <c r="K33" s="1967"/>
      <c r="L33" s="1967"/>
    </row>
    <row r="34" spans="1:12" x14ac:dyDescent="0.2">
      <c r="A34" s="197"/>
      <c r="B34" s="1967"/>
      <c r="C34" s="1967"/>
      <c r="D34" s="1967"/>
      <c r="E34" s="1967"/>
      <c r="F34" s="1967"/>
      <c r="G34" s="1967"/>
      <c r="H34" s="1967"/>
      <c r="I34" s="1967"/>
      <c r="J34" s="1967"/>
      <c r="K34" s="1967"/>
      <c r="L34" s="1967"/>
    </row>
    <row r="35" spans="1:12" x14ac:dyDescent="0.2">
      <c r="A35" s="268">
        <v>2</v>
      </c>
      <c r="B35" s="1989" t="s">
        <v>984</v>
      </c>
      <c r="C35" s="1990"/>
      <c r="D35" s="1990"/>
      <c r="E35" s="1990"/>
      <c r="F35" s="1990"/>
      <c r="G35" s="1990"/>
    </row>
    <row r="36" spans="1:12" x14ac:dyDescent="0.2">
      <c r="A36" s="268">
        <v>3</v>
      </c>
      <c r="B36" s="1989" t="s">
        <v>544</v>
      </c>
      <c r="C36" s="1990"/>
      <c r="D36" s="1990"/>
      <c r="E36" s="1990"/>
      <c r="F36" s="1990"/>
      <c r="G36" s="1990"/>
    </row>
    <row r="37" spans="1:12" ht="12.75" customHeight="1" x14ac:dyDescent="0.2">
      <c r="A37" s="268">
        <v>4</v>
      </c>
      <c r="B37" s="1623" t="s">
        <v>545</v>
      </c>
      <c r="C37" s="1623"/>
      <c r="D37" s="1623"/>
      <c r="E37" s="1623"/>
      <c r="F37" s="1623"/>
      <c r="G37" s="1623"/>
      <c r="H37" s="1623"/>
      <c r="I37" s="1623"/>
      <c r="J37" s="1623"/>
      <c r="K37" s="1623"/>
      <c r="L37" s="1623"/>
    </row>
    <row r="38" spans="1:12" ht="14.25" customHeight="1" x14ac:dyDescent="0.2">
      <c r="A38" s="234">
        <v>5</v>
      </c>
      <c r="B38" s="1623" t="s">
        <v>985</v>
      </c>
      <c r="C38" s="1623"/>
      <c r="D38" s="1623"/>
      <c r="E38" s="1623"/>
      <c r="F38" s="1623"/>
      <c r="G38" s="1623"/>
      <c r="H38" s="1623"/>
      <c r="I38" s="1623"/>
      <c r="J38" s="1623"/>
      <c r="K38" s="1623"/>
      <c r="L38" s="1623"/>
    </row>
    <row r="39" spans="1:12" x14ac:dyDescent="0.2">
      <c r="B39" s="1623"/>
      <c r="C39" s="1623"/>
      <c r="D39" s="1623"/>
      <c r="E39" s="1623"/>
      <c r="F39" s="1623"/>
      <c r="G39" s="1623"/>
      <c r="H39" s="1623"/>
      <c r="I39" s="1623"/>
      <c r="J39" s="1623"/>
      <c r="K39" s="1623"/>
      <c r="L39" s="1623"/>
    </row>
  </sheetData>
  <sheetProtection algorithmName="SHA-512" hashValue="D+Mq2JNRincnIQI7u+kr28ZUaUm86UD8rh1br5uKIcuxqka8nSJ/xNnUp4uAi8oZ7j9sfUwBhKGnpFpA4YwR6w==" saltValue="Lv8FG28R7pKT5k7Jyrcphg==" spinCount="100000" sheet="1" objects="1" scenarios="1"/>
  <mergeCells count="20">
    <mergeCell ref="B38:L39"/>
    <mergeCell ref="B37:L37"/>
    <mergeCell ref="B33:L34"/>
    <mergeCell ref="A20:B20"/>
    <mergeCell ref="A19:B19"/>
    <mergeCell ref="A21:B21"/>
    <mergeCell ref="A27:B27"/>
    <mergeCell ref="A9:L9"/>
    <mergeCell ref="A10:L10"/>
    <mergeCell ref="B35:G35"/>
    <mergeCell ref="B36:G36"/>
    <mergeCell ref="A22:B22"/>
    <mergeCell ref="A23:B23"/>
    <mergeCell ref="A26:B26"/>
    <mergeCell ref="A15:B15"/>
    <mergeCell ref="A14:B14"/>
    <mergeCell ref="H12:L12"/>
    <mergeCell ref="A16:B16"/>
    <mergeCell ref="A17:B17"/>
    <mergeCell ref="A18:B18"/>
  </mergeCells>
  <phoneticPr fontId="16" type="noConversion"/>
  <dataValidations count="2">
    <dataValidation allowBlank="1" showInputMessage="1" showErrorMessage="1" promptTitle="Date Format" prompt="E.g:  &quot;August 1, 2011&quot;" sqref="L7" xr:uid="{00000000-0002-0000-2400-000000000000}"/>
    <dataValidation type="list" allowBlank="1" showInputMessage="1" showErrorMessage="1" sqref="C14:L14" xr:uid="{00000000-0002-0000-2400-000001000000}">
      <formula1>"CGAAP, MIFRS, USGAAP, ASPE"</formula1>
    </dataValidation>
  </dataValidations>
  <pageMargins left="0.75" right="0.75" top="1" bottom="1" header="0.5" footer="0.5"/>
  <pageSetup scale="74" orientation="landscape"/>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3">
    <tabColor theme="7" tint="0.39997558519241921"/>
    <pageSetUpPr fitToPage="1"/>
  </sheetPr>
  <dimension ref="A1:L71"/>
  <sheetViews>
    <sheetView showGridLines="0" zoomScale="90" zoomScaleNormal="90" workbookViewId="0"/>
  </sheetViews>
  <sheetFormatPr defaultColWidth="9.28515625" defaultRowHeight="12.75" x14ac:dyDescent="0.2"/>
  <cols>
    <col min="1" max="1" width="4.28515625" style="1" customWidth="1"/>
    <col min="2" max="2" width="40.7109375" style="1" customWidth="1"/>
    <col min="3" max="3" width="17.7109375" style="1" customWidth="1"/>
    <col min="4" max="4" width="15.7109375" style="1" customWidth="1"/>
    <col min="5" max="8" width="13.7109375" style="1" customWidth="1"/>
    <col min="9" max="9" width="17" style="1" customWidth="1"/>
    <col min="10" max="10" width="12.7109375" style="1" customWidth="1"/>
    <col min="11" max="11" width="15.7109375" style="1" bestFit="1" customWidth="1"/>
    <col min="12" max="12" width="10.7109375" style="1" customWidth="1"/>
    <col min="13" max="16384" width="9.28515625" style="1"/>
  </cols>
  <sheetData>
    <row r="1" spans="1:12" x14ac:dyDescent="0.2">
      <c r="J1" s="1090" t="s">
        <v>277</v>
      </c>
      <c r="K1" s="968" t="str">
        <f>EBNUMBER</f>
        <v>EB-2018-0056</v>
      </c>
    </row>
    <row r="2" spans="1:12" x14ac:dyDescent="0.2">
      <c r="J2" s="1090" t="s">
        <v>278</v>
      </c>
      <c r="K2" s="41"/>
    </row>
    <row r="3" spans="1:12" x14ac:dyDescent="0.2">
      <c r="J3" s="1090" t="s">
        <v>279</v>
      </c>
      <c r="K3" s="41"/>
    </row>
    <row r="4" spans="1:12" ht="15" x14ac:dyDescent="0.25">
      <c r="A4" s="1136" t="s">
        <v>1310</v>
      </c>
      <c r="J4" s="1090" t="s">
        <v>280</v>
      </c>
      <c r="K4" s="41"/>
    </row>
    <row r="5" spans="1:12" x14ac:dyDescent="0.2">
      <c r="J5" s="1090" t="s">
        <v>281</v>
      </c>
      <c r="K5" s="42"/>
    </row>
    <row r="6" spans="1:12" x14ac:dyDescent="0.2">
      <c r="J6" s="1090"/>
      <c r="K6" s="968"/>
    </row>
    <row r="7" spans="1:12" x14ac:dyDescent="0.2">
      <c r="J7" s="1090" t="s">
        <v>282</v>
      </c>
      <c r="K7" s="42"/>
    </row>
    <row r="9" spans="1:12" ht="18" x14ac:dyDescent="0.25">
      <c r="A9" s="1611" t="s">
        <v>27</v>
      </c>
      <c r="B9" s="1611"/>
      <c r="C9" s="1611"/>
      <c r="D9" s="1611"/>
      <c r="E9" s="1611"/>
      <c r="F9" s="1611"/>
      <c r="G9" s="1611"/>
      <c r="H9" s="1611"/>
      <c r="I9" s="1611"/>
      <c r="J9" s="1611"/>
      <c r="K9" s="1611"/>
    </row>
    <row r="10" spans="1:12" ht="18" x14ac:dyDescent="0.25">
      <c r="A10" s="1611" t="s">
        <v>91</v>
      </c>
      <c r="B10" s="1611"/>
      <c r="C10" s="1611"/>
      <c r="D10" s="1611"/>
      <c r="E10" s="1611"/>
      <c r="F10" s="1611"/>
      <c r="G10" s="1611"/>
      <c r="H10" s="1611"/>
      <c r="I10" s="1611"/>
      <c r="J10" s="1611"/>
      <c r="K10" s="1611"/>
    </row>
    <row r="12" spans="1:12" ht="13.5" thickBot="1" x14ac:dyDescent="0.25"/>
    <row r="13" spans="1:12" ht="63.75" x14ac:dyDescent="0.2">
      <c r="A13" s="1996" t="s">
        <v>108</v>
      </c>
      <c r="B13" s="1997"/>
      <c r="C13" s="1299" t="s">
        <v>109</v>
      </c>
      <c r="D13" s="1299" t="s">
        <v>112</v>
      </c>
      <c r="E13" s="1300" t="str">
        <f>"Last Rebasing Year (" &amp; RebaseYear &amp; " Board Approved)"</f>
        <v>Last Rebasing Year (2014 Board Approved)</v>
      </c>
      <c r="F13" s="1300" t="str">
        <f>"Last Rebasing Year (" &amp; RebaseYear &amp; " Actual)"</f>
        <v>Last Rebasing Year (2014 Actual)</v>
      </c>
      <c r="G13" s="1300" t="str">
        <f>"Most Current Actuals Year " &amp; TestYear - 2</f>
        <v>Most Current Actuals Year 2017</v>
      </c>
      <c r="H13" s="1300" t="str">
        <f>TestYear -1 &amp; " Bridge Year"</f>
        <v>2018 Bridge Year</v>
      </c>
      <c r="I13" s="1299" t="s">
        <v>110</v>
      </c>
      <c r="J13" s="1300" t="str">
        <f>TestYear &amp; " Test Year"</f>
        <v>2019 Test Year</v>
      </c>
      <c r="K13" s="1301" t="s">
        <v>110</v>
      </c>
    </row>
    <row r="14" spans="1:12" x14ac:dyDescent="0.2">
      <c r="A14" s="1998" t="s">
        <v>16</v>
      </c>
      <c r="B14" s="1999"/>
      <c r="C14" s="1302" t="s">
        <v>17</v>
      </c>
      <c r="D14" s="1302" t="s">
        <v>111</v>
      </c>
      <c r="E14" s="1303" t="s">
        <v>18</v>
      </c>
      <c r="F14" s="1303" t="s">
        <v>19</v>
      </c>
      <c r="G14" s="1303" t="s">
        <v>113</v>
      </c>
      <c r="H14" s="1303" t="s">
        <v>114</v>
      </c>
      <c r="I14" s="1303" t="s">
        <v>1274</v>
      </c>
      <c r="J14" s="1303" t="s">
        <v>1275</v>
      </c>
      <c r="K14" s="1304" t="s">
        <v>1276</v>
      </c>
    </row>
    <row r="15" spans="1:12" x14ac:dyDescent="0.2">
      <c r="A15" s="2000" t="s">
        <v>1272</v>
      </c>
      <c r="B15" s="2001"/>
      <c r="C15" s="1302"/>
      <c r="D15" s="1302"/>
      <c r="E15" s="1302"/>
      <c r="F15" s="1302"/>
      <c r="G15" s="1302"/>
      <c r="H15" s="1302"/>
      <c r="I15" s="1302"/>
      <c r="J15" s="1302"/>
      <c r="K15" s="1305"/>
    </row>
    <row r="16" spans="1:12" x14ac:dyDescent="0.2">
      <c r="A16" s="1306">
        <v>1</v>
      </c>
      <c r="B16" s="1307" t="s">
        <v>115</v>
      </c>
      <c r="C16" s="269">
        <v>5655</v>
      </c>
      <c r="D16" s="270"/>
      <c r="E16" s="270">
        <v>30300</v>
      </c>
      <c r="F16" s="270">
        <v>28850</v>
      </c>
      <c r="G16" s="270">
        <v>30300</v>
      </c>
      <c r="H16" s="270">
        <v>30300</v>
      </c>
      <c r="I16" s="1308">
        <f>IF(G16=0,"",(H16-G16)/G16)</f>
        <v>0</v>
      </c>
      <c r="J16" s="270">
        <v>39840</v>
      </c>
      <c r="K16" s="1309">
        <f>IF(H16=0,"",(J16-H16)/H16)</f>
        <v>0.31485148514851485</v>
      </c>
      <c r="L16" s="950"/>
    </row>
    <row r="17" spans="1:12" x14ac:dyDescent="0.2">
      <c r="A17" s="1306">
        <v>2</v>
      </c>
      <c r="B17" s="1307" t="s">
        <v>116</v>
      </c>
      <c r="C17" s="269">
        <v>5655</v>
      </c>
      <c r="D17" s="270"/>
      <c r="E17" s="270">
        <v>1900</v>
      </c>
      <c r="F17" s="270">
        <v>514</v>
      </c>
      <c r="G17" s="270">
        <v>1000</v>
      </c>
      <c r="H17" s="270">
        <v>0</v>
      </c>
      <c r="I17" s="1308">
        <f t="shared" ref="I17:I54" si="0">IF(G17=0,"",(H17-G17)/G17)</f>
        <v>-1</v>
      </c>
      <c r="J17" s="270">
        <v>0</v>
      </c>
      <c r="K17" s="1309" t="str">
        <f t="shared" ref="K17:K54" si="1">IF(H17=0,"",(J17-H17)/H17)</f>
        <v/>
      </c>
      <c r="L17" s="950"/>
    </row>
    <row r="18" spans="1:12" ht="12.75" customHeight="1" x14ac:dyDescent="0.2">
      <c r="A18" s="1306">
        <v>3</v>
      </c>
      <c r="B18" s="1307" t="s">
        <v>117</v>
      </c>
      <c r="C18" s="269">
        <v>5655</v>
      </c>
      <c r="D18" s="270"/>
      <c r="E18" s="270"/>
      <c r="F18" s="270"/>
      <c r="G18" s="270"/>
      <c r="H18" s="270"/>
      <c r="I18" s="1308" t="str">
        <f t="shared" si="0"/>
        <v/>
      </c>
      <c r="J18" s="270"/>
      <c r="K18" s="1309" t="str">
        <f t="shared" si="1"/>
        <v/>
      </c>
      <c r="L18" s="950"/>
    </row>
    <row r="19" spans="1:12" x14ac:dyDescent="0.2">
      <c r="A19" s="1306">
        <v>4</v>
      </c>
      <c r="B19" s="1307" t="s">
        <v>118</v>
      </c>
      <c r="C19" s="269"/>
      <c r="D19" s="270"/>
      <c r="E19" s="270"/>
      <c r="F19" s="270"/>
      <c r="G19" s="270"/>
      <c r="H19" s="270"/>
      <c r="I19" s="1308" t="str">
        <f t="shared" si="0"/>
        <v/>
      </c>
      <c r="J19" s="270"/>
      <c r="K19" s="1309" t="str">
        <f t="shared" si="1"/>
        <v/>
      </c>
      <c r="L19" s="950"/>
    </row>
    <row r="20" spans="1:12" x14ac:dyDescent="0.2">
      <c r="A20" s="1306">
        <v>5</v>
      </c>
      <c r="B20" s="1307" t="s">
        <v>119</v>
      </c>
      <c r="C20" s="269">
        <v>5655</v>
      </c>
      <c r="D20" s="270"/>
      <c r="E20" s="270"/>
      <c r="F20" s="270"/>
      <c r="G20" s="270"/>
      <c r="H20" s="270"/>
      <c r="I20" s="1308" t="str">
        <f t="shared" si="0"/>
        <v/>
      </c>
      <c r="J20" s="270">
        <v>2000</v>
      </c>
      <c r="K20" s="1309" t="str">
        <f t="shared" si="1"/>
        <v/>
      </c>
      <c r="L20" s="950"/>
    </row>
    <row r="21" spans="1:12" ht="25.5" customHeight="1" x14ac:dyDescent="0.2">
      <c r="A21" s="1306">
        <v>6</v>
      </c>
      <c r="B21" s="1307" t="s">
        <v>120</v>
      </c>
      <c r="C21" s="269">
        <v>5655</v>
      </c>
      <c r="D21" s="270"/>
      <c r="E21" s="270">
        <v>0</v>
      </c>
      <c r="F21" s="270">
        <v>0</v>
      </c>
      <c r="G21" s="270">
        <v>0</v>
      </c>
      <c r="H21" s="270">
        <v>1189.6461141999998</v>
      </c>
      <c r="I21" s="1308" t="str">
        <f t="shared" si="0"/>
        <v/>
      </c>
      <c r="J21" s="270">
        <v>1112.6916989699203</v>
      </c>
      <c r="K21" s="1309">
        <f t="shared" si="1"/>
        <v>-6.4686812583613598E-2</v>
      </c>
      <c r="L21" s="950"/>
    </row>
    <row r="22" spans="1:12" ht="32.450000000000003" customHeight="1" x14ac:dyDescent="0.2">
      <c r="A22" s="1306">
        <v>7</v>
      </c>
      <c r="B22" s="1307" t="s">
        <v>84</v>
      </c>
      <c r="C22" s="269">
        <v>5655</v>
      </c>
      <c r="D22" s="270"/>
      <c r="E22" s="270"/>
      <c r="F22" s="270">
        <v>740</v>
      </c>
      <c r="G22" s="270">
        <v>14661</v>
      </c>
      <c r="H22" s="270">
        <v>5333.93</v>
      </c>
      <c r="I22" s="1308">
        <f t="shared" si="0"/>
        <v>-0.6361823886501603</v>
      </c>
      <c r="J22" s="270">
        <v>5397.94</v>
      </c>
      <c r="K22" s="1309">
        <f t="shared" si="1"/>
        <v>1.2000532440433096E-2</v>
      </c>
      <c r="L22" s="950"/>
    </row>
    <row r="23" spans="1:12" ht="13.5" customHeight="1" x14ac:dyDescent="0.2">
      <c r="A23" s="1306">
        <v>8</v>
      </c>
      <c r="B23" s="1307" t="s">
        <v>121</v>
      </c>
      <c r="C23" s="269">
        <v>5655</v>
      </c>
      <c r="D23" s="270"/>
      <c r="E23" s="270"/>
      <c r="F23" s="270"/>
      <c r="G23" s="270"/>
      <c r="H23" s="270"/>
      <c r="I23" s="1308" t="str">
        <f t="shared" si="0"/>
        <v/>
      </c>
      <c r="J23" s="270"/>
      <c r="K23" s="1309" t="str">
        <f t="shared" si="1"/>
        <v/>
      </c>
      <c r="L23" s="950"/>
    </row>
    <row r="24" spans="1:12" ht="25.5" x14ac:dyDescent="0.2">
      <c r="A24" s="1306">
        <v>9</v>
      </c>
      <c r="B24" s="1307" t="s">
        <v>122</v>
      </c>
      <c r="C24" s="269">
        <v>5655</v>
      </c>
      <c r="D24" s="270"/>
      <c r="E24" s="270"/>
      <c r="F24" s="270"/>
      <c r="G24" s="270"/>
      <c r="H24" s="270"/>
      <c r="I24" s="1308" t="str">
        <f t="shared" si="0"/>
        <v/>
      </c>
      <c r="J24" s="270"/>
      <c r="K24" s="1309" t="str">
        <f t="shared" si="1"/>
        <v/>
      </c>
      <c r="L24" s="950"/>
    </row>
    <row r="25" spans="1:12" x14ac:dyDescent="0.2">
      <c r="A25" s="1306">
        <v>10</v>
      </c>
      <c r="B25" s="1310" t="s">
        <v>123</v>
      </c>
      <c r="C25" s="269"/>
      <c r="D25" s="920"/>
      <c r="E25" s="920"/>
      <c r="F25" s="920"/>
      <c r="G25" s="920"/>
      <c r="H25" s="920"/>
      <c r="I25" s="1308" t="str">
        <f t="shared" si="0"/>
        <v/>
      </c>
      <c r="J25" s="920"/>
      <c r="K25" s="1309" t="str">
        <f t="shared" si="1"/>
        <v/>
      </c>
      <c r="L25" s="950"/>
    </row>
    <row r="26" spans="1:12" x14ac:dyDescent="0.2">
      <c r="A26" s="1306">
        <v>11</v>
      </c>
      <c r="B26" s="924" t="s">
        <v>1459</v>
      </c>
      <c r="C26" s="919">
        <v>5655</v>
      </c>
      <c r="D26" s="920"/>
      <c r="E26" s="920">
        <v>0</v>
      </c>
      <c r="F26" s="920">
        <v>373</v>
      </c>
      <c r="G26" s="920">
        <v>0</v>
      </c>
      <c r="H26" s="920">
        <v>0</v>
      </c>
      <c r="I26" s="1308" t="str">
        <f t="shared" si="0"/>
        <v/>
      </c>
      <c r="J26" s="920">
        <v>0</v>
      </c>
      <c r="K26" s="1309" t="str">
        <f t="shared" si="1"/>
        <v/>
      </c>
      <c r="L26" s="950"/>
    </row>
    <row r="27" spans="1:12" x14ac:dyDescent="0.2">
      <c r="A27" s="1306">
        <v>12</v>
      </c>
      <c r="B27" s="924" t="s">
        <v>1593</v>
      </c>
      <c r="C27" s="919"/>
      <c r="D27" s="920"/>
      <c r="E27" s="920">
        <v>800</v>
      </c>
      <c r="F27" s="920">
        <v>800</v>
      </c>
      <c r="G27" s="920">
        <v>800</v>
      </c>
      <c r="H27" s="920">
        <v>800</v>
      </c>
      <c r="I27" s="1308">
        <f t="shared" si="0"/>
        <v>0</v>
      </c>
      <c r="J27" s="920">
        <v>800</v>
      </c>
      <c r="K27" s="1309">
        <f t="shared" si="1"/>
        <v>0</v>
      </c>
      <c r="L27" s="950"/>
    </row>
    <row r="28" spans="1:12" x14ac:dyDescent="0.2">
      <c r="A28" s="1306">
        <v>13</v>
      </c>
      <c r="B28" s="919"/>
      <c r="C28" s="919"/>
      <c r="D28" s="920"/>
      <c r="E28" s="920"/>
      <c r="F28" s="920"/>
      <c r="G28" s="920"/>
      <c r="H28" s="920"/>
      <c r="I28" s="1308" t="str">
        <f t="shared" si="0"/>
        <v/>
      </c>
      <c r="J28" s="920"/>
      <c r="K28" s="1309" t="str">
        <f t="shared" si="1"/>
        <v/>
      </c>
      <c r="L28" s="950"/>
    </row>
    <row r="29" spans="1:12" x14ac:dyDescent="0.2">
      <c r="A29" s="1306">
        <v>14</v>
      </c>
      <c r="B29" s="919"/>
      <c r="C29" s="919"/>
      <c r="D29" s="920"/>
      <c r="E29" s="920"/>
      <c r="F29" s="920"/>
      <c r="G29" s="920"/>
      <c r="H29" s="920"/>
      <c r="I29" s="1308" t="str">
        <f t="shared" si="0"/>
        <v/>
      </c>
      <c r="J29" s="920"/>
      <c r="K29" s="1309" t="str">
        <f t="shared" si="1"/>
        <v/>
      </c>
      <c r="L29" s="950"/>
    </row>
    <row r="30" spans="1:12" x14ac:dyDescent="0.2">
      <c r="A30" s="1306">
        <v>15</v>
      </c>
      <c r="B30" s="919"/>
      <c r="C30" s="919"/>
      <c r="D30" s="920"/>
      <c r="E30" s="920"/>
      <c r="F30" s="920"/>
      <c r="G30" s="920"/>
      <c r="H30" s="920"/>
      <c r="I30" s="1308" t="str">
        <f t="shared" si="0"/>
        <v/>
      </c>
      <c r="J30" s="920"/>
      <c r="K30" s="1309" t="str">
        <f t="shared" si="1"/>
        <v/>
      </c>
      <c r="L30" s="950"/>
    </row>
    <row r="31" spans="1:12" x14ac:dyDescent="0.2">
      <c r="A31" s="1306">
        <v>16</v>
      </c>
      <c r="B31" s="919"/>
      <c r="C31" s="919"/>
      <c r="D31" s="920"/>
      <c r="E31" s="920"/>
      <c r="F31" s="920"/>
      <c r="G31" s="920"/>
      <c r="H31" s="920"/>
      <c r="I31" s="1308" t="str">
        <f t="shared" si="0"/>
        <v/>
      </c>
      <c r="J31" s="920"/>
      <c r="K31" s="1309" t="str">
        <f t="shared" si="1"/>
        <v/>
      </c>
      <c r="L31" s="950"/>
    </row>
    <row r="32" spans="1:12" x14ac:dyDescent="0.2">
      <c r="A32" s="1306">
        <v>17</v>
      </c>
      <c r="B32" s="919"/>
      <c r="C32" s="919"/>
      <c r="D32" s="920"/>
      <c r="E32" s="920"/>
      <c r="F32" s="920"/>
      <c r="G32" s="920"/>
      <c r="H32" s="920"/>
      <c r="I32" s="1308" t="str">
        <f t="shared" si="0"/>
        <v/>
      </c>
      <c r="J32" s="920"/>
      <c r="K32" s="1309" t="str">
        <f t="shared" si="1"/>
        <v/>
      </c>
      <c r="L32" s="950"/>
    </row>
    <row r="33" spans="1:12" x14ac:dyDescent="0.2">
      <c r="A33" s="1306">
        <v>18</v>
      </c>
      <c r="B33" s="919"/>
      <c r="C33" s="919"/>
      <c r="D33" s="920"/>
      <c r="E33" s="920"/>
      <c r="F33" s="920"/>
      <c r="G33" s="920"/>
      <c r="H33" s="920"/>
      <c r="I33" s="1308" t="str">
        <f t="shared" si="0"/>
        <v/>
      </c>
      <c r="J33" s="920"/>
      <c r="K33" s="1309" t="str">
        <f t="shared" si="1"/>
        <v/>
      </c>
      <c r="L33" s="950"/>
    </row>
    <row r="34" spans="1:12" x14ac:dyDescent="0.2">
      <c r="A34" s="1306">
        <v>19</v>
      </c>
      <c r="B34" s="919"/>
      <c r="C34" s="919"/>
      <c r="D34" s="920"/>
      <c r="E34" s="920"/>
      <c r="F34" s="920"/>
      <c r="G34" s="920"/>
      <c r="H34" s="920"/>
      <c r="I34" s="1308" t="str">
        <f t="shared" si="0"/>
        <v/>
      </c>
      <c r="J34" s="920"/>
      <c r="K34" s="1309" t="str">
        <f t="shared" si="1"/>
        <v/>
      </c>
      <c r="L34" s="950"/>
    </row>
    <row r="35" spans="1:12" x14ac:dyDescent="0.2">
      <c r="A35" s="1306">
        <v>20</v>
      </c>
      <c r="B35" s="919"/>
      <c r="C35" s="919"/>
      <c r="D35" s="920"/>
      <c r="E35" s="920"/>
      <c r="F35" s="920"/>
      <c r="G35" s="920"/>
      <c r="H35" s="920"/>
      <c r="I35" s="1308" t="str">
        <f t="shared" si="0"/>
        <v/>
      </c>
      <c r="J35" s="920"/>
      <c r="K35" s="1309" t="str">
        <f t="shared" si="1"/>
        <v/>
      </c>
      <c r="L35" s="950"/>
    </row>
    <row r="36" spans="1:12" x14ac:dyDescent="0.2">
      <c r="A36" s="1994" t="s">
        <v>1273</v>
      </c>
      <c r="B36" s="1995"/>
      <c r="C36" s="1311"/>
      <c r="D36" s="1312"/>
      <c r="E36" s="1312"/>
      <c r="F36" s="1312"/>
      <c r="G36" s="1312"/>
      <c r="H36" s="1312"/>
      <c r="I36" s="1313"/>
      <c r="J36" s="1312"/>
      <c r="K36" s="1314"/>
      <c r="L36" s="950"/>
    </row>
    <row r="37" spans="1:12" x14ac:dyDescent="0.2">
      <c r="A37" s="1315">
        <v>1</v>
      </c>
      <c r="B37" s="1316" t="s">
        <v>549</v>
      </c>
      <c r="C37" s="919"/>
      <c r="D37" s="920"/>
      <c r="E37" s="920"/>
      <c r="F37" s="920"/>
      <c r="G37" s="920"/>
      <c r="H37" s="920"/>
      <c r="I37" s="1308" t="str">
        <f t="shared" si="0"/>
        <v/>
      </c>
      <c r="J37" s="920"/>
      <c r="K37" s="1309" t="str">
        <f t="shared" si="1"/>
        <v/>
      </c>
      <c r="L37" s="950"/>
    </row>
    <row r="38" spans="1:12" x14ac:dyDescent="0.2">
      <c r="A38" s="1315">
        <v>2</v>
      </c>
      <c r="B38" s="1316" t="s">
        <v>550</v>
      </c>
      <c r="C38" s="919">
        <v>5655</v>
      </c>
      <c r="D38" s="920"/>
      <c r="E38" s="920">
        <v>20000</v>
      </c>
      <c r="F38" s="920">
        <v>1071</v>
      </c>
      <c r="G38" s="920">
        <v>0</v>
      </c>
      <c r="H38" s="920">
        <v>0</v>
      </c>
      <c r="I38" s="1308" t="str">
        <f t="shared" si="0"/>
        <v/>
      </c>
      <c r="J38" s="920">
        <v>25000</v>
      </c>
      <c r="K38" s="1309" t="str">
        <f t="shared" si="1"/>
        <v/>
      </c>
      <c r="L38" s="950"/>
    </row>
    <row r="39" spans="1:12" x14ac:dyDescent="0.2">
      <c r="A39" s="1315">
        <v>3</v>
      </c>
      <c r="B39" s="1317" t="s">
        <v>548</v>
      </c>
      <c r="C39" s="919">
        <v>5655</v>
      </c>
      <c r="D39" s="920"/>
      <c r="E39" s="920">
        <v>0</v>
      </c>
      <c r="F39" s="920">
        <v>0</v>
      </c>
      <c r="G39" s="920">
        <v>0</v>
      </c>
      <c r="H39" s="920">
        <v>0</v>
      </c>
      <c r="I39" s="1308" t="str">
        <f t="shared" si="0"/>
        <v/>
      </c>
      <c r="J39" s="920">
        <v>36000</v>
      </c>
      <c r="K39" s="1309" t="str">
        <f t="shared" si="1"/>
        <v/>
      </c>
      <c r="L39" s="950"/>
    </row>
    <row r="40" spans="1:12" ht="38.25" x14ac:dyDescent="0.2">
      <c r="A40" s="1315">
        <v>4</v>
      </c>
      <c r="B40" s="1317" t="s">
        <v>546</v>
      </c>
      <c r="C40" s="919"/>
      <c r="D40" s="920"/>
      <c r="E40" s="920"/>
      <c r="F40" s="920"/>
      <c r="G40" s="920"/>
      <c r="H40" s="920"/>
      <c r="I40" s="1308" t="str">
        <f t="shared" si="0"/>
        <v/>
      </c>
      <c r="J40" s="920"/>
      <c r="K40" s="1309" t="str">
        <f t="shared" si="1"/>
        <v/>
      </c>
      <c r="L40" s="950"/>
    </row>
    <row r="41" spans="1:12" ht="39.75" x14ac:dyDescent="0.2">
      <c r="A41" s="1315">
        <v>5</v>
      </c>
      <c r="B41" s="1317" t="s">
        <v>547</v>
      </c>
      <c r="C41" s="919"/>
      <c r="D41" s="920"/>
      <c r="E41" s="920"/>
      <c r="F41" s="920"/>
      <c r="G41" s="920"/>
      <c r="H41" s="920"/>
      <c r="I41" s="1308" t="str">
        <f t="shared" si="0"/>
        <v/>
      </c>
      <c r="J41" s="920">
        <f>+H41</f>
        <v>0</v>
      </c>
      <c r="K41" s="1309" t="str">
        <f t="shared" si="1"/>
        <v/>
      </c>
      <c r="L41" s="950"/>
    </row>
    <row r="42" spans="1:12" x14ac:dyDescent="0.2">
      <c r="A42" s="1315">
        <v>6</v>
      </c>
      <c r="B42" s="1318" t="s">
        <v>123</v>
      </c>
      <c r="C42" s="919"/>
      <c r="D42" s="920"/>
      <c r="E42" s="920"/>
      <c r="F42" s="920"/>
      <c r="G42" s="920"/>
      <c r="H42" s="920">
        <v>58.5</v>
      </c>
      <c r="I42" s="1308" t="str">
        <f t="shared" si="0"/>
        <v/>
      </c>
      <c r="J42" s="920">
        <v>50000</v>
      </c>
      <c r="K42" s="1309">
        <f t="shared" si="1"/>
        <v>853.70085470085473</v>
      </c>
      <c r="L42" s="950"/>
    </row>
    <row r="43" spans="1:12" x14ac:dyDescent="0.2">
      <c r="A43" s="1315">
        <v>7</v>
      </c>
      <c r="B43" s="1316" t="s">
        <v>1281</v>
      </c>
      <c r="C43" s="919"/>
      <c r="D43" s="920"/>
      <c r="E43" s="920"/>
      <c r="F43" s="920"/>
      <c r="G43" s="920"/>
      <c r="H43" s="920"/>
      <c r="I43" s="1308" t="str">
        <f t="shared" si="0"/>
        <v/>
      </c>
      <c r="J43" s="920"/>
      <c r="K43" s="1309" t="str">
        <f t="shared" si="1"/>
        <v/>
      </c>
      <c r="L43" s="950"/>
    </row>
    <row r="44" spans="1:12" x14ac:dyDescent="0.2">
      <c r="A44" s="1315">
        <v>8</v>
      </c>
      <c r="B44" s="924" t="s">
        <v>1594</v>
      </c>
      <c r="C44" s="919">
        <v>5655</v>
      </c>
      <c r="D44" s="920"/>
      <c r="E44" s="920"/>
      <c r="F44" s="920"/>
      <c r="G44" s="920"/>
      <c r="H44" s="920"/>
      <c r="I44" s="1308" t="str">
        <f t="shared" si="0"/>
        <v/>
      </c>
      <c r="J44" s="920"/>
      <c r="K44" s="1309" t="str">
        <f t="shared" si="1"/>
        <v/>
      </c>
      <c r="L44" s="950"/>
    </row>
    <row r="45" spans="1:12" x14ac:dyDescent="0.2">
      <c r="A45" s="1315">
        <v>9</v>
      </c>
      <c r="B45" s="919"/>
      <c r="C45" s="919"/>
      <c r="D45" s="920"/>
      <c r="E45" s="920"/>
      <c r="F45" s="920"/>
      <c r="G45" s="920"/>
      <c r="H45" s="920"/>
      <c r="I45" s="1308" t="str">
        <f t="shared" si="0"/>
        <v/>
      </c>
      <c r="J45" s="920"/>
      <c r="K45" s="1309" t="str">
        <f t="shared" si="1"/>
        <v/>
      </c>
      <c r="L45" s="950"/>
    </row>
    <row r="46" spans="1:12" x14ac:dyDescent="0.2">
      <c r="A46" s="1315">
        <v>10</v>
      </c>
      <c r="B46" s="924" t="s">
        <v>1595</v>
      </c>
      <c r="C46" s="919"/>
      <c r="D46" s="920"/>
      <c r="E46" s="920"/>
      <c r="F46" s="920"/>
      <c r="G46" s="920"/>
      <c r="H46" s="920"/>
      <c r="I46" s="1308" t="str">
        <f t="shared" si="0"/>
        <v/>
      </c>
      <c r="J46" s="920">
        <v>12500</v>
      </c>
      <c r="K46" s="1309" t="str">
        <f t="shared" si="1"/>
        <v/>
      </c>
      <c r="L46" s="950"/>
    </row>
    <row r="47" spans="1:12" x14ac:dyDescent="0.2">
      <c r="A47" s="1315">
        <v>11</v>
      </c>
      <c r="B47" s="924" t="s">
        <v>1596</v>
      </c>
      <c r="C47" s="919"/>
      <c r="D47" s="920"/>
      <c r="E47" s="920"/>
      <c r="F47" s="920"/>
      <c r="G47" s="920"/>
      <c r="H47" s="920"/>
      <c r="I47" s="1308" t="str">
        <f t="shared" si="0"/>
        <v/>
      </c>
      <c r="J47" s="920">
        <v>10000</v>
      </c>
      <c r="K47" s="1309" t="str">
        <f t="shared" si="1"/>
        <v/>
      </c>
      <c r="L47" s="950"/>
    </row>
    <row r="48" spans="1:12" x14ac:dyDescent="0.2">
      <c r="A48" s="1315">
        <v>12</v>
      </c>
      <c r="B48" s="924" t="s">
        <v>1597</v>
      </c>
      <c r="C48" s="919"/>
      <c r="D48" s="920"/>
      <c r="E48" s="920"/>
      <c r="F48" s="920"/>
      <c r="G48" s="920"/>
      <c r="H48" s="920"/>
      <c r="I48" s="1308" t="str">
        <f t="shared" si="0"/>
        <v/>
      </c>
      <c r="J48" s="920">
        <v>30000</v>
      </c>
      <c r="K48" s="1309" t="str">
        <f t="shared" si="1"/>
        <v/>
      </c>
      <c r="L48" s="950"/>
    </row>
    <row r="49" spans="1:12" x14ac:dyDescent="0.2">
      <c r="A49" s="1315">
        <v>13</v>
      </c>
      <c r="B49" s="924" t="s">
        <v>1598</v>
      </c>
      <c r="C49" s="919"/>
      <c r="D49" s="920"/>
      <c r="E49" s="920"/>
      <c r="F49" s="920"/>
      <c r="G49" s="920"/>
      <c r="H49" s="920"/>
      <c r="I49" s="1308" t="str">
        <f t="shared" si="0"/>
        <v/>
      </c>
      <c r="J49" s="920">
        <v>1500</v>
      </c>
      <c r="K49" s="1309" t="str">
        <f t="shared" si="1"/>
        <v/>
      </c>
      <c r="L49" s="950"/>
    </row>
    <row r="50" spans="1:12" x14ac:dyDescent="0.2">
      <c r="A50" s="1315">
        <v>14</v>
      </c>
      <c r="B50" s="919"/>
      <c r="C50" s="919"/>
      <c r="D50" s="920"/>
      <c r="E50" s="920"/>
      <c r="F50" s="920"/>
      <c r="G50" s="920"/>
      <c r="H50" s="920"/>
      <c r="I50" s="1308" t="str">
        <f t="shared" si="0"/>
        <v/>
      </c>
      <c r="J50" s="920"/>
      <c r="K50" s="1309" t="str">
        <f t="shared" si="1"/>
        <v/>
      </c>
      <c r="L50" s="950"/>
    </row>
    <row r="51" spans="1:12" ht="13.5" thickBot="1" x14ac:dyDescent="0.25">
      <c r="A51" s="1315">
        <v>15</v>
      </c>
      <c r="B51" s="271"/>
      <c r="C51" s="271"/>
      <c r="D51" s="272"/>
      <c r="E51" s="272"/>
      <c r="F51" s="272"/>
      <c r="G51" s="272"/>
      <c r="H51" s="272"/>
      <c r="I51" s="1319" t="str">
        <f t="shared" si="0"/>
        <v/>
      </c>
      <c r="J51" s="272"/>
      <c r="K51" s="1320" t="str">
        <f t="shared" si="1"/>
        <v/>
      </c>
      <c r="L51" s="950"/>
    </row>
    <row r="52" spans="1:12" ht="14.25" x14ac:dyDescent="0.2">
      <c r="A52" s="1315">
        <v>1</v>
      </c>
      <c r="B52" s="1321" t="s">
        <v>1279</v>
      </c>
      <c r="C52" s="1322"/>
      <c r="D52" s="1323">
        <f>SUM(D16:D35)</f>
        <v>0</v>
      </c>
      <c r="E52" s="1323">
        <f>SUM(E16:E35)</f>
        <v>33000</v>
      </c>
      <c r="F52" s="1323">
        <f>SUM(F16:F35)</f>
        <v>31277</v>
      </c>
      <c r="G52" s="1323">
        <f>SUM(G16:G35)</f>
        <v>46761</v>
      </c>
      <c r="H52" s="1323">
        <f>SUM(H16:H35)</f>
        <v>37623.576114199997</v>
      </c>
      <c r="I52" s="1324">
        <f t="shared" si="0"/>
        <v>-0.19540693923996499</v>
      </c>
      <c r="J52" s="1323">
        <f>SUM(J16:J35)</f>
        <v>49150.631698969926</v>
      </c>
      <c r="K52" s="1325">
        <f t="shared" si="1"/>
        <v>0.30637852047294767</v>
      </c>
      <c r="L52" s="950"/>
    </row>
    <row r="53" spans="1:12" ht="15" thickBot="1" x14ac:dyDescent="0.25">
      <c r="A53" s="1315">
        <v>2</v>
      </c>
      <c r="B53" s="1326" t="s">
        <v>1280</v>
      </c>
      <c r="C53" s="1327"/>
      <c r="D53" s="1328">
        <f>SUM(D37:D51)</f>
        <v>0</v>
      </c>
      <c r="E53" s="1328">
        <f t="shared" ref="E53:H53" si="2">SUM(E37:E51)</f>
        <v>20000</v>
      </c>
      <c r="F53" s="1328">
        <f t="shared" si="2"/>
        <v>1071</v>
      </c>
      <c r="G53" s="1328">
        <f t="shared" si="2"/>
        <v>0</v>
      </c>
      <c r="H53" s="1328">
        <f t="shared" si="2"/>
        <v>58.5</v>
      </c>
      <c r="I53" s="1329" t="str">
        <f t="shared" si="0"/>
        <v/>
      </c>
      <c r="J53" s="1328">
        <f t="shared" ref="J53" si="3">SUM(J37:J51)</f>
        <v>165000</v>
      </c>
      <c r="K53" s="1330">
        <f t="shared" si="1"/>
        <v>2819.5128205128203</v>
      </c>
      <c r="L53" s="950"/>
    </row>
    <row r="54" spans="1:12" ht="14.25" thickTop="1" thickBot="1" x14ac:dyDescent="0.25">
      <c r="A54" s="1331">
        <v>3</v>
      </c>
      <c r="B54" s="1332" t="s">
        <v>272</v>
      </c>
      <c r="C54" s="1333"/>
      <c r="D54" s="1334">
        <f>D52+D53</f>
        <v>0</v>
      </c>
      <c r="E54" s="1334">
        <f t="shared" ref="E54:H54" si="4">E52+E53</f>
        <v>53000</v>
      </c>
      <c r="F54" s="1334">
        <f t="shared" si="4"/>
        <v>32348</v>
      </c>
      <c r="G54" s="1334">
        <f t="shared" si="4"/>
        <v>46761</v>
      </c>
      <c r="H54" s="1334">
        <f t="shared" si="4"/>
        <v>37682.076114199997</v>
      </c>
      <c r="I54" s="1335">
        <f t="shared" si="0"/>
        <v>-0.19415589670451877</v>
      </c>
      <c r="J54" s="1334">
        <f>J52+C58</f>
        <v>82150.631698969926</v>
      </c>
      <c r="K54" s="1336">
        <f t="shared" si="1"/>
        <v>1.1800983430425305</v>
      </c>
      <c r="L54" s="950"/>
    </row>
    <row r="55" spans="1:12" ht="13.5" thickBot="1" x14ac:dyDescent="0.25"/>
    <row r="56" spans="1:12" ht="13.5" thickBot="1" x14ac:dyDescent="0.25">
      <c r="B56" s="1337" t="s">
        <v>1287</v>
      </c>
      <c r="C56" s="1338" t="s">
        <v>272</v>
      </c>
    </row>
    <row r="57" spans="1:12" ht="26.25" thickBot="1" x14ac:dyDescent="0.25">
      <c r="A57" s="967"/>
      <c r="B57" s="1339" t="s">
        <v>1285</v>
      </c>
      <c r="C57" s="1340">
        <f>J53</f>
        <v>165000</v>
      </c>
    </row>
    <row r="58" spans="1:12" ht="13.5" thickBot="1" x14ac:dyDescent="0.25">
      <c r="B58" s="1341" t="s">
        <v>1286</v>
      </c>
      <c r="C58" s="1342">
        <f>C57/5</f>
        <v>33000</v>
      </c>
      <c r="D58" s="1050"/>
    </row>
    <row r="59" spans="1:12" x14ac:dyDescent="0.2">
      <c r="A59" s="1343"/>
      <c r="B59" s="1050"/>
      <c r="C59" s="1344"/>
      <c r="D59" s="1344"/>
    </row>
    <row r="60" spans="1:12" x14ac:dyDescent="0.2">
      <c r="A60" s="1345"/>
      <c r="B60" s="1050"/>
      <c r="C60" s="1346"/>
      <c r="D60" s="1346"/>
    </row>
    <row r="61" spans="1:12" x14ac:dyDescent="0.2">
      <c r="A61" s="1345"/>
      <c r="B61" s="1050"/>
      <c r="C61" s="1346"/>
      <c r="D61" s="1346"/>
    </row>
    <row r="62" spans="1:12" x14ac:dyDescent="0.2">
      <c r="A62" s="1345"/>
      <c r="B62" s="1050"/>
      <c r="C62" s="1346"/>
      <c r="D62" s="1346"/>
    </row>
    <row r="63" spans="1:12" ht="26.25" customHeight="1" x14ac:dyDescent="0.2">
      <c r="A63" s="1345"/>
      <c r="B63" s="1050"/>
      <c r="C63" s="1346"/>
      <c r="D63" s="1346"/>
    </row>
    <row r="64" spans="1:12" ht="27" customHeight="1" x14ac:dyDescent="0.2">
      <c r="A64" s="1345"/>
      <c r="B64" s="1050"/>
      <c r="C64" s="1346"/>
      <c r="D64" s="1346"/>
    </row>
    <row r="65" spans="1:4" x14ac:dyDescent="0.2">
      <c r="A65" s="1345"/>
      <c r="B65" s="1050"/>
      <c r="C65" s="1346"/>
      <c r="D65" s="1346"/>
    </row>
    <row r="66" spans="1:4" x14ac:dyDescent="0.2">
      <c r="A66" s="1343"/>
      <c r="B66" s="1050"/>
      <c r="C66" s="1050"/>
      <c r="D66" s="1050"/>
    </row>
    <row r="67" spans="1:4" x14ac:dyDescent="0.2">
      <c r="A67" s="967" t="s">
        <v>6</v>
      </c>
    </row>
    <row r="69" spans="1:4" ht="14.25" x14ac:dyDescent="0.2">
      <c r="A69" s="1347" t="s">
        <v>83</v>
      </c>
      <c r="B69" s="1" t="s">
        <v>124</v>
      </c>
    </row>
    <row r="70" spans="1:4" ht="14.25" x14ac:dyDescent="0.2">
      <c r="A70" s="1347" t="s">
        <v>85</v>
      </c>
      <c r="B70" s="951" t="s">
        <v>1277</v>
      </c>
    </row>
    <row r="71" spans="1:4" ht="14.25" x14ac:dyDescent="0.2">
      <c r="A71" s="1347" t="s">
        <v>86</v>
      </c>
      <c r="B71" s="951" t="s">
        <v>1278</v>
      </c>
    </row>
  </sheetData>
  <sheetProtection algorithmName="SHA-512" hashValue="x64yC5zV/Cfsy7LlWxBWiZPZj7WvnncgZjOnPLpno0Gy0HKeYHxI1+7/jhS026EKTghyA7s68bC0VU2FOU4ODA==" saltValue="uvMuCV7XCI7mpp2EyFLJTQ==" spinCount="100000" sheet="1" objects="1" scenarios="1"/>
  <mergeCells count="6">
    <mergeCell ref="A36:B36"/>
    <mergeCell ref="A13:B13"/>
    <mergeCell ref="A14:B14"/>
    <mergeCell ref="A9:K9"/>
    <mergeCell ref="A10:K10"/>
    <mergeCell ref="A15:B15"/>
  </mergeCells>
  <phoneticPr fontId="16" type="noConversion"/>
  <dataValidations count="1">
    <dataValidation allowBlank="1" showInputMessage="1" showErrorMessage="1" promptTitle="Date Format" prompt="E.g:  &quot;August 1, 2011&quot;" sqref="K7" xr:uid="{00000000-0002-0000-2500-000000000000}"/>
  </dataValidations>
  <pageMargins left="0.75" right="0.75" top="1" bottom="1" header="0.5" footer="0.5"/>
  <pageSetup scale="43" orientation="landscape"/>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5">
    <tabColor theme="7" tint="0.39997558519241921"/>
  </sheetPr>
  <dimension ref="A1:P40"/>
  <sheetViews>
    <sheetView topLeftCell="B1" workbookViewId="0"/>
  </sheetViews>
  <sheetFormatPr defaultRowHeight="12.75" x14ac:dyDescent="0.2"/>
  <cols>
    <col min="1" max="1" width="10.5703125" bestFit="1" customWidth="1"/>
    <col min="2" max="2" width="10.28515625" bestFit="1" customWidth="1"/>
    <col min="4" max="4" width="10.7109375" bestFit="1" customWidth="1"/>
    <col min="5" max="5" width="17" bestFit="1" customWidth="1"/>
    <col min="6" max="6" width="79.140625" bestFit="1" customWidth="1"/>
    <col min="7" max="7" width="71.28515625" customWidth="1"/>
    <col min="9" max="9" width="20.28515625" bestFit="1" customWidth="1"/>
    <col min="10" max="10" width="37.140625" bestFit="1" customWidth="1"/>
    <col min="11" max="11" width="28.7109375" bestFit="1" customWidth="1"/>
    <col min="12" max="12" width="27.28515625" bestFit="1" customWidth="1"/>
    <col min="13" max="13" width="15.42578125" bestFit="1" customWidth="1"/>
    <col min="14" max="14" width="15.7109375" bestFit="1" customWidth="1"/>
    <col min="15" max="15" width="13.42578125" bestFit="1" customWidth="1"/>
    <col min="16" max="16" width="15.7109375" bestFit="1" customWidth="1"/>
  </cols>
  <sheetData>
    <row r="1" spans="1:16" x14ac:dyDescent="0.2">
      <c r="A1" t="s">
        <v>1208</v>
      </c>
      <c r="B1" t="s">
        <v>1209</v>
      </c>
      <c r="C1" t="s">
        <v>290</v>
      </c>
      <c r="D1" t="s">
        <v>289</v>
      </c>
      <c r="E1" t="s">
        <v>288</v>
      </c>
      <c r="F1" t="s">
        <v>108</v>
      </c>
      <c r="G1" s="9" t="s">
        <v>1282</v>
      </c>
      <c r="H1" t="s">
        <v>1266</v>
      </c>
      <c r="I1" t="s">
        <v>112</v>
      </c>
      <c r="J1" t="str">
        <f>'App.2-M_Regulatory_Costs'!E13</f>
        <v>Last Rebasing Year (2014 Board Approved)</v>
      </c>
      <c r="K1" t="str">
        <f>'App.2-M_Regulatory_Costs'!F13</f>
        <v>Last Rebasing Year (2014 Actual)</v>
      </c>
      <c r="L1" t="str">
        <f>'App.2-M_Regulatory_Costs'!G13</f>
        <v>Most Current Actuals Year 2017</v>
      </c>
      <c r="M1" t="str">
        <f>'App.2-M_Regulatory_Costs'!H13</f>
        <v>2018 Bridge Year</v>
      </c>
      <c r="N1" t="str">
        <f>'App.2-M_Regulatory_Costs'!I13</f>
        <v>Annual % Change</v>
      </c>
      <c r="O1" t="str">
        <f>'App.2-M_Regulatory_Costs'!J13</f>
        <v>2019 Test Year</v>
      </c>
      <c r="P1" t="str">
        <f>'App.2-M_Regulatory_Costs'!K13</f>
        <v>Annual % Change</v>
      </c>
    </row>
    <row r="2" spans="1:16" x14ac:dyDescent="0.2">
      <c r="A2" t="str">
        <f>'LDC Info'!$E$14</f>
        <v>Niagara-on-the-Lake Hydro Inc.</v>
      </c>
      <c r="B2" t="str">
        <f t="shared" ref="B2:B40" si="0">EBNUMBER</f>
        <v>EB-2018-0056</v>
      </c>
      <c r="C2">
        <f t="shared" ref="C2:C40" si="1">TestYear</f>
        <v>2019</v>
      </c>
      <c r="D2">
        <f t="shared" ref="D2:D40" si="2">BridgeYear</f>
        <v>2018</v>
      </c>
      <c r="E2">
        <f t="shared" ref="E2:E40" si="3">RebaseYear</f>
        <v>2014</v>
      </c>
      <c r="F2" t="s">
        <v>115</v>
      </c>
      <c r="G2" s="9" t="s">
        <v>1283</v>
      </c>
      <c r="H2">
        <f>'App.2-M_Regulatory_Costs'!C16</f>
        <v>5655</v>
      </c>
      <c r="I2">
        <f>'App.2-M_Regulatory_Costs'!D16</f>
        <v>0</v>
      </c>
      <c r="J2">
        <f>'App.2-M_Regulatory_Costs'!E16</f>
        <v>30300</v>
      </c>
      <c r="K2">
        <f>'App.2-M_Regulatory_Costs'!F16</f>
        <v>28850</v>
      </c>
      <c r="L2">
        <f>'App.2-M_Regulatory_Costs'!G16</f>
        <v>30300</v>
      </c>
      <c r="M2">
        <f>'App.2-M_Regulatory_Costs'!H16</f>
        <v>30300</v>
      </c>
      <c r="N2">
        <f>'App.2-M_Regulatory_Costs'!I16</f>
        <v>0</v>
      </c>
      <c r="O2">
        <f>'App.2-M_Regulatory_Costs'!J16</f>
        <v>39840</v>
      </c>
      <c r="P2">
        <f>'App.2-M_Regulatory_Costs'!K16</f>
        <v>0.31485148514851485</v>
      </c>
    </row>
    <row r="3" spans="1:16" x14ac:dyDescent="0.2">
      <c r="A3" t="str">
        <f>'LDC Info'!$E$14</f>
        <v>Niagara-on-the-Lake Hydro Inc.</v>
      </c>
      <c r="B3" t="str">
        <f t="shared" si="0"/>
        <v>EB-2018-0056</v>
      </c>
      <c r="C3">
        <f t="shared" si="1"/>
        <v>2019</v>
      </c>
      <c r="D3">
        <f t="shared" si="2"/>
        <v>2018</v>
      </c>
      <c r="E3">
        <f t="shared" si="3"/>
        <v>2014</v>
      </c>
      <c r="F3" t="s">
        <v>116</v>
      </c>
      <c r="G3" s="9" t="s">
        <v>1283</v>
      </c>
      <c r="H3">
        <f>'App.2-M_Regulatory_Costs'!C17</f>
        <v>5655</v>
      </c>
      <c r="I3">
        <f>'App.2-M_Regulatory_Costs'!D17</f>
        <v>0</v>
      </c>
      <c r="J3">
        <f>'App.2-M_Regulatory_Costs'!E17</f>
        <v>1900</v>
      </c>
      <c r="K3">
        <f>'App.2-M_Regulatory_Costs'!F17</f>
        <v>514</v>
      </c>
      <c r="L3">
        <f>'App.2-M_Regulatory_Costs'!G17</f>
        <v>1000</v>
      </c>
      <c r="M3">
        <f>'App.2-M_Regulatory_Costs'!H17</f>
        <v>0</v>
      </c>
      <c r="N3">
        <f>'App.2-M_Regulatory_Costs'!I17</f>
        <v>-1</v>
      </c>
      <c r="O3">
        <f>'App.2-M_Regulatory_Costs'!J17</f>
        <v>0</v>
      </c>
      <c r="P3" t="str">
        <f>'App.2-M_Regulatory_Costs'!K17</f>
        <v/>
      </c>
    </row>
    <row r="4" spans="1:16" x14ac:dyDescent="0.2">
      <c r="A4" t="str">
        <f>'LDC Info'!$E$14</f>
        <v>Niagara-on-the-Lake Hydro Inc.</v>
      </c>
      <c r="B4" t="str">
        <f t="shared" si="0"/>
        <v>EB-2018-0056</v>
      </c>
      <c r="C4">
        <f t="shared" si="1"/>
        <v>2019</v>
      </c>
      <c r="D4">
        <f t="shared" si="2"/>
        <v>2018</v>
      </c>
      <c r="E4">
        <f t="shared" si="3"/>
        <v>2014</v>
      </c>
      <c r="F4" t="s">
        <v>117</v>
      </c>
      <c r="G4" s="9" t="s">
        <v>1283</v>
      </c>
      <c r="H4">
        <f>'App.2-M_Regulatory_Costs'!C18</f>
        <v>5655</v>
      </c>
      <c r="I4">
        <f>'App.2-M_Regulatory_Costs'!D18</f>
        <v>0</v>
      </c>
      <c r="J4">
        <f>'App.2-M_Regulatory_Costs'!E18</f>
        <v>0</v>
      </c>
      <c r="K4">
        <f>'App.2-M_Regulatory_Costs'!F18</f>
        <v>0</v>
      </c>
      <c r="L4">
        <f>'App.2-M_Regulatory_Costs'!G18</f>
        <v>0</v>
      </c>
      <c r="M4">
        <f>'App.2-M_Regulatory_Costs'!H18</f>
        <v>0</v>
      </c>
      <c r="N4" t="str">
        <f>'App.2-M_Regulatory_Costs'!I18</f>
        <v/>
      </c>
      <c r="O4">
        <f>'App.2-M_Regulatory_Costs'!J18</f>
        <v>0</v>
      </c>
      <c r="P4" t="str">
        <f>'App.2-M_Regulatory_Costs'!K18</f>
        <v/>
      </c>
    </row>
    <row r="5" spans="1:16" x14ac:dyDescent="0.2">
      <c r="A5" t="str">
        <f>'LDC Info'!$E$14</f>
        <v>Niagara-on-the-Lake Hydro Inc.</v>
      </c>
      <c r="B5" t="str">
        <f t="shared" si="0"/>
        <v>EB-2018-0056</v>
      </c>
      <c r="C5">
        <f t="shared" si="1"/>
        <v>2019</v>
      </c>
      <c r="D5">
        <f t="shared" si="2"/>
        <v>2018</v>
      </c>
      <c r="E5">
        <f t="shared" si="3"/>
        <v>2014</v>
      </c>
      <c r="F5" t="s">
        <v>118</v>
      </c>
      <c r="G5" s="9" t="s">
        <v>1283</v>
      </c>
      <c r="H5">
        <f>'App.2-M_Regulatory_Costs'!C19</f>
        <v>0</v>
      </c>
      <c r="I5">
        <f>'App.2-M_Regulatory_Costs'!D19</f>
        <v>0</v>
      </c>
      <c r="J5">
        <f>'App.2-M_Regulatory_Costs'!E19</f>
        <v>0</v>
      </c>
      <c r="K5">
        <f>'App.2-M_Regulatory_Costs'!F19</f>
        <v>0</v>
      </c>
      <c r="L5">
        <f>'App.2-M_Regulatory_Costs'!G19</f>
        <v>0</v>
      </c>
      <c r="M5">
        <f>'App.2-M_Regulatory_Costs'!H19</f>
        <v>0</v>
      </c>
      <c r="N5" t="str">
        <f>'App.2-M_Regulatory_Costs'!I19</f>
        <v/>
      </c>
      <c r="O5">
        <f>'App.2-M_Regulatory_Costs'!J19</f>
        <v>0</v>
      </c>
      <c r="P5" t="str">
        <f>'App.2-M_Regulatory_Costs'!K19</f>
        <v/>
      </c>
    </row>
    <row r="6" spans="1:16" x14ac:dyDescent="0.2">
      <c r="A6" t="str">
        <f>'LDC Info'!$E$14</f>
        <v>Niagara-on-the-Lake Hydro Inc.</v>
      </c>
      <c r="B6" t="str">
        <f t="shared" si="0"/>
        <v>EB-2018-0056</v>
      </c>
      <c r="C6">
        <f t="shared" si="1"/>
        <v>2019</v>
      </c>
      <c r="D6">
        <f t="shared" si="2"/>
        <v>2018</v>
      </c>
      <c r="E6">
        <f t="shared" si="3"/>
        <v>2014</v>
      </c>
      <c r="F6" t="s">
        <v>119</v>
      </c>
      <c r="G6" s="9" t="s">
        <v>1283</v>
      </c>
      <c r="H6">
        <f>'App.2-M_Regulatory_Costs'!C20</f>
        <v>5655</v>
      </c>
      <c r="I6">
        <f>'App.2-M_Regulatory_Costs'!D20</f>
        <v>0</v>
      </c>
      <c r="J6">
        <f>'App.2-M_Regulatory_Costs'!E20</f>
        <v>0</v>
      </c>
      <c r="K6">
        <f>'App.2-M_Regulatory_Costs'!F20</f>
        <v>0</v>
      </c>
      <c r="L6">
        <f>'App.2-M_Regulatory_Costs'!G20</f>
        <v>0</v>
      </c>
      <c r="M6">
        <f>'App.2-M_Regulatory_Costs'!H20</f>
        <v>0</v>
      </c>
      <c r="N6" t="str">
        <f>'App.2-M_Regulatory_Costs'!I20</f>
        <v/>
      </c>
      <c r="O6">
        <f>'App.2-M_Regulatory_Costs'!J20</f>
        <v>2000</v>
      </c>
      <c r="P6" t="str">
        <f>'App.2-M_Regulatory_Costs'!K20</f>
        <v/>
      </c>
    </row>
    <row r="7" spans="1:16" x14ac:dyDescent="0.2">
      <c r="A7" t="str">
        <f>'LDC Info'!$E$14</f>
        <v>Niagara-on-the-Lake Hydro Inc.</v>
      </c>
      <c r="B7" t="str">
        <f t="shared" si="0"/>
        <v>EB-2018-0056</v>
      </c>
      <c r="C7">
        <f t="shared" si="1"/>
        <v>2019</v>
      </c>
      <c r="D7">
        <f t="shared" si="2"/>
        <v>2018</v>
      </c>
      <c r="E7">
        <f t="shared" si="3"/>
        <v>2014</v>
      </c>
      <c r="F7" t="s">
        <v>120</v>
      </c>
      <c r="G7" s="9" t="s">
        <v>1283</v>
      </c>
      <c r="H7">
        <f>'App.2-M_Regulatory_Costs'!C21</f>
        <v>5655</v>
      </c>
      <c r="I7">
        <f>'App.2-M_Regulatory_Costs'!D21</f>
        <v>0</v>
      </c>
      <c r="J7">
        <f>'App.2-M_Regulatory_Costs'!E21</f>
        <v>0</v>
      </c>
      <c r="K7">
        <f>'App.2-M_Regulatory_Costs'!F21</f>
        <v>0</v>
      </c>
      <c r="L7">
        <f>'App.2-M_Regulatory_Costs'!G21</f>
        <v>0</v>
      </c>
      <c r="M7">
        <f>'App.2-M_Regulatory_Costs'!H21</f>
        <v>1189.6461141999998</v>
      </c>
      <c r="N7" t="str">
        <f>'App.2-M_Regulatory_Costs'!I21</f>
        <v/>
      </c>
      <c r="O7">
        <f>'App.2-M_Regulatory_Costs'!J21</f>
        <v>1112.6916989699203</v>
      </c>
      <c r="P7">
        <f>'App.2-M_Regulatory_Costs'!K21</f>
        <v>-6.4686812583613598E-2</v>
      </c>
    </row>
    <row r="8" spans="1:16" x14ac:dyDescent="0.2">
      <c r="A8" t="str">
        <f>'LDC Info'!$E$14</f>
        <v>Niagara-on-the-Lake Hydro Inc.</v>
      </c>
      <c r="B8" t="str">
        <f t="shared" si="0"/>
        <v>EB-2018-0056</v>
      </c>
      <c r="C8">
        <f t="shared" si="1"/>
        <v>2019</v>
      </c>
      <c r="D8">
        <f t="shared" si="2"/>
        <v>2018</v>
      </c>
      <c r="E8">
        <f t="shared" si="3"/>
        <v>2014</v>
      </c>
      <c r="F8" t="s">
        <v>1267</v>
      </c>
      <c r="G8" s="9" t="s">
        <v>1283</v>
      </c>
      <c r="H8">
        <f>'App.2-M_Regulatory_Costs'!C22</f>
        <v>5655</v>
      </c>
      <c r="I8">
        <f>'App.2-M_Regulatory_Costs'!D22</f>
        <v>0</v>
      </c>
      <c r="J8">
        <f>'App.2-M_Regulatory_Costs'!E22</f>
        <v>0</v>
      </c>
      <c r="K8">
        <f>'App.2-M_Regulatory_Costs'!F22</f>
        <v>740</v>
      </c>
      <c r="L8">
        <f>'App.2-M_Regulatory_Costs'!G22</f>
        <v>14661</v>
      </c>
      <c r="M8">
        <f>'App.2-M_Regulatory_Costs'!H22</f>
        <v>5333.93</v>
      </c>
      <c r="N8">
        <f>'App.2-M_Regulatory_Costs'!I22</f>
        <v>-0.6361823886501603</v>
      </c>
      <c r="O8">
        <f>'App.2-M_Regulatory_Costs'!J22</f>
        <v>5397.94</v>
      </c>
      <c r="P8">
        <f>'App.2-M_Regulatory_Costs'!K22</f>
        <v>1.2000532440433096E-2</v>
      </c>
    </row>
    <row r="9" spans="1:16" x14ac:dyDescent="0.2">
      <c r="A9" t="str">
        <f>'LDC Info'!$E$14</f>
        <v>Niagara-on-the-Lake Hydro Inc.</v>
      </c>
      <c r="B9" t="str">
        <f t="shared" si="0"/>
        <v>EB-2018-0056</v>
      </c>
      <c r="C9">
        <f t="shared" si="1"/>
        <v>2019</v>
      </c>
      <c r="D9">
        <f t="shared" si="2"/>
        <v>2018</v>
      </c>
      <c r="E9">
        <f t="shared" si="3"/>
        <v>2014</v>
      </c>
      <c r="F9" t="s">
        <v>121</v>
      </c>
      <c r="G9" s="9" t="s">
        <v>1283</v>
      </c>
      <c r="H9">
        <f>'App.2-M_Regulatory_Costs'!C23</f>
        <v>5655</v>
      </c>
      <c r="I9">
        <f>'App.2-M_Regulatory_Costs'!D23</f>
        <v>0</v>
      </c>
      <c r="J9">
        <f>'App.2-M_Regulatory_Costs'!E23</f>
        <v>0</v>
      </c>
      <c r="K9">
        <f>'App.2-M_Regulatory_Costs'!F23</f>
        <v>0</v>
      </c>
      <c r="L9">
        <f>'App.2-M_Regulatory_Costs'!G23</f>
        <v>0</v>
      </c>
      <c r="M9">
        <f>'App.2-M_Regulatory_Costs'!H23</f>
        <v>0</v>
      </c>
      <c r="N9" t="str">
        <f>'App.2-M_Regulatory_Costs'!I23</f>
        <v/>
      </c>
      <c r="O9">
        <f>'App.2-M_Regulatory_Costs'!J23</f>
        <v>0</v>
      </c>
      <c r="P9" t="str">
        <f>'App.2-M_Regulatory_Costs'!K23</f>
        <v/>
      </c>
    </row>
    <row r="10" spans="1:16" x14ac:dyDescent="0.2">
      <c r="A10" t="str">
        <f>'LDC Info'!$E$14</f>
        <v>Niagara-on-the-Lake Hydro Inc.</v>
      </c>
      <c r="B10" t="str">
        <f t="shared" si="0"/>
        <v>EB-2018-0056</v>
      </c>
      <c r="C10">
        <f t="shared" si="1"/>
        <v>2019</v>
      </c>
      <c r="D10">
        <f t="shared" si="2"/>
        <v>2018</v>
      </c>
      <c r="E10">
        <f t="shared" si="3"/>
        <v>2014</v>
      </c>
      <c r="F10" t="s">
        <v>122</v>
      </c>
      <c r="G10" s="9" t="s">
        <v>1283</v>
      </c>
      <c r="H10">
        <f>'App.2-M_Regulatory_Costs'!C24</f>
        <v>5655</v>
      </c>
      <c r="I10">
        <f>'App.2-M_Regulatory_Costs'!D24</f>
        <v>0</v>
      </c>
      <c r="J10">
        <f>'App.2-M_Regulatory_Costs'!E24</f>
        <v>0</v>
      </c>
      <c r="K10">
        <f>'App.2-M_Regulatory_Costs'!F24</f>
        <v>0</v>
      </c>
      <c r="L10">
        <f>'App.2-M_Regulatory_Costs'!G24</f>
        <v>0</v>
      </c>
      <c r="M10">
        <f>'App.2-M_Regulatory_Costs'!H24</f>
        <v>0</v>
      </c>
      <c r="N10" t="str">
        <f>'App.2-M_Regulatory_Costs'!I24</f>
        <v/>
      </c>
      <c r="O10">
        <f>'App.2-M_Regulatory_Costs'!J24</f>
        <v>0</v>
      </c>
      <c r="P10" t="str">
        <f>'App.2-M_Regulatory_Costs'!K24</f>
        <v/>
      </c>
    </row>
    <row r="11" spans="1:16" x14ac:dyDescent="0.2">
      <c r="A11" t="str">
        <f>'LDC Info'!$E$14</f>
        <v>Niagara-on-the-Lake Hydro Inc.</v>
      </c>
      <c r="B11" t="str">
        <f t="shared" si="0"/>
        <v>EB-2018-0056</v>
      </c>
      <c r="C11">
        <f t="shared" si="1"/>
        <v>2019</v>
      </c>
      <c r="D11">
        <f t="shared" si="2"/>
        <v>2018</v>
      </c>
      <c r="E11">
        <f t="shared" si="3"/>
        <v>2014</v>
      </c>
      <c r="F11" t="s">
        <v>123</v>
      </c>
      <c r="G11" s="9" t="s">
        <v>1283</v>
      </c>
      <c r="H11">
        <f>'App.2-M_Regulatory_Costs'!C25</f>
        <v>0</v>
      </c>
      <c r="I11">
        <f>'App.2-M_Regulatory_Costs'!D25</f>
        <v>0</v>
      </c>
      <c r="J11">
        <f>'App.2-M_Regulatory_Costs'!E25</f>
        <v>0</v>
      </c>
      <c r="K11">
        <f>'App.2-M_Regulatory_Costs'!F25</f>
        <v>0</v>
      </c>
      <c r="L11">
        <f>'App.2-M_Regulatory_Costs'!G25</f>
        <v>0</v>
      </c>
      <c r="M11">
        <f>'App.2-M_Regulatory_Costs'!H25</f>
        <v>0</v>
      </c>
      <c r="N11" t="str">
        <f>'App.2-M_Regulatory_Costs'!I25</f>
        <v/>
      </c>
      <c r="O11">
        <f>'App.2-M_Regulatory_Costs'!J25</f>
        <v>0</v>
      </c>
      <c r="P11" t="str">
        <f>'App.2-M_Regulatory_Costs'!K25</f>
        <v/>
      </c>
    </row>
    <row r="12" spans="1:16" x14ac:dyDescent="0.2">
      <c r="A12" t="str">
        <f>'LDC Info'!$E$14</f>
        <v>Niagara-on-the-Lake Hydro Inc.</v>
      </c>
      <c r="B12" t="str">
        <f t="shared" si="0"/>
        <v>EB-2018-0056</v>
      </c>
      <c r="C12">
        <f t="shared" si="1"/>
        <v>2019</v>
      </c>
      <c r="D12">
        <f t="shared" si="2"/>
        <v>2018</v>
      </c>
      <c r="E12">
        <f t="shared" si="3"/>
        <v>2014</v>
      </c>
      <c r="F12" t="str">
        <f>'App.2-M_Regulatory_Costs'!B26</f>
        <v>OEB Section 30 Costs (Applicant-originated)</v>
      </c>
      <c r="G12" s="9" t="s">
        <v>1283</v>
      </c>
      <c r="H12">
        <f>'App.2-M_Regulatory_Costs'!C26</f>
        <v>5655</v>
      </c>
      <c r="I12">
        <f>'App.2-M_Regulatory_Costs'!D26</f>
        <v>0</v>
      </c>
      <c r="J12">
        <f>'App.2-M_Regulatory_Costs'!E26</f>
        <v>0</v>
      </c>
      <c r="K12">
        <f>'App.2-M_Regulatory_Costs'!F26</f>
        <v>373</v>
      </c>
      <c r="L12">
        <f>'App.2-M_Regulatory_Costs'!G26</f>
        <v>0</v>
      </c>
      <c r="M12">
        <f>'App.2-M_Regulatory_Costs'!H26</f>
        <v>0</v>
      </c>
      <c r="N12" t="str">
        <f>'App.2-M_Regulatory_Costs'!I26</f>
        <v/>
      </c>
      <c r="O12">
        <f>'App.2-M_Regulatory_Costs'!J26</f>
        <v>0</v>
      </c>
      <c r="P12" t="str">
        <f>'App.2-M_Regulatory_Costs'!K26</f>
        <v/>
      </c>
    </row>
    <row r="13" spans="1:16" x14ac:dyDescent="0.2">
      <c r="A13" t="str">
        <f>'LDC Info'!$E$14</f>
        <v>Niagara-on-the-Lake Hydro Inc.</v>
      </c>
      <c r="B13" t="str">
        <f t="shared" si="0"/>
        <v>EB-2018-0056</v>
      </c>
      <c r="C13">
        <f t="shared" si="1"/>
        <v>2019</v>
      </c>
      <c r="D13">
        <f t="shared" si="2"/>
        <v>2018</v>
      </c>
      <c r="E13">
        <f t="shared" si="3"/>
        <v>2014</v>
      </c>
      <c r="F13" t="str">
        <f>'App.2-M_Regulatory_Costs'!B27</f>
        <v>Annual Registration Fee</v>
      </c>
      <c r="G13" s="9" t="s">
        <v>1283</v>
      </c>
      <c r="H13">
        <f>'App.2-M_Regulatory_Costs'!C35</f>
        <v>0</v>
      </c>
      <c r="I13">
        <f>'App.2-M_Regulatory_Costs'!D35</f>
        <v>0</v>
      </c>
      <c r="J13">
        <f>'App.2-M_Regulatory_Costs'!E35</f>
        <v>0</v>
      </c>
      <c r="K13">
        <f>'App.2-M_Regulatory_Costs'!F35</f>
        <v>0</v>
      </c>
      <c r="L13">
        <f>'App.2-M_Regulatory_Costs'!G35</f>
        <v>0</v>
      </c>
      <c r="M13">
        <f>'App.2-M_Regulatory_Costs'!H35</f>
        <v>0</v>
      </c>
      <c r="N13" t="str">
        <f>'App.2-M_Regulatory_Costs'!I35</f>
        <v/>
      </c>
      <c r="O13">
        <f>'App.2-M_Regulatory_Costs'!J35</f>
        <v>0</v>
      </c>
      <c r="P13" t="str">
        <f>'App.2-M_Regulatory_Costs'!K35</f>
        <v/>
      </c>
    </row>
    <row r="14" spans="1:16" x14ac:dyDescent="0.2">
      <c r="A14" t="str">
        <f>'LDC Info'!$E$14</f>
        <v>Niagara-on-the-Lake Hydro Inc.</v>
      </c>
      <c r="B14" t="str">
        <f t="shared" si="0"/>
        <v>EB-2018-0056</v>
      </c>
      <c r="C14">
        <f t="shared" si="1"/>
        <v>2019</v>
      </c>
      <c r="D14">
        <f t="shared" si="2"/>
        <v>2018</v>
      </c>
      <c r="E14">
        <f t="shared" si="3"/>
        <v>2014</v>
      </c>
      <c r="F14">
        <f>'App.2-M_Regulatory_Costs'!B28</f>
        <v>0</v>
      </c>
      <c r="G14" s="9" t="s">
        <v>1283</v>
      </c>
      <c r="H14">
        <f>'App.2-M_Regulatory_Costs'!C41</f>
        <v>0</v>
      </c>
      <c r="I14">
        <f>'App.2-M_Regulatory_Costs'!D41</f>
        <v>0</v>
      </c>
      <c r="J14">
        <f>'App.2-M_Regulatory_Costs'!E41</f>
        <v>0</v>
      </c>
      <c r="K14">
        <f>'App.2-M_Regulatory_Costs'!F41</f>
        <v>0</v>
      </c>
      <c r="L14">
        <f>'App.2-M_Regulatory_Costs'!G41</f>
        <v>0</v>
      </c>
      <c r="M14">
        <f>'App.2-M_Regulatory_Costs'!H41</f>
        <v>0</v>
      </c>
      <c r="N14" t="str">
        <f>'App.2-M_Regulatory_Costs'!I41</f>
        <v/>
      </c>
      <c r="O14">
        <f>'App.2-M_Regulatory_Costs'!J41</f>
        <v>0</v>
      </c>
      <c r="P14" t="str">
        <f>'App.2-M_Regulatory_Costs'!K41</f>
        <v/>
      </c>
    </row>
    <row r="15" spans="1:16" x14ac:dyDescent="0.2">
      <c r="A15" t="str">
        <f>'LDC Info'!$E$14</f>
        <v>Niagara-on-the-Lake Hydro Inc.</v>
      </c>
      <c r="B15" t="str">
        <f t="shared" si="0"/>
        <v>EB-2018-0056</v>
      </c>
      <c r="C15">
        <f t="shared" si="1"/>
        <v>2019</v>
      </c>
      <c r="D15">
        <f t="shared" si="2"/>
        <v>2018</v>
      </c>
      <c r="E15">
        <f t="shared" si="3"/>
        <v>2014</v>
      </c>
      <c r="F15">
        <f>'App.2-M_Regulatory_Costs'!B29</f>
        <v>0</v>
      </c>
      <c r="G15" s="9" t="s">
        <v>1283</v>
      </c>
      <c r="H15">
        <f>'App.2-M_Regulatory_Costs'!C42</f>
        <v>0</v>
      </c>
      <c r="I15">
        <f>'App.2-M_Regulatory_Costs'!D42</f>
        <v>0</v>
      </c>
      <c r="J15">
        <f>'App.2-M_Regulatory_Costs'!E42</f>
        <v>0</v>
      </c>
      <c r="K15">
        <f>'App.2-M_Regulatory_Costs'!F42</f>
        <v>0</v>
      </c>
      <c r="L15">
        <f>'App.2-M_Regulatory_Costs'!G42</f>
        <v>0</v>
      </c>
      <c r="M15">
        <f>'App.2-M_Regulatory_Costs'!H42</f>
        <v>58.5</v>
      </c>
      <c r="N15" t="str">
        <f>'App.2-M_Regulatory_Costs'!I42</f>
        <v/>
      </c>
      <c r="O15">
        <f>'App.2-M_Regulatory_Costs'!J42</f>
        <v>50000</v>
      </c>
      <c r="P15">
        <f>'App.2-M_Regulatory_Costs'!K42</f>
        <v>853.70085470085473</v>
      </c>
    </row>
    <row r="16" spans="1:16" x14ac:dyDescent="0.2">
      <c r="A16" t="str">
        <f>'LDC Info'!$E$14</f>
        <v>Niagara-on-the-Lake Hydro Inc.</v>
      </c>
      <c r="B16" t="str">
        <f t="shared" si="0"/>
        <v>EB-2018-0056</v>
      </c>
      <c r="C16">
        <f t="shared" si="1"/>
        <v>2019</v>
      </c>
      <c r="D16">
        <f t="shared" si="2"/>
        <v>2018</v>
      </c>
      <c r="E16">
        <f t="shared" si="3"/>
        <v>2014</v>
      </c>
      <c r="F16">
        <f>'App.2-M_Regulatory_Costs'!B30</f>
        <v>0</v>
      </c>
      <c r="G16" s="9" t="s">
        <v>1283</v>
      </c>
      <c r="H16">
        <f>'App.2-M_Regulatory_Costs'!C43</f>
        <v>0</v>
      </c>
      <c r="I16">
        <f>'App.2-M_Regulatory_Costs'!D43</f>
        <v>0</v>
      </c>
      <c r="J16">
        <f>'App.2-M_Regulatory_Costs'!E43</f>
        <v>0</v>
      </c>
      <c r="K16">
        <f>'App.2-M_Regulatory_Costs'!F43</f>
        <v>0</v>
      </c>
      <c r="L16">
        <f>'App.2-M_Regulatory_Costs'!G43</f>
        <v>0</v>
      </c>
      <c r="M16">
        <f>'App.2-M_Regulatory_Costs'!H43</f>
        <v>0</v>
      </c>
      <c r="N16" t="str">
        <f>'App.2-M_Regulatory_Costs'!I43</f>
        <v/>
      </c>
      <c r="O16">
        <f>'App.2-M_Regulatory_Costs'!J43</f>
        <v>0</v>
      </c>
      <c r="P16" t="str">
        <f>'App.2-M_Regulatory_Costs'!K43</f>
        <v/>
      </c>
    </row>
    <row r="17" spans="1:16" x14ac:dyDescent="0.2">
      <c r="A17" t="str">
        <f>'LDC Info'!$E$14</f>
        <v>Niagara-on-the-Lake Hydro Inc.</v>
      </c>
      <c r="B17" t="str">
        <f t="shared" si="0"/>
        <v>EB-2018-0056</v>
      </c>
      <c r="C17">
        <f t="shared" si="1"/>
        <v>2019</v>
      </c>
      <c r="D17">
        <f t="shared" si="2"/>
        <v>2018</v>
      </c>
      <c r="E17">
        <f t="shared" si="3"/>
        <v>2014</v>
      </c>
      <c r="F17">
        <f>'App.2-M_Regulatory_Costs'!B31</f>
        <v>0</v>
      </c>
      <c r="G17" s="9" t="s">
        <v>1283</v>
      </c>
      <c r="H17">
        <f>'App.2-M_Regulatory_Costs'!C47</f>
        <v>0</v>
      </c>
      <c r="I17">
        <f>'App.2-M_Regulatory_Costs'!D47</f>
        <v>0</v>
      </c>
      <c r="J17">
        <f>'App.2-M_Regulatory_Costs'!E47</f>
        <v>0</v>
      </c>
      <c r="K17">
        <f>'App.2-M_Regulatory_Costs'!F47</f>
        <v>0</v>
      </c>
      <c r="L17">
        <f>'App.2-M_Regulatory_Costs'!G47</f>
        <v>0</v>
      </c>
      <c r="M17">
        <f>'App.2-M_Regulatory_Costs'!H47</f>
        <v>0</v>
      </c>
      <c r="N17" t="str">
        <f>'App.2-M_Regulatory_Costs'!I47</f>
        <v/>
      </c>
      <c r="O17">
        <f>'App.2-M_Regulatory_Costs'!J47</f>
        <v>10000</v>
      </c>
      <c r="P17" t="str">
        <f>'App.2-M_Regulatory_Costs'!K47</f>
        <v/>
      </c>
    </row>
    <row r="18" spans="1:16" x14ac:dyDescent="0.2">
      <c r="A18" t="str">
        <f>'LDC Info'!$E$14</f>
        <v>Niagara-on-the-Lake Hydro Inc.</v>
      </c>
      <c r="B18" t="str">
        <f t="shared" si="0"/>
        <v>EB-2018-0056</v>
      </c>
      <c r="C18">
        <f t="shared" si="1"/>
        <v>2019</v>
      </c>
      <c r="D18">
        <f t="shared" si="2"/>
        <v>2018</v>
      </c>
      <c r="E18">
        <f t="shared" si="3"/>
        <v>2014</v>
      </c>
      <c r="F18">
        <f>'App.2-M_Regulatory_Costs'!B32</f>
        <v>0</v>
      </c>
      <c r="G18" s="9" t="s">
        <v>1283</v>
      </c>
      <c r="H18">
        <f>'App.2-M_Regulatory_Costs'!C48</f>
        <v>0</v>
      </c>
      <c r="I18">
        <f>'App.2-M_Regulatory_Costs'!D48</f>
        <v>0</v>
      </c>
      <c r="J18">
        <f>'App.2-M_Regulatory_Costs'!E48</f>
        <v>0</v>
      </c>
      <c r="K18">
        <f>'App.2-M_Regulatory_Costs'!F48</f>
        <v>0</v>
      </c>
      <c r="L18">
        <f>'App.2-M_Regulatory_Costs'!G48</f>
        <v>0</v>
      </c>
      <c r="M18">
        <f>'App.2-M_Regulatory_Costs'!H48</f>
        <v>0</v>
      </c>
      <c r="N18" t="str">
        <f>'App.2-M_Regulatory_Costs'!I48</f>
        <v/>
      </c>
      <c r="O18">
        <f>'App.2-M_Regulatory_Costs'!J48</f>
        <v>30000</v>
      </c>
      <c r="P18" t="str">
        <f>'App.2-M_Regulatory_Costs'!K48</f>
        <v/>
      </c>
    </row>
    <row r="19" spans="1:16" x14ac:dyDescent="0.2">
      <c r="A19" t="str">
        <f>'LDC Info'!$E$14</f>
        <v>Niagara-on-the-Lake Hydro Inc.</v>
      </c>
      <c r="B19" t="str">
        <f t="shared" si="0"/>
        <v>EB-2018-0056</v>
      </c>
      <c r="C19">
        <f t="shared" si="1"/>
        <v>2019</v>
      </c>
      <c r="D19">
        <f t="shared" si="2"/>
        <v>2018</v>
      </c>
      <c r="E19">
        <f t="shared" si="3"/>
        <v>2014</v>
      </c>
      <c r="F19">
        <f>'App.2-M_Regulatory_Costs'!B33</f>
        <v>0</v>
      </c>
      <c r="G19" s="9" t="s">
        <v>1283</v>
      </c>
      <c r="H19">
        <f>'App.2-M_Regulatory_Costs'!C49</f>
        <v>0</v>
      </c>
      <c r="I19">
        <f>'App.2-M_Regulatory_Costs'!D49</f>
        <v>0</v>
      </c>
      <c r="J19">
        <f>'App.2-M_Regulatory_Costs'!E49</f>
        <v>0</v>
      </c>
      <c r="K19">
        <f>'App.2-M_Regulatory_Costs'!F49</f>
        <v>0</v>
      </c>
      <c r="L19">
        <f>'App.2-M_Regulatory_Costs'!G49</f>
        <v>0</v>
      </c>
      <c r="M19">
        <f>'App.2-M_Regulatory_Costs'!H49</f>
        <v>0</v>
      </c>
      <c r="N19" t="str">
        <f>'App.2-M_Regulatory_Costs'!I49</f>
        <v/>
      </c>
      <c r="O19">
        <f>'App.2-M_Regulatory_Costs'!J49</f>
        <v>1500</v>
      </c>
      <c r="P19" t="str">
        <f>'App.2-M_Regulatory_Costs'!K49</f>
        <v/>
      </c>
    </row>
    <row r="20" spans="1:16" x14ac:dyDescent="0.2">
      <c r="A20" t="str">
        <f>'LDC Info'!$E$14</f>
        <v>Niagara-on-the-Lake Hydro Inc.</v>
      </c>
      <c r="B20" t="str">
        <f t="shared" si="0"/>
        <v>EB-2018-0056</v>
      </c>
      <c r="C20">
        <f t="shared" si="1"/>
        <v>2019</v>
      </c>
      <c r="D20">
        <f t="shared" si="2"/>
        <v>2018</v>
      </c>
      <c r="E20">
        <f t="shared" si="3"/>
        <v>2014</v>
      </c>
      <c r="F20">
        <f>'App.2-M_Regulatory_Costs'!B34</f>
        <v>0</v>
      </c>
      <c r="G20" s="9" t="s">
        <v>1283</v>
      </c>
      <c r="H20">
        <f>'App.2-M_Regulatory_Costs'!C50</f>
        <v>0</v>
      </c>
      <c r="I20">
        <f>'App.2-M_Regulatory_Costs'!D50</f>
        <v>0</v>
      </c>
      <c r="J20">
        <f>'App.2-M_Regulatory_Costs'!E50</f>
        <v>0</v>
      </c>
      <c r="K20">
        <f>'App.2-M_Regulatory_Costs'!F50</f>
        <v>0</v>
      </c>
      <c r="L20">
        <f>'App.2-M_Regulatory_Costs'!G50</f>
        <v>0</v>
      </c>
      <c r="M20">
        <f>'App.2-M_Regulatory_Costs'!H50</f>
        <v>0</v>
      </c>
      <c r="N20" t="str">
        <f>'App.2-M_Regulatory_Costs'!I50</f>
        <v/>
      </c>
      <c r="O20">
        <f>'App.2-M_Regulatory_Costs'!J50</f>
        <v>0</v>
      </c>
      <c r="P20" t="str">
        <f>'App.2-M_Regulatory_Costs'!K50</f>
        <v/>
      </c>
    </row>
    <row r="21" spans="1:16" x14ac:dyDescent="0.2">
      <c r="A21" t="str">
        <f>'LDC Info'!$E$14</f>
        <v>Niagara-on-the-Lake Hydro Inc.</v>
      </c>
      <c r="B21" t="str">
        <f t="shared" si="0"/>
        <v>EB-2018-0056</v>
      </c>
      <c r="C21">
        <f t="shared" si="1"/>
        <v>2019</v>
      </c>
      <c r="D21">
        <f t="shared" si="2"/>
        <v>2018</v>
      </c>
      <c r="E21">
        <f t="shared" si="3"/>
        <v>2014</v>
      </c>
      <c r="F21">
        <f>'App.2-M_Regulatory_Costs'!B35</f>
        <v>0</v>
      </c>
      <c r="G21" s="9" t="s">
        <v>1283</v>
      </c>
      <c r="H21">
        <f>'App.2-M_Regulatory_Costs'!C51</f>
        <v>0</v>
      </c>
      <c r="I21">
        <f>'App.2-M_Regulatory_Costs'!D51</f>
        <v>0</v>
      </c>
      <c r="J21">
        <f>'App.2-M_Regulatory_Costs'!E51</f>
        <v>0</v>
      </c>
      <c r="K21">
        <f>'App.2-M_Regulatory_Costs'!F51</f>
        <v>0</v>
      </c>
      <c r="L21">
        <f>'App.2-M_Regulatory_Costs'!G51</f>
        <v>0</v>
      </c>
      <c r="M21">
        <f>'App.2-M_Regulatory_Costs'!H51</f>
        <v>0</v>
      </c>
      <c r="N21" t="str">
        <f>'App.2-M_Regulatory_Costs'!I51</f>
        <v/>
      </c>
      <c r="O21">
        <f>'App.2-M_Regulatory_Costs'!J51</f>
        <v>0</v>
      </c>
      <c r="P21" t="str">
        <f>'App.2-M_Regulatory_Costs'!K51</f>
        <v/>
      </c>
    </row>
    <row r="22" spans="1:16" x14ac:dyDescent="0.2">
      <c r="A22" t="str">
        <f>'LDC Info'!$E$14</f>
        <v>Niagara-on-the-Lake Hydro Inc.</v>
      </c>
      <c r="B22" t="str">
        <f t="shared" si="0"/>
        <v>EB-2018-0056</v>
      </c>
      <c r="C22">
        <f t="shared" si="1"/>
        <v>2019</v>
      </c>
      <c r="D22">
        <f t="shared" si="2"/>
        <v>2018</v>
      </c>
      <c r="E22">
        <f t="shared" si="3"/>
        <v>2014</v>
      </c>
      <c r="G22" s="9"/>
      <c r="I22" s="9" t="s">
        <v>1200</v>
      </c>
      <c r="J22" s="9" t="s">
        <v>1200</v>
      </c>
      <c r="K22" s="9" t="s">
        <v>1200</v>
      </c>
      <c r="L22" s="9" t="s">
        <v>1200</v>
      </c>
      <c r="M22" s="9" t="s">
        <v>1200</v>
      </c>
      <c r="N22" s="9" t="s">
        <v>1200</v>
      </c>
      <c r="O22" s="9" t="s">
        <v>1200</v>
      </c>
      <c r="P22">
        <f>'App.2-M_Regulatory_Costs'!K52</f>
        <v>0.30637852047294767</v>
      </c>
    </row>
    <row r="23" spans="1:16" x14ac:dyDescent="0.2">
      <c r="A23" t="str">
        <f>'LDC Info'!$E$14</f>
        <v>Niagara-on-the-Lake Hydro Inc.</v>
      </c>
      <c r="B23" t="str">
        <f t="shared" si="0"/>
        <v>EB-2018-0056</v>
      </c>
      <c r="C23">
        <f t="shared" si="1"/>
        <v>2019</v>
      </c>
      <c r="D23">
        <f t="shared" si="2"/>
        <v>2018</v>
      </c>
      <c r="E23">
        <f t="shared" si="3"/>
        <v>2014</v>
      </c>
      <c r="F23" t="str">
        <f>'App.2-M_Regulatory_Costs'!B37</f>
        <v>Expert Witness costs</v>
      </c>
      <c r="G23" s="9" t="s">
        <v>1284</v>
      </c>
      <c r="H23">
        <f>'App.2-M_Regulatory_Costs'!C37</f>
        <v>0</v>
      </c>
      <c r="I23">
        <f>'App.2-M_Regulatory_Costs'!D37</f>
        <v>0</v>
      </c>
      <c r="J23">
        <f>'App.2-M_Regulatory_Costs'!E37</f>
        <v>0</v>
      </c>
      <c r="K23">
        <f>'App.2-M_Regulatory_Costs'!F37</f>
        <v>0</v>
      </c>
      <c r="L23">
        <f>'App.2-M_Regulatory_Costs'!G37</f>
        <v>0</v>
      </c>
      <c r="M23">
        <f>'App.2-M_Regulatory_Costs'!H37</f>
        <v>0</v>
      </c>
      <c r="N23" t="str">
        <f>'App.2-M_Regulatory_Costs'!I37</f>
        <v/>
      </c>
      <c r="O23">
        <f>'App.2-M_Regulatory_Costs'!J37</f>
        <v>0</v>
      </c>
      <c r="P23" t="str">
        <f>'App.2-M_Regulatory_Costs'!K37</f>
        <v/>
      </c>
    </row>
    <row r="24" spans="1:16" x14ac:dyDescent="0.2">
      <c r="A24" t="str">
        <f>'LDC Info'!$E$14</f>
        <v>Niagara-on-the-Lake Hydro Inc.</v>
      </c>
      <c r="B24" t="str">
        <f t="shared" si="0"/>
        <v>EB-2018-0056</v>
      </c>
      <c r="C24">
        <f t="shared" si="1"/>
        <v>2019</v>
      </c>
      <c r="D24">
        <f t="shared" si="2"/>
        <v>2018</v>
      </c>
      <c r="E24">
        <f t="shared" si="3"/>
        <v>2014</v>
      </c>
      <c r="F24" t="str">
        <f>'App.2-M_Regulatory_Costs'!B38</f>
        <v>Legal costs</v>
      </c>
      <c r="G24" s="9" t="s">
        <v>1284</v>
      </c>
      <c r="H24">
        <f>'App.2-M_Regulatory_Costs'!C38</f>
        <v>5655</v>
      </c>
      <c r="I24">
        <f>'App.2-M_Regulatory_Costs'!E38</f>
        <v>20000</v>
      </c>
      <c r="J24">
        <f>'App.2-M_Regulatory_Costs'!F38</f>
        <v>1071</v>
      </c>
      <c r="K24" t="e">
        <f>'App.2-M_Regulatory_Costs'!#REF!</f>
        <v>#REF!</v>
      </c>
      <c r="L24">
        <f>'App.2-M_Regulatory_Costs'!G38</f>
        <v>0</v>
      </c>
      <c r="M24">
        <f>'App.2-M_Regulatory_Costs'!H38</f>
        <v>0</v>
      </c>
      <c r="N24" t="str">
        <f>'App.2-M_Regulatory_Costs'!I38</f>
        <v/>
      </c>
      <c r="O24">
        <f>'App.2-M_Regulatory_Costs'!J38</f>
        <v>25000</v>
      </c>
      <c r="P24" t="str">
        <f>'App.2-M_Regulatory_Costs'!K38</f>
        <v/>
      </c>
    </row>
    <row r="25" spans="1:16" x14ac:dyDescent="0.2">
      <c r="A25" t="str">
        <f>'LDC Info'!$E$14</f>
        <v>Niagara-on-the-Lake Hydro Inc.</v>
      </c>
      <c r="B25" t="str">
        <f t="shared" si="0"/>
        <v>EB-2018-0056</v>
      </c>
      <c r="C25">
        <f t="shared" si="1"/>
        <v>2019</v>
      </c>
      <c r="D25">
        <f t="shared" si="2"/>
        <v>2018</v>
      </c>
      <c r="E25">
        <f t="shared" si="3"/>
        <v>2014</v>
      </c>
      <c r="F25" t="str">
        <f>'App.2-M_Regulatory_Costs'!B39</f>
        <v>Consultants' costs</v>
      </c>
      <c r="G25" s="9" t="s">
        <v>1284</v>
      </c>
      <c r="H25">
        <f>'App.2-M_Regulatory_Costs'!C39</f>
        <v>5655</v>
      </c>
      <c r="I25">
        <f>'App.2-M_Regulatory_Costs'!E39</f>
        <v>0</v>
      </c>
      <c r="J25">
        <f>'App.2-M_Regulatory_Costs'!F39</f>
        <v>0</v>
      </c>
      <c r="K25" t="e">
        <f>'App.2-M_Regulatory_Costs'!#REF!</f>
        <v>#REF!</v>
      </c>
      <c r="L25">
        <f>'App.2-M_Regulatory_Costs'!G39</f>
        <v>0</v>
      </c>
      <c r="M25">
        <f>'App.2-M_Regulatory_Costs'!H39</f>
        <v>0</v>
      </c>
      <c r="N25" t="str">
        <f>'App.2-M_Regulatory_Costs'!I39</f>
        <v/>
      </c>
      <c r="O25">
        <f>'App.2-M_Regulatory_Costs'!J39</f>
        <v>36000</v>
      </c>
      <c r="P25" t="str">
        <f>'App.2-M_Regulatory_Costs'!K39</f>
        <v/>
      </c>
    </row>
    <row r="26" spans="1:16" x14ac:dyDescent="0.2">
      <c r="A26" t="str">
        <f>'LDC Info'!$E$14</f>
        <v>Niagara-on-the-Lake Hydro Inc.</v>
      </c>
      <c r="B26" t="str">
        <f t="shared" si="0"/>
        <v>EB-2018-0056</v>
      </c>
      <c r="C26">
        <f t="shared" si="1"/>
        <v>2019</v>
      </c>
      <c r="D26">
        <f t="shared" si="2"/>
        <v>2018</v>
      </c>
      <c r="E26">
        <f t="shared" si="3"/>
        <v>2014</v>
      </c>
      <c r="F26" t="str">
        <f>'App.2-M_Regulatory_Costs'!B40</f>
        <v>Incremental operating expenses associated with staff resources allocated to this application.</v>
      </c>
      <c r="G26" s="9" t="s">
        <v>1284</v>
      </c>
      <c r="H26">
        <f>'App.2-M_Regulatory_Costs'!C40</f>
        <v>0</v>
      </c>
      <c r="I26">
        <f>'App.2-M_Regulatory_Costs'!D40</f>
        <v>0</v>
      </c>
      <c r="J26">
        <f>'App.2-M_Regulatory_Costs'!E40</f>
        <v>0</v>
      </c>
      <c r="K26">
        <f>'App.2-M_Regulatory_Costs'!F40</f>
        <v>0</v>
      </c>
      <c r="L26">
        <f>'App.2-M_Regulatory_Costs'!G40</f>
        <v>0</v>
      </c>
      <c r="M26">
        <f>'App.2-M_Regulatory_Costs'!H40</f>
        <v>0</v>
      </c>
      <c r="N26" t="str">
        <f>'App.2-M_Regulatory_Costs'!I40</f>
        <v/>
      </c>
      <c r="O26">
        <f>'App.2-M_Regulatory_Costs'!J40</f>
        <v>0</v>
      </c>
      <c r="P26" t="str">
        <f>'App.2-M_Regulatory_Costs'!K40</f>
        <v/>
      </c>
    </row>
    <row r="27" spans="1:16" x14ac:dyDescent="0.2">
      <c r="A27" t="str">
        <f>'LDC Info'!$E$14</f>
        <v>Niagara-on-the-Lake Hydro Inc.</v>
      </c>
      <c r="B27" t="str">
        <f t="shared" si="0"/>
        <v>EB-2018-0056</v>
      </c>
      <c r="C27">
        <f t="shared" si="1"/>
        <v>2019</v>
      </c>
      <c r="D27">
        <f t="shared" si="2"/>
        <v>2018</v>
      </c>
      <c r="E27">
        <f t="shared" si="3"/>
        <v>2014</v>
      </c>
      <c r="F27" t="str">
        <f>'App.2-M_Regulatory_Costs'!B41</f>
        <v>Incremental operating expenses associated with other resources allocated to this application. 1</v>
      </c>
      <c r="G27" s="9" t="s">
        <v>1284</v>
      </c>
      <c r="H27">
        <f>'App.2-M_Regulatory_Costs'!C41</f>
        <v>0</v>
      </c>
      <c r="I27">
        <f>'App.2-M_Regulatory_Costs'!D41</f>
        <v>0</v>
      </c>
      <c r="J27">
        <f>'App.2-M_Regulatory_Costs'!E41</f>
        <v>0</v>
      </c>
      <c r="K27">
        <f>'App.2-M_Regulatory_Costs'!F41</f>
        <v>0</v>
      </c>
      <c r="L27">
        <f>'App.2-M_Regulatory_Costs'!G41</f>
        <v>0</v>
      </c>
      <c r="M27">
        <f>'App.2-M_Regulatory_Costs'!H41</f>
        <v>0</v>
      </c>
      <c r="N27" t="str">
        <f>'App.2-M_Regulatory_Costs'!I41</f>
        <v/>
      </c>
      <c r="O27">
        <f>'App.2-M_Regulatory_Costs'!J41</f>
        <v>0</v>
      </c>
      <c r="P27" t="str">
        <f>'App.2-M_Regulatory_Costs'!K41</f>
        <v/>
      </c>
    </row>
    <row r="28" spans="1:16" x14ac:dyDescent="0.2">
      <c r="A28" t="str">
        <f>'LDC Info'!$E$14</f>
        <v>Niagara-on-the-Lake Hydro Inc.</v>
      </c>
      <c r="B28" t="str">
        <f t="shared" si="0"/>
        <v>EB-2018-0056</v>
      </c>
      <c r="C28">
        <f t="shared" si="1"/>
        <v>2019</v>
      </c>
      <c r="D28">
        <f t="shared" si="2"/>
        <v>2018</v>
      </c>
      <c r="E28">
        <f t="shared" si="3"/>
        <v>2014</v>
      </c>
      <c r="F28" t="str">
        <f>'App.2-M_Regulatory_Costs'!B42</f>
        <v>Intervenor costs</v>
      </c>
      <c r="G28" s="9" t="s">
        <v>1284</v>
      </c>
      <c r="H28">
        <f>'App.2-M_Regulatory_Costs'!C42</f>
        <v>0</v>
      </c>
      <c r="I28">
        <f>'App.2-M_Regulatory_Costs'!D42</f>
        <v>0</v>
      </c>
      <c r="J28">
        <f>'App.2-M_Regulatory_Costs'!E42</f>
        <v>0</v>
      </c>
      <c r="K28">
        <f>'App.2-M_Regulatory_Costs'!F42</f>
        <v>0</v>
      </c>
      <c r="L28">
        <f>'App.2-M_Regulatory_Costs'!G42</f>
        <v>0</v>
      </c>
      <c r="M28">
        <f>'App.2-M_Regulatory_Costs'!H42</f>
        <v>58.5</v>
      </c>
      <c r="N28" t="str">
        <f>'App.2-M_Regulatory_Costs'!I42</f>
        <v/>
      </c>
      <c r="O28">
        <f>'App.2-M_Regulatory_Costs'!J42</f>
        <v>50000</v>
      </c>
      <c r="P28">
        <f>'App.2-M_Regulatory_Costs'!K42</f>
        <v>853.70085470085473</v>
      </c>
    </row>
    <row r="29" spans="1:16" x14ac:dyDescent="0.2">
      <c r="A29" t="str">
        <f>'LDC Info'!$E$14</f>
        <v>Niagara-on-the-Lake Hydro Inc.</v>
      </c>
      <c r="B29" t="str">
        <f t="shared" si="0"/>
        <v>EB-2018-0056</v>
      </c>
      <c r="C29">
        <f t="shared" si="1"/>
        <v>2019</v>
      </c>
      <c r="D29">
        <f t="shared" si="2"/>
        <v>2018</v>
      </c>
      <c r="E29">
        <f t="shared" si="3"/>
        <v>2014</v>
      </c>
      <c r="F29" t="str">
        <f>'App.2-M_Regulatory_Costs'!B43</f>
        <v>OEB Section 30 Costs (application-related)</v>
      </c>
      <c r="G29" s="9" t="s">
        <v>1284</v>
      </c>
      <c r="H29">
        <f>'App.2-M_Regulatory_Costs'!C43</f>
        <v>0</v>
      </c>
      <c r="I29">
        <f>'App.2-M_Regulatory_Costs'!D43</f>
        <v>0</v>
      </c>
      <c r="J29">
        <f>'App.2-M_Regulatory_Costs'!E43</f>
        <v>0</v>
      </c>
      <c r="K29">
        <f>'App.2-M_Regulatory_Costs'!F43</f>
        <v>0</v>
      </c>
      <c r="L29">
        <f>'App.2-M_Regulatory_Costs'!G43</f>
        <v>0</v>
      </c>
      <c r="M29">
        <f>'App.2-M_Regulatory_Costs'!H43</f>
        <v>0</v>
      </c>
      <c r="N29" t="str">
        <f>'App.2-M_Regulatory_Costs'!I43</f>
        <v/>
      </c>
      <c r="O29">
        <f>'App.2-M_Regulatory_Costs'!J43</f>
        <v>0</v>
      </c>
      <c r="P29" t="str">
        <f>'App.2-M_Regulatory_Costs'!K43</f>
        <v/>
      </c>
    </row>
    <row r="30" spans="1:16" x14ac:dyDescent="0.2">
      <c r="A30" t="str">
        <f>'LDC Info'!$E$14</f>
        <v>Niagara-on-the-Lake Hydro Inc.</v>
      </c>
      <c r="B30" t="str">
        <f t="shared" si="0"/>
        <v>EB-2018-0056</v>
      </c>
      <c r="C30">
        <f t="shared" si="1"/>
        <v>2019</v>
      </c>
      <c r="D30">
        <f t="shared" si="2"/>
        <v>2018</v>
      </c>
      <c r="E30">
        <f t="shared" si="3"/>
        <v>2014</v>
      </c>
      <c r="F30" t="str">
        <f>'App.2-M_Regulatory_Costs'!B44</f>
        <v>Any other costs for regulatory matters (COS)</v>
      </c>
      <c r="G30" s="9" t="s">
        <v>1284</v>
      </c>
      <c r="H30">
        <f>'App.2-M_Regulatory_Costs'!C44</f>
        <v>5655</v>
      </c>
      <c r="I30">
        <f>'App.2-M_Regulatory_Costs'!E44</f>
        <v>0</v>
      </c>
      <c r="J30" t="e">
        <f>'App.2-M_Regulatory_Costs'!#REF!</f>
        <v>#REF!</v>
      </c>
      <c r="K30">
        <f>'App.2-M_Regulatory_Costs'!F44</f>
        <v>0</v>
      </c>
      <c r="L30">
        <f>'App.2-M_Regulatory_Costs'!G44</f>
        <v>0</v>
      </c>
      <c r="M30">
        <f>'App.2-M_Regulatory_Costs'!H44</f>
        <v>0</v>
      </c>
      <c r="N30" t="str">
        <f>'App.2-M_Regulatory_Costs'!I44</f>
        <v/>
      </c>
      <c r="O30">
        <f>'App.2-M_Regulatory_Costs'!J44</f>
        <v>0</v>
      </c>
      <c r="P30" t="str">
        <f>'App.2-M_Regulatory_Costs'!K44</f>
        <v/>
      </c>
    </row>
    <row r="31" spans="1:16" x14ac:dyDescent="0.2">
      <c r="A31" t="str">
        <f>'LDC Info'!$E$14</f>
        <v>Niagara-on-the-Lake Hydro Inc.</v>
      </c>
      <c r="B31" t="str">
        <f t="shared" si="0"/>
        <v>EB-2018-0056</v>
      </c>
      <c r="C31">
        <f t="shared" si="1"/>
        <v>2019</v>
      </c>
      <c r="D31">
        <f t="shared" si="2"/>
        <v>2018</v>
      </c>
      <c r="E31">
        <f t="shared" si="3"/>
        <v>2014</v>
      </c>
      <c r="F31">
        <f>'App.2-M_Regulatory_Costs'!B45</f>
        <v>0</v>
      </c>
      <c r="G31" s="9" t="s">
        <v>1284</v>
      </c>
      <c r="H31">
        <f>'App.2-M_Regulatory_Costs'!C45</f>
        <v>0</v>
      </c>
      <c r="I31">
        <f>'App.2-M_Regulatory_Costs'!D45</f>
        <v>0</v>
      </c>
      <c r="J31">
        <f>'App.2-M_Regulatory_Costs'!E45</f>
        <v>0</v>
      </c>
      <c r="K31">
        <f>'App.2-M_Regulatory_Costs'!F45</f>
        <v>0</v>
      </c>
      <c r="L31">
        <f>'App.2-M_Regulatory_Costs'!G45</f>
        <v>0</v>
      </c>
      <c r="M31">
        <f>'App.2-M_Regulatory_Costs'!H45</f>
        <v>0</v>
      </c>
      <c r="N31" t="str">
        <f>'App.2-M_Regulatory_Costs'!I45</f>
        <v/>
      </c>
      <c r="O31">
        <f>'App.2-M_Regulatory_Costs'!J45</f>
        <v>0</v>
      </c>
      <c r="P31" t="str">
        <f>'App.2-M_Regulatory_Costs'!K45</f>
        <v/>
      </c>
    </row>
    <row r="32" spans="1:16" x14ac:dyDescent="0.2">
      <c r="A32" t="str">
        <f>'LDC Info'!$E$14</f>
        <v>Niagara-on-the-Lake Hydro Inc.</v>
      </c>
      <c r="B32" t="str">
        <f t="shared" si="0"/>
        <v>EB-2018-0056</v>
      </c>
      <c r="C32">
        <f t="shared" si="1"/>
        <v>2019</v>
      </c>
      <c r="D32">
        <f t="shared" si="2"/>
        <v>2018</v>
      </c>
      <c r="E32">
        <f t="shared" si="3"/>
        <v>2014</v>
      </c>
      <c r="F32" t="str">
        <f>'App.2-M_Regulatory_Costs'!B46</f>
        <v>Incremental Operating - Auditors</v>
      </c>
      <c r="G32" s="9" t="s">
        <v>1284</v>
      </c>
      <c r="H32">
        <f>'App.2-M_Regulatory_Costs'!C46</f>
        <v>0</v>
      </c>
      <c r="I32">
        <f>'App.2-M_Regulatory_Costs'!D46</f>
        <v>0</v>
      </c>
      <c r="J32">
        <f>'App.2-M_Regulatory_Costs'!E46</f>
        <v>0</v>
      </c>
      <c r="K32">
        <f>'App.2-M_Regulatory_Costs'!F46</f>
        <v>0</v>
      </c>
      <c r="L32">
        <f>'App.2-M_Regulatory_Costs'!G46</f>
        <v>0</v>
      </c>
      <c r="M32">
        <f>'App.2-M_Regulatory_Costs'!H46</f>
        <v>0</v>
      </c>
      <c r="N32" t="str">
        <f>'App.2-M_Regulatory_Costs'!I46</f>
        <v/>
      </c>
      <c r="O32">
        <f>'App.2-M_Regulatory_Costs'!J46</f>
        <v>12500</v>
      </c>
      <c r="P32" t="str">
        <f>'App.2-M_Regulatory_Costs'!K46</f>
        <v/>
      </c>
    </row>
    <row r="33" spans="1:16" x14ac:dyDescent="0.2">
      <c r="A33" t="str">
        <f>'LDC Info'!$E$14</f>
        <v>Niagara-on-the-Lake Hydro Inc.</v>
      </c>
      <c r="B33" t="str">
        <f t="shared" si="0"/>
        <v>EB-2018-0056</v>
      </c>
      <c r="C33">
        <f t="shared" si="1"/>
        <v>2019</v>
      </c>
      <c r="D33">
        <f t="shared" si="2"/>
        <v>2018</v>
      </c>
      <c r="E33">
        <f t="shared" si="3"/>
        <v>2014</v>
      </c>
      <c r="F33" t="str">
        <f>'App.2-M_Regulatory_Costs'!B47</f>
        <v>Incremental Operating - OEB Customer Session</v>
      </c>
      <c r="G33" s="9" t="s">
        <v>1284</v>
      </c>
      <c r="H33">
        <f>'App.2-M_Regulatory_Costs'!C47</f>
        <v>0</v>
      </c>
      <c r="I33">
        <f>'App.2-M_Regulatory_Costs'!D47</f>
        <v>0</v>
      </c>
      <c r="J33">
        <f>'App.2-M_Regulatory_Costs'!E47</f>
        <v>0</v>
      </c>
      <c r="K33">
        <f>'App.2-M_Regulatory_Costs'!F47</f>
        <v>0</v>
      </c>
      <c r="L33">
        <f>'App.2-M_Regulatory_Costs'!G47</f>
        <v>0</v>
      </c>
      <c r="M33">
        <f>'App.2-M_Regulatory_Costs'!H47</f>
        <v>0</v>
      </c>
      <c r="N33" t="str">
        <f>'App.2-M_Regulatory_Costs'!I47</f>
        <v/>
      </c>
      <c r="O33">
        <f>'App.2-M_Regulatory_Costs'!J47</f>
        <v>10000</v>
      </c>
      <c r="P33" t="str">
        <f>'App.2-M_Regulatory_Costs'!K47</f>
        <v/>
      </c>
    </row>
    <row r="34" spans="1:16" x14ac:dyDescent="0.2">
      <c r="A34" t="str">
        <f>'LDC Info'!$E$14</f>
        <v>Niagara-on-the-Lake Hydro Inc.</v>
      </c>
      <c r="B34" t="str">
        <f t="shared" si="0"/>
        <v>EB-2018-0056</v>
      </c>
      <c r="C34">
        <f t="shared" si="1"/>
        <v>2019</v>
      </c>
      <c r="D34">
        <f t="shared" si="2"/>
        <v>2018</v>
      </c>
      <c r="E34">
        <f t="shared" si="3"/>
        <v>2014</v>
      </c>
      <c r="F34" t="str">
        <f>'App.2-M_Regulatory_Costs'!B48</f>
        <v>Incremental Operating - Oral Hearing</v>
      </c>
      <c r="G34" s="9" t="s">
        <v>1284</v>
      </c>
      <c r="H34">
        <f>'App.2-M_Regulatory_Costs'!C48</f>
        <v>0</v>
      </c>
      <c r="I34">
        <f>'App.2-M_Regulatory_Costs'!D48</f>
        <v>0</v>
      </c>
      <c r="J34">
        <f>'App.2-M_Regulatory_Costs'!E48</f>
        <v>0</v>
      </c>
      <c r="K34">
        <f>'App.2-M_Regulatory_Costs'!F48</f>
        <v>0</v>
      </c>
      <c r="L34">
        <f>'App.2-M_Regulatory_Costs'!G48</f>
        <v>0</v>
      </c>
      <c r="M34">
        <f>'App.2-M_Regulatory_Costs'!H48</f>
        <v>0</v>
      </c>
      <c r="N34" t="str">
        <f>'App.2-M_Regulatory_Costs'!I48</f>
        <v/>
      </c>
      <c r="O34">
        <f>'App.2-M_Regulatory_Costs'!J48</f>
        <v>30000</v>
      </c>
      <c r="P34" t="str">
        <f>'App.2-M_Regulatory_Costs'!K48</f>
        <v/>
      </c>
    </row>
    <row r="35" spans="1:16" x14ac:dyDescent="0.2">
      <c r="A35" t="str">
        <f>'LDC Info'!$E$14</f>
        <v>Niagara-on-the-Lake Hydro Inc.</v>
      </c>
      <c r="B35" t="str">
        <f t="shared" si="0"/>
        <v>EB-2018-0056</v>
      </c>
      <c r="C35">
        <f t="shared" si="1"/>
        <v>2019</v>
      </c>
      <c r="D35">
        <f t="shared" si="2"/>
        <v>2018</v>
      </c>
      <c r="E35">
        <f t="shared" si="3"/>
        <v>2014</v>
      </c>
      <c r="F35" t="str">
        <f>'App.2-M_Regulatory_Costs'!B49</f>
        <v>Incremental Operating - Public Notice</v>
      </c>
      <c r="G35" s="9" t="s">
        <v>1284</v>
      </c>
      <c r="H35">
        <f>'App.2-M_Regulatory_Costs'!C49</f>
        <v>0</v>
      </c>
      <c r="I35">
        <f>'App.2-M_Regulatory_Costs'!D49</f>
        <v>0</v>
      </c>
      <c r="J35">
        <f>'App.2-M_Regulatory_Costs'!E49</f>
        <v>0</v>
      </c>
      <c r="K35">
        <f>'App.2-M_Regulatory_Costs'!F49</f>
        <v>0</v>
      </c>
      <c r="L35">
        <f>'App.2-M_Regulatory_Costs'!G49</f>
        <v>0</v>
      </c>
      <c r="M35">
        <f>'App.2-M_Regulatory_Costs'!H49</f>
        <v>0</v>
      </c>
      <c r="N35" t="str">
        <f>'App.2-M_Regulatory_Costs'!I49</f>
        <v/>
      </c>
      <c r="O35">
        <f>'App.2-M_Regulatory_Costs'!J49</f>
        <v>1500</v>
      </c>
      <c r="P35" t="str">
        <f>'App.2-M_Regulatory_Costs'!K49</f>
        <v/>
      </c>
    </row>
    <row r="36" spans="1:16" x14ac:dyDescent="0.2">
      <c r="A36" t="str">
        <f>'LDC Info'!$E$14</f>
        <v>Niagara-on-the-Lake Hydro Inc.</v>
      </c>
      <c r="B36" t="str">
        <f t="shared" si="0"/>
        <v>EB-2018-0056</v>
      </c>
      <c r="C36">
        <f t="shared" si="1"/>
        <v>2019</v>
      </c>
      <c r="D36">
        <f t="shared" si="2"/>
        <v>2018</v>
      </c>
      <c r="E36">
        <f t="shared" si="3"/>
        <v>2014</v>
      </c>
      <c r="F36">
        <f>'App.2-M_Regulatory_Costs'!B50</f>
        <v>0</v>
      </c>
      <c r="G36" s="9" t="s">
        <v>1284</v>
      </c>
      <c r="H36">
        <f>'App.2-M_Regulatory_Costs'!C50</f>
        <v>0</v>
      </c>
      <c r="I36">
        <f>'App.2-M_Regulatory_Costs'!D50</f>
        <v>0</v>
      </c>
      <c r="J36">
        <f>'App.2-M_Regulatory_Costs'!E50</f>
        <v>0</v>
      </c>
      <c r="K36">
        <f>'App.2-M_Regulatory_Costs'!F50</f>
        <v>0</v>
      </c>
      <c r="L36">
        <f>'App.2-M_Regulatory_Costs'!G50</f>
        <v>0</v>
      </c>
      <c r="M36">
        <f>'App.2-M_Regulatory_Costs'!H50</f>
        <v>0</v>
      </c>
      <c r="N36" t="str">
        <f>'App.2-M_Regulatory_Costs'!I50</f>
        <v/>
      </c>
      <c r="O36">
        <f>'App.2-M_Regulatory_Costs'!J50</f>
        <v>0</v>
      </c>
      <c r="P36" t="str">
        <f>'App.2-M_Regulatory_Costs'!K50</f>
        <v/>
      </c>
    </row>
    <row r="37" spans="1:16" x14ac:dyDescent="0.2">
      <c r="A37" t="str">
        <f>'LDC Info'!$E$14</f>
        <v>Niagara-on-the-Lake Hydro Inc.</v>
      </c>
      <c r="B37" t="str">
        <f t="shared" si="0"/>
        <v>EB-2018-0056</v>
      </c>
      <c r="C37">
        <f t="shared" si="1"/>
        <v>2019</v>
      </c>
      <c r="D37">
        <f t="shared" si="2"/>
        <v>2018</v>
      </c>
      <c r="E37">
        <f t="shared" si="3"/>
        <v>2014</v>
      </c>
      <c r="F37">
        <f>'App.2-M_Regulatory_Costs'!B51</f>
        <v>0</v>
      </c>
      <c r="G37" s="9" t="s">
        <v>1284</v>
      </c>
      <c r="H37">
        <f>'App.2-M_Regulatory_Costs'!C51</f>
        <v>0</v>
      </c>
      <c r="I37">
        <f>'App.2-M_Regulatory_Costs'!D51</f>
        <v>0</v>
      </c>
      <c r="J37">
        <f>'App.2-M_Regulatory_Costs'!E51</f>
        <v>0</v>
      </c>
      <c r="K37">
        <f>'App.2-M_Regulatory_Costs'!F51</f>
        <v>0</v>
      </c>
      <c r="L37">
        <f>'App.2-M_Regulatory_Costs'!G51</f>
        <v>0</v>
      </c>
      <c r="M37">
        <f>'App.2-M_Regulatory_Costs'!H51</f>
        <v>0</v>
      </c>
      <c r="N37" t="str">
        <f>'App.2-M_Regulatory_Costs'!I51</f>
        <v/>
      </c>
      <c r="O37">
        <f>'App.2-M_Regulatory_Costs'!J51</f>
        <v>0</v>
      </c>
      <c r="P37" t="str">
        <f>'App.2-M_Regulatory_Costs'!K51</f>
        <v/>
      </c>
    </row>
    <row r="38" spans="1:16" x14ac:dyDescent="0.2">
      <c r="A38" t="str">
        <f>'LDC Info'!$E$14</f>
        <v>Niagara-on-the-Lake Hydro Inc.</v>
      </c>
      <c r="B38" t="str">
        <f t="shared" si="0"/>
        <v>EB-2018-0056</v>
      </c>
      <c r="C38">
        <f t="shared" si="1"/>
        <v>2019</v>
      </c>
      <c r="D38">
        <f t="shared" si="2"/>
        <v>2018</v>
      </c>
      <c r="E38">
        <f t="shared" si="3"/>
        <v>2014</v>
      </c>
      <c r="F38" t="str">
        <f>'App.2-M_Regulatory_Costs'!B52</f>
        <v>Sub-total - Ongoing Costs 2</v>
      </c>
      <c r="G38" s="9" t="s">
        <v>1284</v>
      </c>
      <c r="H38">
        <f>'App.2-M_Regulatory_Costs'!C52</f>
        <v>0</v>
      </c>
      <c r="I38">
        <f>'App.2-M_Regulatory_Costs'!D52</f>
        <v>0</v>
      </c>
      <c r="J38">
        <f>'App.2-M_Regulatory_Costs'!E52</f>
        <v>33000</v>
      </c>
      <c r="K38">
        <f>'App.2-M_Regulatory_Costs'!F52</f>
        <v>31277</v>
      </c>
      <c r="L38">
        <f>'App.2-M_Regulatory_Costs'!G52</f>
        <v>46761</v>
      </c>
      <c r="M38">
        <f>'App.2-M_Regulatory_Costs'!H52</f>
        <v>37623.576114199997</v>
      </c>
      <c r="N38">
        <f>'App.2-M_Regulatory_Costs'!I52</f>
        <v>-0.19540693923996499</v>
      </c>
      <c r="O38">
        <f>'App.2-M_Regulatory_Costs'!J52</f>
        <v>49150.631698969926</v>
      </c>
      <c r="P38">
        <f>'App.2-M_Regulatory_Costs'!K52</f>
        <v>0.30637852047294767</v>
      </c>
    </row>
    <row r="39" spans="1:16" x14ac:dyDescent="0.2">
      <c r="A39" t="str">
        <f>'LDC Info'!$E$14</f>
        <v>Niagara-on-the-Lake Hydro Inc.</v>
      </c>
      <c r="B39" t="str">
        <f t="shared" si="0"/>
        <v>EB-2018-0056</v>
      </c>
      <c r="C39">
        <f t="shared" si="1"/>
        <v>2019</v>
      </c>
      <c r="D39">
        <f t="shared" si="2"/>
        <v>2018</v>
      </c>
      <c r="E39">
        <f t="shared" si="3"/>
        <v>2014</v>
      </c>
      <c r="F39" t="str">
        <f>'App.2-M_Regulatory_Costs'!B53</f>
        <v>Sub-total - One-time Costs 3</v>
      </c>
      <c r="G39" s="9" t="s">
        <v>1284</v>
      </c>
      <c r="H39">
        <f>'App.2-M_Regulatory_Costs'!C53</f>
        <v>0</v>
      </c>
      <c r="I39">
        <f>'App.2-M_Regulatory_Costs'!D53</f>
        <v>0</v>
      </c>
      <c r="J39">
        <f>'App.2-M_Regulatory_Costs'!E53</f>
        <v>20000</v>
      </c>
      <c r="K39">
        <f>'App.2-M_Regulatory_Costs'!F53</f>
        <v>1071</v>
      </c>
      <c r="L39">
        <f>'App.2-M_Regulatory_Costs'!G53</f>
        <v>0</v>
      </c>
      <c r="M39">
        <f>'App.2-M_Regulatory_Costs'!H53</f>
        <v>58.5</v>
      </c>
      <c r="N39" t="str">
        <f>'App.2-M_Regulatory_Costs'!I53</f>
        <v/>
      </c>
      <c r="O39">
        <f>'App.2-M_Regulatory_Costs'!J53</f>
        <v>165000</v>
      </c>
      <c r="P39">
        <f>'App.2-M_Regulatory_Costs'!K53</f>
        <v>2819.5128205128203</v>
      </c>
    </row>
    <row r="40" spans="1:16" x14ac:dyDescent="0.2">
      <c r="A40" t="str">
        <f>'LDC Info'!$E$14</f>
        <v>Niagara-on-the-Lake Hydro Inc.</v>
      </c>
      <c r="B40" t="str">
        <f t="shared" si="0"/>
        <v>EB-2018-0056</v>
      </c>
      <c r="C40">
        <f t="shared" si="1"/>
        <v>2019</v>
      </c>
      <c r="D40">
        <f t="shared" si="2"/>
        <v>2018</v>
      </c>
      <c r="E40">
        <f t="shared" si="3"/>
        <v>2014</v>
      </c>
      <c r="F40" t="str">
        <f>'App.2-M_Regulatory_Costs'!B54</f>
        <v>Total</v>
      </c>
      <c r="G40" s="9" t="s">
        <v>1284</v>
      </c>
      <c r="H40">
        <f>'App.2-M_Regulatory_Costs'!C54</f>
        <v>0</v>
      </c>
      <c r="I40">
        <f>'App.2-M_Regulatory_Costs'!D54</f>
        <v>0</v>
      </c>
      <c r="J40">
        <f>'App.2-M_Regulatory_Costs'!E54</f>
        <v>53000</v>
      </c>
      <c r="K40">
        <f>'App.2-M_Regulatory_Costs'!F54</f>
        <v>32348</v>
      </c>
      <c r="L40">
        <f>'App.2-M_Regulatory_Costs'!G54</f>
        <v>46761</v>
      </c>
      <c r="M40">
        <f>'App.2-M_Regulatory_Costs'!H54</f>
        <v>37682.076114199997</v>
      </c>
      <c r="N40">
        <f>'App.2-M_Regulatory_Costs'!I54</f>
        <v>-0.19415589670451877</v>
      </c>
      <c r="O40">
        <f>'App.2-M_Regulatory_Costs'!J54</f>
        <v>82150.631698969926</v>
      </c>
      <c r="P40">
        <f>'App.2-M_Regulatory_Costs'!K54</f>
        <v>1.1800983430425305</v>
      </c>
    </row>
  </sheetData>
  <sheetProtection algorithmName="SHA-512" hashValue="vsM4WsicG1vsBhe2S18luOvUHXYZrjNNUCIGMb8PLVNxUTKKvNZUiWCLIjOsj8piQLvsNEG7mfrGersVETjMEg==" saltValue="2Qnjj5JRZ1r0PgahJgqsDw=="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8">
    <tabColor rgb="FFFFFF00"/>
    <pageSetUpPr fitToPage="1"/>
  </sheetPr>
  <dimension ref="A2:L4"/>
  <sheetViews>
    <sheetView workbookViewId="0"/>
  </sheetViews>
  <sheetFormatPr defaultColWidth="9.140625" defaultRowHeight="12.75" x14ac:dyDescent="0.2"/>
  <cols>
    <col min="1" max="16384" width="9.140625" style="965"/>
  </cols>
  <sheetData>
    <row r="2" spans="1:12" ht="18" x14ac:dyDescent="0.2">
      <c r="B2" s="1612" t="s">
        <v>560</v>
      </c>
      <c r="C2" s="1612"/>
      <c r="D2" s="1612"/>
      <c r="E2" s="1612"/>
      <c r="F2" s="1612"/>
      <c r="G2" s="1612"/>
      <c r="H2" s="1612"/>
      <c r="I2" s="1612"/>
      <c r="J2" s="1612"/>
      <c r="K2" s="1612"/>
      <c r="L2" s="1612"/>
    </row>
    <row r="3" spans="1:12" ht="15" x14ac:dyDescent="0.2">
      <c r="B3" s="966"/>
    </row>
    <row r="4" spans="1:12" ht="38.25" customHeight="1" x14ac:dyDescent="0.2">
      <c r="A4" s="1613" t="s">
        <v>946</v>
      </c>
      <c r="B4" s="1614"/>
      <c r="C4" s="1614"/>
      <c r="D4" s="1614"/>
      <c r="E4" s="1614"/>
      <c r="F4" s="1614"/>
      <c r="G4" s="1614"/>
      <c r="H4" s="1614"/>
      <c r="I4" s="1614"/>
      <c r="J4" s="1614"/>
      <c r="K4" s="1614"/>
      <c r="L4" s="1614"/>
    </row>
  </sheetData>
  <sheetProtection algorithmName="SHA-512" hashValue="NjhF7KI+aL1s/C+8stNTmVCvJP3yT11EzzBiBjw7pJxt/4BRKoQnv2gYabC6hrHTO/lAXVsGs9o2tUtV/i0+bA==" saltValue="ecZ8PbgkaEvSjKILsdf2rA==" spinCount="100000" sheet="1" objects="1" scenarios="1"/>
  <mergeCells count="2">
    <mergeCell ref="B2:L2"/>
    <mergeCell ref="A4:L4"/>
  </mergeCells>
  <pageMargins left="0.7" right="0.7" top="0.75" bottom="0.75" header="0.3" footer="0.3"/>
  <pageSetup scale="67" orientation="portrait"/>
  <drawing r:id="rId2"/>
  <legacy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6">
    <tabColor theme="7" tint="0.39997558519241921"/>
  </sheetPr>
  <dimension ref="A1:F2"/>
  <sheetViews>
    <sheetView workbookViewId="0"/>
  </sheetViews>
  <sheetFormatPr defaultRowHeight="12.75" x14ac:dyDescent="0.2"/>
  <cols>
    <col min="1" max="1" width="10.28515625" bestFit="1" customWidth="1"/>
    <col min="2" max="2" width="8.7109375" bestFit="1" customWidth="1"/>
    <col min="3" max="3" width="10.7109375" bestFit="1" customWidth="1"/>
    <col min="4" max="4" width="17" bestFit="1" customWidth="1"/>
    <col min="5" max="5" width="18.7109375" bestFit="1" customWidth="1"/>
    <col min="6" max="6" width="15.85546875" bestFit="1" customWidth="1"/>
  </cols>
  <sheetData>
    <row r="1" spans="1:6" x14ac:dyDescent="0.2">
      <c r="A1" t="s">
        <v>1209</v>
      </c>
      <c r="B1" t="s">
        <v>290</v>
      </c>
      <c r="C1" t="s">
        <v>289</v>
      </c>
      <c r="D1" t="s">
        <v>288</v>
      </c>
      <c r="E1" s="9" t="s">
        <v>1288</v>
      </c>
      <c r="F1" s="9" t="s">
        <v>1289</v>
      </c>
    </row>
    <row r="2" spans="1:6" x14ac:dyDescent="0.2">
      <c r="A2" t="str">
        <f t="shared" ref="A2" si="0">EBNUMBER</f>
        <v>EB-2018-0056</v>
      </c>
      <c r="B2">
        <f t="shared" ref="B2" si="1">TestYear</f>
        <v>2019</v>
      </c>
      <c r="C2">
        <f t="shared" ref="C2" si="2">BridgeYear</f>
        <v>2018</v>
      </c>
      <c r="D2">
        <f t="shared" ref="D2" si="3">RebaseYear</f>
        <v>2014</v>
      </c>
      <c r="E2">
        <f>'App.2-M_Regulatory_Costs'!C57</f>
        <v>165000</v>
      </c>
      <c r="F2">
        <f>'App.2-M_Regulatory_Costs'!C58</f>
        <v>33000</v>
      </c>
    </row>
  </sheetData>
  <sheetProtection algorithmName="SHA-512" hashValue="ek4175wTRNobnbICSd799mNNUnC71gor2qYj7GvjUzIIcixd6MMN/Tvh/yAEww9tXFD7axF9iJ8vVEOnCxJSBA==" saltValue="SOqedf6ZWy6OYogIRgJOEg==" spinCount="100000" sheet="1" objects="1" scenarios="1"/>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4">
    <tabColor theme="7" tint="0.39997558519241921"/>
    <pageSetUpPr fitToPage="1"/>
  </sheetPr>
  <dimension ref="B1:H211"/>
  <sheetViews>
    <sheetView showGridLines="0" topLeftCell="A195" zoomScale="80" zoomScaleNormal="80" workbookViewId="0">
      <selection activeCell="H211" sqref="A1:H211"/>
    </sheetView>
  </sheetViews>
  <sheetFormatPr defaultColWidth="9.28515625" defaultRowHeight="12.75" x14ac:dyDescent="0.2"/>
  <cols>
    <col min="1" max="1" width="2.7109375" style="27" customWidth="1"/>
    <col min="2" max="3" width="20.7109375" style="27" customWidth="1"/>
    <col min="4" max="4" width="46.42578125" style="27" customWidth="1"/>
    <col min="5" max="5" width="15.7109375" style="27" customWidth="1"/>
    <col min="6" max="6" width="14.7109375" style="27" customWidth="1"/>
    <col min="7" max="7" width="13.7109375" style="27" customWidth="1"/>
    <col min="8" max="8" width="43.28515625" style="27" customWidth="1"/>
    <col min="9" max="16384" width="9.28515625" style="27"/>
  </cols>
  <sheetData>
    <row r="1" spans="2:8" x14ac:dyDescent="0.2">
      <c r="G1" s="217" t="s">
        <v>277</v>
      </c>
      <c r="H1" s="40" t="str">
        <f>EBNUMBER</f>
        <v>EB-2018-0056</v>
      </c>
    </row>
    <row r="2" spans="2:8" x14ac:dyDescent="0.2">
      <c r="G2" s="217" t="s">
        <v>278</v>
      </c>
      <c r="H2" s="41"/>
    </row>
    <row r="3" spans="2:8" x14ac:dyDescent="0.2">
      <c r="G3" s="217" t="s">
        <v>279</v>
      </c>
      <c r="H3" s="41"/>
    </row>
    <row r="4" spans="2:8" x14ac:dyDescent="0.2">
      <c r="G4" s="217" t="s">
        <v>280</v>
      </c>
      <c r="H4" s="41"/>
    </row>
    <row r="5" spans="2:8" x14ac:dyDescent="0.2">
      <c r="G5" s="217" t="s">
        <v>281</v>
      </c>
      <c r="H5" s="42"/>
    </row>
    <row r="6" spans="2:8" x14ac:dyDescent="0.2">
      <c r="G6" s="217"/>
      <c r="H6" s="40"/>
    </row>
    <row r="7" spans="2:8" x14ac:dyDescent="0.2">
      <c r="G7" s="217" t="s">
        <v>282</v>
      </c>
      <c r="H7" s="42"/>
    </row>
    <row r="9" spans="2:8" ht="18" x14ac:dyDescent="0.25">
      <c r="B9" s="1661" t="s">
        <v>28</v>
      </c>
      <c r="C9" s="1661"/>
      <c r="D9" s="1661"/>
      <c r="E9" s="1661"/>
      <c r="F9" s="1661"/>
      <c r="G9" s="1661"/>
      <c r="H9" s="43"/>
    </row>
    <row r="10" spans="2:8" ht="21" x14ac:dyDescent="0.25">
      <c r="B10" s="1661" t="s">
        <v>927</v>
      </c>
      <c r="C10" s="1661"/>
      <c r="D10" s="1661"/>
      <c r="E10" s="1661"/>
      <c r="F10" s="1661"/>
      <c r="G10" s="1661"/>
      <c r="H10" s="43"/>
    </row>
    <row r="12" spans="2:8" x14ac:dyDescent="0.2">
      <c r="C12" s="196" t="s">
        <v>21</v>
      </c>
      <c r="D12" s="273">
        <v>2014</v>
      </c>
    </row>
    <row r="13" spans="2:8" x14ac:dyDescent="0.2">
      <c r="D13" s="196"/>
      <c r="E13" s="274"/>
    </row>
    <row r="14" spans="2:8" ht="15.75" x14ac:dyDescent="0.25">
      <c r="B14" s="2002" t="s">
        <v>218</v>
      </c>
      <c r="C14" s="2002"/>
      <c r="D14" s="2002"/>
      <c r="E14" s="2002"/>
      <c r="F14" s="2002"/>
      <c r="G14" s="2002"/>
    </row>
    <row r="15" spans="2:8" ht="13.5" thickBot="1" x14ac:dyDescent="0.25"/>
    <row r="16" spans="2:8" ht="13.5" customHeight="1" x14ac:dyDescent="0.2">
      <c r="B16" s="2003" t="s">
        <v>157</v>
      </c>
      <c r="C16" s="2004"/>
      <c r="D16" s="2016" t="s">
        <v>160</v>
      </c>
      <c r="E16" s="2016" t="s">
        <v>551</v>
      </c>
      <c r="F16" s="2008" t="s">
        <v>161</v>
      </c>
      <c r="G16" s="2019" t="s">
        <v>162</v>
      </c>
      <c r="H16" s="1521" t="s">
        <v>1460</v>
      </c>
    </row>
    <row r="17" spans="2:8" ht="17.25" customHeight="1" x14ac:dyDescent="0.2">
      <c r="B17" s="2021" t="s">
        <v>158</v>
      </c>
      <c r="C17" s="2023" t="s">
        <v>159</v>
      </c>
      <c r="D17" s="2017"/>
      <c r="E17" s="2017"/>
      <c r="F17" s="2009"/>
      <c r="G17" s="2020"/>
      <c r="H17" s="1522"/>
    </row>
    <row r="18" spans="2:8" ht="13.5" thickBot="1" x14ac:dyDescent="0.25">
      <c r="B18" s="2022"/>
      <c r="C18" s="2024"/>
      <c r="D18" s="2018"/>
      <c r="E18" s="2018"/>
      <c r="F18" s="275" t="s">
        <v>152</v>
      </c>
      <c r="G18" s="1520" t="s">
        <v>152</v>
      </c>
      <c r="H18" s="1523"/>
    </row>
    <row r="19" spans="2:8" s="1502" customFormat="1" ht="38.25" x14ac:dyDescent="0.2">
      <c r="B19" s="1513" t="s">
        <v>1654</v>
      </c>
      <c r="C19" s="1513" t="s">
        <v>1655</v>
      </c>
      <c r="D19" s="1513" t="s">
        <v>1656</v>
      </c>
      <c r="E19" s="1513" t="s">
        <v>1657</v>
      </c>
      <c r="F19" s="1513">
        <v>89478.97</v>
      </c>
      <c r="G19" s="1514">
        <v>74791.81</v>
      </c>
      <c r="H19" s="1517" t="s">
        <v>1658</v>
      </c>
    </row>
    <row r="20" spans="2:8" s="1502" customFormat="1" ht="38.25" x14ac:dyDescent="0.2">
      <c r="B20" s="1513" t="s">
        <v>1654</v>
      </c>
      <c r="C20" s="1513" t="s">
        <v>1655</v>
      </c>
      <c r="D20" s="1513" t="s">
        <v>1659</v>
      </c>
      <c r="E20" s="1513" t="s">
        <v>1657</v>
      </c>
      <c r="F20" s="1513">
        <v>2229.83</v>
      </c>
      <c r="G20" s="1514">
        <v>1880.76</v>
      </c>
      <c r="H20" s="1518" t="s">
        <v>1658</v>
      </c>
    </row>
    <row r="21" spans="2:8" s="1502" customFormat="1" ht="38.25" x14ac:dyDescent="0.2">
      <c r="B21" s="1513" t="s">
        <v>1654</v>
      </c>
      <c r="C21" s="1513" t="s">
        <v>1655</v>
      </c>
      <c r="D21" s="1513" t="s">
        <v>1660</v>
      </c>
      <c r="E21" s="1513" t="s">
        <v>1657</v>
      </c>
      <c r="F21" s="1513">
        <v>2993.78</v>
      </c>
      <c r="G21" s="1514">
        <v>2496.64</v>
      </c>
      <c r="H21" s="1518" t="s">
        <v>1658</v>
      </c>
    </row>
    <row r="22" spans="2:8" s="1502" customFormat="1" ht="25.5" x14ac:dyDescent="0.2">
      <c r="B22" s="1513" t="s">
        <v>1654</v>
      </c>
      <c r="C22" s="1513" t="s">
        <v>1655</v>
      </c>
      <c r="D22" s="1513" t="s">
        <v>1661</v>
      </c>
      <c r="E22" s="1513" t="s">
        <v>1657</v>
      </c>
      <c r="F22" s="1513">
        <v>37441.89</v>
      </c>
      <c r="G22" s="1514">
        <v>34038.080000000002</v>
      </c>
      <c r="H22" s="1518" t="s">
        <v>1662</v>
      </c>
    </row>
    <row r="23" spans="2:8" s="1502" customFormat="1" ht="25.5" x14ac:dyDescent="0.2">
      <c r="B23" s="1513" t="s">
        <v>1654</v>
      </c>
      <c r="C23" s="1513" t="s">
        <v>1655</v>
      </c>
      <c r="D23" s="1513" t="s">
        <v>1663</v>
      </c>
      <c r="E23" s="1513" t="s">
        <v>1657</v>
      </c>
      <c r="F23" s="1513">
        <v>6129.81</v>
      </c>
      <c r="G23" s="1514">
        <v>5572.55</v>
      </c>
      <c r="H23" s="1518" t="s">
        <v>1664</v>
      </c>
    </row>
    <row r="24" spans="2:8" s="1502" customFormat="1" ht="25.5" x14ac:dyDescent="0.2">
      <c r="B24" s="1513" t="s">
        <v>1654</v>
      </c>
      <c r="C24" s="1513" t="s">
        <v>1655</v>
      </c>
      <c r="D24" s="1513" t="s">
        <v>1665</v>
      </c>
      <c r="E24" s="1513" t="s">
        <v>1657</v>
      </c>
      <c r="F24" s="1513">
        <v>8400</v>
      </c>
      <c r="G24" s="1514">
        <v>8400</v>
      </c>
      <c r="H24" s="1518" t="s">
        <v>1666</v>
      </c>
    </row>
    <row r="25" spans="2:8" x14ac:dyDescent="0.2">
      <c r="B25" s="247"/>
      <c r="C25" s="224"/>
      <c r="D25" s="224"/>
      <c r="E25" s="224"/>
      <c r="F25" s="224"/>
      <c r="G25" s="1515"/>
      <c r="H25" s="1519"/>
    </row>
    <row r="26" spans="2:8" ht="13.5" thickBot="1" x14ac:dyDescent="0.25">
      <c r="B26" s="276"/>
      <c r="C26" s="277"/>
      <c r="D26" s="277"/>
      <c r="E26" s="277"/>
      <c r="F26" s="277"/>
      <c r="G26" s="1516"/>
      <c r="H26" s="1524"/>
    </row>
    <row r="28" spans="2:8" ht="15.75" x14ac:dyDescent="0.25">
      <c r="B28" s="2002" t="s">
        <v>217</v>
      </c>
      <c r="C28" s="2002"/>
      <c r="D28" s="2002"/>
      <c r="E28" s="2002"/>
      <c r="F28" s="2002"/>
      <c r="G28" s="2002"/>
    </row>
    <row r="29" spans="2:8" ht="13.5" thickBot="1" x14ac:dyDescent="0.25"/>
    <row r="30" spans="2:8" ht="13.5" customHeight="1" x14ac:dyDescent="0.2">
      <c r="B30" s="2003" t="s">
        <v>157</v>
      </c>
      <c r="C30" s="2004"/>
      <c r="D30" s="2005" t="s">
        <v>160</v>
      </c>
      <c r="E30" s="2005" t="s">
        <v>551</v>
      </c>
      <c r="F30" s="2008" t="s">
        <v>216</v>
      </c>
      <c r="G30" s="2010" t="s">
        <v>219</v>
      </c>
    </row>
    <row r="31" spans="2:8" ht="17.25" customHeight="1" x14ac:dyDescent="0.2">
      <c r="B31" s="2012" t="s">
        <v>158</v>
      </c>
      <c r="C31" s="2014" t="s">
        <v>159</v>
      </c>
      <c r="D31" s="2006"/>
      <c r="E31" s="2006"/>
      <c r="F31" s="2009"/>
      <c r="G31" s="2011"/>
    </row>
    <row r="32" spans="2:8" x14ac:dyDescent="0.2">
      <c r="B32" s="2013"/>
      <c r="C32" s="2015"/>
      <c r="D32" s="2007"/>
      <c r="E32" s="2007"/>
      <c r="F32" s="275" t="s">
        <v>153</v>
      </c>
      <c r="G32" s="278" t="s">
        <v>152</v>
      </c>
    </row>
    <row r="33" spans="2:8" x14ac:dyDescent="0.2">
      <c r="B33" s="279" t="s">
        <v>220</v>
      </c>
      <c r="C33" s="280" t="s">
        <v>221</v>
      </c>
      <c r="D33" s="224"/>
      <c r="E33" s="224"/>
      <c r="F33" s="224"/>
      <c r="G33" s="225"/>
    </row>
    <row r="34" spans="2:8" x14ac:dyDescent="0.2">
      <c r="B34" s="247"/>
      <c r="C34" s="224"/>
      <c r="D34" s="224"/>
      <c r="E34" s="224"/>
      <c r="F34" s="224"/>
      <c r="G34" s="225"/>
    </row>
    <row r="35" spans="2:8" x14ac:dyDescent="0.2">
      <c r="B35" s="247"/>
      <c r="C35" s="224"/>
      <c r="D35" s="224"/>
      <c r="E35" s="224"/>
      <c r="F35" s="224"/>
      <c r="G35" s="225"/>
    </row>
    <row r="36" spans="2:8" x14ac:dyDescent="0.2">
      <c r="B36" s="247"/>
      <c r="C36" s="224"/>
      <c r="D36" s="224"/>
      <c r="E36" s="224"/>
      <c r="F36" s="224"/>
      <c r="G36" s="225"/>
    </row>
    <row r="37" spans="2:8" x14ac:dyDescent="0.2">
      <c r="B37" s="247"/>
      <c r="C37" s="224"/>
      <c r="D37" s="224"/>
      <c r="E37" s="224"/>
      <c r="F37" s="224"/>
      <c r="G37" s="225"/>
    </row>
    <row r="38" spans="2:8" x14ac:dyDescent="0.2">
      <c r="B38" s="247"/>
      <c r="C38" s="224"/>
      <c r="D38" s="224"/>
      <c r="E38" s="224"/>
      <c r="F38" s="224"/>
      <c r="G38" s="225"/>
    </row>
    <row r="39" spans="2:8" x14ac:dyDescent="0.2">
      <c r="B39" s="247"/>
      <c r="C39" s="224"/>
      <c r="D39" s="224"/>
      <c r="E39" s="224"/>
      <c r="F39" s="224"/>
      <c r="G39" s="225"/>
    </row>
    <row r="40" spans="2:8" ht="13.5" thickBot="1" x14ac:dyDescent="0.25">
      <c r="B40" s="276"/>
      <c r="C40" s="277"/>
      <c r="D40" s="277"/>
      <c r="E40" s="277"/>
      <c r="F40" s="277"/>
      <c r="G40" s="281"/>
    </row>
    <row r="42" spans="2:8" ht="18" customHeight="1" x14ac:dyDescent="0.2">
      <c r="B42" s="636" t="s">
        <v>88</v>
      </c>
      <c r="C42" s="283"/>
      <c r="D42" s="283"/>
      <c r="E42" s="283"/>
      <c r="F42" s="283"/>
      <c r="G42" s="283"/>
      <c r="H42" s="283"/>
    </row>
    <row r="43" spans="2:8" x14ac:dyDescent="0.2">
      <c r="B43" s="282">
        <v>1</v>
      </c>
      <c r="C43" s="2027" t="s">
        <v>568</v>
      </c>
      <c r="D43" s="2027"/>
      <c r="E43" s="2027"/>
      <c r="F43" s="2027"/>
      <c r="G43" s="2027"/>
      <c r="H43" s="458"/>
    </row>
    <row r="44" spans="2:8" x14ac:dyDescent="0.2">
      <c r="B44" s="458"/>
      <c r="C44" s="2027"/>
      <c r="D44" s="2027"/>
      <c r="E44" s="2027"/>
      <c r="F44" s="2027"/>
      <c r="G44" s="2027"/>
      <c r="H44" s="458"/>
    </row>
    <row r="46" spans="2:8" x14ac:dyDescent="0.2">
      <c r="B46" s="284" t="s">
        <v>565</v>
      </c>
    </row>
    <row r="47" spans="2:8" ht="27" customHeight="1" x14ac:dyDescent="0.2">
      <c r="B47" s="2025" t="s">
        <v>552</v>
      </c>
      <c r="C47" s="2026"/>
      <c r="D47" s="2026"/>
      <c r="E47" s="2026"/>
      <c r="F47" s="2026"/>
      <c r="G47" s="2026"/>
    </row>
    <row r="48" spans="2:8" ht="15" x14ac:dyDescent="0.2">
      <c r="B48" s="285"/>
    </row>
    <row r="49" spans="2:8" x14ac:dyDescent="0.2">
      <c r="B49" s="284" t="s">
        <v>566</v>
      </c>
    </row>
    <row r="50" spans="2:8" ht="51.75" customHeight="1" x14ac:dyDescent="0.2">
      <c r="B50" s="2025" t="s">
        <v>553</v>
      </c>
      <c r="C50" s="2026"/>
      <c r="D50" s="2026"/>
      <c r="E50" s="2026"/>
      <c r="F50" s="2026"/>
      <c r="G50" s="2026"/>
    </row>
    <row r="51" spans="2:8" ht="15" x14ac:dyDescent="0.2">
      <c r="B51" s="285"/>
    </row>
    <row r="52" spans="2:8" x14ac:dyDescent="0.2">
      <c r="B52" s="284" t="s">
        <v>567</v>
      </c>
    </row>
    <row r="53" spans="2:8" ht="38.25" customHeight="1" x14ac:dyDescent="0.2">
      <c r="B53" s="2025" t="s">
        <v>554</v>
      </c>
      <c r="C53" s="2026"/>
      <c r="D53" s="2026"/>
      <c r="E53" s="2026"/>
      <c r="F53" s="2026"/>
      <c r="G53" s="2026"/>
    </row>
    <row r="54" spans="2:8" ht="15" x14ac:dyDescent="0.2">
      <c r="B54" s="63"/>
    </row>
    <row r="55" spans="2:8" x14ac:dyDescent="0.2">
      <c r="C55" s="196" t="s">
        <v>21</v>
      </c>
      <c r="D55" s="273">
        <v>2015</v>
      </c>
    </row>
    <row r="56" spans="2:8" x14ac:dyDescent="0.2">
      <c r="D56" s="196"/>
      <c r="E56" s="274"/>
    </row>
    <row r="57" spans="2:8" ht="15.75" x14ac:dyDescent="0.25">
      <c r="B57" s="2002" t="s">
        <v>218</v>
      </c>
      <c r="C57" s="2002"/>
      <c r="D57" s="2002"/>
      <c r="E57" s="2002"/>
      <c r="F57" s="2002"/>
      <c r="G57" s="2002"/>
    </row>
    <row r="58" spans="2:8" ht="13.5" thickBot="1" x14ac:dyDescent="0.25"/>
    <row r="59" spans="2:8" ht="13.5" customHeight="1" x14ac:dyDescent="0.2">
      <c r="B59" s="2003" t="s">
        <v>157</v>
      </c>
      <c r="C59" s="2004"/>
      <c r="D59" s="2016" t="s">
        <v>160</v>
      </c>
      <c r="E59" s="2016" t="s">
        <v>551</v>
      </c>
      <c r="F59" s="2008" t="s">
        <v>161</v>
      </c>
      <c r="G59" s="2019" t="s">
        <v>162</v>
      </c>
      <c r="H59" s="1521" t="s">
        <v>1460</v>
      </c>
    </row>
    <row r="60" spans="2:8" ht="17.25" customHeight="1" x14ac:dyDescent="0.2">
      <c r="B60" s="2021" t="s">
        <v>158</v>
      </c>
      <c r="C60" s="2023" t="s">
        <v>159</v>
      </c>
      <c r="D60" s="2017"/>
      <c r="E60" s="2017"/>
      <c r="F60" s="2009"/>
      <c r="G60" s="2020"/>
      <c r="H60" s="1522"/>
    </row>
    <row r="61" spans="2:8" x14ac:dyDescent="0.2">
      <c r="B61" s="2022"/>
      <c r="C61" s="2024"/>
      <c r="D61" s="2018"/>
      <c r="E61" s="2018"/>
      <c r="F61" s="275" t="s">
        <v>152</v>
      </c>
      <c r="G61" s="1520" t="s">
        <v>152</v>
      </c>
      <c r="H61" s="1523"/>
    </row>
    <row r="62" spans="2:8" s="1527" customFormat="1" ht="38.25" x14ac:dyDescent="0.2">
      <c r="B62" s="1513" t="s">
        <v>1654</v>
      </c>
      <c r="C62" s="1513" t="s">
        <v>1655</v>
      </c>
      <c r="D62" s="1513" t="s">
        <v>1656</v>
      </c>
      <c r="E62" s="1513" t="s">
        <v>1657</v>
      </c>
      <c r="F62" s="1513">
        <v>78748.12</v>
      </c>
      <c r="G62" s="1513">
        <v>65755.399999999994</v>
      </c>
      <c r="H62" s="1513" t="s">
        <v>1658</v>
      </c>
    </row>
    <row r="63" spans="2:8" s="1527" customFormat="1" ht="38.25" x14ac:dyDescent="0.2">
      <c r="B63" s="1513" t="s">
        <v>1654</v>
      </c>
      <c r="C63" s="1513" t="s">
        <v>1655</v>
      </c>
      <c r="D63" s="1513" t="s">
        <v>1659</v>
      </c>
      <c r="E63" s="1513" t="s">
        <v>1657</v>
      </c>
      <c r="F63" s="1513">
        <v>385.97</v>
      </c>
      <c r="G63" s="1513">
        <v>321.64</v>
      </c>
      <c r="H63" s="1513" t="s">
        <v>1658</v>
      </c>
    </row>
    <row r="64" spans="2:8" s="1527" customFormat="1" ht="38.25" x14ac:dyDescent="0.2">
      <c r="B64" s="1513" t="s">
        <v>1654</v>
      </c>
      <c r="C64" s="1513" t="s">
        <v>1655</v>
      </c>
      <c r="D64" s="1513" t="s">
        <v>1667</v>
      </c>
      <c r="E64" s="1513" t="s">
        <v>1657</v>
      </c>
      <c r="F64" s="1513">
        <v>813.71</v>
      </c>
      <c r="G64" s="1513">
        <v>679.75</v>
      </c>
      <c r="H64" s="1513" t="s">
        <v>1658</v>
      </c>
    </row>
    <row r="65" spans="2:8" s="1527" customFormat="1" ht="25.5" x14ac:dyDescent="0.2">
      <c r="B65" s="1513" t="s">
        <v>1654</v>
      </c>
      <c r="C65" s="1513" t="s">
        <v>1655</v>
      </c>
      <c r="D65" s="1513" t="s">
        <v>1661</v>
      </c>
      <c r="E65" s="1513" t="s">
        <v>1657</v>
      </c>
      <c r="F65" s="1513">
        <v>38403.769999999997</v>
      </c>
      <c r="G65" s="1513">
        <v>34912.519999999997</v>
      </c>
      <c r="H65" s="1513" t="s">
        <v>1662</v>
      </c>
    </row>
    <row r="66" spans="2:8" s="1527" customFormat="1" ht="38.25" x14ac:dyDescent="0.2">
      <c r="B66" s="1513" t="s">
        <v>1654</v>
      </c>
      <c r="C66" s="1513" t="s">
        <v>1655</v>
      </c>
      <c r="D66" s="1513" t="s">
        <v>1668</v>
      </c>
      <c r="E66" s="1513" t="s">
        <v>1657</v>
      </c>
      <c r="F66" s="1513">
        <v>28716.66</v>
      </c>
      <c r="G66" s="1513">
        <v>24190.3</v>
      </c>
      <c r="H66" s="1513" t="s">
        <v>1658</v>
      </c>
    </row>
    <row r="67" spans="2:8" s="1527" customFormat="1" ht="38.25" x14ac:dyDescent="0.2">
      <c r="B67" s="1513" t="s">
        <v>1654</v>
      </c>
      <c r="C67" s="1513" t="s">
        <v>1655</v>
      </c>
      <c r="D67" s="1513" t="s">
        <v>1669</v>
      </c>
      <c r="E67" s="1513" t="s">
        <v>1657</v>
      </c>
      <c r="F67" s="1513">
        <v>7462.07</v>
      </c>
      <c r="G67" s="1513">
        <v>6783.7</v>
      </c>
      <c r="H67" s="1513" t="s">
        <v>1670</v>
      </c>
    </row>
    <row r="68" spans="2:8" ht="25.5" x14ac:dyDescent="0.2">
      <c r="B68" s="1513" t="s">
        <v>1654</v>
      </c>
      <c r="C68" s="1513" t="s">
        <v>1655</v>
      </c>
      <c r="D68" s="1513" t="s">
        <v>1665</v>
      </c>
      <c r="E68" s="1513" t="s">
        <v>1657</v>
      </c>
      <c r="F68" s="1513">
        <v>8400</v>
      </c>
      <c r="G68" s="1513">
        <v>8400</v>
      </c>
      <c r="H68" s="1513" t="s">
        <v>1666</v>
      </c>
    </row>
    <row r="69" spans="2:8" ht="13.5" thickBot="1" x14ac:dyDescent="0.25">
      <c r="B69" s="276"/>
      <c r="C69" s="277"/>
      <c r="D69" s="277"/>
      <c r="E69" s="277"/>
      <c r="F69" s="277"/>
      <c r="G69" s="1516"/>
      <c r="H69" s="1524"/>
    </row>
    <row r="71" spans="2:8" ht="15.75" x14ac:dyDescent="0.25">
      <c r="B71" s="2002" t="s">
        <v>217</v>
      </c>
      <c r="C71" s="2002"/>
      <c r="D71" s="2002"/>
      <c r="E71" s="2002"/>
      <c r="F71" s="2002"/>
      <c r="G71" s="2002"/>
    </row>
    <row r="72" spans="2:8" ht="13.5" thickBot="1" x14ac:dyDescent="0.25"/>
    <row r="73" spans="2:8" ht="13.5" customHeight="1" x14ac:dyDescent="0.2">
      <c r="B73" s="2003" t="s">
        <v>157</v>
      </c>
      <c r="C73" s="2004"/>
      <c r="D73" s="2005" t="s">
        <v>160</v>
      </c>
      <c r="E73" s="2005" t="s">
        <v>551</v>
      </c>
      <c r="F73" s="2008" t="s">
        <v>216</v>
      </c>
      <c r="G73" s="2010" t="s">
        <v>219</v>
      </c>
    </row>
    <row r="74" spans="2:8" ht="17.25" customHeight="1" x14ac:dyDescent="0.2">
      <c r="B74" s="2012" t="s">
        <v>158</v>
      </c>
      <c r="C74" s="2014" t="s">
        <v>159</v>
      </c>
      <c r="D74" s="2006"/>
      <c r="E74" s="2006"/>
      <c r="F74" s="2009"/>
      <c r="G74" s="2011"/>
    </row>
    <row r="75" spans="2:8" x14ac:dyDescent="0.2">
      <c r="B75" s="2013"/>
      <c r="C75" s="2015"/>
      <c r="D75" s="2007"/>
      <c r="E75" s="2007"/>
      <c r="F75" s="275" t="s">
        <v>153</v>
      </c>
      <c r="G75" s="278" t="s">
        <v>152</v>
      </c>
    </row>
    <row r="76" spans="2:8" x14ac:dyDescent="0.2">
      <c r="B76" s="279" t="s">
        <v>220</v>
      </c>
      <c r="C76" s="280" t="s">
        <v>221</v>
      </c>
      <c r="D76" s="224"/>
      <c r="E76" s="224"/>
      <c r="F76" s="224"/>
      <c r="G76" s="225"/>
    </row>
    <row r="77" spans="2:8" x14ac:dyDescent="0.2">
      <c r="B77" s="247"/>
      <c r="C77" s="224"/>
      <c r="D77" s="224"/>
      <c r="E77" s="224"/>
      <c r="F77" s="224"/>
      <c r="G77" s="225"/>
    </row>
    <row r="78" spans="2:8" x14ac:dyDescent="0.2">
      <c r="B78" s="247"/>
      <c r="C78" s="224"/>
      <c r="D78" s="224"/>
      <c r="E78" s="224"/>
      <c r="F78" s="224"/>
      <c r="G78" s="225"/>
    </row>
    <row r="79" spans="2:8" x14ac:dyDescent="0.2">
      <c r="B79" s="247"/>
      <c r="C79" s="224"/>
      <c r="D79" s="224"/>
      <c r="E79" s="224"/>
      <c r="F79" s="224"/>
      <c r="G79" s="225"/>
    </row>
    <row r="80" spans="2:8" x14ac:dyDescent="0.2">
      <c r="B80" s="247"/>
      <c r="C80" s="224"/>
      <c r="D80" s="224"/>
      <c r="E80" s="224"/>
      <c r="F80" s="224"/>
      <c r="G80" s="225"/>
    </row>
    <row r="81" spans="2:8" x14ac:dyDescent="0.2">
      <c r="B81" s="247"/>
      <c r="C81" s="224"/>
      <c r="D81" s="224"/>
      <c r="E81" s="224"/>
      <c r="F81" s="224"/>
      <c r="G81" s="225"/>
    </row>
    <row r="82" spans="2:8" x14ac:dyDescent="0.2">
      <c r="B82" s="247"/>
      <c r="C82" s="224"/>
      <c r="D82" s="224"/>
      <c r="E82" s="224"/>
      <c r="F82" s="224"/>
      <c r="G82" s="225"/>
    </row>
    <row r="83" spans="2:8" ht="13.5" thickBot="1" x14ac:dyDescent="0.25">
      <c r="B83" s="276"/>
      <c r="C83" s="277"/>
      <c r="D83" s="277"/>
      <c r="E83" s="277"/>
      <c r="F83" s="277"/>
      <c r="G83" s="281"/>
    </row>
    <row r="87" spans="2:8" ht="13.5" customHeight="1" x14ac:dyDescent="0.2">
      <c r="C87" s="196" t="s">
        <v>21</v>
      </c>
      <c r="D87" s="273">
        <v>2016</v>
      </c>
    </row>
    <row r="88" spans="2:8" x14ac:dyDescent="0.2">
      <c r="D88" s="196"/>
      <c r="E88" s="274"/>
    </row>
    <row r="89" spans="2:8" ht="15.75" x14ac:dyDescent="0.25">
      <c r="B89" s="2002" t="s">
        <v>218</v>
      </c>
      <c r="C89" s="2002"/>
      <c r="D89" s="2002"/>
      <c r="E89" s="2002"/>
      <c r="F89" s="2002"/>
      <c r="G89" s="2002"/>
    </row>
    <row r="90" spans="2:8" ht="13.5" thickBot="1" x14ac:dyDescent="0.25"/>
    <row r="91" spans="2:8" ht="13.5" customHeight="1" x14ac:dyDescent="0.2">
      <c r="B91" s="2003" t="s">
        <v>157</v>
      </c>
      <c r="C91" s="2004"/>
      <c r="D91" s="2016" t="s">
        <v>160</v>
      </c>
      <c r="E91" s="2016" t="s">
        <v>551</v>
      </c>
      <c r="F91" s="2008" t="s">
        <v>161</v>
      </c>
      <c r="G91" s="2019" t="s">
        <v>162</v>
      </c>
      <c r="H91" s="1521" t="s">
        <v>1460</v>
      </c>
    </row>
    <row r="92" spans="2:8" ht="17.25" customHeight="1" x14ac:dyDescent="0.2">
      <c r="B92" s="2021" t="s">
        <v>158</v>
      </c>
      <c r="C92" s="2023" t="s">
        <v>159</v>
      </c>
      <c r="D92" s="2017"/>
      <c r="E92" s="2017"/>
      <c r="F92" s="2009"/>
      <c r="G92" s="2020"/>
      <c r="H92" s="1522"/>
    </row>
    <row r="93" spans="2:8" x14ac:dyDescent="0.2">
      <c r="B93" s="2022"/>
      <c r="C93" s="2024"/>
      <c r="D93" s="2018"/>
      <c r="E93" s="2018"/>
      <c r="F93" s="275" t="s">
        <v>152</v>
      </c>
      <c r="G93" s="1520" t="s">
        <v>152</v>
      </c>
      <c r="H93" s="1523"/>
    </row>
    <row r="94" spans="2:8" s="1527" customFormat="1" ht="38.25" x14ac:dyDescent="0.2">
      <c r="B94" s="1513" t="s">
        <v>1654</v>
      </c>
      <c r="C94" s="1513" t="s">
        <v>1655</v>
      </c>
      <c r="D94" s="1513" t="s">
        <v>1656</v>
      </c>
      <c r="E94" s="1513" t="s">
        <v>1657</v>
      </c>
      <c r="F94" s="1513">
        <v>82471.070000000007</v>
      </c>
      <c r="G94" s="1513">
        <v>69251.08</v>
      </c>
      <c r="H94" s="1513" t="s">
        <v>1658</v>
      </c>
    </row>
    <row r="95" spans="2:8" s="1527" customFormat="1" ht="38.25" x14ac:dyDescent="0.2">
      <c r="B95" s="1513" t="s">
        <v>1654</v>
      </c>
      <c r="C95" s="1513" t="s">
        <v>1655</v>
      </c>
      <c r="D95" s="1513" t="s">
        <v>1659</v>
      </c>
      <c r="E95" s="1513" t="s">
        <v>1657</v>
      </c>
      <c r="F95" s="1513">
        <v>921.18</v>
      </c>
      <c r="G95" s="1513">
        <v>767.61</v>
      </c>
      <c r="H95" s="1513" t="s">
        <v>1658</v>
      </c>
    </row>
    <row r="96" spans="2:8" s="1527" customFormat="1" ht="38.25" x14ac:dyDescent="0.2">
      <c r="B96" s="1513" t="s">
        <v>1654</v>
      </c>
      <c r="C96" s="1513" t="s">
        <v>1655</v>
      </c>
      <c r="D96" s="1513" t="s">
        <v>1667</v>
      </c>
      <c r="E96" s="1513" t="s">
        <v>1657</v>
      </c>
      <c r="F96" s="1513">
        <v>753.98</v>
      </c>
      <c r="G96" s="1513">
        <v>628.30999999999995</v>
      </c>
      <c r="H96" s="1513" t="s">
        <v>1658</v>
      </c>
    </row>
    <row r="97" spans="2:8" s="1527" customFormat="1" ht="25.5" x14ac:dyDescent="0.2">
      <c r="B97" s="1513" t="s">
        <v>1654</v>
      </c>
      <c r="C97" s="1513" t="s">
        <v>1655</v>
      </c>
      <c r="D97" s="1513" t="s">
        <v>1661</v>
      </c>
      <c r="E97" s="1513" t="s">
        <v>1657</v>
      </c>
      <c r="F97" s="1513">
        <v>41844.14</v>
      </c>
      <c r="G97" s="1513">
        <v>38040.129999999997</v>
      </c>
      <c r="H97" s="1513" t="s">
        <v>1662</v>
      </c>
    </row>
    <row r="98" spans="2:8" s="1527" customFormat="1" ht="38.25" x14ac:dyDescent="0.2">
      <c r="B98" s="1513" t="s">
        <v>1654</v>
      </c>
      <c r="C98" s="1513" t="s">
        <v>1655</v>
      </c>
      <c r="D98" s="1513" t="s">
        <v>1671</v>
      </c>
      <c r="E98" s="1513" t="s">
        <v>1657</v>
      </c>
      <c r="F98" s="1513">
        <v>14013</v>
      </c>
      <c r="G98" s="1513">
        <v>12573.76</v>
      </c>
      <c r="H98" s="1513" t="s">
        <v>1658</v>
      </c>
    </row>
    <row r="99" spans="2:8" s="1527" customFormat="1" ht="38.25" x14ac:dyDescent="0.2">
      <c r="B99" s="1513" t="s">
        <v>1654</v>
      </c>
      <c r="C99" s="1513" t="s">
        <v>1655</v>
      </c>
      <c r="D99" s="1513" t="s">
        <v>1669</v>
      </c>
      <c r="E99" s="1513" t="s">
        <v>1657</v>
      </c>
      <c r="F99" s="1513">
        <v>7595.49</v>
      </c>
      <c r="G99" s="1513">
        <v>6904.99</v>
      </c>
      <c r="H99" s="1513" t="s">
        <v>1670</v>
      </c>
    </row>
    <row r="100" spans="2:8" ht="25.5" x14ac:dyDescent="0.2">
      <c r="B100" s="1513" t="s">
        <v>1654</v>
      </c>
      <c r="C100" s="1513" t="s">
        <v>1655</v>
      </c>
      <c r="D100" s="1513" t="s">
        <v>1665</v>
      </c>
      <c r="E100" s="1513" t="s">
        <v>1657</v>
      </c>
      <c r="F100" s="1513">
        <v>8400</v>
      </c>
      <c r="G100" s="1513">
        <v>8400</v>
      </c>
      <c r="H100" s="1513" t="s">
        <v>1666</v>
      </c>
    </row>
    <row r="101" spans="2:8" ht="13.5" thickBot="1" x14ac:dyDescent="0.25">
      <c r="B101" s="276"/>
      <c r="C101" s="277"/>
      <c r="D101" s="277"/>
      <c r="E101" s="277"/>
      <c r="F101" s="277"/>
      <c r="G101" s="1516"/>
      <c r="H101" s="1524"/>
    </row>
    <row r="103" spans="2:8" ht="15.75" x14ac:dyDescent="0.25">
      <c r="B103" s="2002" t="s">
        <v>217</v>
      </c>
      <c r="C103" s="2002"/>
      <c r="D103" s="2002"/>
      <c r="E103" s="2002"/>
      <c r="F103" s="2002"/>
      <c r="G103" s="2002"/>
    </row>
    <row r="104" spans="2:8" ht="13.5" thickBot="1" x14ac:dyDescent="0.25"/>
    <row r="105" spans="2:8" ht="13.5" customHeight="1" x14ac:dyDescent="0.2">
      <c r="B105" s="2003" t="s">
        <v>157</v>
      </c>
      <c r="C105" s="2004"/>
      <c r="D105" s="2005" t="s">
        <v>160</v>
      </c>
      <c r="E105" s="2005" t="s">
        <v>551</v>
      </c>
      <c r="F105" s="2008" t="s">
        <v>216</v>
      </c>
      <c r="G105" s="2010" t="s">
        <v>219</v>
      </c>
    </row>
    <row r="106" spans="2:8" ht="17.25" customHeight="1" x14ac:dyDescent="0.2">
      <c r="B106" s="2012" t="s">
        <v>158</v>
      </c>
      <c r="C106" s="2014" t="s">
        <v>159</v>
      </c>
      <c r="D106" s="2006"/>
      <c r="E106" s="2006"/>
      <c r="F106" s="2009"/>
      <c r="G106" s="2011"/>
    </row>
    <row r="107" spans="2:8" x14ac:dyDescent="0.2">
      <c r="B107" s="2013"/>
      <c r="C107" s="2015"/>
      <c r="D107" s="2007"/>
      <c r="E107" s="2007"/>
      <c r="F107" s="275" t="s">
        <v>153</v>
      </c>
      <c r="G107" s="278" t="s">
        <v>152</v>
      </c>
    </row>
    <row r="108" spans="2:8" x14ac:dyDescent="0.2">
      <c r="B108" s="279" t="s">
        <v>220</v>
      </c>
      <c r="C108" s="280" t="s">
        <v>221</v>
      </c>
      <c r="D108" s="224"/>
      <c r="E108" s="224"/>
      <c r="F108" s="224"/>
      <c r="G108" s="225"/>
    </row>
    <row r="109" spans="2:8" x14ac:dyDescent="0.2">
      <c r="B109" s="247"/>
      <c r="C109" s="224"/>
      <c r="D109" s="224"/>
      <c r="E109" s="224"/>
      <c r="F109" s="224"/>
      <c r="G109" s="225"/>
    </row>
    <row r="110" spans="2:8" x14ac:dyDescent="0.2">
      <c r="B110" s="247"/>
      <c r="C110" s="224"/>
      <c r="D110" s="224"/>
      <c r="E110" s="224"/>
      <c r="F110" s="224"/>
      <c r="G110" s="225"/>
    </row>
    <row r="111" spans="2:8" x14ac:dyDescent="0.2">
      <c r="B111" s="247"/>
      <c r="C111" s="224"/>
      <c r="D111" s="224"/>
      <c r="E111" s="224"/>
      <c r="F111" s="224"/>
      <c r="G111" s="225"/>
    </row>
    <row r="112" spans="2:8" x14ac:dyDescent="0.2">
      <c r="B112" s="247"/>
      <c r="C112" s="224"/>
      <c r="D112" s="224"/>
      <c r="E112" s="224"/>
      <c r="F112" s="224"/>
      <c r="G112" s="225"/>
    </row>
    <row r="113" spans="2:8" x14ac:dyDescent="0.2">
      <c r="B113" s="247"/>
      <c r="C113" s="224"/>
      <c r="D113" s="224"/>
      <c r="E113" s="224"/>
      <c r="F113" s="224"/>
      <c r="G113" s="225"/>
    </row>
    <row r="114" spans="2:8" x14ac:dyDescent="0.2">
      <c r="B114" s="247"/>
      <c r="C114" s="224"/>
      <c r="D114" s="224"/>
      <c r="E114" s="224"/>
      <c r="F114" s="224"/>
      <c r="G114" s="225"/>
    </row>
    <row r="115" spans="2:8" ht="13.5" thickBot="1" x14ac:dyDescent="0.25">
      <c r="B115" s="276"/>
      <c r="C115" s="277"/>
      <c r="D115" s="277"/>
      <c r="E115" s="277"/>
      <c r="F115" s="277"/>
      <c r="G115" s="281"/>
    </row>
    <row r="119" spans="2:8" ht="13.5" customHeight="1" x14ac:dyDescent="0.2">
      <c r="C119" s="196" t="s">
        <v>21</v>
      </c>
      <c r="D119" s="273">
        <v>2017</v>
      </c>
    </row>
    <row r="120" spans="2:8" x14ac:dyDescent="0.2">
      <c r="D120" s="196"/>
      <c r="E120" s="274"/>
    </row>
    <row r="121" spans="2:8" ht="15.75" x14ac:dyDescent="0.25">
      <c r="B121" s="2002" t="s">
        <v>218</v>
      </c>
      <c r="C121" s="2002"/>
      <c r="D121" s="2002"/>
      <c r="E121" s="2002"/>
      <c r="F121" s="2002"/>
      <c r="G121" s="2002"/>
    </row>
    <row r="122" spans="2:8" ht="13.5" thickBot="1" x14ac:dyDescent="0.25"/>
    <row r="123" spans="2:8" ht="13.5" customHeight="1" x14ac:dyDescent="0.2">
      <c r="B123" s="2003" t="s">
        <v>157</v>
      </c>
      <c r="C123" s="2004"/>
      <c r="D123" s="2016" t="s">
        <v>160</v>
      </c>
      <c r="E123" s="2016" t="s">
        <v>551</v>
      </c>
      <c r="F123" s="2008" t="s">
        <v>161</v>
      </c>
      <c r="G123" s="2019" t="s">
        <v>162</v>
      </c>
      <c r="H123" s="1521" t="s">
        <v>1460</v>
      </c>
    </row>
    <row r="124" spans="2:8" ht="17.25" customHeight="1" x14ac:dyDescent="0.2">
      <c r="B124" s="2021" t="s">
        <v>158</v>
      </c>
      <c r="C124" s="2023" t="s">
        <v>159</v>
      </c>
      <c r="D124" s="2017"/>
      <c r="E124" s="2017"/>
      <c r="F124" s="2009"/>
      <c r="G124" s="2020"/>
      <c r="H124" s="1522"/>
    </row>
    <row r="125" spans="2:8" x14ac:dyDescent="0.2">
      <c r="B125" s="2022"/>
      <c r="C125" s="2024"/>
      <c r="D125" s="2018"/>
      <c r="E125" s="2018"/>
      <c r="F125" s="275" t="s">
        <v>152</v>
      </c>
      <c r="G125" s="1520" t="s">
        <v>152</v>
      </c>
      <c r="H125" s="1523"/>
    </row>
    <row r="126" spans="2:8" s="1527" customFormat="1" ht="38.25" x14ac:dyDescent="0.2">
      <c r="B126" s="1513" t="s">
        <v>1654</v>
      </c>
      <c r="C126" s="1513" t="s">
        <v>1655</v>
      </c>
      <c r="D126" s="1513" t="s">
        <v>1656</v>
      </c>
      <c r="E126" s="1513" t="s">
        <v>1657</v>
      </c>
      <c r="F126" s="1513">
        <v>81313.67</v>
      </c>
      <c r="G126" s="1513">
        <v>68029.88</v>
      </c>
      <c r="H126" s="1513" t="s">
        <v>1672</v>
      </c>
    </row>
    <row r="127" spans="2:8" s="1527" customFormat="1" ht="38.25" x14ac:dyDescent="0.2">
      <c r="B127" s="1513" t="s">
        <v>1654</v>
      </c>
      <c r="C127" s="1513" t="s">
        <v>1655</v>
      </c>
      <c r="D127" s="1513" t="s">
        <v>1659</v>
      </c>
      <c r="E127" s="1513" t="s">
        <v>1657</v>
      </c>
      <c r="F127" s="1513">
        <v>147.13999999999999</v>
      </c>
      <c r="G127" s="1513">
        <v>122.61</v>
      </c>
      <c r="H127" s="1513" t="s">
        <v>1658</v>
      </c>
    </row>
    <row r="128" spans="2:8" s="1527" customFormat="1" ht="38.25" x14ac:dyDescent="0.2">
      <c r="B128" s="1513" t="s">
        <v>1654</v>
      </c>
      <c r="C128" s="1513" t="s">
        <v>1655</v>
      </c>
      <c r="D128" s="1513" t="s">
        <v>1673</v>
      </c>
      <c r="E128" s="1513" t="s">
        <v>1657</v>
      </c>
      <c r="F128" s="1513">
        <v>7358.83</v>
      </c>
      <c r="G128" s="1513">
        <v>6132.68</v>
      </c>
      <c r="H128" s="1513" t="s">
        <v>1658</v>
      </c>
    </row>
    <row r="129" spans="2:8" s="1527" customFormat="1" ht="25.5" x14ac:dyDescent="0.2">
      <c r="B129" s="1513" t="s">
        <v>1654</v>
      </c>
      <c r="C129" s="1513" t="s">
        <v>1655</v>
      </c>
      <c r="D129" s="1513" t="s">
        <v>1661</v>
      </c>
      <c r="E129" s="1513" t="s">
        <v>1657</v>
      </c>
      <c r="F129" s="1513">
        <v>43059.47</v>
      </c>
      <c r="G129" s="1513">
        <v>39144.97</v>
      </c>
      <c r="H129" s="1513" t="s">
        <v>1662</v>
      </c>
    </row>
    <row r="130" spans="2:8" s="1527" customFormat="1" ht="38.25" x14ac:dyDescent="0.2">
      <c r="B130" s="1513" t="s">
        <v>1654</v>
      </c>
      <c r="C130" s="1513" t="s">
        <v>1655</v>
      </c>
      <c r="D130" s="1513" t="s">
        <v>1674</v>
      </c>
      <c r="E130" s="1513" t="s">
        <v>1657</v>
      </c>
      <c r="F130" s="1513">
        <v>17435.2</v>
      </c>
      <c r="G130" s="1513">
        <v>15850.19</v>
      </c>
      <c r="H130" s="1513" t="s">
        <v>1658</v>
      </c>
    </row>
    <row r="131" spans="2:8" s="1527" customFormat="1" ht="38.25" x14ac:dyDescent="0.2">
      <c r="B131" s="1513" t="s">
        <v>1654</v>
      </c>
      <c r="C131" s="1513" t="s">
        <v>1655</v>
      </c>
      <c r="D131" s="1513" t="s">
        <v>1669</v>
      </c>
      <c r="E131" s="1513" t="s">
        <v>1657</v>
      </c>
      <c r="F131" s="1513">
        <v>4815.75</v>
      </c>
      <c r="G131" s="1513">
        <v>4377.95</v>
      </c>
      <c r="H131" s="1513" t="s">
        <v>1675</v>
      </c>
    </row>
    <row r="132" spans="2:8" ht="25.5" x14ac:dyDescent="0.2">
      <c r="B132" s="1513" t="s">
        <v>1654</v>
      </c>
      <c r="C132" s="1513" t="s">
        <v>1655</v>
      </c>
      <c r="D132" s="1513" t="s">
        <v>1665</v>
      </c>
      <c r="E132" s="1513" t="s">
        <v>1657</v>
      </c>
      <c r="F132" s="1513">
        <v>8400</v>
      </c>
      <c r="G132" s="1513">
        <v>8400</v>
      </c>
      <c r="H132" s="1513" t="s">
        <v>1666</v>
      </c>
    </row>
    <row r="133" spans="2:8" ht="13.5" thickBot="1" x14ac:dyDescent="0.25">
      <c r="B133" s="276"/>
      <c r="C133" s="277"/>
      <c r="D133" s="277"/>
      <c r="E133" s="277"/>
      <c r="F133" s="277"/>
      <c r="G133" s="1516"/>
      <c r="H133" s="1524"/>
    </row>
    <row r="135" spans="2:8" ht="15.75" x14ac:dyDescent="0.25">
      <c r="B135" s="2002" t="s">
        <v>217</v>
      </c>
      <c r="C135" s="2002"/>
      <c r="D135" s="2002"/>
      <c r="E135" s="2002"/>
      <c r="F135" s="2002"/>
      <c r="G135" s="2002"/>
    </row>
    <row r="136" spans="2:8" ht="13.5" thickBot="1" x14ac:dyDescent="0.25"/>
    <row r="137" spans="2:8" ht="13.5" customHeight="1" x14ac:dyDescent="0.2">
      <c r="B137" s="2003" t="s">
        <v>157</v>
      </c>
      <c r="C137" s="2004"/>
      <c r="D137" s="2005" t="s">
        <v>160</v>
      </c>
      <c r="E137" s="2005" t="s">
        <v>551</v>
      </c>
      <c r="F137" s="2008" t="s">
        <v>216</v>
      </c>
      <c r="G137" s="2010" t="s">
        <v>219</v>
      </c>
    </row>
    <row r="138" spans="2:8" ht="17.25" customHeight="1" x14ac:dyDescent="0.2">
      <c r="B138" s="2012" t="s">
        <v>158</v>
      </c>
      <c r="C138" s="2014" t="s">
        <v>159</v>
      </c>
      <c r="D138" s="2006"/>
      <c r="E138" s="2006"/>
      <c r="F138" s="2009"/>
      <c r="G138" s="2011"/>
    </row>
    <row r="139" spans="2:8" x14ac:dyDescent="0.2">
      <c r="B139" s="2013"/>
      <c r="C139" s="2015"/>
      <c r="D139" s="2007"/>
      <c r="E139" s="2007"/>
      <c r="F139" s="275" t="s">
        <v>153</v>
      </c>
      <c r="G139" s="278" t="s">
        <v>152</v>
      </c>
    </row>
    <row r="140" spans="2:8" x14ac:dyDescent="0.2">
      <c r="B140" s="279" t="s">
        <v>220</v>
      </c>
      <c r="C140" s="280" t="s">
        <v>221</v>
      </c>
      <c r="D140" s="224"/>
      <c r="E140" s="224"/>
      <c r="F140" s="224"/>
      <c r="G140" s="225"/>
    </row>
    <row r="141" spans="2:8" x14ac:dyDescent="0.2">
      <c r="B141" s="247"/>
      <c r="C141" s="224"/>
      <c r="D141" s="224"/>
      <c r="E141" s="224"/>
      <c r="F141" s="224"/>
      <c r="G141" s="225"/>
    </row>
    <row r="142" spans="2:8" x14ac:dyDescent="0.2">
      <c r="B142" s="247"/>
      <c r="C142" s="224"/>
      <c r="D142" s="224"/>
      <c r="E142" s="224"/>
      <c r="F142" s="224"/>
      <c r="G142" s="225"/>
    </row>
    <row r="143" spans="2:8" x14ac:dyDescent="0.2">
      <c r="B143" s="247"/>
      <c r="C143" s="224"/>
      <c r="D143" s="224"/>
      <c r="E143" s="224"/>
      <c r="F143" s="224"/>
      <c r="G143" s="225"/>
    </row>
    <row r="144" spans="2:8" x14ac:dyDescent="0.2">
      <c r="B144" s="247"/>
      <c r="C144" s="224"/>
      <c r="D144" s="224"/>
      <c r="E144" s="224"/>
      <c r="F144" s="224"/>
      <c r="G144" s="225"/>
    </row>
    <row r="145" spans="2:8" x14ac:dyDescent="0.2">
      <c r="B145" s="247"/>
      <c r="C145" s="224"/>
      <c r="D145" s="224"/>
      <c r="E145" s="224"/>
      <c r="F145" s="224"/>
      <c r="G145" s="225"/>
    </row>
    <row r="146" spans="2:8" x14ac:dyDescent="0.2">
      <c r="B146" s="247"/>
      <c r="C146" s="224"/>
      <c r="D146" s="224"/>
      <c r="E146" s="224"/>
      <c r="F146" s="224"/>
      <c r="G146" s="225"/>
    </row>
    <row r="147" spans="2:8" ht="13.5" thickBot="1" x14ac:dyDescent="0.25">
      <c r="B147" s="276"/>
      <c r="C147" s="277"/>
      <c r="D147" s="277"/>
      <c r="E147" s="277"/>
      <c r="F147" s="277"/>
      <c r="G147" s="281"/>
    </row>
    <row r="151" spans="2:8" ht="13.5" customHeight="1" x14ac:dyDescent="0.2">
      <c r="C151" s="196" t="s">
        <v>21</v>
      </c>
      <c r="D151" s="273">
        <v>2018</v>
      </c>
    </row>
    <row r="152" spans="2:8" x14ac:dyDescent="0.2">
      <c r="D152" s="196"/>
      <c r="E152" s="274"/>
    </row>
    <row r="153" spans="2:8" ht="15.75" x14ac:dyDescent="0.25">
      <c r="B153" s="2002" t="s">
        <v>218</v>
      </c>
      <c r="C153" s="2002"/>
      <c r="D153" s="2002"/>
      <c r="E153" s="2002"/>
      <c r="F153" s="2002"/>
      <c r="G153" s="2002"/>
    </row>
    <row r="154" spans="2:8" ht="13.5" thickBot="1" x14ac:dyDescent="0.25"/>
    <row r="155" spans="2:8" ht="13.5" customHeight="1" x14ac:dyDescent="0.2">
      <c r="B155" s="2003" t="s">
        <v>157</v>
      </c>
      <c r="C155" s="2004"/>
      <c r="D155" s="2016" t="s">
        <v>160</v>
      </c>
      <c r="E155" s="2016" t="s">
        <v>551</v>
      </c>
      <c r="F155" s="2008" t="s">
        <v>161</v>
      </c>
      <c r="G155" s="2019" t="s">
        <v>162</v>
      </c>
      <c r="H155" s="1521" t="s">
        <v>1460</v>
      </c>
    </row>
    <row r="156" spans="2:8" ht="17.25" customHeight="1" x14ac:dyDescent="0.2">
      <c r="B156" s="2021" t="s">
        <v>158</v>
      </c>
      <c r="C156" s="2023" t="s">
        <v>159</v>
      </c>
      <c r="D156" s="2017"/>
      <c r="E156" s="2017"/>
      <c r="F156" s="2009"/>
      <c r="G156" s="2020"/>
      <c r="H156" s="1522"/>
    </row>
    <row r="157" spans="2:8" x14ac:dyDescent="0.2">
      <c r="B157" s="2022"/>
      <c r="C157" s="2024"/>
      <c r="D157" s="2018"/>
      <c r="E157" s="2018"/>
      <c r="F157" s="275" t="s">
        <v>152</v>
      </c>
      <c r="G157" s="1520" t="s">
        <v>152</v>
      </c>
      <c r="H157" s="1523"/>
    </row>
    <row r="158" spans="2:8" s="1527" customFormat="1" ht="38.25" x14ac:dyDescent="0.2">
      <c r="B158" s="1513" t="s">
        <v>1654</v>
      </c>
      <c r="C158" s="1513" t="s">
        <v>1655</v>
      </c>
      <c r="D158" s="1513" t="s">
        <v>1656</v>
      </c>
      <c r="E158" s="1513" t="s">
        <v>1657</v>
      </c>
      <c r="F158" s="1513">
        <v>82716.976747142122</v>
      </c>
      <c r="G158" s="1513">
        <v>69200.813955951773</v>
      </c>
      <c r="H158" s="1513" t="s">
        <v>1672</v>
      </c>
    </row>
    <row r="159" spans="2:8" s="1527" customFormat="1" ht="38.25" x14ac:dyDescent="0.2">
      <c r="B159" s="1513" t="s">
        <v>1654</v>
      </c>
      <c r="C159" s="1513" t="s">
        <v>1655</v>
      </c>
      <c r="D159" s="1513" t="s">
        <v>1659</v>
      </c>
      <c r="E159" s="1513" t="s">
        <v>1657</v>
      </c>
      <c r="F159" s="1513">
        <v>0</v>
      </c>
      <c r="G159" s="1513">
        <v>0</v>
      </c>
      <c r="H159" s="1513" t="s">
        <v>1658</v>
      </c>
    </row>
    <row r="160" spans="2:8" s="1527" customFormat="1" ht="38.25" x14ac:dyDescent="0.2">
      <c r="B160" s="1513" t="s">
        <v>1654</v>
      </c>
      <c r="C160" s="1513" t="s">
        <v>1655</v>
      </c>
      <c r="D160" s="1513" t="s">
        <v>1673</v>
      </c>
      <c r="E160" s="1513" t="s">
        <v>1657</v>
      </c>
      <c r="F160" s="1513">
        <v>3501.1969340504934</v>
      </c>
      <c r="G160" s="1513">
        <v>2917.6641117087447</v>
      </c>
      <c r="H160" s="1513" t="s">
        <v>1658</v>
      </c>
    </row>
    <row r="161" spans="2:8" s="1527" customFormat="1" ht="25.5" x14ac:dyDescent="0.2">
      <c r="B161" s="1513" t="s">
        <v>1654</v>
      </c>
      <c r="C161" s="1513" t="s">
        <v>1655</v>
      </c>
      <c r="D161" s="1513" t="s">
        <v>1661</v>
      </c>
      <c r="E161" s="1513" t="s">
        <v>1657</v>
      </c>
      <c r="F161" s="1513">
        <v>43593.923999999999</v>
      </c>
      <c r="G161" s="1513">
        <v>39630.839999999997</v>
      </c>
      <c r="H161" s="1513" t="s">
        <v>1662</v>
      </c>
    </row>
    <row r="162" spans="2:8" s="1527" customFormat="1" ht="38.25" x14ac:dyDescent="0.2">
      <c r="B162" s="1513" t="s">
        <v>1654</v>
      </c>
      <c r="C162" s="1513" t="s">
        <v>1655</v>
      </c>
      <c r="D162" s="1513" t="s">
        <v>1674</v>
      </c>
      <c r="E162" s="1513" t="s">
        <v>1657</v>
      </c>
      <c r="F162" s="1513">
        <v>12078.000000000002</v>
      </c>
      <c r="G162" s="1513">
        <v>10980</v>
      </c>
      <c r="H162" s="1513" t="s">
        <v>1658</v>
      </c>
    </row>
    <row r="163" spans="2:8" s="1527" customFormat="1" ht="38.25" x14ac:dyDescent="0.2">
      <c r="B163" s="1513" t="s">
        <v>1654</v>
      </c>
      <c r="C163" s="1513" t="s">
        <v>1655</v>
      </c>
      <c r="D163" s="1513" t="s">
        <v>1669</v>
      </c>
      <c r="E163" s="1513" t="s">
        <v>1657</v>
      </c>
      <c r="F163" s="1513">
        <v>6516.625500000001</v>
      </c>
      <c r="G163" s="1513">
        <v>5924.2050000000008</v>
      </c>
      <c r="H163" s="1513" t="s">
        <v>1675</v>
      </c>
    </row>
    <row r="164" spans="2:8" ht="25.5" x14ac:dyDescent="0.2">
      <c r="B164" s="1513" t="s">
        <v>1654</v>
      </c>
      <c r="C164" s="1513" t="s">
        <v>1655</v>
      </c>
      <c r="D164" s="1513" t="s">
        <v>1665</v>
      </c>
      <c r="E164" s="1513" t="s">
        <v>1657</v>
      </c>
      <c r="F164" s="1513">
        <v>8400</v>
      </c>
      <c r="G164" s="1513">
        <v>8400</v>
      </c>
      <c r="H164" s="1513" t="s">
        <v>1666</v>
      </c>
    </row>
    <row r="165" spans="2:8" ht="13.5" thickBot="1" x14ac:dyDescent="0.25">
      <c r="B165" s="276"/>
      <c r="C165" s="277"/>
      <c r="D165" s="277"/>
      <c r="E165" s="277"/>
      <c r="F165" s="277"/>
      <c r="G165" s="1516"/>
      <c r="H165" s="1524"/>
    </row>
    <row r="167" spans="2:8" ht="15.75" x14ac:dyDescent="0.25">
      <c r="B167" s="2002" t="s">
        <v>217</v>
      </c>
      <c r="C167" s="2002"/>
      <c r="D167" s="2002"/>
      <c r="E167" s="2002"/>
      <c r="F167" s="2002"/>
      <c r="G167" s="2002"/>
    </row>
    <row r="168" spans="2:8" ht="13.5" thickBot="1" x14ac:dyDescent="0.25"/>
    <row r="169" spans="2:8" ht="13.5" customHeight="1" x14ac:dyDescent="0.2">
      <c r="B169" s="2003" t="s">
        <v>157</v>
      </c>
      <c r="C169" s="2004"/>
      <c r="D169" s="2005" t="s">
        <v>160</v>
      </c>
      <c r="E169" s="2005" t="s">
        <v>551</v>
      </c>
      <c r="F169" s="2008" t="s">
        <v>216</v>
      </c>
      <c r="G169" s="2010" t="s">
        <v>219</v>
      </c>
    </row>
    <row r="170" spans="2:8" ht="17.25" customHeight="1" x14ac:dyDescent="0.2">
      <c r="B170" s="2012" t="s">
        <v>158</v>
      </c>
      <c r="C170" s="2014" t="s">
        <v>159</v>
      </c>
      <c r="D170" s="2006"/>
      <c r="E170" s="2006"/>
      <c r="F170" s="2009"/>
      <c r="G170" s="2011"/>
    </row>
    <row r="171" spans="2:8" x14ac:dyDescent="0.2">
      <c r="B171" s="2013"/>
      <c r="C171" s="2015"/>
      <c r="D171" s="2007"/>
      <c r="E171" s="2007"/>
      <c r="F171" s="275" t="s">
        <v>153</v>
      </c>
      <c r="G171" s="278" t="s">
        <v>152</v>
      </c>
    </row>
    <row r="172" spans="2:8" x14ac:dyDescent="0.2">
      <c r="B172" s="279" t="s">
        <v>220</v>
      </c>
      <c r="C172" s="280" t="s">
        <v>221</v>
      </c>
      <c r="D172" s="224"/>
      <c r="E172" s="224"/>
      <c r="F172" s="224"/>
      <c r="G172" s="225"/>
    </row>
    <row r="173" spans="2:8" x14ac:dyDescent="0.2">
      <c r="B173" s="247"/>
      <c r="C173" s="224"/>
      <c r="D173" s="224"/>
      <c r="E173" s="224"/>
      <c r="F173" s="224"/>
      <c r="G173" s="225"/>
    </row>
    <row r="174" spans="2:8" x14ac:dyDescent="0.2">
      <c r="B174" s="247"/>
      <c r="C174" s="224"/>
      <c r="D174" s="224"/>
      <c r="E174" s="224"/>
      <c r="F174" s="224"/>
      <c r="G174" s="225"/>
    </row>
    <row r="175" spans="2:8" x14ac:dyDescent="0.2">
      <c r="B175" s="247"/>
      <c r="C175" s="224"/>
      <c r="D175" s="224"/>
      <c r="E175" s="224"/>
      <c r="F175" s="224"/>
      <c r="G175" s="225"/>
    </row>
    <row r="176" spans="2:8" x14ac:dyDescent="0.2">
      <c r="B176" s="247"/>
      <c r="C176" s="224"/>
      <c r="D176" s="224"/>
      <c r="E176" s="224"/>
      <c r="F176" s="224"/>
      <c r="G176" s="225"/>
    </row>
    <row r="177" spans="2:8" x14ac:dyDescent="0.2">
      <c r="B177" s="247"/>
      <c r="C177" s="224"/>
      <c r="D177" s="224"/>
      <c r="E177" s="224"/>
      <c r="F177" s="224"/>
      <c r="G177" s="225"/>
    </row>
    <row r="178" spans="2:8" x14ac:dyDescent="0.2">
      <c r="B178" s="247"/>
      <c r="C178" s="224"/>
      <c r="D178" s="224"/>
      <c r="E178" s="224"/>
      <c r="F178" s="224"/>
      <c r="G178" s="225"/>
    </row>
    <row r="179" spans="2:8" ht="13.5" thickBot="1" x14ac:dyDescent="0.25">
      <c r="B179" s="276"/>
      <c r="C179" s="277"/>
      <c r="D179" s="277"/>
      <c r="E179" s="277"/>
      <c r="F179" s="277"/>
      <c r="G179" s="281"/>
    </row>
    <row r="183" spans="2:8" ht="13.5" customHeight="1" x14ac:dyDescent="0.2">
      <c r="C183" s="196" t="s">
        <v>21</v>
      </c>
      <c r="D183" s="273">
        <v>2019</v>
      </c>
    </row>
    <row r="184" spans="2:8" x14ac:dyDescent="0.2">
      <c r="D184" s="196"/>
      <c r="E184" s="274"/>
    </row>
    <row r="185" spans="2:8" ht="15.75" x14ac:dyDescent="0.25">
      <c r="B185" s="2002" t="s">
        <v>218</v>
      </c>
      <c r="C185" s="2002"/>
      <c r="D185" s="2002"/>
      <c r="E185" s="2002"/>
      <c r="F185" s="2002"/>
      <c r="G185" s="2002"/>
    </row>
    <row r="186" spans="2:8" ht="13.5" thickBot="1" x14ac:dyDescent="0.25"/>
    <row r="187" spans="2:8" ht="13.5" customHeight="1" x14ac:dyDescent="0.2">
      <c r="B187" s="2003" t="s">
        <v>157</v>
      </c>
      <c r="C187" s="2004"/>
      <c r="D187" s="2016" t="s">
        <v>160</v>
      </c>
      <c r="E187" s="2016" t="s">
        <v>551</v>
      </c>
      <c r="F187" s="2008" t="s">
        <v>161</v>
      </c>
      <c r="G187" s="2019" t="s">
        <v>162</v>
      </c>
      <c r="H187" s="1521" t="s">
        <v>1460</v>
      </c>
    </row>
    <row r="188" spans="2:8" ht="17.25" customHeight="1" x14ac:dyDescent="0.2">
      <c r="B188" s="2021" t="s">
        <v>158</v>
      </c>
      <c r="C188" s="2023" t="s">
        <v>159</v>
      </c>
      <c r="D188" s="2017"/>
      <c r="E188" s="2017"/>
      <c r="F188" s="2009"/>
      <c r="G188" s="2020"/>
      <c r="H188" s="1522"/>
    </row>
    <row r="189" spans="2:8" x14ac:dyDescent="0.2">
      <c r="B189" s="2022"/>
      <c r="C189" s="2024"/>
      <c r="D189" s="2018"/>
      <c r="E189" s="2018"/>
      <c r="F189" s="275" t="s">
        <v>152</v>
      </c>
      <c r="G189" s="1520" t="s">
        <v>152</v>
      </c>
      <c r="H189" s="1523"/>
    </row>
    <row r="190" spans="2:8" s="1527" customFormat="1" ht="38.25" x14ac:dyDescent="0.2">
      <c r="B190" s="1513" t="s">
        <v>1654</v>
      </c>
      <c r="C190" s="1513" t="s">
        <v>1655</v>
      </c>
      <c r="D190" s="1513" t="s">
        <v>1656</v>
      </c>
      <c r="E190" s="1513" t="s">
        <v>1657</v>
      </c>
      <c r="F190" s="1513">
        <v>85676.132273862619</v>
      </c>
      <c r="G190" s="1513">
        <v>71666.776894885523</v>
      </c>
      <c r="H190" s="1513" t="s">
        <v>1672</v>
      </c>
    </row>
    <row r="191" spans="2:8" s="1527" customFormat="1" ht="38.25" x14ac:dyDescent="0.2">
      <c r="B191" s="1513" t="s">
        <v>1654</v>
      </c>
      <c r="C191" s="1513" t="s">
        <v>1655</v>
      </c>
      <c r="D191" s="1513" t="s">
        <v>1659</v>
      </c>
      <c r="E191" s="1513" t="s">
        <v>1657</v>
      </c>
      <c r="F191" s="1513">
        <v>0</v>
      </c>
      <c r="G191" s="1513">
        <v>0</v>
      </c>
      <c r="H191" s="1513" t="s">
        <v>1658</v>
      </c>
    </row>
    <row r="192" spans="2:8" s="1527" customFormat="1" ht="38.25" x14ac:dyDescent="0.2">
      <c r="B192" s="1513" t="s">
        <v>1654</v>
      </c>
      <c r="C192" s="1513" t="s">
        <v>1655</v>
      </c>
      <c r="D192" s="1513" t="s">
        <v>1673</v>
      </c>
      <c r="E192" s="1513" t="s">
        <v>1657</v>
      </c>
      <c r="F192" s="1513">
        <v>2103.0313620758425</v>
      </c>
      <c r="G192" s="1513">
        <v>1752.526135063202</v>
      </c>
      <c r="H192" s="1513" t="s">
        <v>1658</v>
      </c>
    </row>
    <row r="193" spans="2:8" s="1527" customFormat="1" ht="25.5" x14ac:dyDescent="0.2">
      <c r="B193" s="1513" t="s">
        <v>1654</v>
      </c>
      <c r="C193" s="1513" t="s">
        <v>1655</v>
      </c>
      <c r="D193" s="1513" t="s">
        <v>1661</v>
      </c>
      <c r="E193" s="1513" t="s">
        <v>1657</v>
      </c>
      <c r="F193" s="1513">
        <v>44117.039999999994</v>
      </c>
      <c r="G193" s="1513">
        <v>40106.399999999994</v>
      </c>
      <c r="H193" s="1513" t="s">
        <v>1662</v>
      </c>
    </row>
    <row r="194" spans="2:8" s="1527" customFormat="1" ht="38.25" x14ac:dyDescent="0.2">
      <c r="B194" s="1513" t="s">
        <v>1654</v>
      </c>
      <c r="C194" s="1513" t="s">
        <v>1655</v>
      </c>
      <c r="D194" s="1513" t="s">
        <v>1674</v>
      </c>
      <c r="E194" s="1513" t="s">
        <v>1657</v>
      </c>
      <c r="F194" s="1513">
        <v>12078.000000000002</v>
      </c>
      <c r="G194" s="1513">
        <v>10980</v>
      </c>
      <c r="H194" s="1513" t="s">
        <v>1658</v>
      </c>
    </row>
    <row r="195" spans="2:8" s="1527" customFormat="1" ht="38.25" x14ac:dyDescent="0.2">
      <c r="B195" s="1513" t="s">
        <v>1654</v>
      </c>
      <c r="C195" s="1513" t="s">
        <v>1655</v>
      </c>
      <c r="D195" s="1513" t="s">
        <v>1669</v>
      </c>
      <c r="E195" s="1513" t="s">
        <v>1657</v>
      </c>
      <c r="F195" s="1513">
        <v>6516.625500000001</v>
      </c>
      <c r="G195" s="1513">
        <v>5924.2050000000008</v>
      </c>
      <c r="H195" s="1513" t="s">
        <v>1675</v>
      </c>
    </row>
    <row r="196" spans="2:8" ht="25.5" x14ac:dyDescent="0.2">
      <c r="B196" s="1513" t="s">
        <v>1654</v>
      </c>
      <c r="C196" s="1513" t="s">
        <v>1655</v>
      </c>
      <c r="D196" s="1513" t="s">
        <v>1665</v>
      </c>
      <c r="E196" s="1513" t="s">
        <v>1657</v>
      </c>
      <c r="F196" s="1513">
        <v>8400</v>
      </c>
      <c r="G196" s="1513">
        <v>8400</v>
      </c>
      <c r="H196" s="1513" t="s">
        <v>1666</v>
      </c>
    </row>
    <row r="197" spans="2:8" ht="13.5" thickBot="1" x14ac:dyDescent="0.25">
      <c r="B197" s="276"/>
      <c r="C197" s="277"/>
      <c r="D197" s="277"/>
      <c r="E197" s="277"/>
      <c r="F197" s="277"/>
      <c r="G197" s="1516"/>
      <c r="H197" s="1524"/>
    </row>
    <row r="199" spans="2:8" ht="15.75" x14ac:dyDescent="0.25">
      <c r="B199" s="2002" t="s">
        <v>217</v>
      </c>
      <c r="C199" s="2002"/>
      <c r="D199" s="2002"/>
      <c r="E199" s="2002"/>
      <c r="F199" s="2002"/>
      <c r="G199" s="2002"/>
    </row>
    <row r="200" spans="2:8" ht="13.5" thickBot="1" x14ac:dyDescent="0.25"/>
    <row r="201" spans="2:8" ht="13.5" customHeight="1" x14ac:dyDescent="0.2">
      <c r="B201" s="2003" t="s">
        <v>157</v>
      </c>
      <c r="C201" s="2004"/>
      <c r="D201" s="2005" t="s">
        <v>160</v>
      </c>
      <c r="E201" s="2005" t="s">
        <v>551</v>
      </c>
      <c r="F201" s="2008" t="s">
        <v>216</v>
      </c>
      <c r="G201" s="2010" t="s">
        <v>219</v>
      </c>
    </row>
    <row r="202" spans="2:8" ht="17.25" customHeight="1" x14ac:dyDescent="0.2">
      <c r="B202" s="2012" t="s">
        <v>158</v>
      </c>
      <c r="C202" s="2014" t="s">
        <v>159</v>
      </c>
      <c r="D202" s="2006"/>
      <c r="E202" s="2006"/>
      <c r="F202" s="2009"/>
      <c r="G202" s="2011"/>
    </row>
    <row r="203" spans="2:8" x14ac:dyDescent="0.2">
      <c r="B203" s="2013"/>
      <c r="C203" s="2015"/>
      <c r="D203" s="2007"/>
      <c r="E203" s="2007"/>
      <c r="F203" s="275" t="s">
        <v>153</v>
      </c>
      <c r="G203" s="278" t="s">
        <v>152</v>
      </c>
    </row>
    <row r="204" spans="2:8" ht="38.25" x14ac:dyDescent="0.2">
      <c r="B204" s="1528" t="s">
        <v>1654</v>
      </c>
      <c r="C204" s="1528" t="s">
        <v>1655</v>
      </c>
      <c r="D204" s="1528" t="s">
        <v>1669</v>
      </c>
      <c r="E204" s="1528" t="s">
        <v>1657</v>
      </c>
      <c r="F204" s="1580">
        <v>3.5700000000000003E-2</v>
      </c>
      <c r="G204" s="1528">
        <v>0</v>
      </c>
    </row>
    <row r="205" spans="2:8" ht="25.5" x14ac:dyDescent="0.2">
      <c r="B205" s="1528" t="s">
        <v>1654</v>
      </c>
      <c r="C205" s="1528" t="s">
        <v>1655</v>
      </c>
      <c r="D205" s="1528" t="s">
        <v>1665</v>
      </c>
      <c r="E205" s="1528" t="s">
        <v>1657</v>
      </c>
      <c r="F205" s="1581">
        <v>0.28999999999999998</v>
      </c>
      <c r="G205" s="1528">
        <v>0</v>
      </c>
    </row>
    <row r="206" spans="2:8" x14ac:dyDescent="0.2">
      <c r="B206" s="279"/>
      <c r="C206" s="224"/>
      <c r="D206" s="224"/>
      <c r="E206" s="224"/>
      <c r="F206" s="224"/>
      <c r="G206" s="225"/>
    </row>
    <row r="207" spans="2:8" x14ac:dyDescent="0.2">
      <c r="B207" s="279"/>
      <c r="C207" s="224"/>
      <c r="D207" s="224"/>
      <c r="E207" s="224"/>
      <c r="F207" s="224"/>
      <c r="G207" s="225"/>
    </row>
    <row r="208" spans="2:8" x14ac:dyDescent="0.2">
      <c r="B208" s="279"/>
      <c r="C208" s="224"/>
      <c r="D208" s="224"/>
      <c r="E208" s="224"/>
      <c r="F208" s="224"/>
      <c r="G208" s="225"/>
    </row>
    <row r="209" spans="2:7" x14ac:dyDescent="0.2">
      <c r="B209" s="279"/>
      <c r="C209" s="224"/>
      <c r="D209" s="224"/>
      <c r="E209" s="224"/>
      <c r="F209" s="224"/>
      <c r="G209" s="225"/>
    </row>
    <row r="210" spans="2:7" x14ac:dyDescent="0.2">
      <c r="B210" s="279"/>
      <c r="C210" s="224"/>
      <c r="D210" s="224"/>
      <c r="E210" s="224"/>
      <c r="F210" s="224"/>
      <c r="G210" s="225"/>
    </row>
    <row r="211" spans="2:7" ht="13.5" thickBot="1" x14ac:dyDescent="0.25">
      <c r="B211" s="279"/>
      <c r="C211" s="277"/>
      <c r="D211" s="277"/>
      <c r="E211" s="277"/>
      <c r="F211" s="277"/>
      <c r="G211" s="281"/>
    </row>
  </sheetData>
  <mergeCells count="102">
    <mergeCell ref="B47:G47"/>
    <mergeCell ref="B50:G50"/>
    <mergeCell ref="B53:G53"/>
    <mergeCell ref="B14:G14"/>
    <mergeCell ref="B9:G9"/>
    <mergeCell ref="B10:G10"/>
    <mergeCell ref="C43:G44"/>
    <mergeCell ref="B17:B18"/>
    <mergeCell ref="C17:C18"/>
    <mergeCell ref="D16:D18"/>
    <mergeCell ref="E16:E18"/>
    <mergeCell ref="B16:C16"/>
    <mergeCell ref="F16:F17"/>
    <mergeCell ref="G16:G17"/>
    <mergeCell ref="B30:C30"/>
    <mergeCell ref="D30:D32"/>
    <mergeCell ref="B28:G28"/>
    <mergeCell ref="E30:E32"/>
    <mergeCell ref="G30:G31"/>
    <mergeCell ref="F30:F31"/>
    <mergeCell ref="B31:B32"/>
    <mergeCell ref="C31:C32"/>
    <mergeCell ref="B71:G71"/>
    <mergeCell ref="B73:C73"/>
    <mergeCell ref="D73:D75"/>
    <mergeCell ref="E73:E75"/>
    <mergeCell ref="F73:F74"/>
    <mergeCell ref="G73:G74"/>
    <mergeCell ref="B74:B75"/>
    <mergeCell ref="C74:C75"/>
    <mergeCell ref="B57:G57"/>
    <mergeCell ref="B59:C59"/>
    <mergeCell ref="D59:D61"/>
    <mergeCell ref="E59:E61"/>
    <mergeCell ref="F59:F60"/>
    <mergeCell ref="G59:G60"/>
    <mergeCell ref="B60:B61"/>
    <mergeCell ref="C60:C61"/>
    <mergeCell ref="B103:G103"/>
    <mergeCell ref="B105:C105"/>
    <mergeCell ref="D105:D107"/>
    <mergeCell ref="E105:E107"/>
    <mergeCell ref="F105:F106"/>
    <mergeCell ref="G105:G106"/>
    <mergeCell ref="B106:B107"/>
    <mergeCell ref="C106:C107"/>
    <mergeCell ref="B89:G89"/>
    <mergeCell ref="B91:C91"/>
    <mergeCell ref="D91:D93"/>
    <mergeCell ref="E91:E93"/>
    <mergeCell ref="F91:F92"/>
    <mergeCell ref="G91:G92"/>
    <mergeCell ref="B92:B93"/>
    <mergeCell ref="C92:C93"/>
    <mergeCell ref="B135:G135"/>
    <mergeCell ref="B137:C137"/>
    <mergeCell ref="D137:D139"/>
    <mergeCell ref="E137:E139"/>
    <mergeCell ref="F137:F138"/>
    <mergeCell ref="G137:G138"/>
    <mergeCell ref="B138:B139"/>
    <mergeCell ref="C138:C139"/>
    <mergeCell ref="B121:G121"/>
    <mergeCell ref="B123:C123"/>
    <mergeCell ref="D123:D125"/>
    <mergeCell ref="E123:E125"/>
    <mergeCell ref="F123:F124"/>
    <mergeCell ref="G123:G124"/>
    <mergeCell ref="B124:B125"/>
    <mergeCell ref="C124:C125"/>
    <mergeCell ref="B167:G167"/>
    <mergeCell ref="B169:C169"/>
    <mergeCell ref="D169:D171"/>
    <mergeCell ref="E169:E171"/>
    <mergeCell ref="F169:F170"/>
    <mergeCell ref="G169:G170"/>
    <mergeCell ref="B170:B171"/>
    <mergeCell ref="C170:C171"/>
    <mergeCell ref="B153:G153"/>
    <mergeCell ref="B155:C155"/>
    <mergeCell ref="D155:D157"/>
    <mergeCell ref="E155:E157"/>
    <mergeCell ref="F155:F156"/>
    <mergeCell ref="G155:G156"/>
    <mergeCell ref="B156:B157"/>
    <mergeCell ref="C156:C157"/>
    <mergeCell ref="B199:G199"/>
    <mergeCell ref="B201:C201"/>
    <mergeCell ref="D201:D203"/>
    <mergeCell ref="E201:E203"/>
    <mergeCell ref="F201:F202"/>
    <mergeCell ref="G201:G202"/>
    <mergeCell ref="B202:B203"/>
    <mergeCell ref="C202:C203"/>
    <mergeCell ref="B185:G185"/>
    <mergeCell ref="B187:C187"/>
    <mergeCell ref="D187:D189"/>
    <mergeCell ref="E187:E189"/>
    <mergeCell ref="F187:F188"/>
    <mergeCell ref="G187:G188"/>
    <mergeCell ref="B188:B189"/>
    <mergeCell ref="C188:C189"/>
  </mergeCells>
  <phoneticPr fontId="16" type="noConversion"/>
  <dataValidations count="1">
    <dataValidation allowBlank="1" showInputMessage="1" showErrorMessage="1" promptTitle="Date Format" prompt="E.g:  &quot;August 1, 2011&quot;" sqref="H7" xr:uid="{00000000-0002-0000-2800-000000000000}"/>
  </dataValidations>
  <pageMargins left="0.75" right="0.75" top="1" bottom="1" header="0.5" footer="0.5"/>
  <pageSetup scale="69" fitToHeight="0" orientation="landscape"/>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7">
    <tabColor theme="5" tint="0.39997558519241921"/>
    <pageSetUpPr autoPageBreaks="0" fitToPage="1"/>
  </sheetPr>
  <dimension ref="A1:P61"/>
  <sheetViews>
    <sheetView showGridLines="0" zoomScaleNormal="100" workbookViewId="0"/>
  </sheetViews>
  <sheetFormatPr defaultRowHeight="12.75" x14ac:dyDescent="0.2"/>
  <cols>
    <col min="1" max="1" width="6.42578125" style="34" customWidth="1"/>
    <col min="2" max="2" width="5.5703125" style="34" customWidth="1"/>
    <col min="3" max="3" width="16.5703125" style="34" customWidth="1"/>
    <col min="4" max="4" width="3" style="34" customWidth="1"/>
    <col min="5" max="5" width="11.28515625" style="34" customWidth="1"/>
    <col min="6" max="6" width="1.42578125" style="34" customWidth="1"/>
    <col min="7" max="7" width="3.42578125" style="34" customWidth="1"/>
    <col min="8" max="8" width="1.42578125" style="34" customWidth="1"/>
    <col min="9" max="9" width="13.7109375" style="34" customWidth="1"/>
    <col min="10" max="10" width="3.28515625" style="34" customWidth="1"/>
    <col min="11" max="11" width="12.7109375" style="34" customWidth="1"/>
    <col min="12" max="12" width="1.42578125" style="34" customWidth="1"/>
    <col min="13" max="13" width="3.5703125" style="34" customWidth="1"/>
    <col min="14" max="14" width="1.7109375" style="34" customWidth="1"/>
    <col min="15" max="15" width="14" style="34" customWidth="1"/>
    <col min="16" max="16" width="2.28515625" style="34" customWidth="1"/>
    <col min="17" max="255" width="9.28515625" style="34"/>
    <col min="256" max="256" width="2.7109375" style="34" customWidth="1"/>
    <col min="257" max="257" width="6.42578125" style="34" customWidth="1"/>
    <col min="258" max="258" width="3.7109375" style="34" customWidth="1"/>
    <col min="259" max="259" width="16.5703125" style="34" customWidth="1"/>
    <col min="260" max="260" width="3" style="34" customWidth="1"/>
    <col min="261" max="261" width="11.28515625" style="34" customWidth="1"/>
    <col min="262" max="262" width="1.42578125" style="34" customWidth="1"/>
    <col min="263" max="263" width="3.42578125" style="34" customWidth="1"/>
    <col min="264" max="264" width="1.42578125" style="34" customWidth="1"/>
    <col min="265" max="265" width="12.5703125" style="34" customWidth="1"/>
    <col min="266" max="266" width="3.28515625" style="34" customWidth="1"/>
    <col min="267" max="267" width="12.7109375" style="34" customWidth="1"/>
    <col min="268" max="268" width="1.42578125" style="34" customWidth="1"/>
    <col min="269" max="269" width="3.5703125" style="34" customWidth="1"/>
    <col min="270" max="270" width="1.7109375" style="34" customWidth="1"/>
    <col min="271" max="271" width="14" style="34" customWidth="1"/>
    <col min="272" max="272" width="2.28515625" style="34" customWidth="1"/>
    <col min="273" max="511" width="9.28515625" style="34"/>
    <col min="512" max="512" width="2.7109375" style="34" customWidth="1"/>
    <col min="513" max="513" width="6.42578125" style="34" customWidth="1"/>
    <col min="514" max="514" width="3.7109375" style="34" customWidth="1"/>
    <col min="515" max="515" width="16.5703125" style="34" customWidth="1"/>
    <col min="516" max="516" width="3" style="34" customWidth="1"/>
    <col min="517" max="517" width="11.28515625" style="34" customWidth="1"/>
    <col min="518" max="518" width="1.42578125" style="34" customWidth="1"/>
    <col min="519" max="519" width="3.42578125" style="34" customWidth="1"/>
    <col min="520" max="520" width="1.42578125" style="34" customWidth="1"/>
    <col min="521" max="521" width="12.5703125" style="34" customWidth="1"/>
    <col min="522" max="522" width="3.28515625" style="34" customWidth="1"/>
    <col min="523" max="523" width="12.7109375" style="34" customWidth="1"/>
    <col min="524" max="524" width="1.42578125" style="34" customWidth="1"/>
    <col min="525" max="525" width="3.5703125" style="34" customWidth="1"/>
    <col min="526" max="526" width="1.7109375" style="34" customWidth="1"/>
    <col min="527" max="527" width="14" style="34" customWidth="1"/>
    <col min="528" max="528" width="2.28515625" style="34" customWidth="1"/>
    <col min="529" max="767" width="9.28515625" style="34"/>
    <col min="768" max="768" width="2.7109375" style="34" customWidth="1"/>
    <col min="769" max="769" width="6.42578125" style="34" customWidth="1"/>
    <col min="770" max="770" width="3.7109375" style="34" customWidth="1"/>
    <col min="771" max="771" width="16.5703125" style="34" customWidth="1"/>
    <col min="772" max="772" width="3" style="34" customWidth="1"/>
    <col min="773" max="773" width="11.28515625" style="34" customWidth="1"/>
    <col min="774" max="774" width="1.42578125" style="34" customWidth="1"/>
    <col min="775" max="775" width="3.42578125" style="34" customWidth="1"/>
    <col min="776" max="776" width="1.42578125" style="34" customWidth="1"/>
    <col min="777" max="777" width="12.5703125" style="34" customWidth="1"/>
    <col min="778" max="778" width="3.28515625" style="34" customWidth="1"/>
    <col min="779" max="779" width="12.7109375" style="34" customWidth="1"/>
    <col min="780" max="780" width="1.42578125" style="34" customWidth="1"/>
    <col min="781" max="781" width="3.5703125" style="34" customWidth="1"/>
    <col min="782" max="782" width="1.7109375" style="34" customWidth="1"/>
    <col min="783" max="783" width="14" style="34" customWidth="1"/>
    <col min="784" max="784" width="2.28515625" style="34" customWidth="1"/>
    <col min="785" max="1023" width="9.28515625" style="34"/>
    <col min="1024" max="1024" width="2.7109375" style="34" customWidth="1"/>
    <col min="1025" max="1025" width="6.42578125" style="34" customWidth="1"/>
    <col min="1026" max="1026" width="3.7109375" style="34" customWidth="1"/>
    <col min="1027" max="1027" width="16.5703125" style="34" customWidth="1"/>
    <col min="1028" max="1028" width="3" style="34" customWidth="1"/>
    <col min="1029" max="1029" width="11.28515625" style="34" customWidth="1"/>
    <col min="1030" max="1030" width="1.42578125" style="34" customWidth="1"/>
    <col min="1031" max="1031" width="3.42578125" style="34" customWidth="1"/>
    <col min="1032" max="1032" width="1.42578125" style="34" customWidth="1"/>
    <col min="1033" max="1033" width="12.5703125" style="34" customWidth="1"/>
    <col min="1034" max="1034" width="3.28515625" style="34" customWidth="1"/>
    <col min="1035" max="1035" width="12.7109375" style="34" customWidth="1"/>
    <col min="1036" max="1036" width="1.42578125" style="34" customWidth="1"/>
    <col min="1037" max="1037" width="3.5703125" style="34" customWidth="1"/>
    <col min="1038" max="1038" width="1.7109375" style="34" customWidth="1"/>
    <col min="1039" max="1039" width="14" style="34" customWidth="1"/>
    <col min="1040" max="1040" width="2.28515625" style="34" customWidth="1"/>
    <col min="1041" max="1279" width="9.28515625" style="34"/>
    <col min="1280" max="1280" width="2.7109375" style="34" customWidth="1"/>
    <col min="1281" max="1281" width="6.42578125" style="34" customWidth="1"/>
    <col min="1282" max="1282" width="3.7109375" style="34" customWidth="1"/>
    <col min="1283" max="1283" width="16.5703125" style="34" customWidth="1"/>
    <col min="1284" max="1284" width="3" style="34" customWidth="1"/>
    <col min="1285" max="1285" width="11.28515625" style="34" customWidth="1"/>
    <col min="1286" max="1286" width="1.42578125" style="34" customWidth="1"/>
    <col min="1287" max="1287" width="3.42578125" style="34" customWidth="1"/>
    <col min="1288" max="1288" width="1.42578125" style="34" customWidth="1"/>
    <col min="1289" max="1289" width="12.5703125" style="34" customWidth="1"/>
    <col min="1290" max="1290" width="3.28515625" style="34" customWidth="1"/>
    <col min="1291" max="1291" width="12.7109375" style="34" customWidth="1"/>
    <col min="1292" max="1292" width="1.42578125" style="34" customWidth="1"/>
    <col min="1293" max="1293" width="3.5703125" style="34" customWidth="1"/>
    <col min="1294" max="1294" width="1.7109375" style="34" customWidth="1"/>
    <col min="1295" max="1295" width="14" style="34" customWidth="1"/>
    <col min="1296" max="1296" width="2.28515625" style="34" customWidth="1"/>
    <col min="1297" max="1535" width="9.28515625" style="34"/>
    <col min="1536" max="1536" width="2.7109375" style="34" customWidth="1"/>
    <col min="1537" max="1537" width="6.42578125" style="34" customWidth="1"/>
    <col min="1538" max="1538" width="3.7109375" style="34" customWidth="1"/>
    <col min="1539" max="1539" width="16.5703125" style="34" customWidth="1"/>
    <col min="1540" max="1540" width="3" style="34" customWidth="1"/>
    <col min="1541" max="1541" width="11.28515625" style="34" customWidth="1"/>
    <col min="1542" max="1542" width="1.42578125" style="34" customWidth="1"/>
    <col min="1543" max="1543" width="3.42578125" style="34" customWidth="1"/>
    <col min="1544" max="1544" width="1.42578125" style="34" customWidth="1"/>
    <col min="1545" max="1545" width="12.5703125" style="34" customWidth="1"/>
    <col min="1546" max="1546" width="3.28515625" style="34" customWidth="1"/>
    <col min="1547" max="1547" width="12.7109375" style="34" customWidth="1"/>
    <col min="1548" max="1548" width="1.42578125" style="34" customWidth="1"/>
    <col min="1549" max="1549" width="3.5703125" style="34" customWidth="1"/>
    <col min="1550" max="1550" width="1.7109375" style="34" customWidth="1"/>
    <col min="1551" max="1551" width="14" style="34" customWidth="1"/>
    <col min="1552" max="1552" width="2.28515625" style="34" customWidth="1"/>
    <col min="1553" max="1791" width="9.28515625" style="34"/>
    <col min="1792" max="1792" width="2.7109375" style="34" customWidth="1"/>
    <col min="1793" max="1793" width="6.42578125" style="34" customWidth="1"/>
    <col min="1794" max="1794" width="3.7109375" style="34" customWidth="1"/>
    <col min="1795" max="1795" width="16.5703125" style="34" customWidth="1"/>
    <col min="1796" max="1796" width="3" style="34" customWidth="1"/>
    <col min="1797" max="1797" width="11.28515625" style="34" customWidth="1"/>
    <col min="1798" max="1798" width="1.42578125" style="34" customWidth="1"/>
    <col min="1799" max="1799" width="3.42578125" style="34" customWidth="1"/>
    <col min="1800" max="1800" width="1.42578125" style="34" customWidth="1"/>
    <col min="1801" max="1801" width="12.5703125" style="34" customWidth="1"/>
    <col min="1802" max="1802" width="3.28515625" style="34" customWidth="1"/>
    <col min="1803" max="1803" width="12.7109375" style="34" customWidth="1"/>
    <col min="1804" max="1804" width="1.42578125" style="34" customWidth="1"/>
    <col min="1805" max="1805" width="3.5703125" style="34" customWidth="1"/>
    <col min="1806" max="1806" width="1.7109375" style="34" customWidth="1"/>
    <col min="1807" max="1807" width="14" style="34" customWidth="1"/>
    <col min="1808" max="1808" width="2.28515625" style="34" customWidth="1"/>
    <col min="1809" max="2047" width="9.28515625" style="34"/>
    <col min="2048" max="2048" width="2.7109375" style="34" customWidth="1"/>
    <col min="2049" max="2049" width="6.42578125" style="34" customWidth="1"/>
    <col min="2050" max="2050" width="3.7109375" style="34" customWidth="1"/>
    <col min="2051" max="2051" width="16.5703125" style="34" customWidth="1"/>
    <col min="2052" max="2052" width="3" style="34" customWidth="1"/>
    <col min="2053" max="2053" width="11.28515625" style="34" customWidth="1"/>
    <col min="2054" max="2054" width="1.42578125" style="34" customWidth="1"/>
    <col min="2055" max="2055" width="3.42578125" style="34" customWidth="1"/>
    <col min="2056" max="2056" width="1.42578125" style="34" customWidth="1"/>
    <col min="2057" max="2057" width="12.5703125" style="34" customWidth="1"/>
    <col min="2058" max="2058" width="3.28515625" style="34" customWidth="1"/>
    <col min="2059" max="2059" width="12.7109375" style="34" customWidth="1"/>
    <col min="2060" max="2060" width="1.42578125" style="34" customWidth="1"/>
    <col min="2061" max="2061" width="3.5703125" style="34" customWidth="1"/>
    <col min="2062" max="2062" width="1.7109375" style="34" customWidth="1"/>
    <col min="2063" max="2063" width="14" style="34" customWidth="1"/>
    <col min="2064" max="2064" width="2.28515625" style="34" customWidth="1"/>
    <col min="2065" max="2303" width="9.28515625" style="34"/>
    <col min="2304" max="2304" width="2.7109375" style="34" customWidth="1"/>
    <col min="2305" max="2305" width="6.42578125" style="34" customWidth="1"/>
    <col min="2306" max="2306" width="3.7109375" style="34" customWidth="1"/>
    <col min="2307" max="2307" width="16.5703125" style="34" customWidth="1"/>
    <col min="2308" max="2308" width="3" style="34" customWidth="1"/>
    <col min="2309" max="2309" width="11.28515625" style="34" customWidth="1"/>
    <col min="2310" max="2310" width="1.42578125" style="34" customWidth="1"/>
    <col min="2311" max="2311" width="3.42578125" style="34" customWidth="1"/>
    <col min="2312" max="2312" width="1.42578125" style="34" customWidth="1"/>
    <col min="2313" max="2313" width="12.5703125" style="34" customWidth="1"/>
    <col min="2314" max="2314" width="3.28515625" style="34" customWidth="1"/>
    <col min="2315" max="2315" width="12.7109375" style="34" customWidth="1"/>
    <col min="2316" max="2316" width="1.42578125" style="34" customWidth="1"/>
    <col min="2317" max="2317" width="3.5703125" style="34" customWidth="1"/>
    <col min="2318" max="2318" width="1.7109375" style="34" customWidth="1"/>
    <col min="2319" max="2319" width="14" style="34" customWidth="1"/>
    <col min="2320" max="2320" width="2.28515625" style="34" customWidth="1"/>
    <col min="2321" max="2559" width="9.28515625" style="34"/>
    <col min="2560" max="2560" width="2.7109375" style="34" customWidth="1"/>
    <col min="2561" max="2561" width="6.42578125" style="34" customWidth="1"/>
    <col min="2562" max="2562" width="3.7109375" style="34" customWidth="1"/>
    <col min="2563" max="2563" width="16.5703125" style="34" customWidth="1"/>
    <col min="2564" max="2564" width="3" style="34" customWidth="1"/>
    <col min="2565" max="2565" width="11.28515625" style="34" customWidth="1"/>
    <col min="2566" max="2566" width="1.42578125" style="34" customWidth="1"/>
    <col min="2567" max="2567" width="3.42578125" style="34" customWidth="1"/>
    <col min="2568" max="2568" width="1.42578125" style="34" customWidth="1"/>
    <col min="2569" max="2569" width="12.5703125" style="34" customWidth="1"/>
    <col min="2570" max="2570" width="3.28515625" style="34" customWidth="1"/>
    <col min="2571" max="2571" width="12.7109375" style="34" customWidth="1"/>
    <col min="2572" max="2572" width="1.42578125" style="34" customWidth="1"/>
    <col min="2573" max="2573" width="3.5703125" style="34" customWidth="1"/>
    <col min="2574" max="2574" width="1.7109375" style="34" customWidth="1"/>
    <col min="2575" max="2575" width="14" style="34" customWidth="1"/>
    <col min="2576" max="2576" width="2.28515625" style="34" customWidth="1"/>
    <col min="2577" max="2815" width="9.28515625" style="34"/>
    <col min="2816" max="2816" width="2.7109375" style="34" customWidth="1"/>
    <col min="2817" max="2817" width="6.42578125" style="34" customWidth="1"/>
    <col min="2818" max="2818" width="3.7109375" style="34" customWidth="1"/>
    <col min="2819" max="2819" width="16.5703125" style="34" customWidth="1"/>
    <col min="2820" max="2820" width="3" style="34" customWidth="1"/>
    <col min="2821" max="2821" width="11.28515625" style="34" customWidth="1"/>
    <col min="2822" max="2822" width="1.42578125" style="34" customWidth="1"/>
    <col min="2823" max="2823" width="3.42578125" style="34" customWidth="1"/>
    <col min="2824" max="2824" width="1.42578125" style="34" customWidth="1"/>
    <col min="2825" max="2825" width="12.5703125" style="34" customWidth="1"/>
    <col min="2826" max="2826" width="3.28515625" style="34" customWidth="1"/>
    <col min="2827" max="2827" width="12.7109375" style="34" customWidth="1"/>
    <col min="2828" max="2828" width="1.42578125" style="34" customWidth="1"/>
    <col min="2829" max="2829" width="3.5703125" style="34" customWidth="1"/>
    <col min="2830" max="2830" width="1.7109375" style="34" customWidth="1"/>
    <col min="2831" max="2831" width="14" style="34" customWidth="1"/>
    <col min="2832" max="2832" width="2.28515625" style="34" customWidth="1"/>
    <col min="2833" max="3071" width="9.28515625" style="34"/>
    <col min="3072" max="3072" width="2.7109375" style="34" customWidth="1"/>
    <col min="3073" max="3073" width="6.42578125" style="34" customWidth="1"/>
    <col min="3074" max="3074" width="3.7109375" style="34" customWidth="1"/>
    <col min="3075" max="3075" width="16.5703125" style="34" customWidth="1"/>
    <col min="3076" max="3076" width="3" style="34" customWidth="1"/>
    <col min="3077" max="3077" width="11.28515625" style="34" customWidth="1"/>
    <col min="3078" max="3078" width="1.42578125" style="34" customWidth="1"/>
    <col min="3079" max="3079" width="3.42578125" style="34" customWidth="1"/>
    <col min="3080" max="3080" width="1.42578125" style="34" customWidth="1"/>
    <col min="3081" max="3081" width="12.5703125" style="34" customWidth="1"/>
    <col min="3082" max="3082" width="3.28515625" style="34" customWidth="1"/>
    <col min="3083" max="3083" width="12.7109375" style="34" customWidth="1"/>
    <col min="3084" max="3084" width="1.42578125" style="34" customWidth="1"/>
    <col min="3085" max="3085" width="3.5703125" style="34" customWidth="1"/>
    <col min="3086" max="3086" width="1.7109375" style="34" customWidth="1"/>
    <col min="3087" max="3087" width="14" style="34" customWidth="1"/>
    <col min="3088" max="3088" width="2.28515625" style="34" customWidth="1"/>
    <col min="3089" max="3327" width="9.28515625" style="34"/>
    <col min="3328" max="3328" width="2.7109375" style="34" customWidth="1"/>
    <col min="3329" max="3329" width="6.42578125" style="34" customWidth="1"/>
    <col min="3330" max="3330" width="3.7109375" style="34" customWidth="1"/>
    <col min="3331" max="3331" width="16.5703125" style="34" customWidth="1"/>
    <col min="3332" max="3332" width="3" style="34" customWidth="1"/>
    <col min="3333" max="3333" width="11.28515625" style="34" customWidth="1"/>
    <col min="3334" max="3334" width="1.42578125" style="34" customWidth="1"/>
    <col min="3335" max="3335" width="3.42578125" style="34" customWidth="1"/>
    <col min="3336" max="3336" width="1.42578125" style="34" customWidth="1"/>
    <col min="3337" max="3337" width="12.5703125" style="34" customWidth="1"/>
    <col min="3338" max="3338" width="3.28515625" style="34" customWidth="1"/>
    <col min="3339" max="3339" width="12.7109375" style="34" customWidth="1"/>
    <col min="3340" max="3340" width="1.42578125" style="34" customWidth="1"/>
    <col min="3341" max="3341" width="3.5703125" style="34" customWidth="1"/>
    <col min="3342" max="3342" width="1.7109375" style="34" customWidth="1"/>
    <col min="3343" max="3343" width="14" style="34" customWidth="1"/>
    <col min="3344" max="3344" width="2.28515625" style="34" customWidth="1"/>
    <col min="3345" max="3583" width="9.28515625" style="34"/>
    <col min="3584" max="3584" width="2.7109375" style="34" customWidth="1"/>
    <col min="3585" max="3585" width="6.42578125" style="34" customWidth="1"/>
    <col min="3586" max="3586" width="3.7109375" style="34" customWidth="1"/>
    <col min="3587" max="3587" width="16.5703125" style="34" customWidth="1"/>
    <col min="3588" max="3588" width="3" style="34" customWidth="1"/>
    <col min="3589" max="3589" width="11.28515625" style="34" customWidth="1"/>
    <col min="3590" max="3590" width="1.42578125" style="34" customWidth="1"/>
    <col min="3591" max="3591" width="3.42578125" style="34" customWidth="1"/>
    <col min="3592" max="3592" width="1.42578125" style="34" customWidth="1"/>
    <col min="3593" max="3593" width="12.5703125" style="34" customWidth="1"/>
    <col min="3594" max="3594" width="3.28515625" style="34" customWidth="1"/>
    <col min="3595" max="3595" width="12.7109375" style="34" customWidth="1"/>
    <col min="3596" max="3596" width="1.42578125" style="34" customWidth="1"/>
    <col min="3597" max="3597" width="3.5703125" style="34" customWidth="1"/>
    <col min="3598" max="3598" width="1.7109375" style="34" customWidth="1"/>
    <col min="3599" max="3599" width="14" style="34" customWidth="1"/>
    <col min="3600" max="3600" width="2.28515625" style="34" customWidth="1"/>
    <col min="3601" max="3839" width="9.28515625" style="34"/>
    <col min="3840" max="3840" width="2.7109375" style="34" customWidth="1"/>
    <col min="3841" max="3841" width="6.42578125" style="34" customWidth="1"/>
    <col min="3842" max="3842" width="3.7109375" style="34" customWidth="1"/>
    <col min="3843" max="3843" width="16.5703125" style="34" customWidth="1"/>
    <col min="3844" max="3844" width="3" style="34" customWidth="1"/>
    <col min="3845" max="3845" width="11.28515625" style="34" customWidth="1"/>
    <col min="3846" max="3846" width="1.42578125" style="34" customWidth="1"/>
    <col min="3847" max="3847" width="3.42578125" style="34" customWidth="1"/>
    <col min="3848" max="3848" width="1.42578125" style="34" customWidth="1"/>
    <col min="3849" max="3849" width="12.5703125" style="34" customWidth="1"/>
    <col min="3850" max="3850" width="3.28515625" style="34" customWidth="1"/>
    <col min="3851" max="3851" width="12.7109375" style="34" customWidth="1"/>
    <col min="3852" max="3852" width="1.42578125" style="34" customWidth="1"/>
    <col min="3853" max="3853" width="3.5703125" style="34" customWidth="1"/>
    <col min="3854" max="3854" width="1.7109375" style="34" customWidth="1"/>
    <col min="3855" max="3855" width="14" style="34" customWidth="1"/>
    <col min="3856" max="3856" width="2.28515625" style="34" customWidth="1"/>
    <col min="3857" max="4095" width="9.28515625" style="34"/>
    <col min="4096" max="4096" width="2.7109375" style="34" customWidth="1"/>
    <col min="4097" max="4097" width="6.42578125" style="34" customWidth="1"/>
    <col min="4098" max="4098" width="3.7109375" style="34" customWidth="1"/>
    <col min="4099" max="4099" width="16.5703125" style="34" customWidth="1"/>
    <col min="4100" max="4100" width="3" style="34" customWidth="1"/>
    <col min="4101" max="4101" width="11.28515625" style="34" customWidth="1"/>
    <col min="4102" max="4102" width="1.42578125" style="34" customWidth="1"/>
    <col min="4103" max="4103" width="3.42578125" style="34" customWidth="1"/>
    <col min="4104" max="4104" width="1.42578125" style="34" customWidth="1"/>
    <col min="4105" max="4105" width="12.5703125" style="34" customWidth="1"/>
    <col min="4106" max="4106" width="3.28515625" style="34" customWidth="1"/>
    <col min="4107" max="4107" width="12.7109375" style="34" customWidth="1"/>
    <col min="4108" max="4108" width="1.42578125" style="34" customWidth="1"/>
    <col min="4109" max="4109" width="3.5703125" style="34" customWidth="1"/>
    <col min="4110" max="4110" width="1.7109375" style="34" customWidth="1"/>
    <col min="4111" max="4111" width="14" style="34" customWidth="1"/>
    <col min="4112" max="4112" width="2.28515625" style="34" customWidth="1"/>
    <col min="4113" max="4351" width="9.28515625" style="34"/>
    <col min="4352" max="4352" width="2.7109375" style="34" customWidth="1"/>
    <col min="4353" max="4353" width="6.42578125" style="34" customWidth="1"/>
    <col min="4354" max="4354" width="3.7109375" style="34" customWidth="1"/>
    <col min="4355" max="4355" width="16.5703125" style="34" customWidth="1"/>
    <col min="4356" max="4356" width="3" style="34" customWidth="1"/>
    <col min="4357" max="4357" width="11.28515625" style="34" customWidth="1"/>
    <col min="4358" max="4358" width="1.42578125" style="34" customWidth="1"/>
    <col min="4359" max="4359" width="3.42578125" style="34" customWidth="1"/>
    <col min="4360" max="4360" width="1.42578125" style="34" customWidth="1"/>
    <col min="4361" max="4361" width="12.5703125" style="34" customWidth="1"/>
    <col min="4362" max="4362" width="3.28515625" style="34" customWidth="1"/>
    <col min="4363" max="4363" width="12.7109375" style="34" customWidth="1"/>
    <col min="4364" max="4364" width="1.42578125" style="34" customWidth="1"/>
    <col min="4365" max="4365" width="3.5703125" style="34" customWidth="1"/>
    <col min="4366" max="4366" width="1.7109375" style="34" customWidth="1"/>
    <col min="4367" max="4367" width="14" style="34" customWidth="1"/>
    <col min="4368" max="4368" width="2.28515625" style="34" customWidth="1"/>
    <col min="4369" max="4607" width="9.28515625" style="34"/>
    <col min="4608" max="4608" width="2.7109375" style="34" customWidth="1"/>
    <col min="4609" max="4609" width="6.42578125" style="34" customWidth="1"/>
    <col min="4610" max="4610" width="3.7109375" style="34" customWidth="1"/>
    <col min="4611" max="4611" width="16.5703125" style="34" customWidth="1"/>
    <col min="4612" max="4612" width="3" style="34" customWidth="1"/>
    <col min="4613" max="4613" width="11.28515625" style="34" customWidth="1"/>
    <col min="4614" max="4614" width="1.42578125" style="34" customWidth="1"/>
    <col min="4615" max="4615" width="3.42578125" style="34" customWidth="1"/>
    <col min="4616" max="4616" width="1.42578125" style="34" customWidth="1"/>
    <col min="4617" max="4617" width="12.5703125" style="34" customWidth="1"/>
    <col min="4618" max="4618" width="3.28515625" style="34" customWidth="1"/>
    <col min="4619" max="4619" width="12.7109375" style="34" customWidth="1"/>
    <col min="4620" max="4620" width="1.42578125" style="34" customWidth="1"/>
    <col min="4621" max="4621" width="3.5703125" style="34" customWidth="1"/>
    <col min="4622" max="4622" width="1.7109375" style="34" customWidth="1"/>
    <col min="4623" max="4623" width="14" style="34" customWidth="1"/>
    <col min="4624" max="4624" width="2.28515625" style="34" customWidth="1"/>
    <col min="4625" max="4863" width="9.28515625" style="34"/>
    <col min="4864" max="4864" width="2.7109375" style="34" customWidth="1"/>
    <col min="4865" max="4865" width="6.42578125" style="34" customWidth="1"/>
    <col min="4866" max="4866" width="3.7109375" style="34" customWidth="1"/>
    <col min="4867" max="4867" width="16.5703125" style="34" customWidth="1"/>
    <col min="4868" max="4868" width="3" style="34" customWidth="1"/>
    <col min="4869" max="4869" width="11.28515625" style="34" customWidth="1"/>
    <col min="4870" max="4870" width="1.42578125" style="34" customWidth="1"/>
    <col min="4871" max="4871" width="3.42578125" style="34" customWidth="1"/>
    <col min="4872" max="4872" width="1.42578125" style="34" customWidth="1"/>
    <col min="4873" max="4873" width="12.5703125" style="34" customWidth="1"/>
    <col min="4874" max="4874" width="3.28515625" style="34" customWidth="1"/>
    <col min="4875" max="4875" width="12.7109375" style="34" customWidth="1"/>
    <col min="4876" max="4876" width="1.42578125" style="34" customWidth="1"/>
    <col min="4877" max="4877" width="3.5703125" style="34" customWidth="1"/>
    <col min="4878" max="4878" width="1.7109375" style="34" customWidth="1"/>
    <col min="4879" max="4879" width="14" style="34" customWidth="1"/>
    <col min="4880" max="4880" width="2.28515625" style="34" customWidth="1"/>
    <col min="4881" max="5119" width="9.28515625" style="34"/>
    <col min="5120" max="5120" width="2.7109375" style="34" customWidth="1"/>
    <col min="5121" max="5121" width="6.42578125" style="34" customWidth="1"/>
    <col min="5122" max="5122" width="3.7109375" style="34" customWidth="1"/>
    <col min="5123" max="5123" width="16.5703125" style="34" customWidth="1"/>
    <col min="5124" max="5124" width="3" style="34" customWidth="1"/>
    <col min="5125" max="5125" width="11.28515625" style="34" customWidth="1"/>
    <col min="5126" max="5126" width="1.42578125" style="34" customWidth="1"/>
    <col min="5127" max="5127" width="3.42578125" style="34" customWidth="1"/>
    <col min="5128" max="5128" width="1.42578125" style="34" customWidth="1"/>
    <col min="5129" max="5129" width="12.5703125" style="34" customWidth="1"/>
    <col min="5130" max="5130" width="3.28515625" style="34" customWidth="1"/>
    <col min="5131" max="5131" width="12.7109375" style="34" customWidth="1"/>
    <col min="5132" max="5132" width="1.42578125" style="34" customWidth="1"/>
    <col min="5133" max="5133" width="3.5703125" style="34" customWidth="1"/>
    <col min="5134" max="5134" width="1.7109375" style="34" customWidth="1"/>
    <col min="5135" max="5135" width="14" style="34" customWidth="1"/>
    <col min="5136" max="5136" width="2.28515625" style="34" customWidth="1"/>
    <col min="5137" max="5375" width="9.28515625" style="34"/>
    <col min="5376" max="5376" width="2.7109375" style="34" customWidth="1"/>
    <col min="5377" max="5377" width="6.42578125" style="34" customWidth="1"/>
    <col min="5378" max="5378" width="3.7109375" style="34" customWidth="1"/>
    <col min="5379" max="5379" width="16.5703125" style="34" customWidth="1"/>
    <col min="5380" max="5380" width="3" style="34" customWidth="1"/>
    <col min="5381" max="5381" width="11.28515625" style="34" customWidth="1"/>
    <col min="5382" max="5382" width="1.42578125" style="34" customWidth="1"/>
    <col min="5383" max="5383" width="3.42578125" style="34" customWidth="1"/>
    <col min="5384" max="5384" width="1.42578125" style="34" customWidth="1"/>
    <col min="5385" max="5385" width="12.5703125" style="34" customWidth="1"/>
    <col min="5386" max="5386" width="3.28515625" style="34" customWidth="1"/>
    <col min="5387" max="5387" width="12.7109375" style="34" customWidth="1"/>
    <col min="5388" max="5388" width="1.42578125" style="34" customWidth="1"/>
    <col min="5389" max="5389" width="3.5703125" style="34" customWidth="1"/>
    <col min="5390" max="5390" width="1.7109375" style="34" customWidth="1"/>
    <col min="5391" max="5391" width="14" style="34" customWidth="1"/>
    <col min="5392" max="5392" width="2.28515625" style="34" customWidth="1"/>
    <col min="5393" max="5631" width="9.28515625" style="34"/>
    <col min="5632" max="5632" width="2.7109375" style="34" customWidth="1"/>
    <col min="5633" max="5633" width="6.42578125" style="34" customWidth="1"/>
    <col min="5634" max="5634" width="3.7109375" style="34" customWidth="1"/>
    <col min="5635" max="5635" width="16.5703125" style="34" customWidth="1"/>
    <col min="5636" max="5636" width="3" style="34" customWidth="1"/>
    <col min="5637" max="5637" width="11.28515625" style="34" customWidth="1"/>
    <col min="5638" max="5638" width="1.42578125" style="34" customWidth="1"/>
    <col min="5639" max="5639" width="3.42578125" style="34" customWidth="1"/>
    <col min="5640" max="5640" width="1.42578125" style="34" customWidth="1"/>
    <col min="5641" max="5641" width="12.5703125" style="34" customWidth="1"/>
    <col min="5642" max="5642" width="3.28515625" style="34" customWidth="1"/>
    <col min="5643" max="5643" width="12.7109375" style="34" customWidth="1"/>
    <col min="5644" max="5644" width="1.42578125" style="34" customWidth="1"/>
    <col min="5645" max="5645" width="3.5703125" style="34" customWidth="1"/>
    <col min="5646" max="5646" width="1.7109375" style="34" customWidth="1"/>
    <col min="5647" max="5647" width="14" style="34" customWidth="1"/>
    <col min="5648" max="5648" width="2.28515625" style="34" customWidth="1"/>
    <col min="5649" max="5887" width="9.28515625" style="34"/>
    <col min="5888" max="5888" width="2.7109375" style="34" customWidth="1"/>
    <col min="5889" max="5889" width="6.42578125" style="34" customWidth="1"/>
    <col min="5890" max="5890" width="3.7109375" style="34" customWidth="1"/>
    <col min="5891" max="5891" width="16.5703125" style="34" customWidth="1"/>
    <col min="5892" max="5892" width="3" style="34" customWidth="1"/>
    <col min="5893" max="5893" width="11.28515625" style="34" customWidth="1"/>
    <col min="5894" max="5894" width="1.42578125" style="34" customWidth="1"/>
    <col min="5895" max="5895" width="3.42578125" style="34" customWidth="1"/>
    <col min="5896" max="5896" width="1.42578125" style="34" customWidth="1"/>
    <col min="5897" max="5897" width="12.5703125" style="34" customWidth="1"/>
    <col min="5898" max="5898" width="3.28515625" style="34" customWidth="1"/>
    <col min="5899" max="5899" width="12.7109375" style="34" customWidth="1"/>
    <col min="5900" max="5900" width="1.42578125" style="34" customWidth="1"/>
    <col min="5901" max="5901" width="3.5703125" style="34" customWidth="1"/>
    <col min="5902" max="5902" width="1.7109375" style="34" customWidth="1"/>
    <col min="5903" max="5903" width="14" style="34" customWidth="1"/>
    <col min="5904" max="5904" width="2.28515625" style="34" customWidth="1"/>
    <col min="5905" max="6143" width="9.28515625" style="34"/>
    <col min="6144" max="6144" width="2.7109375" style="34" customWidth="1"/>
    <col min="6145" max="6145" width="6.42578125" style="34" customWidth="1"/>
    <col min="6146" max="6146" width="3.7109375" style="34" customWidth="1"/>
    <col min="6147" max="6147" width="16.5703125" style="34" customWidth="1"/>
    <col min="6148" max="6148" width="3" style="34" customWidth="1"/>
    <col min="6149" max="6149" width="11.28515625" style="34" customWidth="1"/>
    <col min="6150" max="6150" width="1.42578125" style="34" customWidth="1"/>
    <col min="6151" max="6151" width="3.42578125" style="34" customWidth="1"/>
    <col min="6152" max="6152" width="1.42578125" style="34" customWidth="1"/>
    <col min="6153" max="6153" width="12.5703125" style="34" customWidth="1"/>
    <col min="6154" max="6154" width="3.28515625" style="34" customWidth="1"/>
    <col min="6155" max="6155" width="12.7109375" style="34" customWidth="1"/>
    <col min="6156" max="6156" width="1.42578125" style="34" customWidth="1"/>
    <col min="6157" max="6157" width="3.5703125" style="34" customWidth="1"/>
    <col min="6158" max="6158" width="1.7109375" style="34" customWidth="1"/>
    <col min="6159" max="6159" width="14" style="34" customWidth="1"/>
    <col min="6160" max="6160" width="2.28515625" style="34" customWidth="1"/>
    <col min="6161" max="6399" width="9.28515625" style="34"/>
    <col min="6400" max="6400" width="2.7109375" style="34" customWidth="1"/>
    <col min="6401" max="6401" width="6.42578125" style="34" customWidth="1"/>
    <col min="6402" max="6402" width="3.7109375" style="34" customWidth="1"/>
    <col min="6403" max="6403" width="16.5703125" style="34" customWidth="1"/>
    <col min="6404" max="6404" width="3" style="34" customWidth="1"/>
    <col min="6405" max="6405" width="11.28515625" style="34" customWidth="1"/>
    <col min="6406" max="6406" width="1.42578125" style="34" customWidth="1"/>
    <col min="6407" max="6407" width="3.42578125" style="34" customWidth="1"/>
    <col min="6408" max="6408" width="1.42578125" style="34" customWidth="1"/>
    <col min="6409" max="6409" width="12.5703125" style="34" customWidth="1"/>
    <col min="6410" max="6410" width="3.28515625" style="34" customWidth="1"/>
    <col min="6411" max="6411" width="12.7109375" style="34" customWidth="1"/>
    <col min="6412" max="6412" width="1.42578125" style="34" customWidth="1"/>
    <col min="6413" max="6413" width="3.5703125" style="34" customWidth="1"/>
    <col min="6414" max="6414" width="1.7109375" style="34" customWidth="1"/>
    <col min="6415" max="6415" width="14" style="34" customWidth="1"/>
    <col min="6416" max="6416" width="2.28515625" style="34" customWidth="1"/>
    <col min="6417" max="6655" width="9.28515625" style="34"/>
    <col min="6656" max="6656" width="2.7109375" style="34" customWidth="1"/>
    <col min="6657" max="6657" width="6.42578125" style="34" customWidth="1"/>
    <col min="6658" max="6658" width="3.7109375" style="34" customWidth="1"/>
    <col min="6659" max="6659" width="16.5703125" style="34" customWidth="1"/>
    <col min="6660" max="6660" width="3" style="34" customWidth="1"/>
    <col min="6661" max="6661" width="11.28515625" style="34" customWidth="1"/>
    <col min="6662" max="6662" width="1.42578125" style="34" customWidth="1"/>
    <col min="6663" max="6663" width="3.42578125" style="34" customWidth="1"/>
    <col min="6664" max="6664" width="1.42578125" style="34" customWidth="1"/>
    <col min="6665" max="6665" width="12.5703125" style="34" customWidth="1"/>
    <col min="6666" max="6666" width="3.28515625" style="34" customWidth="1"/>
    <col min="6667" max="6667" width="12.7109375" style="34" customWidth="1"/>
    <col min="6668" max="6668" width="1.42578125" style="34" customWidth="1"/>
    <col min="6669" max="6669" width="3.5703125" style="34" customWidth="1"/>
    <col min="6670" max="6670" width="1.7109375" style="34" customWidth="1"/>
    <col min="6671" max="6671" width="14" style="34" customWidth="1"/>
    <col min="6672" max="6672" width="2.28515625" style="34" customWidth="1"/>
    <col min="6673" max="6911" width="9.28515625" style="34"/>
    <col min="6912" max="6912" width="2.7109375" style="34" customWidth="1"/>
    <col min="6913" max="6913" width="6.42578125" style="34" customWidth="1"/>
    <col min="6914" max="6914" width="3.7109375" style="34" customWidth="1"/>
    <col min="6915" max="6915" width="16.5703125" style="34" customWidth="1"/>
    <col min="6916" max="6916" width="3" style="34" customWidth="1"/>
    <col min="6917" max="6917" width="11.28515625" style="34" customWidth="1"/>
    <col min="6918" max="6918" width="1.42578125" style="34" customWidth="1"/>
    <col min="6919" max="6919" width="3.42578125" style="34" customWidth="1"/>
    <col min="6920" max="6920" width="1.42578125" style="34" customWidth="1"/>
    <col min="6921" max="6921" width="12.5703125" style="34" customWidth="1"/>
    <col min="6922" max="6922" width="3.28515625" style="34" customWidth="1"/>
    <col min="6923" max="6923" width="12.7109375" style="34" customWidth="1"/>
    <col min="6924" max="6924" width="1.42578125" style="34" customWidth="1"/>
    <col min="6925" max="6925" width="3.5703125" style="34" customWidth="1"/>
    <col min="6926" max="6926" width="1.7109375" style="34" customWidth="1"/>
    <col min="6927" max="6927" width="14" style="34" customWidth="1"/>
    <col min="6928" max="6928" width="2.28515625" style="34" customWidth="1"/>
    <col min="6929" max="7167" width="9.28515625" style="34"/>
    <col min="7168" max="7168" width="2.7109375" style="34" customWidth="1"/>
    <col min="7169" max="7169" width="6.42578125" style="34" customWidth="1"/>
    <col min="7170" max="7170" width="3.7109375" style="34" customWidth="1"/>
    <col min="7171" max="7171" width="16.5703125" style="34" customWidth="1"/>
    <col min="7172" max="7172" width="3" style="34" customWidth="1"/>
    <col min="7173" max="7173" width="11.28515625" style="34" customWidth="1"/>
    <col min="7174" max="7174" width="1.42578125" style="34" customWidth="1"/>
    <col min="7175" max="7175" width="3.42578125" style="34" customWidth="1"/>
    <col min="7176" max="7176" width="1.42578125" style="34" customWidth="1"/>
    <col min="7177" max="7177" width="12.5703125" style="34" customWidth="1"/>
    <col min="7178" max="7178" width="3.28515625" style="34" customWidth="1"/>
    <col min="7179" max="7179" width="12.7109375" style="34" customWidth="1"/>
    <col min="7180" max="7180" width="1.42578125" style="34" customWidth="1"/>
    <col min="7181" max="7181" width="3.5703125" style="34" customWidth="1"/>
    <col min="7182" max="7182" width="1.7109375" style="34" customWidth="1"/>
    <col min="7183" max="7183" width="14" style="34" customWidth="1"/>
    <col min="7184" max="7184" width="2.28515625" style="34" customWidth="1"/>
    <col min="7185" max="7423" width="9.28515625" style="34"/>
    <col min="7424" max="7424" width="2.7109375" style="34" customWidth="1"/>
    <col min="7425" max="7425" width="6.42578125" style="34" customWidth="1"/>
    <col min="7426" max="7426" width="3.7109375" style="34" customWidth="1"/>
    <col min="7427" max="7427" width="16.5703125" style="34" customWidth="1"/>
    <col min="7428" max="7428" width="3" style="34" customWidth="1"/>
    <col min="7429" max="7429" width="11.28515625" style="34" customWidth="1"/>
    <col min="7430" max="7430" width="1.42578125" style="34" customWidth="1"/>
    <col min="7431" max="7431" width="3.42578125" style="34" customWidth="1"/>
    <col min="7432" max="7432" width="1.42578125" style="34" customWidth="1"/>
    <col min="7433" max="7433" width="12.5703125" style="34" customWidth="1"/>
    <col min="7434" max="7434" width="3.28515625" style="34" customWidth="1"/>
    <col min="7435" max="7435" width="12.7109375" style="34" customWidth="1"/>
    <col min="7436" max="7436" width="1.42578125" style="34" customWidth="1"/>
    <col min="7437" max="7437" width="3.5703125" style="34" customWidth="1"/>
    <col min="7438" max="7438" width="1.7109375" style="34" customWidth="1"/>
    <col min="7439" max="7439" width="14" style="34" customWidth="1"/>
    <col min="7440" max="7440" width="2.28515625" style="34" customWidth="1"/>
    <col min="7441" max="7679" width="9.28515625" style="34"/>
    <col min="7680" max="7680" width="2.7109375" style="34" customWidth="1"/>
    <col min="7681" max="7681" width="6.42578125" style="34" customWidth="1"/>
    <col min="7682" max="7682" width="3.7109375" style="34" customWidth="1"/>
    <col min="7683" max="7683" width="16.5703125" style="34" customWidth="1"/>
    <col min="7684" max="7684" width="3" style="34" customWidth="1"/>
    <col min="7685" max="7685" width="11.28515625" style="34" customWidth="1"/>
    <col min="7686" max="7686" width="1.42578125" style="34" customWidth="1"/>
    <col min="7687" max="7687" width="3.42578125" style="34" customWidth="1"/>
    <col min="7688" max="7688" width="1.42578125" style="34" customWidth="1"/>
    <col min="7689" max="7689" width="12.5703125" style="34" customWidth="1"/>
    <col min="7690" max="7690" width="3.28515625" style="34" customWidth="1"/>
    <col min="7691" max="7691" width="12.7109375" style="34" customWidth="1"/>
    <col min="7692" max="7692" width="1.42578125" style="34" customWidth="1"/>
    <col min="7693" max="7693" width="3.5703125" style="34" customWidth="1"/>
    <col min="7694" max="7694" width="1.7109375" style="34" customWidth="1"/>
    <col min="7695" max="7695" width="14" style="34" customWidth="1"/>
    <col min="7696" max="7696" width="2.28515625" style="34" customWidth="1"/>
    <col min="7697" max="7935" width="9.28515625" style="34"/>
    <col min="7936" max="7936" width="2.7109375" style="34" customWidth="1"/>
    <col min="7937" max="7937" width="6.42578125" style="34" customWidth="1"/>
    <col min="7938" max="7938" width="3.7109375" style="34" customWidth="1"/>
    <col min="7939" max="7939" width="16.5703125" style="34" customWidth="1"/>
    <col min="7940" max="7940" width="3" style="34" customWidth="1"/>
    <col min="7941" max="7941" width="11.28515625" style="34" customWidth="1"/>
    <col min="7942" max="7942" width="1.42578125" style="34" customWidth="1"/>
    <col min="7943" max="7943" width="3.42578125" style="34" customWidth="1"/>
    <col min="7944" max="7944" width="1.42578125" style="34" customWidth="1"/>
    <col min="7945" max="7945" width="12.5703125" style="34" customWidth="1"/>
    <col min="7946" max="7946" width="3.28515625" style="34" customWidth="1"/>
    <col min="7947" max="7947" width="12.7109375" style="34" customWidth="1"/>
    <col min="7948" max="7948" width="1.42578125" style="34" customWidth="1"/>
    <col min="7949" max="7949" width="3.5703125" style="34" customWidth="1"/>
    <col min="7950" max="7950" width="1.7109375" style="34" customWidth="1"/>
    <col min="7951" max="7951" width="14" style="34" customWidth="1"/>
    <col min="7952" max="7952" width="2.28515625" style="34" customWidth="1"/>
    <col min="7953" max="8191" width="9.28515625" style="34"/>
    <col min="8192" max="8192" width="2.7109375" style="34" customWidth="1"/>
    <col min="8193" max="8193" width="6.42578125" style="34" customWidth="1"/>
    <col min="8194" max="8194" width="3.7109375" style="34" customWidth="1"/>
    <col min="8195" max="8195" width="16.5703125" style="34" customWidth="1"/>
    <col min="8196" max="8196" width="3" style="34" customWidth="1"/>
    <col min="8197" max="8197" width="11.28515625" style="34" customWidth="1"/>
    <col min="8198" max="8198" width="1.42578125" style="34" customWidth="1"/>
    <col min="8199" max="8199" width="3.42578125" style="34" customWidth="1"/>
    <col min="8200" max="8200" width="1.42578125" style="34" customWidth="1"/>
    <col min="8201" max="8201" width="12.5703125" style="34" customWidth="1"/>
    <col min="8202" max="8202" width="3.28515625" style="34" customWidth="1"/>
    <col min="8203" max="8203" width="12.7109375" style="34" customWidth="1"/>
    <col min="8204" max="8204" width="1.42578125" style="34" customWidth="1"/>
    <col min="8205" max="8205" width="3.5703125" style="34" customWidth="1"/>
    <col min="8206" max="8206" width="1.7109375" style="34" customWidth="1"/>
    <col min="8207" max="8207" width="14" style="34" customWidth="1"/>
    <col min="8208" max="8208" width="2.28515625" style="34" customWidth="1"/>
    <col min="8209" max="8447" width="9.28515625" style="34"/>
    <col min="8448" max="8448" width="2.7109375" style="34" customWidth="1"/>
    <col min="8449" max="8449" width="6.42578125" style="34" customWidth="1"/>
    <col min="8450" max="8450" width="3.7109375" style="34" customWidth="1"/>
    <col min="8451" max="8451" width="16.5703125" style="34" customWidth="1"/>
    <col min="8452" max="8452" width="3" style="34" customWidth="1"/>
    <col min="8453" max="8453" width="11.28515625" style="34" customWidth="1"/>
    <col min="8454" max="8454" width="1.42578125" style="34" customWidth="1"/>
    <col min="8455" max="8455" width="3.42578125" style="34" customWidth="1"/>
    <col min="8456" max="8456" width="1.42578125" style="34" customWidth="1"/>
    <col min="8457" max="8457" width="12.5703125" style="34" customWidth="1"/>
    <col min="8458" max="8458" width="3.28515625" style="34" customWidth="1"/>
    <col min="8459" max="8459" width="12.7109375" style="34" customWidth="1"/>
    <col min="8460" max="8460" width="1.42578125" style="34" customWidth="1"/>
    <col min="8461" max="8461" width="3.5703125" style="34" customWidth="1"/>
    <col min="8462" max="8462" width="1.7109375" style="34" customWidth="1"/>
    <col min="8463" max="8463" width="14" style="34" customWidth="1"/>
    <col min="8464" max="8464" width="2.28515625" style="34" customWidth="1"/>
    <col min="8465" max="8703" width="9.28515625" style="34"/>
    <col min="8704" max="8704" width="2.7109375" style="34" customWidth="1"/>
    <col min="8705" max="8705" width="6.42578125" style="34" customWidth="1"/>
    <col min="8706" max="8706" width="3.7109375" style="34" customWidth="1"/>
    <col min="8707" max="8707" width="16.5703125" style="34" customWidth="1"/>
    <col min="8708" max="8708" width="3" style="34" customWidth="1"/>
    <col min="8709" max="8709" width="11.28515625" style="34" customWidth="1"/>
    <col min="8710" max="8710" width="1.42578125" style="34" customWidth="1"/>
    <col min="8711" max="8711" width="3.42578125" style="34" customWidth="1"/>
    <col min="8712" max="8712" width="1.42578125" style="34" customWidth="1"/>
    <col min="8713" max="8713" width="12.5703125" style="34" customWidth="1"/>
    <col min="8714" max="8714" width="3.28515625" style="34" customWidth="1"/>
    <col min="8715" max="8715" width="12.7109375" style="34" customWidth="1"/>
    <col min="8716" max="8716" width="1.42578125" style="34" customWidth="1"/>
    <col min="8717" max="8717" width="3.5703125" style="34" customWidth="1"/>
    <col min="8718" max="8718" width="1.7109375" style="34" customWidth="1"/>
    <col min="8719" max="8719" width="14" style="34" customWidth="1"/>
    <col min="8720" max="8720" width="2.28515625" style="34" customWidth="1"/>
    <col min="8721" max="8959" width="9.28515625" style="34"/>
    <col min="8960" max="8960" width="2.7109375" style="34" customWidth="1"/>
    <col min="8961" max="8961" width="6.42578125" style="34" customWidth="1"/>
    <col min="8962" max="8962" width="3.7109375" style="34" customWidth="1"/>
    <col min="8963" max="8963" width="16.5703125" style="34" customWidth="1"/>
    <col min="8964" max="8964" width="3" style="34" customWidth="1"/>
    <col min="8965" max="8965" width="11.28515625" style="34" customWidth="1"/>
    <col min="8966" max="8966" width="1.42578125" style="34" customWidth="1"/>
    <col min="8967" max="8967" width="3.42578125" style="34" customWidth="1"/>
    <col min="8968" max="8968" width="1.42578125" style="34" customWidth="1"/>
    <col min="8969" max="8969" width="12.5703125" style="34" customWidth="1"/>
    <col min="8970" max="8970" width="3.28515625" style="34" customWidth="1"/>
    <col min="8971" max="8971" width="12.7109375" style="34" customWidth="1"/>
    <col min="8972" max="8972" width="1.42578125" style="34" customWidth="1"/>
    <col min="8973" max="8973" width="3.5703125" style="34" customWidth="1"/>
    <col min="8974" max="8974" width="1.7109375" style="34" customWidth="1"/>
    <col min="8975" max="8975" width="14" style="34" customWidth="1"/>
    <col min="8976" max="8976" width="2.28515625" style="34" customWidth="1"/>
    <col min="8977" max="9215" width="9.28515625" style="34"/>
    <col min="9216" max="9216" width="2.7109375" style="34" customWidth="1"/>
    <col min="9217" max="9217" width="6.42578125" style="34" customWidth="1"/>
    <col min="9218" max="9218" width="3.7109375" style="34" customWidth="1"/>
    <col min="9219" max="9219" width="16.5703125" style="34" customWidth="1"/>
    <col min="9220" max="9220" width="3" style="34" customWidth="1"/>
    <col min="9221" max="9221" width="11.28515625" style="34" customWidth="1"/>
    <col min="9222" max="9222" width="1.42578125" style="34" customWidth="1"/>
    <col min="9223" max="9223" width="3.42578125" style="34" customWidth="1"/>
    <col min="9224" max="9224" width="1.42578125" style="34" customWidth="1"/>
    <col min="9225" max="9225" width="12.5703125" style="34" customWidth="1"/>
    <col min="9226" max="9226" width="3.28515625" style="34" customWidth="1"/>
    <col min="9227" max="9227" width="12.7109375" style="34" customWidth="1"/>
    <col min="9228" max="9228" width="1.42578125" style="34" customWidth="1"/>
    <col min="9229" max="9229" width="3.5703125" style="34" customWidth="1"/>
    <col min="9230" max="9230" width="1.7109375" style="34" customWidth="1"/>
    <col min="9231" max="9231" width="14" style="34" customWidth="1"/>
    <col min="9232" max="9232" width="2.28515625" style="34" customWidth="1"/>
    <col min="9233" max="9471" width="9.28515625" style="34"/>
    <col min="9472" max="9472" width="2.7109375" style="34" customWidth="1"/>
    <col min="9473" max="9473" width="6.42578125" style="34" customWidth="1"/>
    <col min="9474" max="9474" width="3.7109375" style="34" customWidth="1"/>
    <col min="9475" max="9475" width="16.5703125" style="34" customWidth="1"/>
    <col min="9476" max="9476" width="3" style="34" customWidth="1"/>
    <col min="9477" max="9477" width="11.28515625" style="34" customWidth="1"/>
    <col min="9478" max="9478" width="1.42578125" style="34" customWidth="1"/>
    <col min="9479" max="9479" width="3.42578125" style="34" customWidth="1"/>
    <col min="9480" max="9480" width="1.42578125" style="34" customWidth="1"/>
    <col min="9481" max="9481" width="12.5703125" style="34" customWidth="1"/>
    <col min="9482" max="9482" width="3.28515625" style="34" customWidth="1"/>
    <col min="9483" max="9483" width="12.7109375" style="34" customWidth="1"/>
    <col min="9484" max="9484" width="1.42578125" style="34" customWidth="1"/>
    <col min="9485" max="9485" width="3.5703125" style="34" customWidth="1"/>
    <col min="9486" max="9486" width="1.7109375" style="34" customWidth="1"/>
    <col min="9487" max="9487" width="14" style="34" customWidth="1"/>
    <col min="9488" max="9488" width="2.28515625" style="34" customWidth="1"/>
    <col min="9489" max="9727" width="9.28515625" style="34"/>
    <col min="9728" max="9728" width="2.7109375" style="34" customWidth="1"/>
    <col min="9729" max="9729" width="6.42578125" style="34" customWidth="1"/>
    <col min="9730" max="9730" width="3.7109375" style="34" customWidth="1"/>
    <col min="9731" max="9731" width="16.5703125" style="34" customWidth="1"/>
    <col min="9732" max="9732" width="3" style="34" customWidth="1"/>
    <col min="9733" max="9733" width="11.28515625" style="34" customWidth="1"/>
    <col min="9734" max="9734" width="1.42578125" style="34" customWidth="1"/>
    <col min="9735" max="9735" width="3.42578125" style="34" customWidth="1"/>
    <col min="9736" max="9736" width="1.42578125" style="34" customWidth="1"/>
    <col min="9737" max="9737" width="12.5703125" style="34" customWidth="1"/>
    <col min="9738" max="9738" width="3.28515625" style="34" customWidth="1"/>
    <col min="9739" max="9739" width="12.7109375" style="34" customWidth="1"/>
    <col min="9740" max="9740" width="1.42578125" style="34" customWidth="1"/>
    <col min="9741" max="9741" width="3.5703125" style="34" customWidth="1"/>
    <col min="9742" max="9742" width="1.7109375" style="34" customWidth="1"/>
    <col min="9743" max="9743" width="14" style="34" customWidth="1"/>
    <col min="9744" max="9744" width="2.28515625" style="34" customWidth="1"/>
    <col min="9745" max="9983" width="9.28515625" style="34"/>
    <col min="9984" max="9984" width="2.7109375" style="34" customWidth="1"/>
    <col min="9985" max="9985" width="6.42578125" style="34" customWidth="1"/>
    <col min="9986" max="9986" width="3.7109375" style="34" customWidth="1"/>
    <col min="9987" max="9987" width="16.5703125" style="34" customWidth="1"/>
    <col min="9988" max="9988" width="3" style="34" customWidth="1"/>
    <col min="9989" max="9989" width="11.28515625" style="34" customWidth="1"/>
    <col min="9990" max="9990" width="1.42578125" style="34" customWidth="1"/>
    <col min="9991" max="9991" width="3.42578125" style="34" customWidth="1"/>
    <col min="9992" max="9992" width="1.42578125" style="34" customWidth="1"/>
    <col min="9993" max="9993" width="12.5703125" style="34" customWidth="1"/>
    <col min="9994" max="9994" width="3.28515625" style="34" customWidth="1"/>
    <col min="9995" max="9995" width="12.7109375" style="34" customWidth="1"/>
    <col min="9996" max="9996" width="1.42578125" style="34" customWidth="1"/>
    <col min="9997" max="9997" width="3.5703125" style="34" customWidth="1"/>
    <col min="9998" max="9998" width="1.7109375" style="34" customWidth="1"/>
    <col min="9999" max="9999" width="14" style="34" customWidth="1"/>
    <col min="10000" max="10000" width="2.28515625" style="34" customWidth="1"/>
    <col min="10001" max="10239" width="9.28515625" style="34"/>
    <col min="10240" max="10240" width="2.7109375" style="34" customWidth="1"/>
    <col min="10241" max="10241" width="6.42578125" style="34" customWidth="1"/>
    <col min="10242" max="10242" width="3.7109375" style="34" customWidth="1"/>
    <col min="10243" max="10243" width="16.5703125" style="34" customWidth="1"/>
    <col min="10244" max="10244" width="3" style="34" customWidth="1"/>
    <col min="10245" max="10245" width="11.28515625" style="34" customWidth="1"/>
    <col min="10246" max="10246" width="1.42578125" style="34" customWidth="1"/>
    <col min="10247" max="10247" width="3.42578125" style="34" customWidth="1"/>
    <col min="10248" max="10248" width="1.42578125" style="34" customWidth="1"/>
    <col min="10249" max="10249" width="12.5703125" style="34" customWidth="1"/>
    <col min="10250" max="10250" width="3.28515625" style="34" customWidth="1"/>
    <col min="10251" max="10251" width="12.7109375" style="34" customWidth="1"/>
    <col min="10252" max="10252" width="1.42578125" style="34" customWidth="1"/>
    <col min="10253" max="10253" width="3.5703125" style="34" customWidth="1"/>
    <col min="10254" max="10254" width="1.7109375" style="34" customWidth="1"/>
    <col min="10255" max="10255" width="14" style="34" customWidth="1"/>
    <col min="10256" max="10256" width="2.28515625" style="34" customWidth="1"/>
    <col min="10257" max="10495" width="9.28515625" style="34"/>
    <col min="10496" max="10496" width="2.7109375" style="34" customWidth="1"/>
    <col min="10497" max="10497" width="6.42578125" style="34" customWidth="1"/>
    <col min="10498" max="10498" width="3.7109375" style="34" customWidth="1"/>
    <col min="10499" max="10499" width="16.5703125" style="34" customWidth="1"/>
    <col min="10500" max="10500" width="3" style="34" customWidth="1"/>
    <col min="10501" max="10501" width="11.28515625" style="34" customWidth="1"/>
    <col min="10502" max="10502" width="1.42578125" style="34" customWidth="1"/>
    <col min="10503" max="10503" width="3.42578125" style="34" customWidth="1"/>
    <col min="10504" max="10504" width="1.42578125" style="34" customWidth="1"/>
    <col min="10505" max="10505" width="12.5703125" style="34" customWidth="1"/>
    <col min="10506" max="10506" width="3.28515625" style="34" customWidth="1"/>
    <col min="10507" max="10507" width="12.7109375" style="34" customWidth="1"/>
    <col min="10508" max="10508" width="1.42578125" style="34" customWidth="1"/>
    <col min="10509" max="10509" width="3.5703125" style="34" customWidth="1"/>
    <col min="10510" max="10510" width="1.7109375" style="34" customWidth="1"/>
    <col min="10511" max="10511" width="14" style="34" customWidth="1"/>
    <col min="10512" max="10512" width="2.28515625" style="34" customWidth="1"/>
    <col min="10513" max="10751" width="9.28515625" style="34"/>
    <col min="10752" max="10752" width="2.7109375" style="34" customWidth="1"/>
    <col min="10753" max="10753" width="6.42578125" style="34" customWidth="1"/>
    <col min="10754" max="10754" width="3.7109375" style="34" customWidth="1"/>
    <col min="10755" max="10755" width="16.5703125" style="34" customWidth="1"/>
    <col min="10756" max="10756" width="3" style="34" customWidth="1"/>
    <col min="10757" max="10757" width="11.28515625" style="34" customWidth="1"/>
    <col min="10758" max="10758" width="1.42578125" style="34" customWidth="1"/>
    <col min="10759" max="10759" width="3.42578125" style="34" customWidth="1"/>
    <col min="10760" max="10760" width="1.42578125" style="34" customWidth="1"/>
    <col min="10761" max="10761" width="12.5703125" style="34" customWidth="1"/>
    <col min="10762" max="10762" width="3.28515625" style="34" customWidth="1"/>
    <col min="10763" max="10763" width="12.7109375" style="34" customWidth="1"/>
    <col min="10764" max="10764" width="1.42578125" style="34" customWidth="1"/>
    <col min="10765" max="10765" width="3.5703125" style="34" customWidth="1"/>
    <col min="10766" max="10766" width="1.7109375" style="34" customWidth="1"/>
    <col min="10767" max="10767" width="14" style="34" customWidth="1"/>
    <col min="10768" max="10768" width="2.28515625" style="34" customWidth="1"/>
    <col min="10769" max="11007" width="9.28515625" style="34"/>
    <col min="11008" max="11008" width="2.7109375" style="34" customWidth="1"/>
    <col min="11009" max="11009" width="6.42578125" style="34" customWidth="1"/>
    <col min="11010" max="11010" width="3.7109375" style="34" customWidth="1"/>
    <col min="11011" max="11011" width="16.5703125" style="34" customWidth="1"/>
    <col min="11012" max="11012" width="3" style="34" customWidth="1"/>
    <col min="11013" max="11013" width="11.28515625" style="34" customWidth="1"/>
    <col min="11014" max="11014" width="1.42578125" style="34" customWidth="1"/>
    <col min="11015" max="11015" width="3.42578125" style="34" customWidth="1"/>
    <col min="11016" max="11016" width="1.42578125" style="34" customWidth="1"/>
    <col min="11017" max="11017" width="12.5703125" style="34" customWidth="1"/>
    <col min="11018" max="11018" width="3.28515625" style="34" customWidth="1"/>
    <col min="11019" max="11019" width="12.7109375" style="34" customWidth="1"/>
    <col min="11020" max="11020" width="1.42578125" style="34" customWidth="1"/>
    <col min="11021" max="11021" width="3.5703125" style="34" customWidth="1"/>
    <col min="11022" max="11022" width="1.7109375" style="34" customWidth="1"/>
    <col min="11023" max="11023" width="14" style="34" customWidth="1"/>
    <col min="11024" max="11024" width="2.28515625" style="34" customWidth="1"/>
    <col min="11025" max="11263" width="9.28515625" style="34"/>
    <col min="11264" max="11264" width="2.7109375" style="34" customWidth="1"/>
    <col min="11265" max="11265" width="6.42578125" style="34" customWidth="1"/>
    <col min="11266" max="11266" width="3.7109375" style="34" customWidth="1"/>
    <col min="11267" max="11267" width="16.5703125" style="34" customWidth="1"/>
    <col min="11268" max="11268" width="3" style="34" customWidth="1"/>
    <col min="11269" max="11269" width="11.28515625" style="34" customWidth="1"/>
    <col min="11270" max="11270" width="1.42578125" style="34" customWidth="1"/>
    <col min="11271" max="11271" width="3.42578125" style="34" customWidth="1"/>
    <col min="11272" max="11272" width="1.42578125" style="34" customWidth="1"/>
    <col min="11273" max="11273" width="12.5703125" style="34" customWidth="1"/>
    <col min="11274" max="11274" width="3.28515625" style="34" customWidth="1"/>
    <col min="11275" max="11275" width="12.7109375" style="34" customWidth="1"/>
    <col min="11276" max="11276" width="1.42578125" style="34" customWidth="1"/>
    <col min="11277" max="11277" width="3.5703125" style="34" customWidth="1"/>
    <col min="11278" max="11278" width="1.7109375" style="34" customWidth="1"/>
    <col min="11279" max="11279" width="14" style="34" customWidth="1"/>
    <col min="11280" max="11280" width="2.28515625" style="34" customWidth="1"/>
    <col min="11281" max="11519" width="9.28515625" style="34"/>
    <col min="11520" max="11520" width="2.7109375" style="34" customWidth="1"/>
    <col min="11521" max="11521" width="6.42578125" style="34" customWidth="1"/>
    <col min="11522" max="11522" width="3.7109375" style="34" customWidth="1"/>
    <col min="11523" max="11523" width="16.5703125" style="34" customWidth="1"/>
    <col min="11524" max="11524" width="3" style="34" customWidth="1"/>
    <col min="11525" max="11525" width="11.28515625" style="34" customWidth="1"/>
    <col min="11526" max="11526" width="1.42578125" style="34" customWidth="1"/>
    <col min="11527" max="11527" width="3.42578125" style="34" customWidth="1"/>
    <col min="11528" max="11528" width="1.42578125" style="34" customWidth="1"/>
    <col min="11529" max="11529" width="12.5703125" style="34" customWidth="1"/>
    <col min="11530" max="11530" width="3.28515625" style="34" customWidth="1"/>
    <col min="11531" max="11531" width="12.7109375" style="34" customWidth="1"/>
    <col min="11532" max="11532" width="1.42578125" style="34" customWidth="1"/>
    <col min="11533" max="11533" width="3.5703125" style="34" customWidth="1"/>
    <col min="11534" max="11534" width="1.7109375" style="34" customWidth="1"/>
    <col min="11535" max="11535" width="14" style="34" customWidth="1"/>
    <col min="11536" max="11536" width="2.28515625" style="34" customWidth="1"/>
    <col min="11537" max="11775" width="9.28515625" style="34"/>
    <col min="11776" max="11776" width="2.7109375" style="34" customWidth="1"/>
    <col min="11777" max="11777" width="6.42578125" style="34" customWidth="1"/>
    <col min="11778" max="11778" width="3.7109375" style="34" customWidth="1"/>
    <col min="11779" max="11779" width="16.5703125" style="34" customWidth="1"/>
    <col min="11780" max="11780" width="3" style="34" customWidth="1"/>
    <col min="11781" max="11781" width="11.28515625" style="34" customWidth="1"/>
    <col min="11782" max="11782" width="1.42578125" style="34" customWidth="1"/>
    <col min="11783" max="11783" width="3.42578125" style="34" customWidth="1"/>
    <col min="11784" max="11784" width="1.42578125" style="34" customWidth="1"/>
    <col min="11785" max="11785" width="12.5703125" style="34" customWidth="1"/>
    <col min="11786" max="11786" width="3.28515625" style="34" customWidth="1"/>
    <col min="11787" max="11787" width="12.7109375" style="34" customWidth="1"/>
    <col min="11788" max="11788" width="1.42578125" style="34" customWidth="1"/>
    <col min="11789" max="11789" width="3.5703125" style="34" customWidth="1"/>
    <col min="11790" max="11790" width="1.7109375" style="34" customWidth="1"/>
    <col min="11791" max="11791" width="14" style="34" customWidth="1"/>
    <col min="11792" max="11792" width="2.28515625" style="34" customWidth="1"/>
    <col min="11793" max="12031" width="9.28515625" style="34"/>
    <col min="12032" max="12032" width="2.7109375" style="34" customWidth="1"/>
    <col min="12033" max="12033" width="6.42578125" style="34" customWidth="1"/>
    <col min="12034" max="12034" width="3.7109375" style="34" customWidth="1"/>
    <col min="12035" max="12035" width="16.5703125" style="34" customWidth="1"/>
    <col min="12036" max="12036" width="3" style="34" customWidth="1"/>
    <col min="12037" max="12037" width="11.28515625" style="34" customWidth="1"/>
    <col min="12038" max="12038" width="1.42578125" style="34" customWidth="1"/>
    <col min="12039" max="12039" width="3.42578125" style="34" customWidth="1"/>
    <col min="12040" max="12040" width="1.42578125" style="34" customWidth="1"/>
    <col min="12041" max="12041" width="12.5703125" style="34" customWidth="1"/>
    <col min="12042" max="12042" width="3.28515625" style="34" customWidth="1"/>
    <col min="12043" max="12043" width="12.7109375" style="34" customWidth="1"/>
    <col min="12044" max="12044" width="1.42578125" style="34" customWidth="1"/>
    <col min="12045" max="12045" width="3.5703125" style="34" customWidth="1"/>
    <col min="12046" max="12046" width="1.7109375" style="34" customWidth="1"/>
    <col min="12047" max="12047" width="14" style="34" customWidth="1"/>
    <col min="12048" max="12048" width="2.28515625" style="34" customWidth="1"/>
    <col min="12049" max="12287" width="9.28515625" style="34"/>
    <col min="12288" max="12288" width="2.7109375" style="34" customWidth="1"/>
    <col min="12289" max="12289" width="6.42578125" style="34" customWidth="1"/>
    <col min="12290" max="12290" width="3.7109375" style="34" customWidth="1"/>
    <col min="12291" max="12291" width="16.5703125" style="34" customWidth="1"/>
    <col min="12292" max="12292" width="3" style="34" customWidth="1"/>
    <col min="12293" max="12293" width="11.28515625" style="34" customWidth="1"/>
    <col min="12294" max="12294" width="1.42578125" style="34" customWidth="1"/>
    <col min="12295" max="12295" width="3.42578125" style="34" customWidth="1"/>
    <col min="12296" max="12296" width="1.42578125" style="34" customWidth="1"/>
    <col min="12297" max="12297" width="12.5703125" style="34" customWidth="1"/>
    <col min="12298" max="12298" width="3.28515625" style="34" customWidth="1"/>
    <col min="12299" max="12299" width="12.7109375" style="34" customWidth="1"/>
    <col min="12300" max="12300" width="1.42578125" style="34" customWidth="1"/>
    <col min="12301" max="12301" width="3.5703125" style="34" customWidth="1"/>
    <col min="12302" max="12302" width="1.7109375" style="34" customWidth="1"/>
    <col min="12303" max="12303" width="14" style="34" customWidth="1"/>
    <col min="12304" max="12304" width="2.28515625" style="34" customWidth="1"/>
    <col min="12305" max="12543" width="9.28515625" style="34"/>
    <col min="12544" max="12544" width="2.7109375" style="34" customWidth="1"/>
    <col min="12545" max="12545" width="6.42578125" style="34" customWidth="1"/>
    <col min="12546" max="12546" width="3.7109375" style="34" customWidth="1"/>
    <col min="12547" max="12547" width="16.5703125" style="34" customWidth="1"/>
    <col min="12548" max="12548" width="3" style="34" customWidth="1"/>
    <col min="12549" max="12549" width="11.28515625" style="34" customWidth="1"/>
    <col min="12550" max="12550" width="1.42578125" style="34" customWidth="1"/>
    <col min="12551" max="12551" width="3.42578125" style="34" customWidth="1"/>
    <col min="12552" max="12552" width="1.42578125" style="34" customWidth="1"/>
    <col min="12553" max="12553" width="12.5703125" style="34" customWidth="1"/>
    <col min="12554" max="12554" width="3.28515625" style="34" customWidth="1"/>
    <col min="12555" max="12555" width="12.7109375" style="34" customWidth="1"/>
    <col min="12556" max="12556" width="1.42578125" style="34" customWidth="1"/>
    <col min="12557" max="12557" width="3.5703125" style="34" customWidth="1"/>
    <col min="12558" max="12558" width="1.7109375" style="34" customWidth="1"/>
    <col min="12559" max="12559" width="14" style="34" customWidth="1"/>
    <col min="12560" max="12560" width="2.28515625" style="34" customWidth="1"/>
    <col min="12561" max="12799" width="9.28515625" style="34"/>
    <col min="12800" max="12800" width="2.7109375" style="34" customWidth="1"/>
    <col min="12801" max="12801" width="6.42578125" style="34" customWidth="1"/>
    <col min="12802" max="12802" width="3.7109375" style="34" customWidth="1"/>
    <col min="12803" max="12803" width="16.5703125" style="34" customWidth="1"/>
    <col min="12804" max="12804" width="3" style="34" customWidth="1"/>
    <col min="12805" max="12805" width="11.28515625" style="34" customWidth="1"/>
    <col min="12806" max="12806" width="1.42578125" style="34" customWidth="1"/>
    <col min="12807" max="12807" width="3.42578125" style="34" customWidth="1"/>
    <col min="12808" max="12808" width="1.42578125" style="34" customWidth="1"/>
    <col min="12809" max="12809" width="12.5703125" style="34" customWidth="1"/>
    <col min="12810" max="12810" width="3.28515625" style="34" customWidth="1"/>
    <col min="12811" max="12811" width="12.7109375" style="34" customWidth="1"/>
    <col min="12812" max="12812" width="1.42578125" style="34" customWidth="1"/>
    <col min="12813" max="12813" width="3.5703125" style="34" customWidth="1"/>
    <col min="12814" max="12814" width="1.7109375" style="34" customWidth="1"/>
    <col min="12815" max="12815" width="14" style="34" customWidth="1"/>
    <col min="12816" max="12816" width="2.28515625" style="34" customWidth="1"/>
    <col min="12817" max="13055" width="9.28515625" style="34"/>
    <col min="13056" max="13056" width="2.7109375" style="34" customWidth="1"/>
    <col min="13057" max="13057" width="6.42578125" style="34" customWidth="1"/>
    <col min="13058" max="13058" width="3.7109375" style="34" customWidth="1"/>
    <col min="13059" max="13059" width="16.5703125" style="34" customWidth="1"/>
    <col min="13060" max="13060" width="3" style="34" customWidth="1"/>
    <col min="13061" max="13061" width="11.28515625" style="34" customWidth="1"/>
    <col min="13062" max="13062" width="1.42578125" style="34" customWidth="1"/>
    <col min="13063" max="13063" width="3.42578125" style="34" customWidth="1"/>
    <col min="13064" max="13064" width="1.42578125" style="34" customWidth="1"/>
    <col min="13065" max="13065" width="12.5703125" style="34" customWidth="1"/>
    <col min="13066" max="13066" width="3.28515625" style="34" customWidth="1"/>
    <col min="13067" max="13067" width="12.7109375" style="34" customWidth="1"/>
    <col min="13068" max="13068" width="1.42578125" style="34" customWidth="1"/>
    <col min="13069" max="13069" width="3.5703125" style="34" customWidth="1"/>
    <col min="13070" max="13070" width="1.7109375" style="34" customWidth="1"/>
    <col min="13071" max="13071" width="14" style="34" customWidth="1"/>
    <col min="13072" max="13072" width="2.28515625" style="34" customWidth="1"/>
    <col min="13073" max="13311" width="9.28515625" style="34"/>
    <col min="13312" max="13312" width="2.7109375" style="34" customWidth="1"/>
    <col min="13313" max="13313" width="6.42578125" style="34" customWidth="1"/>
    <col min="13314" max="13314" width="3.7109375" style="34" customWidth="1"/>
    <col min="13315" max="13315" width="16.5703125" style="34" customWidth="1"/>
    <col min="13316" max="13316" width="3" style="34" customWidth="1"/>
    <col min="13317" max="13317" width="11.28515625" style="34" customWidth="1"/>
    <col min="13318" max="13318" width="1.42578125" style="34" customWidth="1"/>
    <col min="13319" max="13319" width="3.42578125" style="34" customWidth="1"/>
    <col min="13320" max="13320" width="1.42578125" style="34" customWidth="1"/>
    <col min="13321" max="13321" width="12.5703125" style="34" customWidth="1"/>
    <col min="13322" max="13322" width="3.28515625" style="34" customWidth="1"/>
    <col min="13323" max="13323" width="12.7109375" style="34" customWidth="1"/>
    <col min="13324" max="13324" width="1.42578125" style="34" customWidth="1"/>
    <col min="13325" max="13325" width="3.5703125" style="34" customWidth="1"/>
    <col min="13326" max="13326" width="1.7109375" style="34" customWidth="1"/>
    <col min="13327" max="13327" width="14" style="34" customWidth="1"/>
    <col min="13328" max="13328" width="2.28515625" style="34" customWidth="1"/>
    <col min="13329" max="13567" width="9.28515625" style="34"/>
    <col min="13568" max="13568" width="2.7109375" style="34" customWidth="1"/>
    <col min="13569" max="13569" width="6.42578125" style="34" customWidth="1"/>
    <col min="13570" max="13570" width="3.7109375" style="34" customWidth="1"/>
    <col min="13571" max="13571" width="16.5703125" style="34" customWidth="1"/>
    <col min="13572" max="13572" width="3" style="34" customWidth="1"/>
    <col min="13573" max="13573" width="11.28515625" style="34" customWidth="1"/>
    <col min="13574" max="13574" width="1.42578125" style="34" customWidth="1"/>
    <col min="13575" max="13575" width="3.42578125" style="34" customWidth="1"/>
    <col min="13576" max="13576" width="1.42578125" style="34" customWidth="1"/>
    <col min="13577" max="13577" width="12.5703125" style="34" customWidth="1"/>
    <col min="13578" max="13578" width="3.28515625" style="34" customWidth="1"/>
    <col min="13579" max="13579" width="12.7109375" style="34" customWidth="1"/>
    <col min="13580" max="13580" width="1.42578125" style="34" customWidth="1"/>
    <col min="13581" max="13581" width="3.5703125" style="34" customWidth="1"/>
    <col min="13582" max="13582" width="1.7109375" style="34" customWidth="1"/>
    <col min="13583" max="13583" width="14" style="34" customWidth="1"/>
    <col min="13584" max="13584" width="2.28515625" style="34" customWidth="1"/>
    <col min="13585" max="13823" width="9.28515625" style="34"/>
    <col min="13824" max="13824" width="2.7109375" style="34" customWidth="1"/>
    <col min="13825" max="13825" width="6.42578125" style="34" customWidth="1"/>
    <col min="13826" max="13826" width="3.7109375" style="34" customWidth="1"/>
    <col min="13827" max="13827" width="16.5703125" style="34" customWidth="1"/>
    <col min="13828" max="13828" width="3" style="34" customWidth="1"/>
    <col min="13829" max="13829" width="11.28515625" style="34" customWidth="1"/>
    <col min="13830" max="13830" width="1.42578125" style="34" customWidth="1"/>
    <col min="13831" max="13831" width="3.42578125" style="34" customWidth="1"/>
    <col min="13832" max="13832" width="1.42578125" style="34" customWidth="1"/>
    <col min="13833" max="13833" width="12.5703125" style="34" customWidth="1"/>
    <col min="13834" max="13834" width="3.28515625" style="34" customWidth="1"/>
    <col min="13835" max="13835" width="12.7109375" style="34" customWidth="1"/>
    <col min="13836" max="13836" width="1.42578125" style="34" customWidth="1"/>
    <col min="13837" max="13837" width="3.5703125" style="34" customWidth="1"/>
    <col min="13838" max="13838" width="1.7109375" style="34" customWidth="1"/>
    <col min="13839" max="13839" width="14" style="34" customWidth="1"/>
    <col min="13840" max="13840" width="2.28515625" style="34" customWidth="1"/>
    <col min="13841" max="14079" width="9.28515625" style="34"/>
    <col min="14080" max="14080" width="2.7109375" style="34" customWidth="1"/>
    <col min="14081" max="14081" width="6.42578125" style="34" customWidth="1"/>
    <col min="14082" max="14082" width="3.7109375" style="34" customWidth="1"/>
    <col min="14083" max="14083" width="16.5703125" style="34" customWidth="1"/>
    <col min="14084" max="14084" width="3" style="34" customWidth="1"/>
    <col min="14085" max="14085" width="11.28515625" style="34" customWidth="1"/>
    <col min="14086" max="14086" width="1.42578125" style="34" customWidth="1"/>
    <col min="14087" max="14087" width="3.42578125" style="34" customWidth="1"/>
    <col min="14088" max="14088" width="1.42578125" style="34" customWidth="1"/>
    <col min="14089" max="14089" width="12.5703125" style="34" customWidth="1"/>
    <col min="14090" max="14090" width="3.28515625" style="34" customWidth="1"/>
    <col min="14091" max="14091" width="12.7109375" style="34" customWidth="1"/>
    <col min="14092" max="14092" width="1.42578125" style="34" customWidth="1"/>
    <col min="14093" max="14093" width="3.5703125" style="34" customWidth="1"/>
    <col min="14094" max="14094" width="1.7109375" style="34" customWidth="1"/>
    <col min="14095" max="14095" width="14" style="34" customWidth="1"/>
    <col min="14096" max="14096" width="2.28515625" style="34" customWidth="1"/>
    <col min="14097" max="14335" width="9.28515625" style="34"/>
    <col min="14336" max="14336" width="2.7109375" style="34" customWidth="1"/>
    <col min="14337" max="14337" width="6.42578125" style="34" customWidth="1"/>
    <col min="14338" max="14338" width="3.7109375" style="34" customWidth="1"/>
    <col min="14339" max="14339" width="16.5703125" style="34" customWidth="1"/>
    <col min="14340" max="14340" width="3" style="34" customWidth="1"/>
    <col min="14341" max="14341" width="11.28515625" style="34" customWidth="1"/>
    <col min="14342" max="14342" width="1.42578125" style="34" customWidth="1"/>
    <col min="14343" max="14343" width="3.42578125" style="34" customWidth="1"/>
    <col min="14344" max="14344" width="1.42578125" style="34" customWidth="1"/>
    <col min="14345" max="14345" width="12.5703125" style="34" customWidth="1"/>
    <col min="14346" max="14346" width="3.28515625" style="34" customWidth="1"/>
    <col min="14347" max="14347" width="12.7109375" style="34" customWidth="1"/>
    <col min="14348" max="14348" width="1.42578125" style="34" customWidth="1"/>
    <col min="14349" max="14349" width="3.5703125" style="34" customWidth="1"/>
    <col min="14350" max="14350" width="1.7109375" style="34" customWidth="1"/>
    <col min="14351" max="14351" width="14" style="34" customWidth="1"/>
    <col min="14352" max="14352" width="2.28515625" style="34" customWidth="1"/>
    <col min="14353" max="14591" width="9.28515625" style="34"/>
    <col min="14592" max="14592" width="2.7109375" style="34" customWidth="1"/>
    <col min="14593" max="14593" width="6.42578125" style="34" customWidth="1"/>
    <col min="14594" max="14594" width="3.7109375" style="34" customWidth="1"/>
    <col min="14595" max="14595" width="16.5703125" style="34" customWidth="1"/>
    <col min="14596" max="14596" width="3" style="34" customWidth="1"/>
    <col min="14597" max="14597" width="11.28515625" style="34" customWidth="1"/>
    <col min="14598" max="14598" width="1.42578125" style="34" customWidth="1"/>
    <col min="14599" max="14599" width="3.42578125" style="34" customWidth="1"/>
    <col min="14600" max="14600" width="1.42578125" style="34" customWidth="1"/>
    <col min="14601" max="14601" width="12.5703125" style="34" customWidth="1"/>
    <col min="14602" max="14602" width="3.28515625" style="34" customWidth="1"/>
    <col min="14603" max="14603" width="12.7109375" style="34" customWidth="1"/>
    <col min="14604" max="14604" width="1.42578125" style="34" customWidth="1"/>
    <col min="14605" max="14605" width="3.5703125" style="34" customWidth="1"/>
    <col min="14606" max="14606" width="1.7109375" style="34" customWidth="1"/>
    <col min="14607" max="14607" width="14" style="34" customWidth="1"/>
    <col min="14608" max="14608" width="2.28515625" style="34" customWidth="1"/>
    <col min="14609" max="14847" width="9.28515625" style="34"/>
    <col min="14848" max="14848" width="2.7109375" style="34" customWidth="1"/>
    <col min="14849" max="14849" width="6.42578125" style="34" customWidth="1"/>
    <col min="14850" max="14850" width="3.7109375" style="34" customWidth="1"/>
    <col min="14851" max="14851" width="16.5703125" style="34" customWidth="1"/>
    <col min="14852" max="14852" width="3" style="34" customWidth="1"/>
    <col min="14853" max="14853" width="11.28515625" style="34" customWidth="1"/>
    <col min="14854" max="14854" width="1.42578125" style="34" customWidth="1"/>
    <col min="14855" max="14855" width="3.42578125" style="34" customWidth="1"/>
    <col min="14856" max="14856" width="1.42578125" style="34" customWidth="1"/>
    <col min="14857" max="14857" width="12.5703125" style="34" customWidth="1"/>
    <col min="14858" max="14858" width="3.28515625" style="34" customWidth="1"/>
    <col min="14859" max="14859" width="12.7109375" style="34" customWidth="1"/>
    <col min="14860" max="14860" width="1.42578125" style="34" customWidth="1"/>
    <col min="14861" max="14861" width="3.5703125" style="34" customWidth="1"/>
    <col min="14862" max="14862" width="1.7109375" style="34" customWidth="1"/>
    <col min="14863" max="14863" width="14" style="34" customWidth="1"/>
    <col min="14864" max="14864" width="2.28515625" style="34" customWidth="1"/>
    <col min="14865" max="15103" width="9.28515625" style="34"/>
    <col min="15104" max="15104" width="2.7109375" style="34" customWidth="1"/>
    <col min="15105" max="15105" width="6.42578125" style="34" customWidth="1"/>
    <col min="15106" max="15106" width="3.7109375" style="34" customWidth="1"/>
    <col min="15107" max="15107" width="16.5703125" style="34" customWidth="1"/>
    <col min="15108" max="15108" width="3" style="34" customWidth="1"/>
    <col min="15109" max="15109" width="11.28515625" style="34" customWidth="1"/>
    <col min="15110" max="15110" width="1.42578125" style="34" customWidth="1"/>
    <col min="15111" max="15111" width="3.42578125" style="34" customWidth="1"/>
    <col min="15112" max="15112" width="1.42578125" style="34" customWidth="1"/>
    <col min="15113" max="15113" width="12.5703125" style="34" customWidth="1"/>
    <col min="15114" max="15114" width="3.28515625" style="34" customWidth="1"/>
    <col min="15115" max="15115" width="12.7109375" style="34" customWidth="1"/>
    <col min="15116" max="15116" width="1.42578125" style="34" customWidth="1"/>
    <col min="15117" max="15117" width="3.5703125" style="34" customWidth="1"/>
    <col min="15118" max="15118" width="1.7109375" style="34" customWidth="1"/>
    <col min="15119" max="15119" width="14" style="34" customWidth="1"/>
    <col min="15120" max="15120" width="2.28515625" style="34" customWidth="1"/>
    <col min="15121" max="15359" width="9.28515625" style="34"/>
    <col min="15360" max="15360" width="2.7109375" style="34" customWidth="1"/>
    <col min="15361" max="15361" width="6.42578125" style="34" customWidth="1"/>
    <col min="15362" max="15362" width="3.7109375" style="34" customWidth="1"/>
    <col min="15363" max="15363" width="16.5703125" style="34" customWidth="1"/>
    <col min="15364" max="15364" width="3" style="34" customWidth="1"/>
    <col min="15365" max="15365" width="11.28515625" style="34" customWidth="1"/>
    <col min="15366" max="15366" width="1.42578125" style="34" customWidth="1"/>
    <col min="15367" max="15367" width="3.42578125" style="34" customWidth="1"/>
    <col min="15368" max="15368" width="1.42578125" style="34" customWidth="1"/>
    <col min="15369" max="15369" width="12.5703125" style="34" customWidth="1"/>
    <col min="15370" max="15370" width="3.28515625" style="34" customWidth="1"/>
    <col min="15371" max="15371" width="12.7109375" style="34" customWidth="1"/>
    <col min="15372" max="15372" width="1.42578125" style="34" customWidth="1"/>
    <col min="15373" max="15373" width="3.5703125" style="34" customWidth="1"/>
    <col min="15374" max="15374" width="1.7109375" style="34" customWidth="1"/>
    <col min="15375" max="15375" width="14" style="34" customWidth="1"/>
    <col min="15376" max="15376" width="2.28515625" style="34" customWidth="1"/>
    <col min="15377" max="15615" width="9.28515625" style="34"/>
    <col min="15616" max="15616" width="2.7109375" style="34" customWidth="1"/>
    <col min="15617" max="15617" width="6.42578125" style="34" customWidth="1"/>
    <col min="15618" max="15618" width="3.7109375" style="34" customWidth="1"/>
    <col min="15619" max="15619" width="16.5703125" style="34" customWidth="1"/>
    <col min="15620" max="15620" width="3" style="34" customWidth="1"/>
    <col min="15621" max="15621" width="11.28515625" style="34" customWidth="1"/>
    <col min="15622" max="15622" width="1.42578125" style="34" customWidth="1"/>
    <col min="15623" max="15623" width="3.42578125" style="34" customWidth="1"/>
    <col min="15624" max="15624" width="1.42578125" style="34" customWidth="1"/>
    <col min="15625" max="15625" width="12.5703125" style="34" customWidth="1"/>
    <col min="15626" max="15626" width="3.28515625" style="34" customWidth="1"/>
    <col min="15627" max="15627" width="12.7109375" style="34" customWidth="1"/>
    <col min="15628" max="15628" width="1.42578125" style="34" customWidth="1"/>
    <col min="15629" max="15629" width="3.5703125" style="34" customWidth="1"/>
    <col min="15630" max="15630" width="1.7109375" style="34" customWidth="1"/>
    <col min="15631" max="15631" width="14" style="34" customWidth="1"/>
    <col min="15632" max="15632" width="2.28515625" style="34" customWidth="1"/>
    <col min="15633" max="15871" width="9.28515625" style="34"/>
    <col min="15872" max="15872" width="2.7109375" style="34" customWidth="1"/>
    <col min="15873" max="15873" width="6.42578125" style="34" customWidth="1"/>
    <col min="15874" max="15874" width="3.7109375" style="34" customWidth="1"/>
    <col min="15875" max="15875" width="16.5703125" style="34" customWidth="1"/>
    <col min="15876" max="15876" width="3" style="34" customWidth="1"/>
    <col min="15877" max="15877" width="11.28515625" style="34" customWidth="1"/>
    <col min="15878" max="15878" width="1.42578125" style="34" customWidth="1"/>
    <col min="15879" max="15879" width="3.42578125" style="34" customWidth="1"/>
    <col min="15880" max="15880" width="1.42578125" style="34" customWidth="1"/>
    <col min="15881" max="15881" width="12.5703125" style="34" customWidth="1"/>
    <col min="15882" max="15882" width="3.28515625" style="34" customWidth="1"/>
    <col min="15883" max="15883" width="12.7109375" style="34" customWidth="1"/>
    <col min="15884" max="15884" width="1.42578125" style="34" customWidth="1"/>
    <col min="15885" max="15885" width="3.5703125" style="34" customWidth="1"/>
    <col min="15886" max="15886" width="1.7109375" style="34" customWidth="1"/>
    <col min="15887" max="15887" width="14" style="34" customWidth="1"/>
    <col min="15888" max="15888" width="2.28515625" style="34" customWidth="1"/>
    <col min="15889" max="16127" width="9.28515625" style="34"/>
    <col min="16128" max="16128" width="2.7109375" style="34" customWidth="1"/>
    <col min="16129" max="16129" width="6.42578125" style="34" customWidth="1"/>
    <col min="16130" max="16130" width="3.7109375" style="34" customWidth="1"/>
    <col min="16131" max="16131" width="16.5703125" style="34" customWidth="1"/>
    <col min="16132" max="16132" width="3" style="34" customWidth="1"/>
    <col min="16133" max="16133" width="11.28515625" style="34" customWidth="1"/>
    <col min="16134" max="16134" width="1.42578125" style="34" customWidth="1"/>
    <col min="16135" max="16135" width="3.42578125" style="34" customWidth="1"/>
    <col min="16136" max="16136" width="1.42578125" style="34" customWidth="1"/>
    <col min="16137" max="16137" width="12.5703125" style="34" customWidth="1"/>
    <col min="16138" max="16138" width="3.28515625" style="34" customWidth="1"/>
    <col min="16139" max="16139" width="12.7109375" style="34" customWidth="1"/>
    <col min="16140" max="16140" width="1.42578125" style="34" customWidth="1"/>
    <col min="16141" max="16141" width="3.5703125" style="34" customWidth="1"/>
    <col min="16142" max="16142" width="1.7109375" style="34" customWidth="1"/>
    <col min="16143" max="16143" width="14" style="34" customWidth="1"/>
    <col min="16144" max="16144" width="2.28515625" style="34" customWidth="1"/>
    <col min="16145" max="16384" width="9.28515625" style="34"/>
  </cols>
  <sheetData>
    <row r="1" spans="1:15" x14ac:dyDescent="0.2">
      <c r="K1" s="217" t="s">
        <v>277</v>
      </c>
      <c r="O1" s="40" t="str">
        <f>EBNUMBER</f>
        <v>EB-2018-0056</v>
      </c>
    </row>
    <row r="2" spans="1:15" x14ac:dyDescent="0.2">
      <c r="K2" s="217" t="s">
        <v>278</v>
      </c>
      <c r="O2" s="41"/>
    </row>
    <row r="3" spans="1:15" x14ac:dyDescent="0.2">
      <c r="K3" s="217" t="s">
        <v>279</v>
      </c>
      <c r="O3" s="41"/>
    </row>
    <row r="4" spans="1:15" x14ac:dyDescent="0.2">
      <c r="K4" s="217" t="s">
        <v>280</v>
      </c>
      <c r="O4" s="41"/>
    </row>
    <row r="5" spans="1:15" x14ac:dyDescent="0.2">
      <c r="K5" s="217" t="s">
        <v>281</v>
      </c>
      <c r="O5" s="42"/>
    </row>
    <row r="6" spans="1:15" x14ac:dyDescent="0.2">
      <c r="K6" s="217"/>
      <c r="O6" s="40"/>
    </row>
    <row r="7" spans="1:15" x14ac:dyDescent="0.2">
      <c r="K7" s="217" t="s">
        <v>282</v>
      </c>
      <c r="O7" s="42"/>
    </row>
    <row r="10" spans="1:15" ht="18" x14ac:dyDescent="0.25">
      <c r="C10" s="1760" t="s">
        <v>427</v>
      </c>
      <c r="D10" s="1760"/>
      <c r="E10" s="1760"/>
      <c r="F10" s="1760"/>
      <c r="G10" s="1760"/>
      <c r="H10" s="1760"/>
      <c r="I10" s="1760"/>
      <c r="J10" s="1760"/>
      <c r="K10" s="1760"/>
      <c r="L10" s="1760"/>
      <c r="M10" s="1760"/>
      <c r="N10" s="1760"/>
      <c r="O10" s="1760"/>
    </row>
    <row r="11" spans="1:15" ht="18" x14ac:dyDescent="0.2">
      <c r="C11" s="2034" t="s">
        <v>412</v>
      </c>
      <c r="D11" s="2034"/>
      <c r="E11" s="2034"/>
      <c r="F11" s="2034"/>
      <c r="G11" s="2034"/>
      <c r="H11" s="2034"/>
      <c r="I11" s="2034"/>
      <c r="J11" s="2034"/>
      <c r="K11" s="2034"/>
      <c r="L11" s="2034"/>
      <c r="M11" s="2034"/>
      <c r="N11" s="2034"/>
      <c r="O11" s="2034"/>
    </row>
    <row r="13" spans="1:15" x14ac:dyDescent="0.2">
      <c r="A13" s="2035" t="s">
        <v>950</v>
      </c>
      <c r="B13" s="2035"/>
      <c r="C13" s="2035"/>
      <c r="D13" s="2035"/>
      <c r="E13" s="2035"/>
      <c r="F13" s="2035"/>
      <c r="G13" s="2035"/>
      <c r="H13" s="2035"/>
      <c r="I13" s="2035"/>
      <c r="J13" s="2035"/>
      <c r="K13" s="2035"/>
      <c r="L13" s="2035"/>
      <c r="M13" s="2035"/>
      <c r="N13" s="2035"/>
      <c r="O13" s="2035"/>
    </row>
    <row r="14" spans="1:15" x14ac:dyDescent="0.2">
      <c r="A14" s="459"/>
      <c r="B14" s="459"/>
      <c r="C14" s="459"/>
      <c r="D14" s="459"/>
      <c r="E14" s="459"/>
      <c r="F14" s="459"/>
      <c r="G14" s="459"/>
      <c r="H14" s="459"/>
      <c r="I14" s="459"/>
      <c r="J14" s="459"/>
      <c r="K14" s="459"/>
      <c r="L14" s="459"/>
      <c r="M14" s="459"/>
      <c r="N14" s="459"/>
      <c r="O14" s="459"/>
    </row>
    <row r="15" spans="1:15" s="27" customFormat="1" x14ac:dyDescent="0.2">
      <c r="B15" s="34"/>
      <c r="C15" s="34"/>
      <c r="G15" s="196" t="s">
        <v>21</v>
      </c>
      <c r="H15" s="2030">
        <v>2019</v>
      </c>
      <c r="I15" s="2030"/>
      <c r="J15" s="2030"/>
    </row>
    <row r="17" spans="1:16" x14ac:dyDescent="0.2">
      <c r="A17" s="2031" t="s">
        <v>413</v>
      </c>
      <c r="B17" s="81"/>
      <c r="C17" s="81"/>
      <c r="D17" s="81"/>
      <c r="E17" s="81"/>
      <c r="F17" s="81"/>
      <c r="G17" s="81"/>
      <c r="H17" s="81"/>
      <c r="I17" s="81"/>
      <c r="J17" s="81"/>
      <c r="K17" s="81"/>
      <c r="L17" s="81"/>
      <c r="M17" s="81"/>
      <c r="N17" s="81"/>
      <c r="O17" s="81"/>
    </row>
    <row r="18" spans="1:16" x14ac:dyDescent="0.2">
      <c r="A18" s="2032"/>
      <c r="B18" s="81"/>
      <c r="C18" s="460" t="s">
        <v>414</v>
      </c>
      <c r="D18" s="81"/>
      <c r="E18" s="2033" t="s">
        <v>415</v>
      </c>
      <c r="F18" s="2033"/>
      <c r="G18" s="2033"/>
      <c r="H18" s="2033"/>
      <c r="I18" s="2033"/>
      <c r="J18" s="286"/>
      <c r="K18" s="460" t="s">
        <v>283</v>
      </c>
      <c r="L18" s="287"/>
      <c r="M18" s="81"/>
      <c r="N18" s="81"/>
      <c r="O18" s="460" t="s">
        <v>416</v>
      </c>
    </row>
    <row r="19" spans="1:16" x14ac:dyDescent="0.2">
      <c r="A19" s="77"/>
      <c r="B19" s="81"/>
      <c r="C19" s="81"/>
      <c r="D19" s="81"/>
      <c r="E19" s="81"/>
      <c r="F19" s="81"/>
      <c r="G19" s="81"/>
      <c r="H19" s="81"/>
      <c r="I19" s="288"/>
      <c r="J19" s="288"/>
      <c r="K19" s="81"/>
      <c r="L19" s="81"/>
      <c r="M19" s="81"/>
      <c r="N19" s="81"/>
      <c r="O19" s="81"/>
    </row>
    <row r="20" spans="1:16" x14ac:dyDescent="0.2">
      <c r="A20" s="131"/>
      <c r="B20" s="81"/>
      <c r="C20" s="81"/>
      <c r="D20" s="81"/>
      <c r="E20" s="289" t="s">
        <v>284</v>
      </c>
      <c r="F20" s="290"/>
      <c r="G20" s="290"/>
      <c r="H20" s="290"/>
      <c r="I20" s="289" t="s">
        <v>285</v>
      </c>
      <c r="J20" s="81"/>
      <c r="K20" s="289" t="s">
        <v>284</v>
      </c>
      <c r="L20" s="290"/>
      <c r="M20" s="81"/>
      <c r="N20" s="81"/>
      <c r="O20" s="288" t="s">
        <v>285</v>
      </c>
      <c r="P20" s="81"/>
    </row>
    <row r="21" spans="1:16" x14ac:dyDescent="0.2">
      <c r="A21" s="131"/>
      <c r="B21" s="81"/>
      <c r="C21" s="291" t="s">
        <v>417</v>
      </c>
      <c r="D21" s="81"/>
      <c r="E21" s="81"/>
      <c r="F21" s="81"/>
      <c r="G21" s="81"/>
      <c r="H21" s="81"/>
      <c r="I21" s="81"/>
      <c r="J21" s="81"/>
      <c r="K21" s="81"/>
      <c r="L21" s="81"/>
      <c r="M21" s="81"/>
      <c r="N21" s="81"/>
      <c r="O21" s="81"/>
      <c r="P21" s="81"/>
    </row>
    <row r="22" spans="1:16" x14ac:dyDescent="0.2">
      <c r="A22" s="131">
        <v>1</v>
      </c>
      <c r="B22" s="81"/>
      <c r="C22" s="292" t="s">
        <v>418</v>
      </c>
      <c r="D22" s="81"/>
      <c r="E22" s="293">
        <v>0.56000000000000016</v>
      </c>
      <c r="F22" s="294"/>
      <c r="G22" s="24"/>
      <c r="H22" s="22"/>
      <c r="I22" s="295">
        <f>I31*E22</f>
        <v>17102870.495684937</v>
      </c>
      <c r="J22" s="81"/>
      <c r="K22" s="293">
        <v>3.95E-2</v>
      </c>
      <c r="L22" s="294"/>
      <c r="M22" s="24"/>
      <c r="N22" s="22"/>
      <c r="O22" s="295">
        <f>K22*I22</f>
        <v>675563.38457955502</v>
      </c>
      <c r="P22" s="81"/>
    </row>
    <row r="23" spans="1:16" x14ac:dyDescent="0.2">
      <c r="A23" s="131">
        <v>2</v>
      </c>
      <c r="B23" s="81"/>
      <c r="C23" s="292" t="s">
        <v>419</v>
      </c>
      <c r="D23" s="81"/>
      <c r="E23" s="296">
        <v>0.04</v>
      </c>
      <c r="F23" s="294"/>
      <c r="G23" s="23" t="s">
        <v>286</v>
      </c>
      <c r="H23" s="23"/>
      <c r="I23" s="297">
        <f>I31*E23</f>
        <v>1221633.6068346379</v>
      </c>
      <c r="J23" s="81"/>
      <c r="K23" s="293">
        <v>2.8199999999999999E-2</v>
      </c>
      <c r="L23" s="294"/>
      <c r="M23" s="24"/>
      <c r="N23" s="22"/>
      <c r="O23" s="297">
        <f>K23*I23</f>
        <v>34450.067712736789</v>
      </c>
      <c r="P23" s="81"/>
    </row>
    <row r="24" spans="1:16" ht="13.5" thickBot="1" x14ac:dyDescent="0.25">
      <c r="A24" s="131">
        <v>3</v>
      </c>
      <c r="B24" s="81"/>
      <c r="C24" s="131" t="s">
        <v>420</v>
      </c>
      <c r="D24" s="81"/>
      <c r="E24" s="298">
        <f>SUM(E22:E23)</f>
        <v>0.6000000000000002</v>
      </c>
      <c r="F24" s="299"/>
      <c r="G24" s="298"/>
      <c r="H24" s="299"/>
      <c r="I24" s="300">
        <f>SUM(I22:I23)</f>
        <v>18324504.102519576</v>
      </c>
      <c r="J24" s="81"/>
      <c r="K24" s="301">
        <f>IF(E24=0,0,SUMPRODUCT(E22:E23,K22:K23)/E24)</f>
        <v>3.8746666666666665E-2</v>
      </c>
      <c r="L24" s="294"/>
      <c r="M24" s="302"/>
      <c r="N24" s="113"/>
      <c r="O24" s="300">
        <f>SUM(O22:O23)</f>
        <v>710013.4522922918</v>
      </c>
      <c r="P24" s="81"/>
    </row>
    <row r="25" spans="1:16" ht="13.5" thickTop="1" x14ac:dyDescent="0.2">
      <c r="A25" s="131"/>
      <c r="B25" s="81"/>
      <c r="C25" s="81"/>
      <c r="D25" s="81"/>
      <c r="E25" s="303"/>
      <c r="F25" s="304"/>
      <c r="G25" s="303"/>
      <c r="H25" s="304"/>
      <c r="I25" s="305"/>
      <c r="J25" s="81"/>
      <c r="K25" s="306"/>
      <c r="L25" s="294"/>
      <c r="M25" s="113"/>
      <c r="N25" s="113"/>
      <c r="O25" s="305"/>
      <c r="P25" s="81"/>
    </row>
    <row r="26" spans="1:16" x14ac:dyDescent="0.2">
      <c r="A26" s="131"/>
      <c r="B26" s="81"/>
      <c r="C26" s="291" t="s">
        <v>421</v>
      </c>
      <c r="D26" s="81"/>
      <c r="E26" s="303"/>
      <c r="F26" s="304"/>
      <c r="G26" s="303"/>
      <c r="H26" s="304"/>
      <c r="I26" s="305"/>
      <c r="J26" s="81"/>
      <c r="K26" s="306"/>
      <c r="L26" s="294"/>
      <c r="M26" s="113"/>
      <c r="N26" s="113"/>
      <c r="O26" s="305"/>
      <c r="P26" s="81"/>
    </row>
    <row r="27" spans="1:16" x14ac:dyDescent="0.2">
      <c r="A27" s="307">
        <v>4</v>
      </c>
      <c r="B27" s="308"/>
      <c r="C27" s="309" t="s">
        <v>422</v>
      </c>
      <c r="D27" s="308"/>
      <c r="E27" s="310">
        <v>0.4</v>
      </c>
      <c r="F27" s="311"/>
      <c r="G27" s="24"/>
      <c r="H27" s="22"/>
      <c r="I27" s="312">
        <f>I31*E27</f>
        <v>12216336.068346381</v>
      </c>
      <c r="J27" s="308"/>
      <c r="K27" s="310">
        <v>8.9800000000000005E-2</v>
      </c>
      <c r="L27" s="311"/>
      <c r="M27" s="24"/>
      <c r="N27" s="22"/>
      <c r="O27" s="312">
        <f>K27*I27</f>
        <v>1097026.978937505</v>
      </c>
      <c r="P27" s="81"/>
    </row>
    <row r="28" spans="1:16" x14ac:dyDescent="0.2">
      <c r="A28" s="307">
        <v>5</v>
      </c>
      <c r="B28" s="308"/>
      <c r="C28" s="309" t="s">
        <v>423</v>
      </c>
      <c r="D28" s="308"/>
      <c r="E28" s="313"/>
      <c r="F28" s="311"/>
      <c r="G28" s="24"/>
      <c r="H28" s="22"/>
      <c r="I28" s="314">
        <f>I31*E28</f>
        <v>0</v>
      </c>
      <c r="J28" s="308"/>
      <c r="K28" s="313"/>
      <c r="L28" s="311"/>
      <c r="M28" s="24"/>
      <c r="N28" s="22"/>
      <c r="O28" s="314">
        <f>K28*I28</f>
        <v>0</v>
      </c>
      <c r="P28" s="81"/>
    </row>
    <row r="29" spans="1:16" ht="13.5" thickBot="1" x14ac:dyDescent="0.25">
      <c r="A29" s="131">
        <v>6</v>
      </c>
      <c r="B29" s="81"/>
      <c r="C29" s="131" t="s">
        <v>424</v>
      </c>
      <c r="D29" s="81"/>
      <c r="E29" s="298">
        <f>SUM(E27:E28)</f>
        <v>0.4</v>
      </c>
      <c r="F29" s="298"/>
      <c r="G29" s="298"/>
      <c r="H29" s="299"/>
      <c r="I29" s="300">
        <f>SUM(I27:I28)</f>
        <v>12216336.068346381</v>
      </c>
      <c r="J29" s="81"/>
      <c r="K29" s="301">
        <f>IF(E29=0,0,SUMPRODUCT(E27:E28,K27:K28)/E29)</f>
        <v>8.9799999999999991E-2</v>
      </c>
      <c r="L29" s="294"/>
      <c r="M29" s="113"/>
      <c r="N29" s="113"/>
      <c r="O29" s="300">
        <f>SUM(O27:O28)</f>
        <v>1097026.978937505</v>
      </c>
      <c r="P29" s="81"/>
    </row>
    <row r="30" spans="1:16" ht="13.5" thickTop="1" x14ac:dyDescent="0.2">
      <c r="A30" s="131"/>
      <c r="B30" s="81"/>
      <c r="C30" s="81"/>
      <c r="D30" s="81"/>
      <c r="E30" s="81"/>
      <c r="F30" s="81"/>
      <c r="G30" s="81"/>
      <c r="H30" s="81"/>
      <c r="I30" s="305"/>
      <c r="J30" s="81"/>
      <c r="K30" s="306"/>
      <c r="L30" s="306"/>
      <c r="M30" s="113"/>
      <c r="N30" s="113"/>
      <c r="O30" s="305"/>
      <c r="P30" s="81"/>
    </row>
    <row r="31" spans="1:16" ht="13.5" thickBot="1" x14ac:dyDescent="0.25">
      <c r="A31" s="131">
        <v>7</v>
      </c>
      <c r="B31" s="81"/>
      <c r="C31" s="291" t="s">
        <v>272</v>
      </c>
      <c r="D31" s="81"/>
      <c r="E31" s="315">
        <v>1</v>
      </c>
      <c r="F31" s="315"/>
      <c r="G31" s="316"/>
      <c r="H31" s="316"/>
      <c r="I31" s="317">
        <v>30540840.170865949</v>
      </c>
      <c r="J31" s="81"/>
      <c r="K31" s="318">
        <f>(K24*E24)+(K29*E29)</f>
        <v>5.9168000000000012E-2</v>
      </c>
      <c r="L31" s="306"/>
      <c r="M31" s="81"/>
      <c r="N31" s="81"/>
      <c r="O31" s="319">
        <f>O24+O29</f>
        <v>1807040.4312297967</v>
      </c>
      <c r="P31" s="81"/>
    </row>
    <row r="32" spans="1:16" ht="13.5" thickTop="1" x14ac:dyDescent="0.2">
      <c r="A32" s="131"/>
      <c r="B32" s="81"/>
      <c r="C32" s="81"/>
      <c r="D32" s="81"/>
      <c r="E32" s="81"/>
      <c r="F32" s="81"/>
      <c r="G32" s="81"/>
      <c r="H32" s="81"/>
      <c r="I32" s="81"/>
      <c r="J32" s="81"/>
      <c r="K32" s="81"/>
      <c r="L32" s="81"/>
      <c r="M32" s="81"/>
      <c r="N32" s="81"/>
      <c r="O32" s="81"/>
      <c r="P32" s="81"/>
    </row>
    <row r="33" spans="1:16" x14ac:dyDescent="0.2">
      <c r="A33" s="131"/>
      <c r="B33" s="81"/>
      <c r="C33" s="81"/>
      <c r="D33" s="81"/>
      <c r="E33" s="81"/>
      <c r="F33" s="81"/>
      <c r="G33" s="81"/>
      <c r="H33" s="81"/>
      <c r="I33" s="81"/>
      <c r="J33" s="81"/>
      <c r="K33" s="81"/>
      <c r="L33" s="81"/>
      <c r="M33" s="81"/>
      <c r="N33" s="81"/>
      <c r="O33" s="81"/>
      <c r="P33" s="81"/>
    </row>
    <row r="34" spans="1:16" x14ac:dyDescent="0.2">
      <c r="A34" s="2029" t="s">
        <v>287</v>
      </c>
      <c r="B34" s="2029"/>
      <c r="C34" s="2029"/>
      <c r="D34" s="2029"/>
      <c r="E34" s="2029"/>
      <c r="F34" s="2029"/>
      <c r="G34" s="2029"/>
      <c r="H34" s="2029"/>
      <c r="I34" s="2029"/>
      <c r="J34" s="2029"/>
      <c r="K34" s="2029"/>
      <c r="L34" s="2029"/>
      <c r="M34" s="2029"/>
      <c r="N34" s="2029"/>
      <c r="O34" s="2029"/>
    </row>
    <row r="35" spans="1:16" x14ac:dyDescent="0.2">
      <c r="A35" s="320" t="s">
        <v>286</v>
      </c>
      <c r="C35" s="1791" t="s">
        <v>425</v>
      </c>
      <c r="D35" s="1791"/>
      <c r="E35" s="1791"/>
      <c r="F35" s="1791"/>
      <c r="G35" s="1791"/>
      <c r="H35" s="1791"/>
      <c r="I35" s="1791"/>
      <c r="J35" s="1791"/>
      <c r="K35" s="1791"/>
      <c r="L35" s="1791"/>
      <c r="M35" s="1791"/>
      <c r="N35" s="1791"/>
      <c r="O35" s="1791"/>
    </row>
    <row r="36" spans="1:16" x14ac:dyDescent="0.2">
      <c r="A36" s="25"/>
      <c r="C36" s="2028"/>
      <c r="D36" s="2028"/>
      <c r="E36" s="2028"/>
      <c r="F36" s="2028"/>
      <c r="G36" s="2028"/>
      <c r="H36" s="2028"/>
      <c r="I36" s="2028"/>
      <c r="J36" s="2028"/>
      <c r="K36" s="2028"/>
      <c r="L36" s="2028"/>
      <c r="M36" s="2028"/>
      <c r="N36" s="2028"/>
      <c r="O36" s="2028"/>
    </row>
    <row r="37" spans="1:16" x14ac:dyDescent="0.2">
      <c r="A37" s="25"/>
      <c r="C37" s="2028"/>
      <c r="D37" s="2028"/>
      <c r="E37" s="2028"/>
      <c r="F37" s="2028"/>
      <c r="G37" s="2028"/>
      <c r="H37" s="2028"/>
      <c r="I37" s="2028"/>
      <c r="J37" s="2028"/>
      <c r="K37" s="2028"/>
      <c r="L37" s="2028"/>
      <c r="M37" s="2028"/>
      <c r="N37" s="2028"/>
      <c r="O37" s="2028"/>
    </row>
    <row r="38" spans="1:16" x14ac:dyDescent="0.2">
      <c r="A38" s="25"/>
      <c r="C38" s="2028"/>
      <c r="D38" s="2028"/>
      <c r="E38" s="2028"/>
      <c r="F38" s="2028"/>
      <c r="G38" s="2028"/>
      <c r="H38" s="2028"/>
      <c r="I38" s="2028"/>
      <c r="J38" s="2028"/>
      <c r="K38" s="2028"/>
      <c r="L38" s="2028"/>
      <c r="M38" s="2028"/>
      <c r="N38" s="2028"/>
      <c r="O38" s="2028"/>
    </row>
    <row r="39" spans="1:16" x14ac:dyDescent="0.2">
      <c r="A39" s="25"/>
      <c r="C39" s="2028"/>
      <c r="D39" s="2028"/>
      <c r="E39" s="2028"/>
      <c r="F39" s="2028"/>
      <c r="G39" s="2028"/>
      <c r="H39" s="2028"/>
      <c r="I39" s="2028"/>
      <c r="J39" s="2028"/>
      <c r="K39" s="2028"/>
      <c r="L39" s="2028"/>
      <c r="M39" s="2028"/>
      <c r="N39" s="2028"/>
      <c r="O39" s="2028"/>
    </row>
    <row r="40" spans="1:16" x14ac:dyDescent="0.2">
      <c r="A40" s="25"/>
      <c r="C40" s="2028"/>
      <c r="D40" s="2028"/>
      <c r="E40" s="2028"/>
      <c r="F40" s="2028"/>
      <c r="G40" s="2028"/>
      <c r="H40" s="2028"/>
      <c r="I40" s="2028"/>
      <c r="J40" s="2028"/>
      <c r="K40" s="2028"/>
      <c r="L40" s="2028"/>
      <c r="M40" s="2028"/>
      <c r="N40" s="2028"/>
      <c r="O40" s="2028"/>
    </row>
    <row r="41" spans="1:16" x14ac:dyDescent="0.2">
      <c r="A41" s="25"/>
      <c r="C41" s="2028"/>
      <c r="D41" s="2028"/>
      <c r="E41" s="2028"/>
      <c r="F41" s="2028"/>
      <c r="G41" s="2028"/>
      <c r="H41" s="2028"/>
      <c r="I41" s="2028"/>
      <c r="J41" s="2028"/>
      <c r="K41" s="2028"/>
      <c r="L41" s="2028"/>
      <c r="M41" s="2028"/>
      <c r="N41" s="2028"/>
      <c r="O41" s="2028"/>
    </row>
    <row r="44" spans="1:16" s="27" customFormat="1" x14ac:dyDescent="0.2">
      <c r="B44" s="34"/>
      <c r="C44" s="34"/>
      <c r="G44" s="196" t="s">
        <v>1491</v>
      </c>
      <c r="H44" s="2030">
        <v>2014</v>
      </c>
      <c r="I44" s="2030"/>
      <c r="J44" s="2030"/>
    </row>
    <row r="46" spans="1:16" x14ac:dyDescent="0.2">
      <c r="A46" s="2031" t="s">
        <v>413</v>
      </c>
      <c r="B46" s="81"/>
      <c r="C46" s="81"/>
      <c r="D46" s="81"/>
      <c r="E46" s="81"/>
      <c r="F46" s="81"/>
      <c r="G46" s="81"/>
      <c r="H46" s="81"/>
      <c r="I46" s="81"/>
      <c r="J46" s="81"/>
      <c r="K46" s="81"/>
      <c r="L46" s="81"/>
      <c r="M46" s="81"/>
      <c r="N46" s="81"/>
      <c r="O46" s="81"/>
    </row>
    <row r="47" spans="1:16" x14ac:dyDescent="0.2">
      <c r="A47" s="2032"/>
      <c r="B47" s="81"/>
      <c r="C47" s="1526" t="s">
        <v>414</v>
      </c>
      <c r="D47" s="81"/>
      <c r="E47" s="2033" t="s">
        <v>415</v>
      </c>
      <c r="F47" s="2033"/>
      <c r="G47" s="2033"/>
      <c r="H47" s="2033"/>
      <c r="I47" s="2033"/>
      <c r="J47" s="286"/>
      <c r="K47" s="1526" t="s">
        <v>283</v>
      </c>
      <c r="L47" s="287"/>
      <c r="M47" s="81"/>
      <c r="N47" s="81"/>
      <c r="O47" s="1526" t="s">
        <v>416</v>
      </c>
    </row>
    <row r="48" spans="1:16" x14ac:dyDescent="0.2">
      <c r="A48" s="77"/>
      <c r="B48" s="81"/>
      <c r="C48" s="81"/>
      <c r="D48" s="81"/>
      <c r="E48" s="81"/>
      <c r="F48" s="81"/>
      <c r="G48" s="81"/>
      <c r="H48" s="81"/>
      <c r="I48" s="288"/>
      <c r="J48" s="288"/>
      <c r="K48" s="81"/>
      <c r="L48" s="81"/>
      <c r="M48" s="81"/>
      <c r="N48" s="81"/>
      <c r="O48" s="81"/>
    </row>
    <row r="49" spans="1:16" x14ac:dyDescent="0.2">
      <c r="A49" s="131"/>
      <c r="B49" s="81"/>
      <c r="C49" s="81"/>
      <c r="D49" s="81"/>
      <c r="E49" s="289" t="s">
        <v>284</v>
      </c>
      <c r="F49" s="290"/>
      <c r="G49" s="290"/>
      <c r="H49" s="290"/>
      <c r="I49" s="289" t="s">
        <v>285</v>
      </c>
      <c r="J49" s="81"/>
      <c r="K49" s="289" t="s">
        <v>284</v>
      </c>
      <c r="L49" s="290"/>
      <c r="M49" s="81"/>
      <c r="N49" s="81"/>
      <c r="O49" s="288" t="s">
        <v>285</v>
      </c>
      <c r="P49" s="81"/>
    </row>
    <row r="50" spans="1:16" x14ac:dyDescent="0.2">
      <c r="A50" s="131"/>
      <c r="B50" s="81"/>
      <c r="C50" s="291" t="s">
        <v>417</v>
      </c>
      <c r="D50" s="81"/>
      <c r="E50" s="81"/>
      <c r="F50" s="81"/>
      <c r="G50" s="81"/>
      <c r="H50" s="81"/>
      <c r="I50" s="81"/>
      <c r="J50" s="81"/>
      <c r="K50" s="81"/>
      <c r="L50" s="81"/>
      <c r="M50" s="81"/>
      <c r="N50" s="81"/>
      <c r="O50" s="81"/>
      <c r="P50" s="81"/>
    </row>
    <row r="51" spans="1:16" x14ac:dyDescent="0.2">
      <c r="A51" s="131">
        <v>1</v>
      </c>
      <c r="B51" s="81"/>
      <c r="C51" s="292" t="s">
        <v>418</v>
      </c>
      <c r="D51" s="81"/>
      <c r="E51" s="293">
        <v>0.56000000000000016</v>
      </c>
      <c r="F51" s="294"/>
      <c r="G51" s="24"/>
      <c r="H51" s="22"/>
      <c r="I51" s="295">
        <f>I60*E51</f>
        <v>13711016.261184007</v>
      </c>
      <c r="J51" s="81"/>
      <c r="K51" s="293">
        <v>4.9599999999999998E-2</v>
      </c>
      <c r="L51" s="294"/>
      <c r="M51" s="24"/>
      <c r="N51" s="22"/>
      <c r="O51" s="295">
        <f>K51*I51</f>
        <v>680066.40655472677</v>
      </c>
      <c r="P51" s="81"/>
    </row>
    <row r="52" spans="1:16" x14ac:dyDescent="0.2">
      <c r="A52" s="131">
        <v>2</v>
      </c>
      <c r="B52" s="81"/>
      <c r="C52" s="292" t="s">
        <v>419</v>
      </c>
      <c r="D52" s="81"/>
      <c r="E52" s="296">
        <v>0.04</v>
      </c>
      <c r="F52" s="294"/>
      <c r="G52" s="23" t="s">
        <v>286</v>
      </c>
      <c r="H52" s="23"/>
      <c r="I52" s="297">
        <f>I60*E52</f>
        <v>979358.30437028594</v>
      </c>
      <c r="J52" s="81"/>
      <c r="K52" s="296">
        <v>2.1100000000000001E-2</v>
      </c>
      <c r="L52" s="294"/>
      <c r="M52" s="24"/>
      <c r="N52" s="22"/>
      <c r="O52" s="297">
        <f>K52*I52</f>
        <v>20664.460222213034</v>
      </c>
      <c r="P52" s="81"/>
    </row>
    <row r="53" spans="1:16" ht="13.5" thickBot="1" x14ac:dyDescent="0.25">
      <c r="A53" s="131">
        <v>3</v>
      </c>
      <c r="B53" s="81"/>
      <c r="C53" s="131" t="s">
        <v>420</v>
      </c>
      <c r="D53" s="81"/>
      <c r="E53" s="298">
        <f>SUM(E51:E52)</f>
        <v>0.6000000000000002</v>
      </c>
      <c r="F53" s="299"/>
      <c r="G53" s="298"/>
      <c r="H53" s="299"/>
      <c r="I53" s="300">
        <f>SUM(I51:I52)</f>
        <v>14690374.565554293</v>
      </c>
      <c r="J53" s="81"/>
      <c r="K53" s="301">
        <f>IF(E53=0,0,SUMPRODUCT(E51:E52,K51:K52)/E53)</f>
        <v>4.7699999999999992E-2</v>
      </c>
      <c r="L53" s="294"/>
      <c r="M53" s="302"/>
      <c r="N53" s="113"/>
      <c r="O53" s="300">
        <f>SUM(O51:O52)</f>
        <v>700730.86677693983</v>
      </c>
      <c r="P53" s="81"/>
    </row>
    <row r="54" spans="1:16" ht="13.5" thickTop="1" x14ac:dyDescent="0.2">
      <c r="A54" s="131"/>
      <c r="B54" s="81"/>
      <c r="C54" s="81"/>
      <c r="D54" s="81"/>
      <c r="E54" s="303"/>
      <c r="F54" s="304"/>
      <c r="G54" s="303"/>
      <c r="H54" s="304"/>
      <c r="I54" s="305"/>
      <c r="J54" s="81"/>
      <c r="K54" s="306"/>
      <c r="L54" s="294"/>
      <c r="M54" s="113"/>
      <c r="N54" s="113"/>
      <c r="O54" s="305"/>
      <c r="P54" s="81"/>
    </row>
    <row r="55" spans="1:16" x14ac:dyDescent="0.2">
      <c r="A55" s="131"/>
      <c r="B55" s="81"/>
      <c r="C55" s="291" t="s">
        <v>421</v>
      </c>
      <c r="D55" s="81"/>
      <c r="E55" s="303"/>
      <c r="F55" s="304"/>
      <c r="G55" s="303"/>
      <c r="H55" s="304"/>
      <c r="I55" s="305"/>
      <c r="J55" s="81"/>
      <c r="K55" s="306"/>
      <c r="L55" s="294"/>
      <c r="M55" s="113"/>
      <c r="N55" s="113"/>
      <c r="O55" s="305"/>
      <c r="P55" s="81"/>
    </row>
    <row r="56" spans="1:16" x14ac:dyDescent="0.2">
      <c r="A56" s="307">
        <v>4</v>
      </c>
      <c r="B56" s="308"/>
      <c r="C56" s="309" t="s">
        <v>422</v>
      </c>
      <c r="D56" s="308"/>
      <c r="E56" s="310">
        <v>0.4</v>
      </c>
      <c r="F56" s="311"/>
      <c r="G56" s="24"/>
      <c r="H56" s="22"/>
      <c r="I56" s="312">
        <f>I60*E56</f>
        <v>9793583.0437028594</v>
      </c>
      <c r="J56" s="308"/>
      <c r="K56" s="310">
        <v>9.3600000000000003E-2</v>
      </c>
      <c r="L56" s="311"/>
      <c r="M56" s="24"/>
      <c r="N56" s="22"/>
      <c r="O56" s="312">
        <f>K56*I56</f>
        <v>916679.37289058766</v>
      </c>
      <c r="P56" s="81"/>
    </row>
    <row r="57" spans="1:16" x14ac:dyDescent="0.2">
      <c r="A57" s="307">
        <v>5</v>
      </c>
      <c r="B57" s="308"/>
      <c r="C57" s="309" t="s">
        <v>423</v>
      </c>
      <c r="D57" s="308"/>
      <c r="E57" s="313"/>
      <c r="F57" s="311"/>
      <c r="G57" s="24"/>
      <c r="H57" s="22"/>
      <c r="I57" s="314">
        <f>I60*E57</f>
        <v>0</v>
      </c>
      <c r="J57" s="308"/>
      <c r="K57" s="313"/>
      <c r="L57" s="311"/>
      <c r="M57" s="24"/>
      <c r="N57" s="22"/>
      <c r="O57" s="314">
        <f>K57*I57</f>
        <v>0</v>
      </c>
      <c r="P57" s="81"/>
    </row>
    <row r="58" spans="1:16" ht="13.5" thickBot="1" x14ac:dyDescent="0.25">
      <c r="A58" s="131">
        <v>6</v>
      </c>
      <c r="B58" s="81"/>
      <c r="C58" s="131" t="s">
        <v>424</v>
      </c>
      <c r="D58" s="81"/>
      <c r="E58" s="298">
        <f>SUM(E56:E57)</f>
        <v>0.4</v>
      </c>
      <c r="F58" s="298"/>
      <c r="G58" s="298"/>
      <c r="H58" s="299"/>
      <c r="I58" s="300">
        <f>SUM(I56:I57)</f>
        <v>9793583.0437028594</v>
      </c>
      <c r="J58" s="81"/>
      <c r="K58" s="301">
        <f>IF(E58=0,0,SUMPRODUCT(E56:E57,K56:K57)/E58)</f>
        <v>9.3600000000000003E-2</v>
      </c>
      <c r="L58" s="294"/>
      <c r="M58" s="113"/>
      <c r="N58" s="113"/>
      <c r="O58" s="300">
        <f>SUM(O56:O57)</f>
        <v>916679.37289058766</v>
      </c>
      <c r="P58" s="81"/>
    </row>
    <row r="59" spans="1:16" ht="13.5" thickTop="1" x14ac:dyDescent="0.2">
      <c r="A59" s="131"/>
      <c r="B59" s="81"/>
      <c r="C59" s="81"/>
      <c r="D59" s="81"/>
      <c r="E59" s="81"/>
      <c r="F59" s="81"/>
      <c r="G59" s="81"/>
      <c r="H59" s="81"/>
      <c r="I59" s="305"/>
      <c r="J59" s="81"/>
      <c r="K59" s="306"/>
      <c r="L59" s="306"/>
      <c r="M59" s="113"/>
      <c r="N59" s="113"/>
      <c r="O59" s="305"/>
      <c r="P59" s="81"/>
    </row>
    <row r="60" spans="1:16" ht="13.5" thickBot="1" x14ac:dyDescent="0.25">
      <c r="A60" s="131">
        <v>7</v>
      </c>
      <c r="B60" s="81"/>
      <c r="C60" s="291" t="s">
        <v>272</v>
      </c>
      <c r="D60" s="81"/>
      <c r="E60" s="315">
        <v>1</v>
      </c>
      <c r="F60" s="315"/>
      <c r="G60" s="316"/>
      <c r="H60" s="316"/>
      <c r="I60" s="317">
        <v>24483957.609257147</v>
      </c>
      <c r="J60" s="81"/>
      <c r="K60" s="318">
        <f>(K53*E53)+(K58*E58)</f>
        <v>6.6060000000000008E-2</v>
      </c>
      <c r="L60" s="306"/>
      <c r="M60" s="81"/>
      <c r="N60" s="81"/>
      <c r="O60" s="319">
        <f>O53+O58</f>
        <v>1617410.2396675274</v>
      </c>
      <c r="P60" s="81"/>
    </row>
    <row r="61" spans="1:16" ht="13.5" thickTop="1" x14ac:dyDescent="0.2"/>
  </sheetData>
  <mergeCells count="17">
    <mergeCell ref="C10:O10"/>
    <mergeCell ref="C11:O11"/>
    <mergeCell ref="A17:A18"/>
    <mergeCell ref="E18:I18"/>
    <mergeCell ref="H15:J15"/>
    <mergeCell ref="A13:O13"/>
    <mergeCell ref="C40:O40"/>
    <mergeCell ref="A34:O34"/>
    <mergeCell ref="H44:J44"/>
    <mergeCell ref="A46:A47"/>
    <mergeCell ref="E47:I47"/>
    <mergeCell ref="C41:O41"/>
    <mergeCell ref="C35:O35"/>
    <mergeCell ref="C36:O36"/>
    <mergeCell ref="C37:O37"/>
    <mergeCell ref="C38:O38"/>
    <mergeCell ref="C39:O39"/>
  </mergeCells>
  <dataValidations count="1">
    <dataValidation allowBlank="1" showInputMessage="1" showErrorMessage="1" promptTitle="Date Format" prompt="E.g:  &quot;August 1, 2011&quot;" sqref="O7 JK7 TG7 ADC7 AMY7 AWU7 BGQ7 BQM7 CAI7 CKE7 CUA7 DDW7 DNS7 DXO7 EHK7 ERG7 FBC7 FKY7 FUU7 GEQ7 GOM7 GYI7 HIE7 HSA7 IBW7 ILS7 IVO7 JFK7 JPG7 JZC7 KIY7 KSU7 LCQ7 LMM7 LWI7 MGE7 MQA7 MZW7 NJS7 NTO7 ODK7 ONG7 OXC7 PGY7 PQU7 QAQ7 QKM7 QUI7 REE7 ROA7 RXW7 SHS7 SRO7 TBK7 TLG7 TVC7 UEY7 UOU7 UYQ7 VIM7 VSI7 WCE7 WMA7 WVW7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xr:uid="{00000000-0002-0000-2900-000000000000}"/>
  </dataValidations>
  <pageMargins left="0.75" right="0.75" top="1" bottom="1" header="0.5" footer="0.5"/>
  <pageSetup scale="89" orientation="portrait"/>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16">
    <tabColor theme="5" tint="0.39997558519241921"/>
    <pageSetUpPr autoPageBreaks="0" fitToPage="1"/>
  </sheetPr>
  <dimension ref="A1:T144"/>
  <sheetViews>
    <sheetView showGridLines="0" zoomScaleNormal="100" workbookViewId="0"/>
  </sheetViews>
  <sheetFormatPr defaultColWidth="9.28515625" defaultRowHeight="12.75" x14ac:dyDescent="0.2"/>
  <cols>
    <col min="1" max="1" width="5.7109375" style="27" bestFit="1" customWidth="1"/>
    <col min="2" max="2" width="35.28515625" style="27" customWidth="1"/>
    <col min="3" max="3" width="18.5703125" style="27" bestFit="1" customWidth="1"/>
    <col min="4" max="4" width="15.42578125" style="27" bestFit="1" customWidth="1"/>
    <col min="5" max="5" width="14" style="27" customWidth="1"/>
    <col min="6" max="6" width="12.28515625" style="27" customWidth="1"/>
    <col min="7" max="7" width="8.42578125" style="27" customWidth="1"/>
    <col min="8" max="8" width="13.28515625" style="27" customWidth="1"/>
    <col min="9" max="9" width="9.7109375" style="27" customWidth="1"/>
    <col min="10" max="10" width="14" style="27" customWidth="1"/>
    <col min="11" max="11" width="13.5703125" style="27" customWidth="1"/>
    <col min="12" max="12" width="18.28515625" style="27" customWidth="1"/>
    <col min="13" max="13" width="1.42578125" style="27" customWidth="1"/>
    <col min="14" max="14" width="3.5703125" style="27" customWidth="1"/>
    <col min="15" max="15" width="1.7109375" style="27" customWidth="1"/>
    <col min="16" max="16" width="14" style="27" customWidth="1"/>
    <col min="17" max="17" width="2.28515625" style="27" customWidth="1"/>
    <col min="18" max="16384" width="9.28515625" style="27"/>
  </cols>
  <sheetData>
    <row r="1" spans="1:16" x14ac:dyDescent="0.2">
      <c r="K1" s="321" t="s">
        <v>277</v>
      </c>
      <c r="L1" s="464" t="str">
        <f>EBNUMBER</f>
        <v>EB-2018-0056</v>
      </c>
    </row>
    <row r="2" spans="1:16" x14ac:dyDescent="0.2">
      <c r="K2" s="321" t="s">
        <v>278</v>
      </c>
      <c r="L2" s="41"/>
    </row>
    <row r="3" spans="1:16" x14ac:dyDescent="0.2">
      <c r="K3" s="321" t="s">
        <v>279</v>
      </c>
      <c r="L3" s="41"/>
    </row>
    <row r="4" spans="1:16" x14ac:dyDescent="0.2">
      <c r="K4" s="321" t="s">
        <v>280</v>
      </c>
      <c r="L4" s="41"/>
    </row>
    <row r="5" spans="1:16" x14ac:dyDescent="0.2">
      <c r="K5" s="321" t="s">
        <v>281</v>
      </c>
      <c r="L5" s="42"/>
    </row>
    <row r="6" spans="1:16" x14ac:dyDescent="0.2">
      <c r="K6" s="322"/>
      <c r="L6" s="40"/>
    </row>
    <row r="7" spans="1:16" x14ac:dyDescent="0.2">
      <c r="K7" s="321" t="s">
        <v>282</v>
      </c>
      <c r="L7" s="42"/>
    </row>
    <row r="10" spans="1:16" ht="18" x14ac:dyDescent="0.25">
      <c r="A10" s="1966" t="s">
        <v>426</v>
      </c>
      <c r="B10" s="1966"/>
      <c r="C10" s="1966"/>
      <c r="D10" s="1966"/>
      <c r="E10" s="1966"/>
      <c r="F10" s="1966"/>
      <c r="G10" s="1966"/>
      <c r="H10" s="1966"/>
      <c r="I10" s="1966"/>
      <c r="J10" s="1966"/>
      <c r="K10" s="1966"/>
      <c r="L10" s="1966"/>
      <c r="M10" s="43"/>
      <c r="N10" s="43"/>
      <c r="O10" s="43"/>
      <c r="P10" s="43"/>
    </row>
    <row r="11" spans="1:16" ht="18" x14ac:dyDescent="0.25">
      <c r="A11" s="1966" t="s">
        <v>405</v>
      </c>
      <c r="B11" s="1966"/>
      <c r="C11" s="1966"/>
      <c r="D11" s="1966"/>
      <c r="E11" s="1966"/>
      <c r="F11" s="1966"/>
      <c r="G11" s="1966"/>
      <c r="H11" s="1966"/>
      <c r="I11" s="1966"/>
      <c r="J11" s="1966"/>
      <c r="K11" s="1966"/>
      <c r="L11" s="1966"/>
      <c r="M11" s="1966"/>
      <c r="N11" s="1966"/>
      <c r="O11" s="1966"/>
      <c r="P11" s="1966"/>
    </row>
    <row r="12" spans="1:16" ht="9" customHeight="1" x14ac:dyDescent="0.25">
      <c r="M12" s="449"/>
      <c r="N12" s="449"/>
      <c r="O12" s="449"/>
      <c r="P12" s="449"/>
    </row>
    <row r="13" spans="1:16" ht="28.5" customHeight="1" x14ac:dyDescent="0.25">
      <c r="A13" s="2036" t="s">
        <v>556</v>
      </c>
      <c r="B13" s="2036"/>
      <c r="C13" s="2036"/>
      <c r="D13" s="2036"/>
      <c r="E13" s="2036"/>
      <c r="F13" s="2036"/>
      <c r="G13" s="2036"/>
      <c r="H13" s="2036"/>
      <c r="I13" s="2036"/>
      <c r="J13" s="2036"/>
      <c r="K13" s="2036"/>
      <c r="L13" s="2036"/>
      <c r="M13" s="449"/>
      <c r="N13" s="449"/>
      <c r="O13" s="449"/>
      <c r="P13" s="449"/>
    </row>
    <row r="14" spans="1:16" ht="15.75" x14ac:dyDescent="0.2">
      <c r="D14" s="323" t="s">
        <v>10</v>
      </c>
      <c r="E14" s="324">
        <v>2019</v>
      </c>
    </row>
    <row r="15" spans="1:16" ht="16.5" customHeight="1" thickBot="1" x14ac:dyDescent="0.25"/>
    <row r="16" spans="1:16" ht="27" x14ac:dyDescent="0.2">
      <c r="A16" s="325" t="s">
        <v>406</v>
      </c>
      <c r="B16" s="326" t="s">
        <v>212</v>
      </c>
      <c r="C16" s="326" t="s">
        <v>400</v>
      </c>
      <c r="D16" s="327" t="s">
        <v>401</v>
      </c>
      <c r="E16" s="327" t="s">
        <v>402</v>
      </c>
      <c r="F16" s="326" t="s">
        <v>403</v>
      </c>
      <c r="G16" s="328" t="s">
        <v>408</v>
      </c>
      <c r="H16" s="328" t="s">
        <v>407</v>
      </c>
      <c r="I16" s="328" t="s">
        <v>928</v>
      </c>
      <c r="J16" s="328" t="s">
        <v>1607</v>
      </c>
      <c r="K16" s="328" t="s">
        <v>1606</v>
      </c>
      <c r="L16" s="329" t="s">
        <v>555</v>
      </c>
    </row>
    <row r="17" spans="1:20" x14ac:dyDescent="0.2">
      <c r="A17" s="330">
        <v>1</v>
      </c>
      <c r="B17" s="224" t="s">
        <v>1676</v>
      </c>
      <c r="C17" s="224" t="s">
        <v>1585</v>
      </c>
      <c r="D17" s="324" t="s">
        <v>1586</v>
      </c>
      <c r="E17" s="324" t="s">
        <v>1587</v>
      </c>
      <c r="F17" s="331">
        <v>36708</v>
      </c>
      <c r="G17" s="224" t="s">
        <v>1677</v>
      </c>
      <c r="H17" s="95">
        <v>2098769.7899999991</v>
      </c>
      <c r="I17" s="1571">
        <v>4.1300000000000003E-2</v>
      </c>
      <c r="J17" s="332">
        <f t="shared" ref="J17:J28" si="0">H17*I17</f>
        <v>86679.192326999968</v>
      </c>
      <c r="K17" s="95">
        <v>140354.69</v>
      </c>
      <c r="L17" s="333" t="s">
        <v>1588</v>
      </c>
    </row>
    <row r="18" spans="1:20" x14ac:dyDescent="0.2">
      <c r="A18" s="330">
        <v>2</v>
      </c>
      <c r="B18" s="224" t="s">
        <v>1678</v>
      </c>
      <c r="C18" s="224" t="s">
        <v>1589</v>
      </c>
      <c r="D18" s="324" t="s">
        <v>1590</v>
      </c>
      <c r="E18" s="324" t="s">
        <v>1587</v>
      </c>
      <c r="F18" s="331">
        <v>37862</v>
      </c>
      <c r="G18" s="224">
        <v>15</v>
      </c>
      <c r="H18" s="95">
        <v>0</v>
      </c>
      <c r="I18" s="1571">
        <v>6.0299999999999999E-2</v>
      </c>
      <c r="J18" s="332">
        <f t="shared" si="0"/>
        <v>0</v>
      </c>
      <c r="K18" s="95">
        <v>0</v>
      </c>
      <c r="L18" s="333" t="s">
        <v>1591</v>
      </c>
    </row>
    <row r="19" spans="1:20" x14ac:dyDescent="0.2">
      <c r="A19" s="330">
        <v>3</v>
      </c>
      <c r="B19" s="224" t="s">
        <v>1679</v>
      </c>
      <c r="C19" s="224" t="s">
        <v>1589</v>
      </c>
      <c r="D19" s="324" t="s">
        <v>1590</v>
      </c>
      <c r="E19" s="324" t="s">
        <v>1587</v>
      </c>
      <c r="F19" s="331">
        <v>38652</v>
      </c>
      <c r="G19" s="224">
        <v>15</v>
      </c>
      <c r="H19" s="95">
        <v>424319.93839552556</v>
      </c>
      <c r="I19" s="1571">
        <v>6.13E-2</v>
      </c>
      <c r="J19" s="332">
        <f t="shared" si="0"/>
        <v>26010.812223645717</v>
      </c>
      <c r="K19" s="95">
        <v>18898.023626147726</v>
      </c>
      <c r="L19" s="333" t="s">
        <v>1591</v>
      </c>
    </row>
    <row r="20" spans="1:20" x14ac:dyDescent="0.2">
      <c r="A20" s="330">
        <v>4</v>
      </c>
      <c r="B20" s="224" t="s">
        <v>1680</v>
      </c>
      <c r="C20" s="224" t="s">
        <v>1592</v>
      </c>
      <c r="D20" s="324" t="s">
        <v>1590</v>
      </c>
      <c r="E20" s="324" t="s">
        <v>1587</v>
      </c>
      <c r="F20" s="331">
        <v>40589</v>
      </c>
      <c r="G20" s="224">
        <v>15</v>
      </c>
      <c r="H20" s="95">
        <v>716666.98</v>
      </c>
      <c r="I20" s="1571">
        <v>4.2700000000000002E-2</v>
      </c>
      <c r="J20" s="332">
        <f t="shared" si="0"/>
        <v>30601.680046000001</v>
      </c>
      <c r="K20" s="95">
        <v>28551</v>
      </c>
      <c r="L20" s="333"/>
    </row>
    <row r="21" spans="1:20" x14ac:dyDescent="0.2">
      <c r="A21" s="330">
        <v>5</v>
      </c>
      <c r="B21" s="224" t="s">
        <v>1681</v>
      </c>
      <c r="C21" s="224" t="s">
        <v>1585</v>
      </c>
      <c r="D21" s="324" t="s">
        <v>1586</v>
      </c>
      <c r="E21" s="324" t="s">
        <v>1587</v>
      </c>
      <c r="F21" s="331">
        <v>42036</v>
      </c>
      <c r="G21" s="224">
        <v>10</v>
      </c>
      <c r="H21" s="95">
        <v>1954706.2230561734</v>
      </c>
      <c r="I21" s="1571">
        <v>3.5000000000000003E-2</v>
      </c>
      <c r="J21" s="332">
        <f t="shared" si="0"/>
        <v>68414.717806966073</v>
      </c>
      <c r="K21" s="95">
        <v>54628.34594726612</v>
      </c>
      <c r="L21" s="333"/>
      <c r="R21" s="321"/>
      <c r="S21" s="321"/>
      <c r="T21" s="321"/>
    </row>
    <row r="22" spans="1:20" x14ac:dyDescent="0.2">
      <c r="A22" s="330">
        <v>6</v>
      </c>
      <c r="B22" s="224" t="s">
        <v>1682</v>
      </c>
      <c r="C22" s="224" t="s">
        <v>1585</v>
      </c>
      <c r="D22" s="324" t="s">
        <v>1586</v>
      </c>
      <c r="E22" s="324" t="s">
        <v>1587</v>
      </c>
      <c r="F22" s="331">
        <v>42278</v>
      </c>
      <c r="G22" s="224">
        <v>10</v>
      </c>
      <c r="H22" s="95">
        <v>1430401.7099215316</v>
      </c>
      <c r="I22" s="1571">
        <v>3.5000000000000003E-2</v>
      </c>
      <c r="J22" s="332">
        <f t="shared" si="0"/>
        <v>50064.059847253608</v>
      </c>
      <c r="K22" s="95">
        <v>40289.757195237158</v>
      </c>
      <c r="L22" s="333"/>
      <c r="R22" s="321"/>
      <c r="S22" s="321"/>
      <c r="T22" s="321"/>
    </row>
    <row r="23" spans="1:20" x14ac:dyDescent="0.2">
      <c r="A23" s="330">
        <v>7</v>
      </c>
      <c r="B23" s="224"/>
      <c r="C23" s="224"/>
      <c r="D23" s="324"/>
      <c r="E23" s="324"/>
      <c r="F23" s="331"/>
      <c r="G23" s="224"/>
      <c r="H23" s="95"/>
      <c r="I23" s="224"/>
      <c r="J23" s="332">
        <f t="shared" si="0"/>
        <v>0</v>
      </c>
      <c r="K23" s="95"/>
      <c r="L23" s="333"/>
      <c r="R23" s="321"/>
      <c r="S23" s="321"/>
      <c r="T23" s="321"/>
    </row>
    <row r="24" spans="1:20" x14ac:dyDescent="0.2">
      <c r="A24" s="330">
        <v>8</v>
      </c>
      <c r="B24" s="224"/>
      <c r="C24" s="224"/>
      <c r="D24" s="324"/>
      <c r="E24" s="324"/>
      <c r="F24" s="331"/>
      <c r="G24" s="224"/>
      <c r="H24" s="95"/>
      <c r="I24" s="224"/>
      <c r="J24" s="332">
        <f t="shared" si="0"/>
        <v>0</v>
      </c>
      <c r="K24" s="95"/>
      <c r="L24" s="333"/>
      <c r="R24" s="321"/>
      <c r="S24" s="321"/>
      <c r="T24" s="321"/>
    </row>
    <row r="25" spans="1:20" x14ac:dyDescent="0.2">
      <c r="A25" s="330">
        <v>9</v>
      </c>
      <c r="B25" s="224"/>
      <c r="C25" s="224"/>
      <c r="D25" s="324"/>
      <c r="E25" s="324"/>
      <c r="F25" s="331"/>
      <c r="G25" s="224"/>
      <c r="H25" s="95"/>
      <c r="I25" s="224"/>
      <c r="J25" s="332">
        <f t="shared" si="0"/>
        <v>0</v>
      </c>
      <c r="K25" s="95"/>
      <c r="L25" s="333"/>
      <c r="R25" s="321"/>
      <c r="S25" s="321"/>
      <c r="T25" s="321"/>
    </row>
    <row r="26" spans="1:20" x14ac:dyDescent="0.2">
      <c r="A26" s="330">
        <v>10</v>
      </c>
      <c r="B26" s="224"/>
      <c r="C26" s="224"/>
      <c r="D26" s="324"/>
      <c r="E26" s="324"/>
      <c r="F26" s="331"/>
      <c r="G26" s="224"/>
      <c r="H26" s="95"/>
      <c r="I26" s="224"/>
      <c r="J26" s="332">
        <f t="shared" si="0"/>
        <v>0</v>
      </c>
      <c r="K26" s="95"/>
      <c r="L26" s="333"/>
      <c r="R26" s="334"/>
      <c r="S26" s="334"/>
      <c r="T26" s="334"/>
    </row>
    <row r="27" spans="1:20" x14ac:dyDescent="0.2">
      <c r="A27" s="330">
        <v>11</v>
      </c>
      <c r="B27" s="224"/>
      <c r="C27" s="224"/>
      <c r="D27" s="324"/>
      <c r="E27" s="324"/>
      <c r="F27" s="331"/>
      <c r="G27" s="224"/>
      <c r="H27" s="95"/>
      <c r="I27" s="224"/>
      <c r="J27" s="332">
        <f t="shared" si="0"/>
        <v>0</v>
      </c>
      <c r="K27" s="95"/>
      <c r="L27" s="333"/>
      <c r="R27" s="321"/>
      <c r="S27" s="321"/>
      <c r="T27" s="321"/>
    </row>
    <row r="28" spans="1:20" x14ac:dyDescent="0.2">
      <c r="A28" s="330">
        <v>12</v>
      </c>
      <c r="B28" s="224"/>
      <c r="C28" s="224"/>
      <c r="D28" s="324"/>
      <c r="E28" s="324"/>
      <c r="F28" s="331"/>
      <c r="G28" s="224"/>
      <c r="H28" s="95"/>
      <c r="I28" s="224"/>
      <c r="J28" s="332">
        <f t="shared" si="0"/>
        <v>0</v>
      </c>
      <c r="K28" s="95"/>
      <c r="L28" s="333"/>
    </row>
    <row r="29" spans="1:20" ht="13.5" thickBot="1" x14ac:dyDescent="0.25">
      <c r="A29" s="335"/>
      <c r="B29" s="336"/>
      <c r="C29" s="337"/>
      <c r="D29" s="337"/>
      <c r="E29" s="337"/>
      <c r="F29" s="336"/>
      <c r="G29" s="337"/>
      <c r="H29" s="337"/>
      <c r="I29" s="337"/>
      <c r="J29" s="336"/>
      <c r="K29" s="336"/>
      <c r="L29" s="333"/>
    </row>
    <row r="30" spans="1:20" ht="14.25" thickTop="1" thickBot="1" x14ac:dyDescent="0.25">
      <c r="A30" s="338" t="s">
        <v>272</v>
      </c>
      <c r="B30" s="339"/>
      <c r="C30" s="340"/>
      <c r="D30" s="340"/>
      <c r="E30" s="340"/>
      <c r="F30" s="339"/>
      <c r="G30" s="340"/>
      <c r="H30" s="252">
        <f>SUM(H17:H28)</f>
        <v>6624864.6413732292</v>
      </c>
      <c r="I30" s="948">
        <f>IF(H30=0,"",J30/H30)</f>
        <v>3.9513329920142261E-2</v>
      </c>
      <c r="J30" s="341">
        <f>SUM(J17:J28)</f>
        <v>261770.46225086536</v>
      </c>
      <c r="K30" s="341">
        <f>SUM(K17:K28)</f>
        <v>282721.81676865101</v>
      </c>
      <c r="L30" s="342"/>
    </row>
    <row r="32" spans="1:20" ht="15.75" x14ac:dyDescent="0.2">
      <c r="D32" s="323" t="s">
        <v>10</v>
      </c>
      <c r="E32" s="324">
        <v>2018</v>
      </c>
    </row>
    <row r="33" spans="1:20" ht="16.5" customHeight="1" thickBot="1" x14ac:dyDescent="0.25"/>
    <row r="34" spans="1:20" ht="27" x14ac:dyDescent="0.2">
      <c r="A34" s="325" t="s">
        <v>406</v>
      </c>
      <c r="B34" s="326" t="s">
        <v>212</v>
      </c>
      <c r="C34" s="326" t="s">
        <v>400</v>
      </c>
      <c r="D34" s="327" t="s">
        <v>401</v>
      </c>
      <c r="E34" s="327" t="s">
        <v>402</v>
      </c>
      <c r="F34" s="326" t="s">
        <v>403</v>
      </c>
      <c r="G34" s="328" t="s">
        <v>408</v>
      </c>
      <c r="H34" s="328" t="s">
        <v>407</v>
      </c>
      <c r="I34" s="328" t="s">
        <v>928</v>
      </c>
      <c r="J34" s="328" t="s">
        <v>1607</v>
      </c>
      <c r="K34" s="328" t="s">
        <v>1606</v>
      </c>
      <c r="L34" s="329" t="s">
        <v>555</v>
      </c>
    </row>
    <row r="35" spans="1:20" x14ac:dyDescent="0.2">
      <c r="A35" s="330">
        <v>1</v>
      </c>
      <c r="B35" s="224" t="s">
        <v>1676</v>
      </c>
      <c r="C35" s="224" t="s">
        <v>1585</v>
      </c>
      <c r="D35" s="324" t="s">
        <v>1586</v>
      </c>
      <c r="E35" s="324" t="s">
        <v>1587</v>
      </c>
      <c r="F35" s="331">
        <v>36708</v>
      </c>
      <c r="G35" s="224" t="s">
        <v>1677</v>
      </c>
      <c r="H35" s="95">
        <v>2433658.9799999995</v>
      </c>
      <c r="I35" s="1571">
        <v>4.1599999999999998E-2</v>
      </c>
      <c r="J35" s="332">
        <f t="shared" ref="J35" si="1">H35*I35</f>
        <v>101240.21356799998</v>
      </c>
      <c r="K35" s="95">
        <v>165457.41</v>
      </c>
      <c r="L35" s="333" t="s">
        <v>1588</v>
      </c>
    </row>
    <row r="36" spans="1:20" x14ac:dyDescent="0.2">
      <c r="A36" s="330">
        <v>2</v>
      </c>
      <c r="B36" s="224" t="s">
        <v>1678</v>
      </c>
      <c r="C36" s="224" t="s">
        <v>1589</v>
      </c>
      <c r="D36" s="324" t="s">
        <v>1590</v>
      </c>
      <c r="E36" s="324" t="s">
        <v>1587</v>
      </c>
      <c r="F36" s="331">
        <v>37862</v>
      </c>
      <c r="G36" s="224">
        <v>15</v>
      </c>
      <c r="H36" s="95">
        <v>176901.55184561422</v>
      </c>
      <c r="I36" s="1571">
        <v>6.0299999999999999E-2</v>
      </c>
      <c r="J36" s="332">
        <f t="shared" ref="J36:J46" si="2">H36*I36</f>
        <v>10667.163576290537</v>
      </c>
      <c r="K36" s="95">
        <v>4022.9481405194119</v>
      </c>
      <c r="L36" s="333" t="s">
        <v>1591</v>
      </c>
    </row>
    <row r="37" spans="1:20" x14ac:dyDescent="0.2">
      <c r="A37" s="330">
        <v>3</v>
      </c>
      <c r="B37" s="224" t="s">
        <v>1679</v>
      </c>
      <c r="C37" s="224" t="s">
        <v>1589</v>
      </c>
      <c r="D37" s="324" t="s">
        <v>1590</v>
      </c>
      <c r="E37" s="324" t="s">
        <v>1587</v>
      </c>
      <c r="F37" s="331">
        <v>38652</v>
      </c>
      <c r="G37" s="224">
        <v>15</v>
      </c>
      <c r="H37" s="95">
        <v>612331.49</v>
      </c>
      <c r="I37" s="1571">
        <v>6.13E-2</v>
      </c>
      <c r="J37" s="332">
        <f t="shared" si="2"/>
        <v>37535.920337000003</v>
      </c>
      <c r="K37" s="95">
        <v>31814.752134071132</v>
      </c>
      <c r="L37" s="333" t="s">
        <v>1591</v>
      </c>
    </row>
    <row r="38" spans="1:20" x14ac:dyDescent="0.2">
      <c r="A38" s="330">
        <v>4</v>
      </c>
      <c r="B38" s="224" t="s">
        <v>1680</v>
      </c>
      <c r="C38" s="224" t="s">
        <v>1592</v>
      </c>
      <c r="D38" s="324" t="s">
        <v>1590</v>
      </c>
      <c r="E38" s="324" t="s">
        <v>1587</v>
      </c>
      <c r="F38" s="331">
        <v>40589</v>
      </c>
      <c r="G38" s="224">
        <v>15</v>
      </c>
      <c r="H38" s="95">
        <v>816666.94</v>
      </c>
      <c r="I38" s="1571">
        <v>4.2700000000000002E-2</v>
      </c>
      <c r="J38" s="332">
        <f t="shared" si="2"/>
        <v>34871.678337999998</v>
      </c>
      <c r="K38" s="95">
        <v>33084</v>
      </c>
      <c r="L38" s="333"/>
    </row>
    <row r="39" spans="1:20" x14ac:dyDescent="0.2">
      <c r="A39" s="330">
        <v>5</v>
      </c>
      <c r="B39" s="224" t="s">
        <v>1681</v>
      </c>
      <c r="C39" s="224" t="s">
        <v>1585</v>
      </c>
      <c r="D39" s="324" t="s">
        <v>1586</v>
      </c>
      <c r="E39" s="324" t="s">
        <v>1587</v>
      </c>
      <c r="F39" s="331">
        <v>42036</v>
      </c>
      <c r="G39" s="224">
        <v>10</v>
      </c>
      <c r="H39" s="95">
        <v>2239034.52</v>
      </c>
      <c r="I39" s="1571">
        <v>0.03</v>
      </c>
      <c r="J39" s="332">
        <f t="shared" si="2"/>
        <v>67171.035600000003</v>
      </c>
      <c r="K39" s="95">
        <v>63276.910410915581</v>
      </c>
      <c r="L39" s="333"/>
      <c r="R39" s="321"/>
      <c r="S39" s="321"/>
      <c r="T39" s="321"/>
    </row>
    <row r="40" spans="1:20" x14ac:dyDescent="0.2">
      <c r="A40" s="330">
        <v>6</v>
      </c>
      <c r="B40" s="224" t="s">
        <v>1682</v>
      </c>
      <c r="C40" s="224" t="s">
        <v>1585</v>
      </c>
      <c r="D40" s="324" t="s">
        <v>1586</v>
      </c>
      <c r="E40" s="324" t="s">
        <v>1587</v>
      </c>
      <c r="F40" s="331">
        <v>42278</v>
      </c>
      <c r="G40" s="224">
        <v>10</v>
      </c>
      <c r="H40" s="95">
        <v>1616207.2647154699</v>
      </c>
      <c r="I40" s="1571">
        <v>0.03</v>
      </c>
      <c r="J40" s="332">
        <f t="shared" si="2"/>
        <v>48486.217941464092</v>
      </c>
      <c r="K40" s="95">
        <v>45941.20520606167</v>
      </c>
      <c r="L40" s="333"/>
      <c r="R40" s="321"/>
      <c r="S40" s="321"/>
      <c r="T40" s="321"/>
    </row>
    <row r="41" spans="1:20" x14ac:dyDescent="0.2">
      <c r="A41" s="330">
        <v>7</v>
      </c>
      <c r="B41" s="224"/>
      <c r="C41" s="224"/>
      <c r="D41" s="324"/>
      <c r="E41" s="324"/>
      <c r="F41" s="331"/>
      <c r="G41" s="224"/>
      <c r="H41" s="95"/>
      <c r="I41" s="224"/>
      <c r="J41" s="332">
        <f t="shared" si="2"/>
        <v>0</v>
      </c>
      <c r="K41" s="95"/>
      <c r="L41" s="333"/>
      <c r="R41" s="321"/>
      <c r="S41" s="321"/>
      <c r="T41" s="321"/>
    </row>
    <row r="42" spans="1:20" x14ac:dyDescent="0.2">
      <c r="A42" s="330">
        <v>8</v>
      </c>
      <c r="B42" s="224"/>
      <c r="C42" s="224"/>
      <c r="D42" s="324"/>
      <c r="E42" s="324"/>
      <c r="F42" s="331"/>
      <c r="G42" s="224"/>
      <c r="H42" s="95"/>
      <c r="I42" s="224"/>
      <c r="J42" s="332">
        <f t="shared" si="2"/>
        <v>0</v>
      </c>
      <c r="K42" s="95"/>
      <c r="L42" s="333"/>
      <c r="R42" s="321"/>
      <c r="S42" s="321"/>
      <c r="T42" s="321"/>
    </row>
    <row r="43" spans="1:20" x14ac:dyDescent="0.2">
      <c r="A43" s="330">
        <v>9</v>
      </c>
      <c r="B43" s="224"/>
      <c r="C43" s="224"/>
      <c r="D43" s="324"/>
      <c r="E43" s="324"/>
      <c r="F43" s="331"/>
      <c r="G43" s="224"/>
      <c r="H43" s="95"/>
      <c r="I43" s="224"/>
      <c r="J43" s="332">
        <f t="shared" si="2"/>
        <v>0</v>
      </c>
      <c r="K43" s="95"/>
      <c r="L43" s="333"/>
      <c r="R43" s="321"/>
      <c r="S43" s="321"/>
      <c r="T43" s="321"/>
    </row>
    <row r="44" spans="1:20" x14ac:dyDescent="0.2">
      <c r="A44" s="330">
        <v>10</v>
      </c>
      <c r="B44" s="224"/>
      <c r="C44" s="224"/>
      <c r="D44" s="324"/>
      <c r="E44" s="324"/>
      <c r="F44" s="331"/>
      <c r="G44" s="224"/>
      <c r="H44" s="95"/>
      <c r="I44" s="224"/>
      <c r="J44" s="332">
        <f t="shared" si="2"/>
        <v>0</v>
      </c>
      <c r="K44" s="95"/>
      <c r="L44" s="333"/>
      <c r="R44" s="334"/>
      <c r="S44" s="334"/>
      <c r="T44" s="334"/>
    </row>
    <row r="45" spans="1:20" x14ac:dyDescent="0.2">
      <c r="A45" s="330">
        <v>11</v>
      </c>
      <c r="B45" s="224"/>
      <c r="C45" s="224"/>
      <c r="D45" s="324"/>
      <c r="E45" s="324"/>
      <c r="F45" s="331"/>
      <c r="G45" s="224"/>
      <c r="H45" s="95"/>
      <c r="I45" s="224"/>
      <c r="J45" s="332">
        <f t="shared" si="2"/>
        <v>0</v>
      </c>
      <c r="K45" s="95"/>
      <c r="L45" s="333"/>
      <c r="R45" s="321"/>
      <c r="S45" s="321"/>
      <c r="T45" s="321"/>
    </row>
    <row r="46" spans="1:20" x14ac:dyDescent="0.2">
      <c r="A46" s="330">
        <v>12</v>
      </c>
      <c r="B46" s="224"/>
      <c r="C46" s="224"/>
      <c r="D46" s="324"/>
      <c r="E46" s="324"/>
      <c r="F46" s="331"/>
      <c r="G46" s="224"/>
      <c r="H46" s="95"/>
      <c r="I46" s="224"/>
      <c r="J46" s="332">
        <f t="shared" si="2"/>
        <v>0</v>
      </c>
      <c r="K46" s="95"/>
      <c r="L46" s="333"/>
    </row>
    <row r="47" spans="1:20" ht="13.5" thickBot="1" x14ac:dyDescent="0.25">
      <c r="A47" s="335"/>
      <c r="B47" s="336"/>
      <c r="C47" s="337"/>
      <c r="D47" s="337"/>
      <c r="E47" s="337"/>
      <c r="F47" s="336"/>
      <c r="G47" s="337"/>
      <c r="H47" s="337"/>
      <c r="I47" s="337"/>
      <c r="J47" s="336"/>
      <c r="K47" s="336"/>
      <c r="L47" s="333"/>
    </row>
    <row r="48" spans="1:20" ht="14.25" thickTop="1" thickBot="1" x14ac:dyDescent="0.25">
      <c r="A48" s="338" t="s">
        <v>272</v>
      </c>
      <c r="B48" s="339"/>
      <c r="C48" s="340"/>
      <c r="D48" s="340"/>
      <c r="E48" s="340"/>
      <c r="F48" s="339"/>
      <c r="G48" s="340"/>
      <c r="H48" s="252">
        <f>SUM(H35:H46)</f>
        <v>7894800.7465610839</v>
      </c>
      <c r="I48" s="948">
        <f>IF(H48=0,"",J48/H48)</f>
        <v>3.7996174823211375E-2</v>
      </c>
      <c r="J48" s="341">
        <f>SUM(J35:J46)</f>
        <v>299972.2293607546</v>
      </c>
      <c r="K48" s="341">
        <f>SUM(K35:K46)</f>
        <v>343597.22589156777</v>
      </c>
      <c r="L48" s="342"/>
    </row>
    <row r="50" spans="1:20" ht="15.75" x14ac:dyDescent="0.2">
      <c r="D50" s="323" t="s">
        <v>10</v>
      </c>
      <c r="E50" s="324">
        <v>2017</v>
      </c>
    </row>
    <row r="51" spans="1:20" ht="16.5" customHeight="1" thickBot="1" x14ac:dyDescent="0.25"/>
    <row r="52" spans="1:20" ht="27" x14ac:dyDescent="0.2">
      <c r="A52" s="325" t="s">
        <v>406</v>
      </c>
      <c r="B52" s="326" t="s">
        <v>212</v>
      </c>
      <c r="C52" s="326" t="s">
        <v>400</v>
      </c>
      <c r="D52" s="327" t="s">
        <v>401</v>
      </c>
      <c r="E52" s="327" t="s">
        <v>402</v>
      </c>
      <c r="F52" s="326" t="s">
        <v>403</v>
      </c>
      <c r="G52" s="328" t="s">
        <v>408</v>
      </c>
      <c r="H52" s="328" t="s">
        <v>407</v>
      </c>
      <c r="I52" s="328" t="s">
        <v>928</v>
      </c>
      <c r="J52" s="328" t="s">
        <v>1607</v>
      </c>
      <c r="K52" s="328" t="s">
        <v>1606</v>
      </c>
      <c r="L52" s="329" t="s">
        <v>555</v>
      </c>
    </row>
    <row r="53" spans="1:20" x14ac:dyDescent="0.2">
      <c r="A53" s="330">
        <v>1</v>
      </c>
      <c r="B53" s="224" t="s">
        <v>1676</v>
      </c>
      <c r="C53" s="224" t="s">
        <v>1585</v>
      </c>
      <c r="D53" s="324" t="s">
        <v>1586</v>
      </c>
      <c r="E53" s="324" t="s">
        <v>1587</v>
      </c>
      <c r="F53" s="331">
        <v>36708</v>
      </c>
      <c r="G53" s="224" t="s">
        <v>1677</v>
      </c>
      <c r="H53" s="95">
        <v>2745195.91</v>
      </c>
      <c r="I53" s="1571">
        <v>3.7199999999999997E-2</v>
      </c>
      <c r="J53" s="332">
        <f t="shared" ref="J53" si="3">H53*I53</f>
        <v>102121.28785199999</v>
      </c>
      <c r="K53" s="95">
        <v>188809.66999999998</v>
      </c>
      <c r="L53" s="333" t="s">
        <v>1588</v>
      </c>
    </row>
    <row r="54" spans="1:20" x14ac:dyDescent="0.2">
      <c r="A54" s="330">
        <v>2</v>
      </c>
      <c r="B54" s="224" t="s">
        <v>1678</v>
      </c>
      <c r="C54" s="224" t="s">
        <v>1589</v>
      </c>
      <c r="D54" s="324" t="s">
        <v>1590</v>
      </c>
      <c r="E54" s="324" t="s">
        <v>1587</v>
      </c>
      <c r="F54" s="331">
        <v>37862</v>
      </c>
      <c r="G54" s="224">
        <v>15</v>
      </c>
      <c r="H54" s="95">
        <v>430872.33845341008</v>
      </c>
      <c r="I54" s="1571">
        <v>6.0299999999999999E-2</v>
      </c>
      <c r="J54" s="332">
        <f t="shared" ref="J54:J64" si="4">H54*I54</f>
        <v>25981.602008740629</v>
      </c>
      <c r="K54" s="95">
        <v>17697.87</v>
      </c>
      <c r="L54" s="333" t="s">
        <v>1591</v>
      </c>
    </row>
    <row r="55" spans="1:20" x14ac:dyDescent="0.2">
      <c r="A55" s="330">
        <v>3</v>
      </c>
      <c r="B55" s="224" t="s">
        <v>1679</v>
      </c>
      <c r="C55" s="224" t="s">
        <v>1589</v>
      </c>
      <c r="D55" s="324" t="s">
        <v>1590</v>
      </c>
      <c r="E55" s="324" t="s">
        <v>1587</v>
      </c>
      <c r="F55" s="331">
        <v>38652</v>
      </c>
      <c r="G55" s="224">
        <v>15</v>
      </c>
      <c r="H55" s="95">
        <v>807154.49</v>
      </c>
      <c r="I55" s="1571">
        <v>6.13E-2</v>
      </c>
      <c r="J55" s="332">
        <f t="shared" si="4"/>
        <v>49478.570237</v>
      </c>
      <c r="K55" s="95">
        <v>37747.08</v>
      </c>
      <c r="L55" s="333" t="s">
        <v>1591</v>
      </c>
    </row>
    <row r="56" spans="1:20" x14ac:dyDescent="0.2">
      <c r="A56" s="330">
        <v>4</v>
      </c>
      <c r="B56" s="224" t="s">
        <v>1680</v>
      </c>
      <c r="C56" s="224" t="s">
        <v>1592</v>
      </c>
      <c r="D56" s="324" t="s">
        <v>1590</v>
      </c>
      <c r="E56" s="324" t="s">
        <v>1587</v>
      </c>
      <c r="F56" s="331">
        <v>40589</v>
      </c>
      <c r="G56" s="224">
        <v>15</v>
      </c>
      <c r="H56" s="95">
        <v>916666.9</v>
      </c>
      <c r="I56" s="1571">
        <v>4.2700000000000002E-2</v>
      </c>
      <c r="J56" s="332">
        <f t="shared" si="4"/>
        <v>39141.676630000002</v>
      </c>
      <c r="K56" s="95">
        <v>37187</v>
      </c>
      <c r="L56" s="333"/>
    </row>
    <row r="57" spans="1:20" x14ac:dyDescent="0.2">
      <c r="A57" s="330">
        <v>5</v>
      </c>
      <c r="B57" s="224" t="s">
        <v>1681</v>
      </c>
      <c r="C57" s="224" t="s">
        <v>1585</v>
      </c>
      <c r="D57" s="324" t="s">
        <v>1586</v>
      </c>
      <c r="E57" s="324" t="s">
        <v>1587</v>
      </c>
      <c r="F57" s="331">
        <v>42036</v>
      </c>
      <c r="G57" s="224">
        <v>10</v>
      </c>
      <c r="H57" s="95">
        <v>2514984.54</v>
      </c>
      <c r="I57" s="1571">
        <v>0.03</v>
      </c>
      <c r="J57" s="332">
        <f t="shared" si="4"/>
        <v>75449.536200000002</v>
      </c>
      <c r="K57" s="95">
        <v>71670.185636153547</v>
      </c>
      <c r="L57" s="333"/>
      <c r="R57" s="321"/>
      <c r="S57" s="321"/>
      <c r="T57" s="321"/>
    </row>
    <row r="58" spans="1:20" x14ac:dyDescent="0.2">
      <c r="A58" s="330">
        <v>6</v>
      </c>
      <c r="B58" s="224" t="s">
        <v>1682</v>
      </c>
      <c r="C58" s="224" t="s">
        <v>1585</v>
      </c>
      <c r="D58" s="324" t="s">
        <v>1586</v>
      </c>
      <c r="E58" s="324" t="s">
        <v>1587</v>
      </c>
      <c r="F58" s="331">
        <v>42278</v>
      </c>
      <c r="G58" s="224">
        <v>10</v>
      </c>
      <c r="H58" s="95">
        <v>1796528.1915372931</v>
      </c>
      <c r="I58" s="1571">
        <v>0.03</v>
      </c>
      <c r="J58" s="332">
        <f t="shared" si="4"/>
        <v>53895.845746118794</v>
      </c>
      <c r="K58" s="95">
        <v>51425.833178176908</v>
      </c>
      <c r="L58" s="333"/>
      <c r="R58" s="321"/>
      <c r="S58" s="321"/>
      <c r="T58" s="321"/>
    </row>
    <row r="59" spans="1:20" x14ac:dyDescent="0.2">
      <c r="A59" s="330">
        <v>7</v>
      </c>
      <c r="B59" s="224"/>
      <c r="C59" s="224"/>
      <c r="D59" s="324"/>
      <c r="E59" s="324"/>
      <c r="F59" s="331"/>
      <c r="G59" s="224"/>
      <c r="H59" s="95"/>
      <c r="I59" s="224"/>
      <c r="J59" s="332">
        <f t="shared" si="4"/>
        <v>0</v>
      </c>
      <c r="K59" s="95"/>
      <c r="L59" s="333"/>
      <c r="R59" s="321"/>
      <c r="S59" s="321"/>
      <c r="T59" s="321"/>
    </row>
    <row r="60" spans="1:20" x14ac:dyDescent="0.2">
      <c r="A60" s="330">
        <v>8</v>
      </c>
      <c r="B60" s="224"/>
      <c r="C60" s="224"/>
      <c r="D60" s="324"/>
      <c r="E60" s="324"/>
      <c r="F60" s="331"/>
      <c r="G60" s="224"/>
      <c r="H60" s="95"/>
      <c r="I60" s="224"/>
      <c r="J60" s="332">
        <f t="shared" si="4"/>
        <v>0</v>
      </c>
      <c r="K60" s="95"/>
      <c r="L60" s="333"/>
      <c r="R60" s="321"/>
      <c r="S60" s="321"/>
      <c r="T60" s="321"/>
    </row>
    <row r="61" spans="1:20" x14ac:dyDescent="0.2">
      <c r="A61" s="330">
        <v>9</v>
      </c>
      <c r="B61" s="224"/>
      <c r="C61" s="224"/>
      <c r="D61" s="324"/>
      <c r="E61" s="324"/>
      <c r="F61" s="331"/>
      <c r="G61" s="224"/>
      <c r="H61" s="95"/>
      <c r="I61" s="224"/>
      <c r="J61" s="332">
        <f t="shared" si="4"/>
        <v>0</v>
      </c>
      <c r="K61" s="95"/>
      <c r="L61" s="333"/>
      <c r="R61" s="321"/>
      <c r="S61" s="321"/>
      <c r="T61" s="321"/>
    </row>
    <row r="62" spans="1:20" x14ac:dyDescent="0.2">
      <c r="A62" s="330">
        <v>10</v>
      </c>
      <c r="B62" s="224"/>
      <c r="C62" s="224"/>
      <c r="D62" s="324"/>
      <c r="E62" s="324"/>
      <c r="F62" s="331"/>
      <c r="G62" s="224"/>
      <c r="H62" s="95"/>
      <c r="I62" s="224"/>
      <c r="J62" s="332">
        <f t="shared" si="4"/>
        <v>0</v>
      </c>
      <c r="K62" s="95"/>
      <c r="L62" s="333"/>
      <c r="R62" s="334"/>
      <c r="S62" s="334"/>
      <c r="T62" s="334"/>
    </row>
    <row r="63" spans="1:20" x14ac:dyDescent="0.2">
      <c r="A63" s="330">
        <v>11</v>
      </c>
      <c r="B63" s="224"/>
      <c r="C63" s="224"/>
      <c r="D63" s="324"/>
      <c r="E63" s="324"/>
      <c r="F63" s="331"/>
      <c r="G63" s="224"/>
      <c r="H63" s="95"/>
      <c r="I63" s="224"/>
      <c r="J63" s="332">
        <f t="shared" si="4"/>
        <v>0</v>
      </c>
      <c r="K63" s="95"/>
      <c r="L63" s="333"/>
      <c r="R63" s="321"/>
      <c r="S63" s="321"/>
      <c r="T63" s="321"/>
    </row>
    <row r="64" spans="1:20" x14ac:dyDescent="0.2">
      <c r="A64" s="330">
        <v>12</v>
      </c>
      <c r="B64" s="224"/>
      <c r="C64" s="224"/>
      <c r="D64" s="324"/>
      <c r="E64" s="324"/>
      <c r="F64" s="331"/>
      <c r="G64" s="224"/>
      <c r="H64" s="95"/>
      <c r="I64" s="224"/>
      <c r="J64" s="332">
        <f t="shared" si="4"/>
        <v>0</v>
      </c>
      <c r="K64" s="95"/>
      <c r="L64" s="333"/>
    </row>
    <row r="65" spans="1:20" ht="13.5" thickBot="1" x14ac:dyDescent="0.25">
      <c r="A65" s="335"/>
      <c r="B65" s="336"/>
      <c r="C65" s="337"/>
      <c r="D65" s="337"/>
      <c r="E65" s="337"/>
      <c r="F65" s="336"/>
      <c r="G65" s="337"/>
      <c r="H65" s="337"/>
      <c r="I65" s="337"/>
      <c r="J65" s="336"/>
      <c r="K65" s="336"/>
      <c r="L65" s="333"/>
    </row>
    <row r="66" spans="1:20" ht="14.25" thickTop="1" thickBot="1" x14ac:dyDescent="0.25">
      <c r="A66" s="338" t="s">
        <v>272</v>
      </c>
      <c r="B66" s="339"/>
      <c r="C66" s="340"/>
      <c r="D66" s="340"/>
      <c r="E66" s="340"/>
      <c r="F66" s="339"/>
      <c r="G66" s="340"/>
      <c r="H66" s="252">
        <f>SUM(H53:H64)</f>
        <v>9211402.3699907046</v>
      </c>
      <c r="I66" s="948">
        <f>IF(H66=0,"",J66/H66)</f>
        <v>3.7569580045845791E-2</v>
      </c>
      <c r="J66" s="341">
        <f>SUM(J53:J64)</f>
        <v>346068.51867385942</v>
      </c>
      <c r="K66" s="341">
        <f>SUM(K53:K64)</f>
        <v>404537.63881433045</v>
      </c>
      <c r="L66" s="342"/>
    </row>
    <row r="68" spans="1:20" ht="15.75" x14ac:dyDescent="0.2">
      <c r="D68" s="323" t="s">
        <v>10</v>
      </c>
      <c r="E68" s="324">
        <v>2016</v>
      </c>
    </row>
    <row r="69" spans="1:20" ht="16.5" customHeight="1" thickBot="1" x14ac:dyDescent="0.25"/>
    <row r="70" spans="1:20" ht="27" x14ac:dyDescent="0.2">
      <c r="A70" s="325" t="s">
        <v>406</v>
      </c>
      <c r="B70" s="326" t="s">
        <v>212</v>
      </c>
      <c r="C70" s="326" t="s">
        <v>400</v>
      </c>
      <c r="D70" s="327" t="s">
        <v>401</v>
      </c>
      <c r="E70" s="327" t="s">
        <v>402</v>
      </c>
      <c r="F70" s="326" t="s">
        <v>403</v>
      </c>
      <c r="G70" s="328" t="s">
        <v>408</v>
      </c>
      <c r="H70" s="328" t="s">
        <v>407</v>
      </c>
      <c r="I70" s="328" t="s">
        <v>928</v>
      </c>
      <c r="J70" s="328" t="s">
        <v>1607</v>
      </c>
      <c r="K70" s="328" t="s">
        <v>1606</v>
      </c>
      <c r="L70" s="329" t="s">
        <v>555</v>
      </c>
    </row>
    <row r="71" spans="1:20" x14ac:dyDescent="0.2">
      <c r="A71" s="330">
        <v>1</v>
      </c>
      <c r="B71" s="224" t="s">
        <v>1676</v>
      </c>
      <c r="C71" s="224" t="s">
        <v>1585</v>
      </c>
      <c r="D71" s="324" t="s">
        <v>1586</v>
      </c>
      <c r="E71" s="324" t="s">
        <v>1587</v>
      </c>
      <c r="F71" s="331">
        <v>36708</v>
      </c>
      <c r="G71" s="224" t="s">
        <v>1677</v>
      </c>
      <c r="H71" s="95">
        <v>3035008.9500000007</v>
      </c>
      <c r="I71" s="1571">
        <v>4.5400000000000003E-2</v>
      </c>
      <c r="J71" s="332">
        <f>H71*I71</f>
        <v>137789.40633000003</v>
      </c>
      <c r="K71" s="95">
        <v>210533.56</v>
      </c>
      <c r="L71" s="333" t="s">
        <v>1588</v>
      </c>
    </row>
    <row r="72" spans="1:20" x14ac:dyDescent="0.2">
      <c r="A72" s="330">
        <v>2</v>
      </c>
      <c r="B72" s="224" t="s">
        <v>1678</v>
      </c>
      <c r="C72" s="224" t="s">
        <v>1589</v>
      </c>
      <c r="D72" s="324" t="s">
        <v>1590</v>
      </c>
      <c r="E72" s="324" t="s">
        <v>1587</v>
      </c>
      <c r="F72" s="331">
        <v>37862</v>
      </c>
      <c r="G72" s="224">
        <v>15</v>
      </c>
      <c r="H72" s="95">
        <v>671809.23699602368</v>
      </c>
      <c r="I72" s="1571">
        <v>6.0299999999999999E-2</v>
      </c>
      <c r="J72" s="332">
        <f t="shared" ref="J72:J82" si="5">H72*I72</f>
        <v>40510.096990860227</v>
      </c>
      <c r="K72" s="95">
        <v>32798.370000000003</v>
      </c>
      <c r="L72" s="333" t="s">
        <v>1591</v>
      </c>
    </row>
    <row r="73" spans="1:20" x14ac:dyDescent="0.2">
      <c r="A73" s="330">
        <v>3</v>
      </c>
      <c r="B73" s="224" t="s">
        <v>1679</v>
      </c>
      <c r="C73" s="224" t="s">
        <v>1589</v>
      </c>
      <c r="D73" s="324" t="s">
        <v>1590</v>
      </c>
      <c r="E73" s="324" t="s">
        <v>1587</v>
      </c>
      <c r="F73" s="331">
        <v>38652</v>
      </c>
      <c r="G73" s="224">
        <v>15</v>
      </c>
      <c r="H73" s="95">
        <v>991794.49</v>
      </c>
      <c r="I73" s="1571">
        <v>6.13E-2</v>
      </c>
      <c r="J73" s="332">
        <f t="shared" si="5"/>
        <v>60797.002237000001</v>
      </c>
      <c r="K73" s="95">
        <v>47998.37</v>
      </c>
      <c r="L73" s="333" t="s">
        <v>1591</v>
      </c>
    </row>
    <row r="74" spans="1:20" x14ac:dyDescent="0.2">
      <c r="A74" s="330">
        <v>4</v>
      </c>
      <c r="B74" s="224" t="s">
        <v>1680</v>
      </c>
      <c r="C74" s="224" t="s">
        <v>1592</v>
      </c>
      <c r="D74" s="324" t="s">
        <v>1590</v>
      </c>
      <c r="E74" s="324" t="s">
        <v>1587</v>
      </c>
      <c r="F74" s="331">
        <v>40589</v>
      </c>
      <c r="G74" s="224">
        <v>15</v>
      </c>
      <c r="H74" s="95">
        <v>1016666.86</v>
      </c>
      <c r="I74" s="1571">
        <v>4.2700000000000002E-2</v>
      </c>
      <c r="J74" s="332">
        <f t="shared" si="5"/>
        <v>43411.674921999998</v>
      </c>
      <c r="K74" s="95">
        <v>41569.129999999997</v>
      </c>
      <c r="L74" s="333"/>
    </row>
    <row r="75" spans="1:20" x14ac:dyDescent="0.2">
      <c r="A75" s="330">
        <v>5</v>
      </c>
      <c r="B75" s="224" t="s">
        <v>1681</v>
      </c>
      <c r="C75" s="224" t="s">
        <v>1585</v>
      </c>
      <c r="D75" s="324" t="s">
        <v>1586</v>
      </c>
      <c r="E75" s="324" t="s">
        <v>1587</v>
      </c>
      <c r="F75" s="331">
        <v>42036</v>
      </c>
      <c r="G75" s="224">
        <v>10</v>
      </c>
      <c r="H75" s="95">
        <v>2782565.58</v>
      </c>
      <c r="I75" s="1571">
        <v>0.03</v>
      </c>
      <c r="J75" s="332">
        <f t="shared" si="5"/>
        <v>83476.967399999994</v>
      </c>
      <c r="K75" s="95">
        <v>80039.154512945839</v>
      </c>
      <c r="L75" s="333"/>
      <c r="R75" s="321"/>
      <c r="S75" s="321"/>
      <c r="T75" s="321"/>
    </row>
    <row r="76" spans="1:20" x14ac:dyDescent="0.2">
      <c r="A76" s="330">
        <v>6</v>
      </c>
      <c r="B76" s="224" t="s">
        <v>1682</v>
      </c>
      <c r="C76" s="224" t="s">
        <v>1585</v>
      </c>
      <c r="D76" s="324" t="s">
        <v>1586</v>
      </c>
      <c r="E76" s="324" t="s">
        <v>1587</v>
      </c>
      <c r="F76" s="331">
        <v>42278</v>
      </c>
      <c r="G76" s="224">
        <v>10</v>
      </c>
      <c r="H76" s="95">
        <v>1971367.883272246</v>
      </c>
      <c r="I76" s="1571">
        <v>0.03</v>
      </c>
      <c r="J76" s="332">
        <f t="shared" si="5"/>
        <v>59141.036498167377</v>
      </c>
      <c r="K76" s="95">
        <v>56907.068265046742</v>
      </c>
      <c r="L76" s="333"/>
      <c r="R76" s="321"/>
      <c r="S76" s="321"/>
      <c r="T76" s="321"/>
    </row>
    <row r="77" spans="1:20" ht="13.5" thickBot="1" x14ac:dyDescent="0.25">
      <c r="A77" s="330">
        <v>7</v>
      </c>
      <c r="B77" s="224"/>
      <c r="C77" s="224"/>
      <c r="D77" s="324"/>
      <c r="E77" s="324"/>
      <c r="F77" s="331"/>
      <c r="G77" s="224"/>
      <c r="H77" s="95"/>
      <c r="I77" s="224"/>
      <c r="J77" s="332">
        <f t="shared" si="5"/>
        <v>0</v>
      </c>
      <c r="K77" s="224"/>
      <c r="L77" s="333"/>
      <c r="R77" s="321"/>
      <c r="S77" s="321"/>
      <c r="T77" s="321"/>
    </row>
    <row r="78" spans="1:20" ht="13.5" hidden="1" thickBot="1" x14ac:dyDescent="0.25">
      <c r="A78" s="330">
        <v>8</v>
      </c>
      <c r="B78" s="224"/>
      <c r="C78" s="224"/>
      <c r="D78" s="324"/>
      <c r="E78" s="324"/>
      <c r="F78" s="331"/>
      <c r="G78" s="224"/>
      <c r="H78" s="95"/>
      <c r="I78" s="224"/>
      <c r="J78" s="332">
        <f t="shared" si="5"/>
        <v>0</v>
      </c>
      <c r="K78" s="332">
        <f t="shared" ref="K78:K82" si="6">H78*I78</f>
        <v>0</v>
      </c>
      <c r="L78" s="333"/>
      <c r="R78" s="321"/>
      <c r="S78" s="321"/>
      <c r="T78" s="321"/>
    </row>
    <row r="79" spans="1:20" ht="13.5" hidden="1" thickBot="1" x14ac:dyDescent="0.25">
      <c r="A79" s="330">
        <v>9</v>
      </c>
      <c r="B79" s="224"/>
      <c r="C79" s="224"/>
      <c r="D79" s="324"/>
      <c r="E79" s="324"/>
      <c r="F79" s="331"/>
      <c r="G79" s="224"/>
      <c r="H79" s="95"/>
      <c r="I79" s="224"/>
      <c r="J79" s="332">
        <f t="shared" si="5"/>
        <v>0</v>
      </c>
      <c r="K79" s="332">
        <f t="shared" si="6"/>
        <v>0</v>
      </c>
      <c r="L79" s="333"/>
      <c r="R79" s="321"/>
      <c r="S79" s="321"/>
      <c r="T79" s="321"/>
    </row>
    <row r="80" spans="1:20" ht="13.5" hidden="1" thickBot="1" x14ac:dyDescent="0.25">
      <c r="A80" s="330">
        <v>10</v>
      </c>
      <c r="B80" s="224"/>
      <c r="C80" s="224"/>
      <c r="D80" s="324"/>
      <c r="E80" s="324"/>
      <c r="F80" s="331"/>
      <c r="G80" s="224"/>
      <c r="H80" s="95"/>
      <c r="I80" s="224"/>
      <c r="J80" s="332">
        <f t="shared" si="5"/>
        <v>0</v>
      </c>
      <c r="K80" s="332">
        <f t="shared" si="6"/>
        <v>0</v>
      </c>
      <c r="L80" s="333"/>
      <c r="R80" s="334"/>
      <c r="S80" s="334"/>
      <c r="T80" s="334"/>
    </row>
    <row r="81" spans="1:20" ht="13.5" hidden="1" thickBot="1" x14ac:dyDescent="0.25">
      <c r="A81" s="330">
        <v>11</v>
      </c>
      <c r="B81" s="224"/>
      <c r="C81" s="224"/>
      <c r="D81" s="324"/>
      <c r="E81" s="324"/>
      <c r="F81" s="331"/>
      <c r="G81" s="224"/>
      <c r="H81" s="95"/>
      <c r="I81" s="224"/>
      <c r="J81" s="332">
        <f t="shared" si="5"/>
        <v>0</v>
      </c>
      <c r="K81" s="332">
        <f t="shared" si="6"/>
        <v>0</v>
      </c>
      <c r="L81" s="333"/>
      <c r="R81" s="321"/>
      <c r="S81" s="321"/>
      <c r="T81" s="321"/>
    </row>
    <row r="82" spans="1:20" ht="13.5" hidden="1" thickBot="1" x14ac:dyDescent="0.25">
      <c r="A82" s="330">
        <v>12</v>
      </c>
      <c r="B82" s="224"/>
      <c r="C82" s="224"/>
      <c r="D82" s="324"/>
      <c r="E82" s="324"/>
      <c r="F82" s="331"/>
      <c r="G82" s="224"/>
      <c r="H82" s="95"/>
      <c r="I82" s="224"/>
      <c r="J82" s="332">
        <f t="shared" si="5"/>
        <v>0</v>
      </c>
      <c r="K82" s="332">
        <f t="shared" si="6"/>
        <v>0</v>
      </c>
      <c r="L82" s="333"/>
    </row>
    <row r="83" spans="1:20" ht="13.5" hidden="1" thickBot="1" x14ac:dyDescent="0.25">
      <c r="A83" s="335"/>
      <c r="B83" s="336"/>
      <c r="C83" s="337"/>
      <c r="D83" s="337"/>
      <c r="E83" s="337"/>
      <c r="F83" s="336"/>
      <c r="G83" s="337"/>
      <c r="H83" s="337"/>
      <c r="I83" s="337"/>
      <c r="J83" s="336"/>
      <c r="K83" s="336"/>
      <c r="L83" s="333"/>
    </row>
    <row r="84" spans="1:20" ht="14.25" thickTop="1" thickBot="1" x14ac:dyDescent="0.25">
      <c r="A84" s="338" t="s">
        <v>272</v>
      </c>
      <c r="B84" s="339"/>
      <c r="C84" s="340"/>
      <c r="D84" s="340"/>
      <c r="E84" s="340"/>
      <c r="F84" s="339"/>
      <c r="G84" s="340"/>
      <c r="H84" s="252">
        <f>SUM(H71:H82)</f>
        <v>10469213.000268269</v>
      </c>
      <c r="I84" s="948">
        <f>IF(H84=0,"",J84/H84)</f>
        <v>4.0607272425074732E-2</v>
      </c>
      <c r="J84" s="341">
        <f>SUM(J71:J82)</f>
        <v>425126.18437802762</v>
      </c>
      <c r="K84" s="341">
        <f>SUM(K71:K82)</f>
        <v>469845.6527779926</v>
      </c>
      <c r="L84" s="342"/>
    </row>
    <row r="86" spans="1:20" ht="15.75" x14ac:dyDescent="0.2">
      <c r="D86" s="323" t="s">
        <v>10</v>
      </c>
      <c r="E86" s="324">
        <v>2015</v>
      </c>
    </row>
    <row r="87" spans="1:20" ht="16.5" customHeight="1" thickBot="1" x14ac:dyDescent="0.25"/>
    <row r="88" spans="1:20" ht="27" x14ac:dyDescent="0.2">
      <c r="A88" s="325" t="s">
        <v>406</v>
      </c>
      <c r="B88" s="326" t="s">
        <v>212</v>
      </c>
      <c r="C88" s="326" t="s">
        <v>400</v>
      </c>
      <c r="D88" s="327" t="s">
        <v>401</v>
      </c>
      <c r="E88" s="327" t="s">
        <v>402</v>
      </c>
      <c r="F88" s="326" t="s">
        <v>403</v>
      </c>
      <c r="G88" s="328" t="s">
        <v>408</v>
      </c>
      <c r="H88" s="328" t="s">
        <v>407</v>
      </c>
      <c r="I88" s="328" t="s">
        <v>928</v>
      </c>
      <c r="J88" s="328" t="s">
        <v>1607</v>
      </c>
      <c r="K88" s="328" t="s">
        <v>1606</v>
      </c>
      <c r="L88" s="329" t="s">
        <v>555</v>
      </c>
    </row>
    <row r="89" spans="1:20" x14ac:dyDescent="0.2">
      <c r="A89" s="330">
        <v>1</v>
      </c>
      <c r="B89" s="224" t="s">
        <v>1676</v>
      </c>
      <c r="C89" s="224" t="s">
        <v>1585</v>
      </c>
      <c r="D89" s="324" t="s">
        <v>1586</v>
      </c>
      <c r="E89" s="324" t="s">
        <v>1587</v>
      </c>
      <c r="F89" s="331">
        <v>36708</v>
      </c>
      <c r="G89" s="224" t="s">
        <v>1677</v>
      </c>
      <c r="H89" s="95">
        <v>3304612.9100000006</v>
      </c>
      <c r="I89" s="1571">
        <v>4.7699999999999999E-2</v>
      </c>
      <c r="J89" s="332">
        <f t="shared" ref="J89" si="7">H89*I89</f>
        <v>157630.03580700004</v>
      </c>
      <c r="K89" s="95">
        <v>230742.64</v>
      </c>
      <c r="L89" s="333" t="s">
        <v>1588</v>
      </c>
    </row>
    <row r="90" spans="1:20" x14ac:dyDescent="0.2">
      <c r="A90" s="330">
        <v>2</v>
      </c>
      <c r="B90" s="224" t="s">
        <v>1678</v>
      </c>
      <c r="C90" s="224" t="s">
        <v>1589</v>
      </c>
      <c r="D90" s="324" t="s">
        <v>1590</v>
      </c>
      <c r="E90" s="324" t="s">
        <v>1587</v>
      </c>
      <c r="F90" s="331">
        <v>37862</v>
      </c>
      <c r="G90" s="224">
        <v>15</v>
      </c>
      <c r="H90" s="95">
        <v>900381.15211546049</v>
      </c>
      <c r="I90" s="1571">
        <v>6.0299999999999999E-2</v>
      </c>
      <c r="J90" s="332">
        <f t="shared" ref="J90:J100" si="8">H90*I90</f>
        <v>54292.983472562264</v>
      </c>
      <c r="K90" s="95">
        <v>46868.87</v>
      </c>
      <c r="L90" s="333" t="s">
        <v>1591</v>
      </c>
    </row>
    <row r="91" spans="1:20" x14ac:dyDescent="0.2">
      <c r="A91" s="330">
        <v>3</v>
      </c>
      <c r="B91" s="224" t="s">
        <v>1679</v>
      </c>
      <c r="C91" s="224" t="s">
        <v>1589</v>
      </c>
      <c r="D91" s="324" t="s">
        <v>1590</v>
      </c>
      <c r="E91" s="324" t="s">
        <v>1587</v>
      </c>
      <c r="F91" s="331">
        <v>38652</v>
      </c>
      <c r="G91" s="224">
        <v>15</v>
      </c>
      <c r="H91" s="95">
        <v>1166785.49</v>
      </c>
      <c r="I91" s="1571">
        <v>6.13E-2</v>
      </c>
      <c r="J91" s="332">
        <f t="shared" si="8"/>
        <v>71523.950536999997</v>
      </c>
      <c r="K91" s="95">
        <v>57846.2</v>
      </c>
      <c r="L91" s="333" t="s">
        <v>1591</v>
      </c>
    </row>
    <row r="92" spans="1:20" x14ac:dyDescent="0.2">
      <c r="A92" s="330">
        <v>4</v>
      </c>
      <c r="B92" s="224" t="s">
        <v>1680</v>
      </c>
      <c r="C92" s="224" t="s">
        <v>1592</v>
      </c>
      <c r="D92" s="324" t="s">
        <v>1590</v>
      </c>
      <c r="E92" s="324" t="s">
        <v>1587</v>
      </c>
      <c r="F92" s="331">
        <v>40589</v>
      </c>
      <c r="G92" s="224">
        <v>15</v>
      </c>
      <c r="H92" s="95">
        <v>1116666.82</v>
      </c>
      <c r="I92" s="1571">
        <v>4.2700000000000002E-2</v>
      </c>
      <c r="J92" s="332">
        <f t="shared" si="8"/>
        <v>47681.673214000002</v>
      </c>
      <c r="K92" s="95">
        <v>45594.44</v>
      </c>
      <c r="L92" s="333"/>
    </row>
    <row r="93" spans="1:20" x14ac:dyDescent="0.2">
      <c r="A93" s="330">
        <v>5</v>
      </c>
      <c r="B93" s="224" t="s">
        <v>1681</v>
      </c>
      <c r="C93" s="224" t="s">
        <v>1585</v>
      </c>
      <c r="D93" s="324" t="s">
        <v>1586</v>
      </c>
      <c r="E93" s="324" t="s">
        <v>1587</v>
      </c>
      <c r="F93" s="331">
        <v>42036</v>
      </c>
      <c r="G93" s="224">
        <v>10</v>
      </c>
      <c r="H93" s="95">
        <v>0</v>
      </c>
      <c r="I93" s="1571">
        <v>0.03</v>
      </c>
      <c r="J93" s="332">
        <f t="shared" si="8"/>
        <v>0</v>
      </c>
      <c r="K93" s="95">
        <v>72264.072496159104</v>
      </c>
      <c r="L93" s="333"/>
      <c r="R93" s="321"/>
      <c r="S93" s="321"/>
      <c r="T93" s="321"/>
    </row>
    <row r="94" spans="1:20" x14ac:dyDescent="0.2">
      <c r="A94" s="330">
        <v>6</v>
      </c>
      <c r="B94" s="224" t="s">
        <v>1682</v>
      </c>
      <c r="C94" s="224" t="s">
        <v>1585</v>
      </c>
      <c r="D94" s="324" t="s">
        <v>1586</v>
      </c>
      <c r="E94" s="324" t="s">
        <v>1587</v>
      </c>
      <c r="F94" s="331">
        <v>42278</v>
      </c>
      <c r="G94" s="224">
        <v>10</v>
      </c>
      <c r="H94" s="95">
        <v>0</v>
      </c>
      <c r="I94" s="1571">
        <v>0.03</v>
      </c>
      <c r="J94" s="332">
        <f t="shared" si="8"/>
        <v>0</v>
      </c>
      <c r="K94" s="95">
        <v>9992.3432722461985</v>
      </c>
      <c r="L94" s="333"/>
      <c r="R94" s="321"/>
      <c r="S94" s="321"/>
      <c r="T94" s="321"/>
    </row>
    <row r="95" spans="1:20" ht="13.5" thickBot="1" x14ac:dyDescent="0.25">
      <c r="A95" s="330">
        <v>7</v>
      </c>
      <c r="B95" s="224"/>
      <c r="C95" s="224"/>
      <c r="D95" s="324"/>
      <c r="E95" s="324"/>
      <c r="F95" s="331"/>
      <c r="G95" s="224"/>
      <c r="H95" s="95"/>
      <c r="I95" s="224"/>
      <c r="J95" s="332">
        <f t="shared" si="8"/>
        <v>0</v>
      </c>
      <c r="K95" s="224"/>
      <c r="L95" s="333"/>
      <c r="R95" s="321"/>
      <c r="S95" s="321"/>
      <c r="T95" s="321"/>
    </row>
    <row r="96" spans="1:20" ht="13.5" hidden="1" thickBot="1" x14ac:dyDescent="0.25">
      <c r="A96" s="330">
        <v>8</v>
      </c>
      <c r="B96" s="224"/>
      <c r="C96" s="224"/>
      <c r="D96" s="324"/>
      <c r="E96" s="324"/>
      <c r="F96" s="331"/>
      <c r="G96" s="224"/>
      <c r="H96" s="95"/>
      <c r="I96" s="224"/>
      <c r="J96" s="332">
        <f t="shared" si="8"/>
        <v>0</v>
      </c>
      <c r="K96" s="332">
        <f t="shared" ref="K96:K100" si="9">H96*I96</f>
        <v>0</v>
      </c>
      <c r="L96" s="333"/>
      <c r="R96" s="321"/>
      <c r="S96" s="321"/>
      <c r="T96" s="321"/>
    </row>
    <row r="97" spans="1:20" ht="13.5" hidden="1" thickBot="1" x14ac:dyDescent="0.25">
      <c r="A97" s="330">
        <v>9</v>
      </c>
      <c r="B97" s="224"/>
      <c r="C97" s="224"/>
      <c r="D97" s="324"/>
      <c r="E97" s="324"/>
      <c r="F97" s="331"/>
      <c r="G97" s="224"/>
      <c r="H97" s="95"/>
      <c r="I97" s="224"/>
      <c r="J97" s="332">
        <f t="shared" si="8"/>
        <v>0</v>
      </c>
      <c r="K97" s="332">
        <f t="shared" si="9"/>
        <v>0</v>
      </c>
      <c r="L97" s="333"/>
      <c r="R97" s="321"/>
      <c r="S97" s="321"/>
      <c r="T97" s="321"/>
    </row>
    <row r="98" spans="1:20" ht="13.5" hidden="1" thickBot="1" x14ac:dyDescent="0.25">
      <c r="A98" s="330">
        <v>10</v>
      </c>
      <c r="B98" s="224"/>
      <c r="C98" s="224"/>
      <c r="D98" s="324"/>
      <c r="E98" s="324"/>
      <c r="F98" s="331"/>
      <c r="G98" s="224"/>
      <c r="H98" s="95"/>
      <c r="I98" s="224"/>
      <c r="J98" s="332">
        <f t="shared" si="8"/>
        <v>0</v>
      </c>
      <c r="K98" s="332">
        <f t="shared" si="9"/>
        <v>0</v>
      </c>
      <c r="L98" s="333"/>
      <c r="R98" s="334"/>
      <c r="S98" s="334"/>
      <c r="T98" s="334"/>
    </row>
    <row r="99" spans="1:20" ht="13.5" hidden="1" thickBot="1" x14ac:dyDescent="0.25">
      <c r="A99" s="330">
        <v>11</v>
      </c>
      <c r="B99" s="224"/>
      <c r="C99" s="224"/>
      <c r="D99" s="324"/>
      <c r="E99" s="324"/>
      <c r="F99" s="331"/>
      <c r="G99" s="224"/>
      <c r="H99" s="95"/>
      <c r="I99" s="224"/>
      <c r="J99" s="332">
        <f t="shared" si="8"/>
        <v>0</v>
      </c>
      <c r="K99" s="332">
        <f t="shared" si="9"/>
        <v>0</v>
      </c>
      <c r="L99" s="333"/>
      <c r="R99" s="321"/>
      <c r="S99" s="321"/>
      <c r="T99" s="321"/>
    </row>
    <row r="100" spans="1:20" ht="13.5" hidden="1" thickBot="1" x14ac:dyDescent="0.25">
      <c r="A100" s="330">
        <v>12</v>
      </c>
      <c r="B100" s="224"/>
      <c r="C100" s="224"/>
      <c r="D100" s="324"/>
      <c r="E100" s="324"/>
      <c r="F100" s="331"/>
      <c r="G100" s="224"/>
      <c r="H100" s="95"/>
      <c r="I100" s="224"/>
      <c r="J100" s="332">
        <f t="shared" si="8"/>
        <v>0</v>
      </c>
      <c r="K100" s="332">
        <f t="shared" si="9"/>
        <v>0</v>
      </c>
      <c r="L100" s="333"/>
    </row>
    <row r="101" spans="1:20" ht="13.5" hidden="1" thickBot="1" x14ac:dyDescent="0.25">
      <c r="A101" s="335"/>
      <c r="B101" s="336"/>
      <c r="C101" s="337"/>
      <c r="D101" s="337"/>
      <c r="E101" s="337"/>
      <c r="F101" s="336"/>
      <c r="G101" s="337"/>
      <c r="H101" s="337"/>
      <c r="I101" s="337"/>
      <c r="J101" s="336"/>
      <c r="K101" s="336"/>
      <c r="L101" s="333"/>
    </row>
    <row r="102" spans="1:20" ht="14.25" thickTop="1" thickBot="1" x14ac:dyDescent="0.25">
      <c r="A102" s="338" t="s">
        <v>272</v>
      </c>
      <c r="B102" s="339"/>
      <c r="C102" s="340"/>
      <c r="D102" s="340"/>
      <c r="E102" s="340"/>
      <c r="F102" s="339"/>
      <c r="G102" s="340"/>
      <c r="H102" s="252">
        <f>SUM(H89:H100)</f>
        <v>6488446.3721154612</v>
      </c>
      <c r="I102" s="948">
        <f>IF(H102=0,"",J102/H102)</f>
        <v>5.1033579387141134E-2</v>
      </c>
      <c r="J102" s="341">
        <f>SUM(J89:J100)</f>
        <v>331128.64303056226</v>
      </c>
      <c r="K102" s="341">
        <f>SUM(K89:K100)</f>
        <v>463308.56576840533</v>
      </c>
      <c r="L102" s="342"/>
    </row>
    <row r="104" spans="1:20" ht="15.75" x14ac:dyDescent="0.2">
      <c r="D104" s="323" t="s">
        <v>10</v>
      </c>
      <c r="E104" s="324">
        <v>2014</v>
      </c>
    </row>
    <row r="105" spans="1:20" ht="16.5" customHeight="1" thickBot="1" x14ac:dyDescent="0.25"/>
    <row r="106" spans="1:20" ht="27" x14ac:dyDescent="0.2">
      <c r="A106" s="325" t="s">
        <v>406</v>
      </c>
      <c r="B106" s="326" t="s">
        <v>212</v>
      </c>
      <c r="C106" s="326" t="s">
        <v>400</v>
      </c>
      <c r="D106" s="327" t="s">
        <v>401</v>
      </c>
      <c r="E106" s="327" t="s">
        <v>402</v>
      </c>
      <c r="F106" s="326" t="s">
        <v>403</v>
      </c>
      <c r="G106" s="328" t="s">
        <v>408</v>
      </c>
      <c r="H106" s="328" t="s">
        <v>407</v>
      </c>
      <c r="I106" s="328" t="s">
        <v>928</v>
      </c>
      <c r="J106" s="328" t="s">
        <v>1607</v>
      </c>
      <c r="K106" s="328" t="s">
        <v>1606</v>
      </c>
      <c r="L106" s="329" t="s">
        <v>555</v>
      </c>
    </row>
    <row r="107" spans="1:20" x14ac:dyDescent="0.2">
      <c r="A107" s="330">
        <v>1</v>
      </c>
      <c r="B107" s="224" t="s">
        <v>1676</v>
      </c>
      <c r="C107" s="224" t="s">
        <v>1585</v>
      </c>
      <c r="D107" s="1579" t="s">
        <v>1586</v>
      </c>
      <c r="E107" s="324" t="s">
        <v>1587</v>
      </c>
      <c r="F107" s="331">
        <v>36708</v>
      </c>
      <c r="G107" s="224" t="s">
        <v>1677</v>
      </c>
      <c r="H107" s="95">
        <v>3800929</v>
      </c>
      <c r="I107" s="1571">
        <v>4.8800000000000003E-2</v>
      </c>
      <c r="J107" s="332">
        <f t="shared" ref="J107" si="10">H107*I107</f>
        <v>185485.3352</v>
      </c>
      <c r="K107" s="95">
        <v>254031</v>
      </c>
      <c r="L107" s="333" t="s">
        <v>1588</v>
      </c>
    </row>
    <row r="108" spans="1:20" x14ac:dyDescent="0.2">
      <c r="A108" s="330">
        <v>2</v>
      </c>
      <c r="B108" s="224" t="s">
        <v>1678</v>
      </c>
      <c r="C108" s="224" t="s">
        <v>1589</v>
      </c>
      <c r="D108" s="1579" t="s">
        <v>1586</v>
      </c>
      <c r="E108" s="324" t="s">
        <v>1587</v>
      </c>
      <c r="F108" s="331">
        <v>37862</v>
      </c>
      <c r="G108" s="224">
        <v>15</v>
      </c>
      <c r="H108" s="95">
        <v>1117222.659984902</v>
      </c>
      <c r="I108" s="1571">
        <v>6.0299999999999999E-2</v>
      </c>
      <c r="J108" s="332">
        <f t="shared" ref="J108:J118" si="11">H108*I108</f>
        <v>67368.52639708959</v>
      </c>
      <c r="K108" s="95">
        <v>63988.75</v>
      </c>
      <c r="L108" s="333" t="s">
        <v>1591</v>
      </c>
    </row>
    <row r="109" spans="1:20" x14ac:dyDescent="0.2">
      <c r="A109" s="330">
        <v>3</v>
      </c>
      <c r="B109" s="224" t="s">
        <v>1679</v>
      </c>
      <c r="C109" s="224" t="s">
        <v>1589</v>
      </c>
      <c r="D109" s="1579" t="s">
        <v>1586</v>
      </c>
      <c r="E109" s="324" t="s">
        <v>1587</v>
      </c>
      <c r="F109" s="331">
        <v>38652</v>
      </c>
      <c r="G109" s="224">
        <v>15</v>
      </c>
      <c r="H109" s="95">
        <v>1332629.49</v>
      </c>
      <c r="I109" s="1571">
        <v>6.13E-2</v>
      </c>
      <c r="J109" s="332">
        <f t="shared" si="11"/>
        <v>81690.187737</v>
      </c>
      <c r="K109" s="95">
        <v>70396.899999999994</v>
      </c>
      <c r="L109" s="333" t="s">
        <v>1591</v>
      </c>
    </row>
    <row r="110" spans="1:20" x14ac:dyDescent="0.2">
      <c r="A110" s="330">
        <v>4</v>
      </c>
      <c r="B110" s="224" t="s">
        <v>1680</v>
      </c>
      <c r="C110" s="224" t="s">
        <v>1592</v>
      </c>
      <c r="D110" s="1579" t="s">
        <v>1586</v>
      </c>
      <c r="E110" s="324" t="s">
        <v>1587</v>
      </c>
      <c r="F110" s="331">
        <v>40589</v>
      </c>
      <c r="G110" s="224">
        <v>15</v>
      </c>
      <c r="H110" s="95">
        <v>1216666.78</v>
      </c>
      <c r="I110" s="1571">
        <v>4.2700000000000002E-2</v>
      </c>
      <c r="J110" s="332">
        <f t="shared" si="11"/>
        <v>51951.671506000006</v>
      </c>
      <c r="K110" s="95">
        <v>49854.69</v>
      </c>
      <c r="L110" s="333"/>
    </row>
    <row r="111" spans="1:20" x14ac:dyDescent="0.2">
      <c r="A111" s="330">
        <v>5</v>
      </c>
      <c r="B111" s="224"/>
      <c r="C111" s="224"/>
      <c r="D111" s="324"/>
      <c r="E111" s="324"/>
      <c r="F111" s="331"/>
      <c r="G111" s="224"/>
      <c r="H111" s="1506"/>
      <c r="I111" s="1571"/>
      <c r="J111" s="332">
        <f t="shared" si="11"/>
        <v>0</v>
      </c>
      <c r="K111" s="1572"/>
      <c r="L111" s="333"/>
      <c r="R111" s="321"/>
      <c r="S111" s="321"/>
      <c r="T111" s="321"/>
    </row>
    <row r="112" spans="1:20" x14ac:dyDescent="0.2">
      <c r="A112" s="330">
        <v>6</v>
      </c>
      <c r="B112" s="224"/>
      <c r="C112" s="224"/>
      <c r="D112" s="324"/>
      <c r="E112" s="324"/>
      <c r="F112" s="331"/>
      <c r="G112" s="224"/>
      <c r="H112" s="1506"/>
      <c r="I112" s="1571"/>
      <c r="J112" s="332">
        <f t="shared" si="11"/>
        <v>0</v>
      </c>
      <c r="K112" s="1572"/>
      <c r="L112" s="333"/>
      <c r="R112" s="321"/>
      <c r="S112" s="321"/>
      <c r="T112" s="321"/>
    </row>
    <row r="113" spans="1:20" ht="13.5" thickBot="1" x14ac:dyDescent="0.25">
      <c r="A113" s="330">
        <v>7</v>
      </c>
      <c r="B113" s="224"/>
      <c r="C113" s="224"/>
      <c r="D113" s="324"/>
      <c r="E113" s="324"/>
      <c r="F113" s="331"/>
      <c r="G113" s="224"/>
      <c r="H113" s="95"/>
      <c r="I113" s="224"/>
      <c r="J113" s="332">
        <f t="shared" si="11"/>
        <v>0</v>
      </c>
      <c r="K113" s="332">
        <f t="shared" ref="K113:K118" si="12">H113*I113</f>
        <v>0</v>
      </c>
      <c r="L113" s="333"/>
      <c r="R113" s="321"/>
      <c r="S113" s="321"/>
      <c r="T113" s="321"/>
    </row>
    <row r="114" spans="1:20" ht="13.5" hidden="1" thickBot="1" x14ac:dyDescent="0.25">
      <c r="A114" s="330">
        <v>8</v>
      </c>
      <c r="B114" s="224"/>
      <c r="C114" s="224"/>
      <c r="D114" s="324"/>
      <c r="E114" s="324"/>
      <c r="F114" s="331"/>
      <c r="G114" s="224"/>
      <c r="H114" s="95"/>
      <c r="I114" s="224"/>
      <c r="J114" s="332">
        <f t="shared" si="11"/>
        <v>0</v>
      </c>
      <c r="K114" s="332">
        <f t="shared" si="12"/>
        <v>0</v>
      </c>
      <c r="L114" s="333"/>
      <c r="R114" s="321"/>
      <c r="S114" s="321"/>
      <c r="T114" s="321"/>
    </row>
    <row r="115" spans="1:20" ht="13.5" hidden="1" thickBot="1" x14ac:dyDescent="0.25">
      <c r="A115" s="330">
        <v>9</v>
      </c>
      <c r="B115" s="224"/>
      <c r="C115" s="224"/>
      <c r="D115" s="324"/>
      <c r="E115" s="324"/>
      <c r="F115" s="331"/>
      <c r="G115" s="224"/>
      <c r="H115" s="95"/>
      <c r="I115" s="224"/>
      <c r="J115" s="332">
        <f t="shared" si="11"/>
        <v>0</v>
      </c>
      <c r="K115" s="332">
        <f t="shared" si="12"/>
        <v>0</v>
      </c>
      <c r="L115" s="333"/>
      <c r="R115" s="321"/>
      <c r="S115" s="321"/>
      <c r="T115" s="321"/>
    </row>
    <row r="116" spans="1:20" ht="13.5" hidden="1" thickBot="1" x14ac:dyDescent="0.25">
      <c r="A116" s="330">
        <v>10</v>
      </c>
      <c r="B116" s="224"/>
      <c r="C116" s="224"/>
      <c r="D116" s="324"/>
      <c r="E116" s="324"/>
      <c r="F116" s="331"/>
      <c r="G116" s="224"/>
      <c r="H116" s="95"/>
      <c r="I116" s="224"/>
      <c r="J116" s="332">
        <f t="shared" si="11"/>
        <v>0</v>
      </c>
      <c r="K116" s="332">
        <f t="shared" si="12"/>
        <v>0</v>
      </c>
      <c r="L116" s="333"/>
      <c r="R116" s="334"/>
      <c r="S116" s="334"/>
      <c r="T116" s="334"/>
    </row>
    <row r="117" spans="1:20" ht="13.5" hidden="1" thickBot="1" x14ac:dyDescent="0.25">
      <c r="A117" s="330">
        <v>11</v>
      </c>
      <c r="B117" s="224"/>
      <c r="C117" s="224"/>
      <c r="D117" s="324"/>
      <c r="E117" s="324"/>
      <c r="F117" s="331"/>
      <c r="G117" s="224"/>
      <c r="H117" s="95"/>
      <c r="I117" s="224"/>
      <c r="J117" s="332">
        <f t="shared" si="11"/>
        <v>0</v>
      </c>
      <c r="K117" s="332">
        <f t="shared" si="12"/>
        <v>0</v>
      </c>
      <c r="L117" s="333"/>
      <c r="R117" s="321"/>
      <c r="S117" s="321"/>
      <c r="T117" s="321"/>
    </row>
    <row r="118" spans="1:20" ht="13.5" hidden="1" thickBot="1" x14ac:dyDescent="0.25">
      <c r="A118" s="330">
        <v>12</v>
      </c>
      <c r="B118" s="224"/>
      <c r="C118" s="224"/>
      <c r="D118" s="324"/>
      <c r="E118" s="324"/>
      <c r="F118" s="331"/>
      <c r="G118" s="224"/>
      <c r="H118" s="95"/>
      <c r="I118" s="224"/>
      <c r="J118" s="332">
        <f t="shared" si="11"/>
        <v>0</v>
      </c>
      <c r="K118" s="332">
        <f t="shared" si="12"/>
        <v>0</v>
      </c>
      <c r="L118" s="333"/>
    </row>
    <row r="119" spans="1:20" ht="13.5" hidden="1" thickBot="1" x14ac:dyDescent="0.25">
      <c r="A119" s="335"/>
      <c r="B119" s="336"/>
      <c r="C119" s="337"/>
      <c r="D119" s="337"/>
      <c r="E119" s="337"/>
      <c r="F119" s="336"/>
      <c r="G119" s="337"/>
      <c r="H119" s="337"/>
      <c r="I119" s="337"/>
      <c r="J119" s="336"/>
      <c r="K119" s="336"/>
      <c r="L119" s="333"/>
    </row>
    <row r="120" spans="1:20" ht="14.25" thickTop="1" thickBot="1" x14ac:dyDescent="0.25">
      <c r="A120" s="338" t="s">
        <v>272</v>
      </c>
      <c r="B120" s="339"/>
      <c r="C120" s="340"/>
      <c r="D120" s="340"/>
      <c r="E120" s="340"/>
      <c r="F120" s="339"/>
      <c r="G120" s="340"/>
      <c r="H120" s="252">
        <f>SUM(H107:H118)</f>
        <v>7467447.929984902</v>
      </c>
      <c r="I120" s="948">
        <f>IF(H120=0,"",J120/H120)</f>
        <v>5.1757404198045885E-2</v>
      </c>
      <c r="J120" s="341">
        <f>SUM(J107:J118)</f>
        <v>386495.72084008961</v>
      </c>
      <c r="K120" s="341">
        <f>SUM(K107:K118)</f>
        <v>438271.34</v>
      </c>
      <c r="L120" s="342"/>
    </row>
    <row r="122" spans="1:20" ht="15.75" x14ac:dyDescent="0.2">
      <c r="D122" s="323" t="s">
        <v>10</v>
      </c>
      <c r="E122" s="324"/>
    </row>
    <row r="123" spans="1:20" ht="16.5" customHeight="1" thickBot="1" x14ac:dyDescent="0.25"/>
    <row r="124" spans="1:20" ht="27" x14ac:dyDescent="0.2">
      <c r="A124" s="325" t="s">
        <v>406</v>
      </c>
      <c r="B124" s="326" t="s">
        <v>212</v>
      </c>
      <c r="C124" s="326" t="s">
        <v>400</v>
      </c>
      <c r="D124" s="327" t="s">
        <v>401</v>
      </c>
      <c r="E124" s="327" t="s">
        <v>402</v>
      </c>
      <c r="F124" s="326" t="s">
        <v>403</v>
      </c>
      <c r="G124" s="328" t="s">
        <v>408</v>
      </c>
      <c r="H124" s="328" t="s">
        <v>407</v>
      </c>
      <c r="I124" s="328" t="s">
        <v>928</v>
      </c>
      <c r="J124" s="328" t="s">
        <v>1607</v>
      </c>
      <c r="K124" s="328" t="s">
        <v>1606</v>
      </c>
      <c r="L124" s="329" t="s">
        <v>555</v>
      </c>
    </row>
    <row r="125" spans="1:20" x14ac:dyDescent="0.2">
      <c r="A125" s="330">
        <v>1</v>
      </c>
      <c r="B125" s="224"/>
      <c r="C125" s="224"/>
      <c r="D125" s="324"/>
      <c r="E125" s="324"/>
      <c r="F125" s="331"/>
      <c r="G125" s="224"/>
      <c r="H125" s="1506"/>
      <c r="I125" s="1571"/>
      <c r="J125" s="332">
        <f t="shared" ref="J125:J136" si="13">H125*I125</f>
        <v>0</v>
      </c>
      <c r="K125" s="1572"/>
      <c r="L125" s="333"/>
    </row>
    <row r="126" spans="1:20" x14ac:dyDescent="0.2">
      <c r="A126" s="330">
        <v>2</v>
      </c>
      <c r="B126" s="224"/>
      <c r="C126" s="224"/>
      <c r="D126" s="324"/>
      <c r="E126" s="324"/>
      <c r="F126" s="331"/>
      <c r="G126" s="224"/>
      <c r="H126" s="1506"/>
      <c r="I126" s="1571"/>
      <c r="J126" s="332">
        <f t="shared" si="13"/>
        <v>0</v>
      </c>
      <c r="K126" s="1572"/>
      <c r="L126" s="333"/>
    </row>
    <row r="127" spans="1:20" x14ac:dyDescent="0.2">
      <c r="A127" s="330">
        <v>3</v>
      </c>
      <c r="B127" s="224"/>
      <c r="C127" s="224"/>
      <c r="D127" s="324"/>
      <c r="E127" s="324"/>
      <c r="F127" s="331"/>
      <c r="G127" s="224"/>
      <c r="H127" s="1506"/>
      <c r="I127" s="1571"/>
      <c r="J127" s="332">
        <f t="shared" si="13"/>
        <v>0</v>
      </c>
      <c r="K127" s="1572"/>
      <c r="L127" s="333"/>
    </row>
    <row r="128" spans="1:20" x14ac:dyDescent="0.2">
      <c r="A128" s="330">
        <v>4</v>
      </c>
      <c r="B128" s="224"/>
      <c r="C128" s="224"/>
      <c r="D128" s="324"/>
      <c r="E128" s="324"/>
      <c r="F128" s="331"/>
      <c r="G128" s="224"/>
      <c r="H128" s="1506"/>
      <c r="I128" s="1571"/>
      <c r="J128" s="332">
        <f t="shared" si="13"/>
        <v>0</v>
      </c>
      <c r="K128" s="1572"/>
      <c r="L128" s="333"/>
    </row>
    <row r="129" spans="1:20" ht="13.5" thickBot="1" x14ac:dyDescent="0.25">
      <c r="A129" s="330">
        <v>5</v>
      </c>
      <c r="B129" s="224"/>
      <c r="C129" s="224"/>
      <c r="D129" s="324"/>
      <c r="E129" s="324"/>
      <c r="F129" s="331"/>
      <c r="G129" s="224"/>
      <c r="H129" s="95"/>
      <c r="I129" s="1571"/>
      <c r="J129" s="332">
        <f t="shared" si="13"/>
        <v>0</v>
      </c>
      <c r="K129" s="332">
        <f t="shared" ref="K129:K136" si="14">H129*I129</f>
        <v>0</v>
      </c>
      <c r="L129" s="333"/>
      <c r="R129" s="321"/>
      <c r="S129" s="321"/>
      <c r="T129" s="321"/>
    </row>
    <row r="130" spans="1:20" ht="13.5" hidden="1" thickBot="1" x14ac:dyDescent="0.25">
      <c r="A130" s="330">
        <v>6</v>
      </c>
      <c r="B130" s="224"/>
      <c r="C130" s="224"/>
      <c r="D130" s="324"/>
      <c r="E130" s="324"/>
      <c r="F130" s="331"/>
      <c r="G130" s="224"/>
      <c r="H130" s="95"/>
      <c r="I130" s="1571"/>
      <c r="J130" s="332">
        <f t="shared" si="13"/>
        <v>0</v>
      </c>
      <c r="K130" s="332">
        <f t="shared" si="14"/>
        <v>0</v>
      </c>
      <c r="L130" s="333"/>
      <c r="R130" s="321"/>
      <c r="S130" s="321"/>
      <c r="T130" s="321"/>
    </row>
    <row r="131" spans="1:20" ht="13.5" hidden="1" thickBot="1" x14ac:dyDescent="0.25">
      <c r="A131" s="330">
        <v>7</v>
      </c>
      <c r="B131" s="224"/>
      <c r="C131" s="224"/>
      <c r="D131" s="324"/>
      <c r="E131" s="324"/>
      <c r="F131" s="331"/>
      <c r="G131" s="224"/>
      <c r="H131" s="95"/>
      <c r="I131" s="224"/>
      <c r="J131" s="332">
        <f t="shared" si="13"/>
        <v>0</v>
      </c>
      <c r="K131" s="332">
        <f t="shared" si="14"/>
        <v>0</v>
      </c>
      <c r="L131" s="333"/>
      <c r="R131" s="321"/>
      <c r="S131" s="321"/>
      <c r="T131" s="321"/>
    </row>
    <row r="132" spans="1:20" ht="13.5" hidden="1" thickBot="1" x14ac:dyDescent="0.25">
      <c r="A132" s="330">
        <v>8</v>
      </c>
      <c r="B132" s="224"/>
      <c r="C132" s="224"/>
      <c r="D132" s="324"/>
      <c r="E132" s="324"/>
      <c r="F132" s="331"/>
      <c r="G132" s="224"/>
      <c r="H132" s="95"/>
      <c r="I132" s="224"/>
      <c r="J132" s="332">
        <f t="shared" si="13"/>
        <v>0</v>
      </c>
      <c r="K132" s="332">
        <f t="shared" si="14"/>
        <v>0</v>
      </c>
      <c r="L132" s="333"/>
      <c r="R132" s="321"/>
      <c r="S132" s="321"/>
      <c r="T132" s="321"/>
    </row>
    <row r="133" spans="1:20" ht="13.5" hidden="1" thickBot="1" x14ac:dyDescent="0.25">
      <c r="A133" s="330">
        <v>9</v>
      </c>
      <c r="B133" s="224"/>
      <c r="C133" s="224"/>
      <c r="D133" s="324"/>
      <c r="E133" s="324"/>
      <c r="F133" s="331"/>
      <c r="G133" s="224"/>
      <c r="H133" s="95"/>
      <c r="I133" s="224"/>
      <c r="J133" s="332">
        <f t="shared" si="13"/>
        <v>0</v>
      </c>
      <c r="K133" s="332">
        <f t="shared" si="14"/>
        <v>0</v>
      </c>
      <c r="L133" s="333"/>
      <c r="R133" s="321"/>
      <c r="S133" s="321"/>
      <c r="T133" s="321"/>
    </row>
    <row r="134" spans="1:20" ht="13.5" hidden="1" thickBot="1" x14ac:dyDescent="0.25">
      <c r="A134" s="330">
        <v>10</v>
      </c>
      <c r="B134" s="224"/>
      <c r="C134" s="224"/>
      <c r="D134" s="324"/>
      <c r="E134" s="324"/>
      <c r="F134" s="331"/>
      <c r="G134" s="224"/>
      <c r="H134" s="95"/>
      <c r="I134" s="224"/>
      <c r="J134" s="332">
        <f t="shared" si="13"/>
        <v>0</v>
      </c>
      <c r="K134" s="332">
        <f t="shared" si="14"/>
        <v>0</v>
      </c>
      <c r="L134" s="333"/>
      <c r="R134" s="334"/>
      <c r="S134" s="334"/>
      <c r="T134" s="334"/>
    </row>
    <row r="135" spans="1:20" ht="13.5" hidden="1" thickBot="1" x14ac:dyDescent="0.25">
      <c r="A135" s="330">
        <v>11</v>
      </c>
      <c r="B135" s="224"/>
      <c r="C135" s="224"/>
      <c r="D135" s="324"/>
      <c r="E135" s="324"/>
      <c r="F135" s="331"/>
      <c r="G135" s="224"/>
      <c r="H135" s="95"/>
      <c r="I135" s="224"/>
      <c r="J135" s="332">
        <f t="shared" si="13"/>
        <v>0</v>
      </c>
      <c r="K135" s="332">
        <f t="shared" si="14"/>
        <v>0</v>
      </c>
      <c r="L135" s="333"/>
      <c r="R135" s="321"/>
      <c r="S135" s="321"/>
      <c r="T135" s="321"/>
    </row>
    <row r="136" spans="1:20" ht="13.5" hidden="1" thickBot="1" x14ac:dyDescent="0.25">
      <c r="A136" s="330">
        <v>12</v>
      </c>
      <c r="B136" s="224"/>
      <c r="C136" s="224"/>
      <c r="D136" s="324"/>
      <c r="E136" s="324"/>
      <c r="F136" s="331"/>
      <c r="G136" s="224"/>
      <c r="H136" s="95"/>
      <c r="I136" s="224"/>
      <c r="J136" s="332">
        <f t="shared" si="13"/>
        <v>0</v>
      </c>
      <c r="K136" s="332">
        <f t="shared" si="14"/>
        <v>0</v>
      </c>
      <c r="L136" s="333"/>
    </row>
    <row r="137" spans="1:20" ht="13.5" hidden="1" thickBot="1" x14ac:dyDescent="0.25">
      <c r="A137" s="335"/>
      <c r="B137" s="336"/>
      <c r="C137" s="337"/>
      <c r="D137" s="337"/>
      <c r="E137" s="337"/>
      <c r="F137" s="336"/>
      <c r="G137" s="337"/>
      <c r="H137" s="337"/>
      <c r="I137" s="337"/>
      <c r="J137" s="336"/>
      <c r="K137" s="336"/>
      <c r="L137" s="333"/>
    </row>
    <row r="138" spans="1:20" ht="14.25" thickTop="1" thickBot="1" x14ac:dyDescent="0.25">
      <c r="A138" s="338" t="s">
        <v>272</v>
      </c>
      <c r="B138" s="339"/>
      <c r="C138" s="340"/>
      <c r="D138" s="340"/>
      <c r="E138" s="340"/>
      <c r="F138" s="339"/>
      <c r="G138" s="340"/>
      <c r="H138" s="252">
        <f>SUM(H125:H136)</f>
        <v>0</v>
      </c>
      <c r="I138" s="948" t="str">
        <f>IF(H138=0,"",J138/H138)</f>
        <v/>
      </c>
      <c r="J138" s="341">
        <f>SUM(J125:J136)</f>
        <v>0</v>
      </c>
      <c r="K138" s="341">
        <f>SUM(K125:K136)</f>
        <v>0</v>
      </c>
      <c r="L138" s="342"/>
    </row>
    <row r="140" spans="1:20" x14ac:dyDescent="0.2">
      <c r="A140" s="39" t="s">
        <v>287</v>
      </c>
    </row>
    <row r="142" spans="1:20" x14ac:dyDescent="0.2">
      <c r="A142" s="343">
        <v>1</v>
      </c>
      <c r="B142" s="1989" t="s">
        <v>929</v>
      </c>
      <c r="C142" s="1989"/>
      <c r="D142" s="1989"/>
      <c r="E142" s="1989"/>
      <c r="F142" s="1989"/>
      <c r="G142" s="1989"/>
      <c r="H142" s="1989"/>
      <c r="I142" s="1989"/>
      <c r="J142" s="1989"/>
      <c r="K142" s="1989"/>
      <c r="L142" s="1989"/>
    </row>
    <row r="143" spans="1:20" ht="27" customHeight="1" x14ac:dyDescent="0.2">
      <c r="A143" s="343">
        <v>2</v>
      </c>
      <c r="B143" s="1620" t="s">
        <v>847</v>
      </c>
      <c r="C143" s="1620"/>
      <c r="D143" s="1620"/>
      <c r="E143" s="1620"/>
      <c r="F143" s="1620"/>
      <c r="G143" s="1620"/>
      <c r="H143" s="1620"/>
      <c r="I143" s="1620"/>
      <c r="J143" s="1620"/>
      <c r="K143" s="1620"/>
      <c r="L143" s="1620"/>
    </row>
    <row r="144" spans="1:20" x14ac:dyDescent="0.2">
      <c r="A144" s="234">
        <v>3</v>
      </c>
      <c r="B144" s="1990" t="s">
        <v>404</v>
      </c>
      <c r="C144" s="1990"/>
      <c r="D144" s="1990"/>
      <c r="E144" s="1990"/>
      <c r="F144" s="1990"/>
      <c r="G144" s="1990"/>
      <c r="H144" s="1990"/>
      <c r="I144" s="1990"/>
      <c r="J144" s="1990"/>
      <c r="K144" s="1990"/>
      <c r="L144" s="1990"/>
    </row>
  </sheetData>
  <mergeCells count="7">
    <mergeCell ref="B144:L144"/>
    <mergeCell ref="A10:L10"/>
    <mergeCell ref="A11:L11"/>
    <mergeCell ref="M11:P11"/>
    <mergeCell ref="A13:L13"/>
    <mergeCell ref="B143:L143"/>
    <mergeCell ref="B142:L142"/>
  </mergeCells>
  <phoneticPr fontId="16" type="noConversion"/>
  <dataValidations count="4">
    <dataValidation allowBlank="1" showInputMessage="1" showErrorMessage="1" promptTitle="Date Format" prompt="E.g:  &quot;August 1, 2011&quot;" sqref="L7" xr:uid="{00000000-0002-0000-2A00-000000000000}"/>
    <dataValidation type="list" allowBlank="1" showInputMessage="1" showErrorMessage="1" sqref="E17:E28 E125:E136 E71:E82 E89:E100 E35:E46 E53:E64 E107:E118" xr:uid="{00000000-0002-0000-2A00-000001000000}">
      <formula1>"Fixed Rate, Variable Rate"</formula1>
    </dataValidation>
    <dataValidation type="list" allowBlank="1" showInputMessage="1" showErrorMessage="1" sqref="D17:D28 D125:D136 D71:D82 D89:D100 D35:D46 D53:D64 D107:D118" xr:uid="{00000000-0002-0000-2A00-000002000000}">
      <formula1>"Affiliated, Third-Party"</formula1>
    </dataValidation>
    <dataValidation type="list" allowBlank="1" showInputMessage="1" showErrorMessage="1" sqref="E14 E32 E50 E68 E86 E104 E122" xr:uid="{00000000-0002-0000-2A00-000003000000}">
      <formula1>"2006,2007,2008,2009,2012,2013, 2014, 2015, 2016, 2017, 2018, 2019, 2020"</formula1>
    </dataValidation>
  </dataValidations>
  <pageMargins left="0.75" right="0.75" top="1" bottom="1" header="0.5" footer="0.5"/>
  <pageSetup scale="39" orientation="portrait"/>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8">
    <tabColor theme="6" tint="0.39997558519241921"/>
    <pageSetUpPr fitToPage="1"/>
  </sheetPr>
  <dimension ref="A1:N61"/>
  <sheetViews>
    <sheetView showGridLines="0" zoomScale="85" zoomScaleNormal="85" workbookViewId="0"/>
  </sheetViews>
  <sheetFormatPr defaultColWidth="9.28515625" defaultRowHeight="12.75" x14ac:dyDescent="0.2"/>
  <cols>
    <col min="1" max="1" width="21.5703125" style="27" customWidth="1"/>
    <col min="2" max="2" width="17.7109375" style="27" customWidth="1"/>
    <col min="3" max="3" width="22.7109375" style="27" customWidth="1"/>
    <col min="4" max="4" width="21.5703125" style="27" customWidth="1"/>
    <col min="5" max="6" width="21.28515625" style="27" customWidth="1"/>
    <col min="7" max="7" width="23.28515625" style="27" customWidth="1"/>
    <col min="8" max="8" width="9.28515625" style="27"/>
    <col min="9" max="9" width="17.5703125" style="27" customWidth="1"/>
    <col min="10" max="10" width="9.28515625" style="27"/>
    <col min="11" max="11" width="12.28515625" style="27" customWidth="1"/>
    <col min="12" max="12" width="16.28515625" style="27" customWidth="1"/>
    <col min="13" max="13" width="9.28515625" style="27"/>
    <col min="14" max="14" width="14.7109375" style="27" customWidth="1"/>
    <col min="15" max="16384" width="9.28515625" style="27"/>
  </cols>
  <sheetData>
    <row r="1" spans="1:14" ht="26.25" x14ac:dyDescent="0.4">
      <c r="A1" s="1505" t="s">
        <v>1436</v>
      </c>
      <c r="F1" s="217" t="s">
        <v>277</v>
      </c>
      <c r="G1" s="40" t="str">
        <f>EBNUMBER</f>
        <v>EB-2018-0056</v>
      </c>
      <c r="L1" s="346"/>
      <c r="M1" s="347"/>
      <c r="N1" s="347"/>
    </row>
    <row r="2" spans="1:14" x14ac:dyDescent="0.2">
      <c r="F2" s="217" t="s">
        <v>278</v>
      </c>
      <c r="G2" s="41"/>
      <c r="L2" s="346"/>
      <c r="M2" s="347"/>
      <c r="N2" s="347"/>
    </row>
    <row r="3" spans="1:14" x14ac:dyDescent="0.2">
      <c r="F3" s="217" t="s">
        <v>279</v>
      </c>
      <c r="G3" s="41"/>
      <c r="L3" s="346"/>
      <c r="M3" s="347"/>
      <c r="N3" s="347"/>
    </row>
    <row r="4" spans="1:14" x14ac:dyDescent="0.2">
      <c r="F4" s="217" t="s">
        <v>280</v>
      </c>
      <c r="G4" s="41"/>
      <c r="L4" s="346"/>
      <c r="M4" s="347"/>
      <c r="N4" s="347"/>
    </row>
    <row r="5" spans="1:14" x14ac:dyDescent="0.2">
      <c r="F5" s="217" t="s">
        <v>281</v>
      </c>
      <c r="G5" s="42"/>
      <c r="L5" s="346"/>
      <c r="M5" s="347"/>
      <c r="N5" s="347"/>
    </row>
    <row r="6" spans="1:14" x14ac:dyDescent="0.2">
      <c r="F6" s="217"/>
      <c r="G6" s="40"/>
      <c r="L6" s="346"/>
      <c r="M6" s="347"/>
      <c r="N6" s="347"/>
    </row>
    <row r="7" spans="1:14" x14ac:dyDescent="0.2">
      <c r="F7" s="217" t="s">
        <v>282</v>
      </c>
      <c r="G7" s="42"/>
      <c r="L7" s="346"/>
      <c r="M7" s="348"/>
      <c r="N7" s="348"/>
    </row>
    <row r="8" spans="1:14" x14ac:dyDescent="0.2">
      <c r="A8" s="62"/>
      <c r="L8" s="39"/>
    </row>
    <row r="9" spans="1:14" ht="18" x14ac:dyDescent="0.25">
      <c r="A9" s="1661" t="s">
        <v>29</v>
      </c>
      <c r="B9" s="1661"/>
      <c r="C9" s="1661"/>
      <c r="D9" s="1661"/>
      <c r="E9" s="1661"/>
      <c r="F9" s="1661"/>
      <c r="G9" s="1661"/>
      <c r="H9" s="43"/>
      <c r="I9" s="43"/>
      <c r="J9" s="43"/>
      <c r="K9" s="43"/>
      <c r="L9" s="43"/>
    </row>
    <row r="10" spans="1:14" ht="18" x14ac:dyDescent="0.2">
      <c r="A10" s="1661" t="s">
        <v>222</v>
      </c>
      <c r="B10" s="1661"/>
      <c r="C10" s="1661"/>
      <c r="D10" s="1661"/>
      <c r="E10" s="1661"/>
      <c r="F10" s="1661"/>
      <c r="G10" s="1661"/>
      <c r="H10" s="1661"/>
      <c r="I10" s="1661"/>
      <c r="J10" s="1661"/>
      <c r="K10" s="1661"/>
      <c r="L10" s="1661"/>
    </row>
    <row r="11" spans="1:14" ht="18" x14ac:dyDescent="0.2">
      <c r="A11" s="349"/>
      <c r="B11" s="349"/>
      <c r="C11" s="349"/>
      <c r="D11" s="349"/>
      <c r="E11" s="349"/>
      <c r="F11" s="349"/>
      <c r="G11" s="349"/>
      <c r="H11" s="349"/>
      <c r="I11" s="349"/>
      <c r="J11" s="349"/>
      <c r="K11" s="349"/>
      <c r="L11" s="349"/>
    </row>
    <row r="12" spans="1:14" ht="18.75" x14ac:dyDescent="0.2">
      <c r="A12" s="2042" t="s">
        <v>930</v>
      </c>
      <c r="B12" s="2042"/>
      <c r="C12" s="2042"/>
      <c r="D12" s="2042"/>
      <c r="E12" s="2042"/>
      <c r="F12" s="2042"/>
      <c r="G12" s="2042"/>
      <c r="H12" s="350"/>
      <c r="I12" s="350"/>
      <c r="J12" s="350"/>
      <c r="K12" s="350"/>
      <c r="L12" s="350"/>
    </row>
    <row r="13" spans="1:14" ht="18.75" x14ac:dyDescent="0.2">
      <c r="A13" s="2042" t="s">
        <v>973</v>
      </c>
      <c r="B13" s="2042"/>
      <c r="C13" s="2042"/>
      <c r="D13" s="2042"/>
      <c r="E13" s="2042"/>
      <c r="F13" s="2042"/>
      <c r="G13" s="2042"/>
      <c r="H13" s="350"/>
      <c r="I13" s="350"/>
      <c r="J13" s="350"/>
      <c r="K13" s="350"/>
      <c r="L13" s="350"/>
    </row>
    <row r="14" spans="1:14" ht="18" x14ac:dyDescent="0.25">
      <c r="A14" s="351"/>
      <c r="B14" s="449"/>
      <c r="C14" s="449"/>
      <c r="D14" s="449"/>
      <c r="E14" s="449"/>
      <c r="F14" s="449"/>
      <c r="G14" s="449"/>
      <c r="H14" s="449"/>
      <c r="I14" s="449"/>
      <c r="J14" s="449"/>
      <c r="K14" s="449"/>
      <c r="L14" s="449"/>
    </row>
    <row r="15" spans="1:14" x14ac:dyDescent="0.2">
      <c r="A15" s="39"/>
      <c r="B15" s="39"/>
      <c r="C15" s="39"/>
      <c r="D15" s="62"/>
      <c r="E15" s="62"/>
      <c r="F15" s="62"/>
      <c r="G15" s="190"/>
      <c r="H15" s="190"/>
      <c r="I15" s="190"/>
      <c r="J15" s="190"/>
      <c r="K15" s="190"/>
      <c r="L15" s="190"/>
      <c r="M15" s="62"/>
      <c r="N15" s="62"/>
    </row>
    <row r="16" spans="1:14" ht="24" customHeight="1" x14ac:dyDescent="0.2">
      <c r="A16" s="2037" t="s">
        <v>223</v>
      </c>
      <c r="B16" s="2037"/>
      <c r="C16" s="2038"/>
      <c r="D16" s="2039"/>
      <c r="F16" s="455"/>
      <c r="G16" s="455"/>
      <c r="H16" s="190"/>
      <c r="I16" s="62"/>
      <c r="J16" s="62"/>
      <c r="K16" s="62"/>
      <c r="L16" s="62"/>
      <c r="M16" s="62"/>
      <c r="N16" s="62"/>
    </row>
    <row r="17" spans="1:14" x14ac:dyDescent="0.2">
      <c r="A17" s="39"/>
      <c r="B17" s="39"/>
      <c r="C17" s="39"/>
      <c r="D17" s="62"/>
      <c r="E17" s="62"/>
      <c r="F17" s="62"/>
      <c r="G17" s="455"/>
      <c r="H17" s="190"/>
      <c r="I17" s="62"/>
      <c r="J17" s="62"/>
      <c r="K17" s="62"/>
      <c r="L17" s="62"/>
      <c r="M17" s="62"/>
      <c r="N17" s="62"/>
    </row>
    <row r="18" spans="1:14" x14ac:dyDescent="0.2">
      <c r="A18" s="352" t="s">
        <v>224</v>
      </c>
      <c r="B18" s="352"/>
      <c r="C18" s="352"/>
      <c r="D18" s="64"/>
      <c r="E18" s="64"/>
      <c r="F18" s="64"/>
      <c r="G18" s="455"/>
      <c r="H18" s="190"/>
      <c r="I18" s="62"/>
      <c r="J18" s="62"/>
      <c r="K18" s="62"/>
      <c r="L18" s="62"/>
      <c r="M18" s="62"/>
      <c r="N18" s="62"/>
    </row>
    <row r="19" spans="1:14" x14ac:dyDescent="0.2">
      <c r="A19" s="64"/>
      <c r="B19" s="64"/>
      <c r="C19" s="64"/>
      <c r="D19" s="64"/>
      <c r="E19" s="64"/>
      <c r="F19" s="64"/>
      <c r="G19" s="64"/>
      <c r="H19" s="190"/>
      <c r="I19" s="62"/>
      <c r="J19" s="62"/>
      <c r="K19" s="62"/>
      <c r="L19" s="62"/>
      <c r="M19" s="62"/>
      <c r="N19" s="62"/>
    </row>
    <row r="20" spans="1:14" x14ac:dyDescent="0.2">
      <c r="A20" s="353" t="s">
        <v>286</v>
      </c>
      <c r="B20" s="353" t="s">
        <v>5</v>
      </c>
      <c r="C20" s="353" t="s">
        <v>30</v>
      </c>
      <c r="D20" s="353" t="s">
        <v>31</v>
      </c>
      <c r="E20" s="353" t="s">
        <v>32</v>
      </c>
      <c r="F20" s="354" t="s">
        <v>33</v>
      </c>
      <c r="G20" s="355"/>
      <c r="H20" s="190"/>
      <c r="I20" s="62"/>
      <c r="J20" s="62"/>
      <c r="K20" s="62"/>
      <c r="L20" s="62"/>
      <c r="M20" s="62"/>
      <c r="N20" s="62"/>
    </row>
    <row r="21" spans="1:14" ht="38.25" x14ac:dyDescent="0.2">
      <c r="A21" s="356" t="s">
        <v>34</v>
      </c>
      <c r="B21" s="461" t="s">
        <v>225</v>
      </c>
      <c r="C21" s="461" t="s">
        <v>226</v>
      </c>
      <c r="D21" s="461" t="s">
        <v>227</v>
      </c>
      <c r="E21" s="461" t="s">
        <v>228</v>
      </c>
      <c r="F21" s="73" t="s">
        <v>229</v>
      </c>
      <c r="G21" s="355"/>
      <c r="H21" s="190"/>
      <c r="L21" s="62"/>
      <c r="M21" s="62"/>
      <c r="N21" s="62"/>
    </row>
    <row r="22" spans="1:14" ht="25.5" x14ac:dyDescent="0.2">
      <c r="A22" s="357" t="s">
        <v>230</v>
      </c>
      <c r="B22" s="358" t="s">
        <v>285</v>
      </c>
      <c r="C22" s="358" t="s">
        <v>285</v>
      </c>
      <c r="D22" s="358" t="s">
        <v>285</v>
      </c>
      <c r="E22" s="358" t="s">
        <v>285</v>
      </c>
      <c r="F22" s="358"/>
      <c r="G22" s="355"/>
      <c r="H22" s="190"/>
      <c r="I22" s="62"/>
      <c r="J22" s="62"/>
      <c r="K22" s="62"/>
      <c r="L22" s="62"/>
      <c r="M22" s="62"/>
      <c r="N22" s="62"/>
    </row>
    <row r="23" spans="1:14" x14ac:dyDescent="0.2">
      <c r="A23" s="359" t="s">
        <v>35</v>
      </c>
      <c r="B23" s="360"/>
      <c r="C23" s="360"/>
      <c r="D23" s="360"/>
      <c r="E23" s="360"/>
      <c r="F23" s="361">
        <f t="shared" ref="F23:F29" si="0">C23+D23</f>
        <v>0</v>
      </c>
      <c r="G23" s="355"/>
      <c r="H23" s="362"/>
      <c r="I23" s="199"/>
      <c r="J23" s="190"/>
      <c r="K23" s="190"/>
      <c r="L23" s="190"/>
      <c r="M23" s="62"/>
      <c r="N23" s="62"/>
    </row>
    <row r="24" spans="1:14" x14ac:dyDescent="0.2">
      <c r="A24" s="359" t="s">
        <v>231</v>
      </c>
      <c r="B24" s="360"/>
      <c r="C24" s="360"/>
      <c r="D24" s="360"/>
      <c r="E24" s="360"/>
      <c r="F24" s="361">
        <f t="shared" si="0"/>
        <v>0</v>
      </c>
      <c r="G24" s="355"/>
      <c r="H24" s="362"/>
      <c r="I24" s="199"/>
      <c r="J24" s="190"/>
      <c r="K24" s="190"/>
      <c r="L24" s="190"/>
      <c r="M24" s="62"/>
      <c r="N24" s="62"/>
    </row>
    <row r="25" spans="1:14" ht="25.5" x14ac:dyDescent="0.2">
      <c r="A25" s="363" t="s">
        <v>396</v>
      </c>
      <c r="B25" s="360"/>
      <c r="C25" s="360"/>
      <c r="D25" s="360"/>
      <c r="E25" s="360"/>
      <c r="F25" s="361">
        <f t="shared" si="0"/>
        <v>0</v>
      </c>
      <c r="G25" s="355"/>
      <c r="H25" s="62"/>
      <c r="I25" s="62"/>
      <c r="J25" s="62"/>
      <c r="K25" s="62"/>
      <c r="L25" s="62"/>
      <c r="M25" s="62"/>
      <c r="N25" s="62"/>
    </row>
    <row r="26" spans="1:14" ht="27" customHeight="1" x14ac:dyDescent="0.2">
      <c r="A26" s="364" t="s">
        <v>232</v>
      </c>
      <c r="B26" s="360"/>
      <c r="C26" s="360"/>
      <c r="D26" s="360"/>
      <c r="E26" s="360"/>
      <c r="F26" s="361">
        <f t="shared" si="0"/>
        <v>0</v>
      </c>
      <c r="G26" s="355"/>
      <c r="J26" s="62"/>
      <c r="K26" s="62"/>
      <c r="L26" s="62"/>
      <c r="M26" s="62"/>
      <c r="N26" s="62"/>
    </row>
    <row r="27" spans="1:14" ht="25.5" x14ac:dyDescent="0.2">
      <c r="A27" s="364" t="s">
        <v>233</v>
      </c>
      <c r="B27" s="360"/>
      <c r="C27" s="360"/>
      <c r="D27" s="360"/>
      <c r="E27" s="360"/>
      <c r="F27" s="361">
        <f t="shared" si="0"/>
        <v>0</v>
      </c>
      <c r="G27" s="355"/>
      <c r="H27" s="345"/>
      <c r="I27" s="345"/>
      <c r="J27" s="62"/>
      <c r="K27" s="62"/>
      <c r="L27" s="62"/>
      <c r="M27" s="62"/>
      <c r="N27" s="62"/>
    </row>
    <row r="28" spans="1:14" x14ac:dyDescent="0.2">
      <c r="A28" s="359"/>
      <c r="B28" s="360"/>
      <c r="C28" s="360"/>
      <c r="D28" s="360"/>
      <c r="E28" s="360"/>
      <c r="F28" s="361">
        <f t="shared" si="0"/>
        <v>0</v>
      </c>
      <c r="G28" s="355"/>
      <c r="H28" s="365"/>
      <c r="I28" s="365"/>
      <c r="J28" s="62"/>
      <c r="K28" s="62"/>
      <c r="L28" s="62"/>
      <c r="M28" s="62"/>
      <c r="N28" s="62"/>
    </row>
    <row r="29" spans="1:14" x14ac:dyDescent="0.2">
      <c r="A29" s="359"/>
      <c r="B29" s="360"/>
      <c r="C29" s="360"/>
      <c r="D29" s="360"/>
      <c r="E29" s="360"/>
      <c r="F29" s="361">
        <f t="shared" si="0"/>
        <v>0</v>
      </c>
      <c r="G29" s="355"/>
      <c r="H29" s="64"/>
      <c r="I29" s="64"/>
      <c r="J29" s="62"/>
      <c r="K29" s="62"/>
      <c r="L29" s="62"/>
      <c r="M29" s="62"/>
      <c r="N29" s="62"/>
    </row>
    <row r="30" spans="1:14" x14ac:dyDescent="0.2">
      <c r="A30" s="366"/>
      <c r="B30" s="367"/>
      <c r="C30" s="367"/>
      <c r="D30" s="367"/>
      <c r="E30" s="367"/>
      <c r="F30" s="367"/>
      <c r="G30" s="194"/>
    </row>
    <row r="31" spans="1:14" x14ac:dyDescent="0.2">
      <c r="A31" s="354" t="s">
        <v>286</v>
      </c>
      <c r="B31" s="354" t="s">
        <v>36</v>
      </c>
      <c r="C31" s="354" t="s">
        <v>37</v>
      </c>
      <c r="D31" s="354" t="s">
        <v>38</v>
      </c>
      <c r="E31" s="354" t="s">
        <v>39</v>
      </c>
      <c r="F31" s="354" t="s">
        <v>40</v>
      </c>
      <c r="G31" s="355"/>
    </row>
    <row r="32" spans="1:14" ht="63.75" x14ac:dyDescent="0.2">
      <c r="A32" s="368" t="str">
        <f>A21</f>
        <v>Asset Class</v>
      </c>
      <c r="B32" s="73" t="s">
        <v>41</v>
      </c>
      <c r="C32" s="461" t="s">
        <v>234</v>
      </c>
      <c r="D32" s="73" t="s">
        <v>235</v>
      </c>
      <c r="E32" s="73" t="s">
        <v>236</v>
      </c>
      <c r="F32" s="73" t="s">
        <v>411</v>
      </c>
      <c r="G32" s="369"/>
    </row>
    <row r="33" spans="1:9" ht="25.5" x14ac:dyDescent="0.2">
      <c r="A33" s="370" t="s">
        <v>237</v>
      </c>
      <c r="B33" s="371" t="s">
        <v>42</v>
      </c>
      <c r="C33" s="371" t="s">
        <v>43</v>
      </c>
      <c r="D33" s="371" t="s">
        <v>44</v>
      </c>
      <c r="E33" s="371" t="s">
        <v>44</v>
      </c>
      <c r="F33" s="371" t="s">
        <v>45</v>
      </c>
    </row>
    <row r="34" spans="1:9" x14ac:dyDescent="0.2">
      <c r="A34" s="370" t="s">
        <v>35</v>
      </c>
      <c r="B34" s="372"/>
      <c r="C34" s="372"/>
      <c r="D34" s="373"/>
      <c r="E34" s="373"/>
      <c r="F34" s="374">
        <f>IF(D34=0,0,(C34/B34)*(E34/D34))</f>
        <v>0</v>
      </c>
    </row>
    <row r="35" spans="1:9" x14ac:dyDescent="0.2">
      <c r="A35" s="370" t="s">
        <v>231</v>
      </c>
      <c r="B35" s="372"/>
      <c r="C35" s="372"/>
      <c r="D35" s="373"/>
      <c r="E35" s="373"/>
      <c r="F35" s="374">
        <f>IF(D35=0,0,(C35/B35)*(E35/D35))</f>
        <v>0</v>
      </c>
    </row>
    <row r="36" spans="1:9" ht="25.5" x14ac:dyDescent="0.2">
      <c r="A36" s="370" t="s">
        <v>238</v>
      </c>
      <c r="B36" s="372"/>
      <c r="C36" s="372"/>
      <c r="D36" s="373"/>
      <c r="E36" s="373"/>
      <c r="F36" s="374">
        <f>IF(D36=0,0,(C36/B36)*(E36/D36))</f>
        <v>0</v>
      </c>
    </row>
    <row r="37" spans="1:9" x14ac:dyDescent="0.2">
      <c r="A37" s="375" t="s">
        <v>232</v>
      </c>
      <c r="B37" s="372"/>
      <c r="C37" s="372"/>
      <c r="D37" s="373"/>
      <c r="E37" s="373"/>
      <c r="F37" s="374">
        <f>IF(D37=0,0,(C37/B37)*(E37/D37))</f>
        <v>0</v>
      </c>
    </row>
    <row r="38" spans="1:9" x14ac:dyDescent="0.2">
      <c r="A38" s="375" t="s">
        <v>239</v>
      </c>
      <c r="B38" s="372"/>
      <c r="C38" s="372"/>
      <c r="D38" s="373"/>
      <c r="E38" s="373"/>
      <c r="F38" s="374">
        <f>IF(D38=0,0,(C38/B38)*(E38/D38))</f>
        <v>0</v>
      </c>
      <c r="H38" s="67"/>
    </row>
    <row r="39" spans="1:9" x14ac:dyDescent="0.2">
      <c r="A39" s="366"/>
      <c r="B39" s="367"/>
      <c r="C39" s="367"/>
      <c r="D39" s="367"/>
      <c r="E39" s="367"/>
      <c r="F39" s="367"/>
      <c r="H39" s="67"/>
    </row>
    <row r="40" spans="1:9" ht="22.5" customHeight="1" x14ac:dyDescent="0.2">
      <c r="A40" s="354" t="s">
        <v>286</v>
      </c>
      <c r="B40" s="354" t="s">
        <v>46</v>
      </c>
      <c r="C40" s="354" t="s">
        <v>47</v>
      </c>
      <c r="D40" s="354" t="s">
        <v>48</v>
      </c>
      <c r="E40" s="354" t="s">
        <v>49</v>
      </c>
      <c r="F40" s="353" t="s">
        <v>50</v>
      </c>
      <c r="G40" s="354" t="s">
        <v>174</v>
      </c>
    </row>
    <row r="41" spans="1:9" ht="51" x14ac:dyDescent="0.2">
      <c r="A41" s="376" t="str">
        <f>A32</f>
        <v>Asset Class</v>
      </c>
      <c r="B41" s="73" t="s">
        <v>51</v>
      </c>
      <c r="C41" s="73" t="s">
        <v>52</v>
      </c>
      <c r="D41" s="73" t="s">
        <v>53</v>
      </c>
      <c r="E41" s="73" t="s">
        <v>54</v>
      </c>
      <c r="F41" s="73" t="s">
        <v>55</v>
      </c>
      <c r="G41" s="461" t="s">
        <v>240</v>
      </c>
    </row>
    <row r="42" spans="1:9" x14ac:dyDescent="0.2">
      <c r="A42" s="377"/>
      <c r="B42" s="378" t="s">
        <v>285</v>
      </c>
      <c r="C42" s="378" t="s">
        <v>285</v>
      </c>
      <c r="D42" s="378" t="s">
        <v>285</v>
      </c>
      <c r="E42" s="378" t="s">
        <v>285</v>
      </c>
      <c r="F42" s="379" t="s">
        <v>285</v>
      </c>
      <c r="G42" s="378" t="s">
        <v>56</v>
      </c>
      <c r="H42" s="380"/>
      <c r="I42" s="194"/>
    </row>
    <row r="43" spans="1:9" x14ac:dyDescent="0.2">
      <c r="A43" s="370" t="s">
        <v>35</v>
      </c>
      <c r="B43" s="381">
        <f>E$54*(F23+B23*E$59)*F34</f>
        <v>0</v>
      </c>
      <c r="C43" s="381">
        <f>(B43-(B$54*C$54*F34*(F23+B23*E57)+B$55*C$55*F34*(F23+B23*E$57)))*E$57/(1-E$57)</f>
        <v>0</v>
      </c>
      <c r="D43" s="382">
        <f>E23*F34</f>
        <v>0</v>
      </c>
      <c r="E43" s="382">
        <f>B23*F34</f>
        <v>0</v>
      </c>
      <c r="F43" s="383">
        <f>SUM(B43:E43)</f>
        <v>0</v>
      </c>
      <c r="G43" s="384">
        <f>IF(E34=0,0,(D43/E34))</f>
        <v>0</v>
      </c>
    </row>
    <row r="44" spans="1:9" x14ac:dyDescent="0.2">
      <c r="A44" s="370" t="s">
        <v>231</v>
      </c>
      <c r="B44" s="381">
        <f>E$54*(F24+B24*E$59)*F35</f>
        <v>0</v>
      </c>
      <c r="C44" s="381">
        <f>(B44-(B$54*C$54*F35*(F24+B24*E58)+B$55*C$55*F35*(F24+B24*E58)))*E$57/(1-E$57)</f>
        <v>0</v>
      </c>
      <c r="D44" s="382">
        <f>E24*F35</f>
        <v>0</v>
      </c>
      <c r="E44" s="382">
        <f>B24*F35</f>
        <v>0</v>
      </c>
      <c r="F44" s="383">
        <f>SUM(B44:E44)</f>
        <v>0</v>
      </c>
      <c r="G44" s="384">
        <f>IF(E35=0,0,(D44/E35))</f>
        <v>0</v>
      </c>
    </row>
    <row r="45" spans="1:9" ht="25.5" x14ac:dyDescent="0.2">
      <c r="A45" s="370" t="s">
        <v>238</v>
      </c>
      <c r="B45" s="381">
        <f>E$54*(F25+B25*E$59)*F36</f>
        <v>0</v>
      </c>
      <c r="C45" s="381">
        <f>(B45-(B$54*C$54*F36*(F25+B25*E59)+B$55*C$55*F36*(F25+B25*E$59)))*E$57/(1-E$57)</f>
        <v>0</v>
      </c>
      <c r="D45" s="382">
        <f>E25*F36</f>
        <v>0</v>
      </c>
      <c r="E45" s="382">
        <f>B25*F36</f>
        <v>0</v>
      </c>
      <c r="F45" s="383">
        <f>SUM(B45:E45)</f>
        <v>0</v>
      </c>
      <c r="G45" s="384">
        <f>IF(E36=0,0,(D45/E36))</f>
        <v>0</v>
      </c>
    </row>
    <row r="46" spans="1:9" x14ac:dyDescent="0.2">
      <c r="A46" s="375" t="s">
        <v>232</v>
      </c>
      <c r="B46" s="381">
        <f>E$54*(F26+B26*E$59)*F37</f>
        <v>0</v>
      </c>
      <c r="C46" s="381">
        <f>(B46-(B$54*C$54*F37*(F26+B26*E60)+B$55*C$55*F37*(F26+B26*E60)))*E$57/(1-E$57)</f>
        <v>0</v>
      </c>
      <c r="D46" s="382">
        <f>E26*F37</f>
        <v>0</v>
      </c>
      <c r="E46" s="382">
        <f>B26*F37</f>
        <v>0</v>
      </c>
      <c r="F46" s="383">
        <f>SUM(B46:E46)</f>
        <v>0</v>
      </c>
      <c r="G46" s="384">
        <f>IF(E37=0,0,(D46/E37))</f>
        <v>0</v>
      </c>
    </row>
    <row r="47" spans="1:9" x14ac:dyDescent="0.2">
      <c r="A47" s="375" t="s">
        <v>239</v>
      </c>
      <c r="B47" s="381">
        <f>E$54*(F27+B27*E$59)*F38</f>
        <v>0</v>
      </c>
      <c r="C47" s="381">
        <f>(B47-(B$54*C$54*F38*(F27+B27*I61)+B$55*C$55*F38*(F27+B27*I61)))*E$57/(1-E$57)</f>
        <v>0</v>
      </c>
      <c r="D47" s="382">
        <f>E27*F38</f>
        <v>0</v>
      </c>
      <c r="E47" s="382">
        <f>B27*F38</f>
        <v>0</v>
      </c>
      <c r="F47" s="383">
        <f>SUM(B47:E47)</f>
        <v>0</v>
      </c>
      <c r="G47" s="384">
        <f>IF(E38=0,0,(D47/E38))</f>
        <v>0</v>
      </c>
    </row>
    <row r="48" spans="1:9" x14ac:dyDescent="0.2">
      <c r="A48" s="370"/>
      <c r="B48" s="382"/>
      <c r="C48" s="381"/>
      <c r="D48" s="382"/>
      <c r="E48" s="382"/>
      <c r="F48" s="383"/>
      <c r="G48" s="385"/>
    </row>
    <row r="49" spans="1:8" ht="24" customHeight="1" x14ac:dyDescent="0.2">
      <c r="A49" s="386" t="s">
        <v>272</v>
      </c>
      <c r="B49" s="387"/>
      <c r="C49" s="388"/>
      <c r="D49" s="387"/>
      <c r="E49" s="387"/>
      <c r="F49" s="389">
        <f>SUM(F43:F47)</f>
        <v>0</v>
      </c>
      <c r="G49" s="390">
        <f>SUM(G43:G47)</f>
        <v>0</v>
      </c>
    </row>
    <row r="50" spans="1:8" ht="13.5" thickBot="1" x14ac:dyDescent="0.25">
      <c r="A50" s="62"/>
      <c r="B50" s="62"/>
      <c r="C50" s="391"/>
      <c r="D50" s="62"/>
      <c r="E50" s="62"/>
      <c r="F50" s="62"/>
      <c r="G50" s="62"/>
      <c r="H50" s="67"/>
    </row>
    <row r="51" spans="1:8" x14ac:dyDescent="0.2">
      <c r="A51" s="392" t="s">
        <v>57</v>
      </c>
      <c r="B51" s="392" t="s">
        <v>58</v>
      </c>
      <c r="C51" s="393" t="s">
        <v>59</v>
      </c>
      <c r="D51" s="392" t="s">
        <v>175</v>
      </c>
      <c r="E51" s="393" t="s">
        <v>60</v>
      </c>
      <c r="G51" s="62"/>
      <c r="H51" s="67"/>
    </row>
    <row r="52" spans="1:8" ht="12.75" customHeight="1" x14ac:dyDescent="0.2">
      <c r="A52" s="394"/>
      <c r="B52" s="395" t="s">
        <v>61</v>
      </c>
      <c r="C52" s="396" t="s">
        <v>283</v>
      </c>
      <c r="D52" s="394"/>
      <c r="E52" s="397"/>
      <c r="G52" s="62"/>
      <c r="H52" s="67"/>
    </row>
    <row r="53" spans="1:8" ht="13.5" thickBot="1" x14ac:dyDescent="0.25">
      <c r="A53" s="398"/>
      <c r="B53" s="399" t="s">
        <v>284</v>
      </c>
      <c r="C53" s="400" t="s">
        <v>284</v>
      </c>
      <c r="D53" s="401"/>
      <c r="E53" s="400" t="s">
        <v>284</v>
      </c>
      <c r="G53" s="62"/>
      <c r="H53" s="67"/>
    </row>
    <row r="54" spans="1:8" x14ac:dyDescent="0.2">
      <c r="A54" s="402" t="s">
        <v>62</v>
      </c>
      <c r="B54" s="403"/>
      <c r="C54" s="403"/>
      <c r="D54" s="2040" t="s">
        <v>63</v>
      </c>
      <c r="E54" s="2045">
        <f>IF(B60=0%,0,SUMPRODUCT(B54:B58,C54:C58)/B60)</f>
        <v>0</v>
      </c>
      <c r="G54" s="62"/>
      <c r="H54" s="67"/>
    </row>
    <row r="55" spans="1:8" ht="13.5" thickBot="1" x14ac:dyDescent="0.25">
      <c r="A55" s="398" t="s">
        <v>64</v>
      </c>
      <c r="B55" s="404"/>
      <c r="C55" s="405"/>
      <c r="D55" s="2041"/>
      <c r="E55" s="2046"/>
      <c r="G55" s="62"/>
      <c r="H55" s="67"/>
    </row>
    <row r="56" spans="1:8" ht="13.5" thickBot="1" x14ac:dyDescent="0.25">
      <c r="A56" s="406"/>
      <c r="B56" s="407"/>
      <c r="C56" s="408"/>
      <c r="D56" s="402"/>
      <c r="E56" s="397"/>
      <c r="G56" s="62"/>
      <c r="H56" s="67"/>
    </row>
    <row r="57" spans="1:8" ht="12.75" customHeight="1" thickBot="1" x14ac:dyDescent="0.25">
      <c r="A57" s="394" t="s">
        <v>65</v>
      </c>
      <c r="B57" s="403"/>
      <c r="C57" s="403"/>
      <c r="D57" s="406" t="s">
        <v>66</v>
      </c>
      <c r="E57" s="409"/>
      <c r="G57" s="62"/>
      <c r="H57" s="67"/>
    </row>
    <row r="58" spans="1:8" ht="13.5" thickBot="1" x14ac:dyDescent="0.25">
      <c r="A58" s="398" t="s">
        <v>67</v>
      </c>
      <c r="B58" s="404"/>
      <c r="C58" s="405"/>
      <c r="D58" s="406"/>
      <c r="E58" s="408"/>
      <c r="G58" s="62"/>
      <c r="H58" s="67"/>
    </row>
    <row r="59" spans="1:8" x14ac:dyDescent="0.2">
      <c r="A59" s="394"/>
      <c r="B59" s="394"/>
      <c r="C59" s="397"/>
      <c r="D59" s="2040" t="s">
        <v>68</v>
      </c>
      <c r="E59" s="2043"/>
      <c r="G59" s="62"/>
    </row>
    <row r="60" spans="1:8" ht="13.5" thickBot="1" x14ac:dyDescent="0.25">
      <c r="A60" s="410" t="s">
        <v>272</v>
      </c>
      <c r="B60" s="411">
        <f>SUM(B54:B58)</f>
        <v>0</v>
      </c>
      <c r="C60" s="412"/>
      <c r="D60" s="2041"/>
      <c r="E60" s="2044"/>
      <c r="G60" s="62"/>
    </row>
    <row r="61" spans="1:8" x14ac:dyDescent="0.2">
      <c r="A61" s="62"/>
      <c r="B61" s="62"/>
      <c r="C61" s="62"/>
      <c r="D61" s="62"/>
      <c r="E61" s="62"/>
      <c r="F61" s="62"/>
      <c r="G61" s="62"/>
    </row>
  </sheetData>
  <mergeCells count="11">
    <mergeCell ref="H10:L10"/>
    <mergeCell ref="A13:G13"/>
    <mergeCell ref="A12:G12"/>
    <mergeCell ref="D59:D60"/>
    <mergeCell ref="E59:E60"/>
    <mergeCell ref="E54:E55"/>
    <mergeCell ref="A9:G9"/>
    <mergeCell ref="A10:G10"/>
    <mergeCell ref="A16:B16"/>
    <mergeCell ref="C16:D16"/>
    <mergeCell ref="D54:D55"/>
  </mergeCells>
  <phoneticPr fontId="0" type="noConversion"/>
  <dataValidations xWindow="95" yWindow="494" count="8">
    <dataValidation operator="lessThanOrEqual" allowBlank="1" showInputMessage="1" showErrorMessage="1" promptTitle="Annual depreciation expense" prompt="Enter annual depreciation expense as a negative amount." sqref="IY36:IY39 SU36:SU39 ACQ36:ACQ39 AMM36:AMM39 AWI36:AWI39 BGE36:BGE39 BQA36:BQA39 BZW36:BZW39 CJS36:CJS39 CTO36:CTO39 DDK36:DDK39 DNG36:DNG39 DXC36:DXC39 EGY36:EGY39 EQU36:EQU39 FAQ36:FAQ39 FKM36:FKM39 FUI36:FUI39 GEE36:GEE39 GOA36:GOA39 GXW36:GXW39 HHS36:HHS39 HRO36:HRO39 IBK36:IBK39 ILG36:ILG39 IVC36:IVC39 JEY36:JEY39 JOU36:JOU39 JYQ36:JYQ39 KIM36:KIM39 KSI36:KSI39 LCE36:LCE39 LMA36:LMA39 LVW36:LVW39 MFS36:MFS39 MPO36:MPO39 MZK36:MZK39 NJG36:NJG39 NTC36:NTC39 OCY36:OCY39 OMU36:OMU39 OWQ36:OWQ39 PGM36:PGM39 PQI36:PQI39 QAE36:QAE39 QKA36:QKA39 QTW36:QTW39 RDS36:RDS39 RNO36:RNO39 RXK36:RXK39 SHG36:SHG39 SRC36:SRC39 TAY36:TAY39 TKU36:TKU39 TUQ36:TUQ39 UEM36:UEM39 UOI36:UOI39 UYE36:UYE39 VIA36:VIA39 VRW36:VRW39 WBS36:WBS39 WLO36:WLO39 WVK36:WVK39" xr:uid="{00000000-0002-0000-2B00-000000000000}"/>
    <dataValidation allowBlank="1" showInputMessage="1" showErrorMessage="1" promptTitle="Name of Embedded Distributor" prompt="Input name of embedded Distributor" sqref="JC26:JC28 SY26:SY28 ACU26:ACU28 AMQ26:AMQ28 AWM26:AWM28 BGI26:BGI28 BQE26:BQE28 CAA26:CAA28 CJW26:CJW28 CTS26:CTS28 DDO26:DDO28 DNK26:DNK28 DXG26:DXG28 EHC26:EHC28 EQY26:EQY28 FAU26:FAU28 FKQ26:FKQ28 FUM26:FUM28 GEI26:GEI28 GOE26:GOE28 GYA26:GYA28 HHW26:HHW28 HRS26:HRS28 IBO26:IBO28 ILK26:ILK28 IVG26:IVG28 JFC26:JFC28 JOY26:JOY28 JYU26:JYU28 KIQ26:KIQ28 KSM26:KSM28 LCI26:LCI28 LME26:LME28 LWA26:LWA28 MFW26:MFW28 MPS26:MPS28 MZO26:MZO28 NJK26:NJK28 NTG26:NTG28 ODC26:ODC28 OMY26:OMY28 OWU26:OWU28 PGQ26:PGQ28 PQM26:PQM28 QAI26:QAI28 QKE26:QKE28 QUA26:QUA28 RDW26:RDW28 RNS26:RNS28 RXO26:RXO28 SHK26:SHK28 SRG26:SRG28 TBC26:TBC28 TKY26:TKY28 TUU26:TUU28 UEQ26:UEQ28 UOM26:UOM28 UYI26:UYI28 VIE26:VIE28 VSA26:VSA28 WBW26:WBW28 WLS26:WLS28 WVO26:WVO28 C16 G17:G18" xr:uid="{00000000-0002-0000-2B00-000001000000}"/>
    <dataValidation allowBlank="1" showInputMessage="1" showErrorMessage="1" promptTitle="Date Format" prompt="E.g:  &quot;August 1, 2011&quot;" sqref="M7:N7 G7" xr:uid="{00000000-0002-0000-2B00-000002000000}"/>
    <dataValidation operator="lessThanOrEqual" allowBlank="1" showErrorMessage="1" promptTitle="Annual depreciation expense" prompt="Enter annual depreciation expense as a negative amount." sqref="IY33:IY35 SU33:SU35 ACQ33:ACQ35 AMM33:AMM35 AWI33:AWI35 BGE33:BGE35 BQA33:BQA35 BZW33:BZW35 CJS33:CJS35 CTO33:CTO35 DDK33:DDK35 DNG33:DNG35 DXC33:DXC35 EGY33:EGY35 EQU33:EQU35 FAQ33:FAQ35 FKM33:FKM35 FUI33:FUI35 GEE33:GEE35 GOA33:GOA35 GXW33:GXW35 HHS33:HHS35 HRO33:HRO35 IBK33:IBK35 ILG33:ILG35 IVC33:IVC35 JEY33:JEY35 JOU33:JOU35 JYQ33:JYQ35 KIM33:KIM35 KSI33:KSI35 LCE33:LCE35 LMA33:LMA35 LVW33:LVW35 MFS33:MFS35 MPO33:MPO35 MZK33:MZK35 NJG33:NJG35 NTC33:NTC35 OCY33:OCY35 OMU33:OMU35 OWQ33:OWQ35 PGM33:PGM35 PQI33:PQI35 QAE33:QAE35 QKA33:QKA35 QTW33:QTW35 RDS33:RDS35 RNO33:RNO35 RXK33:RXK35 SHG33:SHG35 SRC33:SRC35 TAY33:TAY35 TKU33:TKU35 TUQ33:TUQ35 UEM33:UEM35 UOI33:UOI35 UYE33:UYE35 VIA33:VIA35 VRW33:VRW35 WBS33:WBS35 WLO33:WLO35 WVK33:WVK35" xr:uid="{00000000-0002-0000-2B00-000003000000}"/>
    <dataValidation allowBlank="1" showInputMessage="1" showErrorMessage="1" promptTitle="Gross Book Value" prompt="Enter original (Gross Book Value) of assets in dollars ($)" sqref="WVF33:WVF39 IT33:IT39 SP33:SP39 ACL33:ACL39 AMH33:AMH39 AWD33:AWD39 BFZ33:BFZ39 BPV33:BPV39 BZR33:BZR39 CJN33:CJN39 CTJ33:CTJ39 DDF33:DDF39 DNB33:DNB39 DWX33:DWX39 EGT33:EGT39 EQP33:EQP39 FAL33:FAL39 FKH33:FKH39 FUD33:FUD39 GDZ33:GDZ39 GNV33:GNV39 GXR33:GXR39 HHN33:HHN39 HRJ33:HRJ39 IBF33:IBF39 ILB33:ILB39 IUX33:IUX39 JET33:JET39 JOP33:JOP39 JYL33:JYL39 KIH33:KIH39 KSD33:KSD39 LBZ33:LBZ39 LLV33:LLV39 LVR33:LVR39 MFN33:MFN39 MPJ33:MPJ39 MZF33:MZF39 NJB33:NJB39 NSX33:NSX39 OCT33:OCT39 OMP33:OMP39 OWL33:OWL39 PGH33:PGH39 PQD33:PQD39 PZZ33:PZZ39 QJV33:QJV39 QTR33:QTR39 RDN33:RDN39 RNJ33:RNJ39 RXF33:RXF39 SHB33:SHB39 SQX33:SQX39 TAT33:TAT39 TKP33:TKP39 TUL33:TUL39 UEH33:UEH39 UOD33:UOD39 UXZ33:UXZ39 VHV33:VHV39 VRR33:VRR39 WBN33:WBN39 WLJ33:WLJ39 C23:C29" xr:uid="{00000000-0002-0000-2B00-000004000000}"/>
    <dataValidation allowBlank="1" showInputMessage="1" showErrorMessage="1" promptTitle="OM&amp;A expenses" prompt="Enter OM&amp;A expenses in dollars ($)" sqref="WBS18:WBS24 IR33:IR39 SN33:SN39 ACJ33:ACJ39 AMF33:AMF39 AWB33:AWB39 BFX33:BFX39 BPT33:BPT39 BZP33:BZP39 CJL33:CJL39 CTH33:CTH39 DDD33:DDD39 DMZ33:DMZ39 DWV33:DWV39 EGR33:EGR39 EQN33:EQN39 FAJ33:FAJ39 FKF33:FKF39 FUB33:FUB39 GDX33:GDX39 GNT33:GNT39 GXP33:GXP39 HHL33:HHL39 HRH33:HRH39 IBD33:IBD39 IKZ33:IKZ39 IUV33:IUV39 JER33:JER39 JON33:JON39 JYJ33:JYJ39 KIF33:KIF39 KSB33:KSB39 LBX33:LBX39 LLT33:LLT39 LVP33:LVP39 MFL33:MFL39 MPH33:MPH39 MZD33:MZD39 NIZ33:NIZ39 NSV33:NSV39 OCR33:OCR39 OMN33:OMN39 OWJ33:OWJ39 PGF33:PGF39 PQB33:PQB39 PZX33:PZX39 QJT33:QJT39 QTP33:QTP39 RDL33:RDL39 RNH33:RNH39 RXD33:RXD39 SGZ33:SGZ39 SQV33:SQV39 TAR33:TAR39 TKN33:TKN39 TUJ33:TUJ39 UEF33:UEF39 UOB33:UOB39 UXX33:UXX39 VHT33:VHT39 VRP33:VRP39 WBL33:WBL39 WLH33:WLH39 WVD33:WVD39 WLM18:WLM24 WVE18:WVE22 WLI18:WLI22 WBM18:WBM22 VRQ18:VRQ22 VHU18:VHU22 UXY18:UXY22 UOC18:UOC22 UEG18:UEG22 TUK18:TUK22 TKO18:TKO22 TAS18:TAS22 SQW18:SQW22 SHA18:SHA22 RXE18:RXE22 RNI18:RNI22 RDM18:RDM22 QTQ18:QTQ22 QJU18:QJU22 PZY18:PZY22 PQC18:PQC22 PGG18:PGG22 OWK18:OWK22 OMO18:OMO22 OCS18:OCS22 NSW18:NSW22 NJA18:NJA22 MZE18:MZE22 MPI18:MPI22 MFM18:MFM22 LVQ18:LVQ22 LLU18:LLU22 LBY18:LBY22 KSC18:KSC22 KIG18:KIG22 JYK18:JYK22 JOO18:JOO22 JES18:JES22 IUW18:IUW22 ILA18:ILA22 IBE18:IBE22 HRI18:HRI22 HHM18:HHM22 GXQ18:GXQ22 GNU18:GNU22 GDY18:GDY22 FUC18:FUC22 FKG18:FKG22 FAK18:FAK22 EQO18:EQO22 EGS18:EGS22 DWW18:DWW22 DNA18:DNA22 DDE18:DDE22 CTI18:CTI22 CJM18:CJM22 BZQ18:BZQ22 BPU18:BPU22 BFY18:BFY22 AWC18:AWC22 AMG18:AMG22 ACK18:ACK22 SO18:SO22 IS18:IS22 WVG18:WVG22 IU18:IU22 SQ18:SQ22 ACM18:ACM22 AMI18:AMI22 AWE18:AWE22 BGA18:BGA22 BPW18:BPW22 BZS18:BZS22 CJO18:CJO22 CTK18:CTK22 DDG18:DDG22 DNC18:DNC22 DWY18:DWY22 EGU18:EGU22 EQQ18:EQQ22 FAM18:FAM22 FKI18:FKI22 FUE18:FUE22 GEA18:GEA22 GNW18:GNW22 GXS18:GXS22 HHO18:HHO22 HRK18:HRK22 IBG18:IBG22 ILC18:ILC22 IUY18:IUY22 JEU18:JEU22 JOQ18:JOQ22 JYM18:JYM22 KII18:KII22 KSE18:KSE22 LCA18:LCA22 LLW18:LLW22 LVS18:LVS22 MFO18:MFO22 MPK18:MPK22 MZG18:MZG22 NJC18:NJC22 NSY18:NSY22 OCU18:OCU22 OMQ18:OMQ22 OWM18:OWM22 PGI18:PGI22 PQE18:PQE22 QAA18:QAA22 QJW18:QJW22 QTS18:QTS22 RDO18:RDO22 RNK18:RNK22 RXG18:RXG22 SHC18:SHC22 SQY18:SQY22 TAU18:TAU22 TKQ18:TKQ22 TUM18:TUM22 UEI18:UEI22 UOE18:UOE22 UYA18:UYA22 VHW18:VHW22 VRS18:VRS22 WBO18:WBO22 WLK18:WLK22 WLO18:WLO24 WVQ23:WVQ24 WLU23:WLU24 WBY23:WBY24 VSC23:VSC24 VIG23:VIG24 UYK23:UYK24 UOO23:UOO24 UES23:UES24 TUW23:TUW24 TLA23:TLA24 TBE23:TBE24 SRI23:SRI24 SHM23:SHM24 RXQ23:RXQ24 RNU23:RNU24 RDY23:RDY24 QUC23:QUC24 QKG23:QKG24 QAK23:QAK24 PQO23:PQO24 PGS23:PGS24 OWW23:OWW24 ONA23:ONA24 ODE23:ODE24 NTI23:NTI24 NJM23:NJM24 MZQ23:MZQ24 MPU23:MPU24 MFY23:MFY24 LWC23:LWC24 LMG23:LMG24 LCK23:LCK24 KSO23:KSO24 KIS23:KIS24 JYW23:JYW24 JPA23:JPA24 JFE23:JFE24 IVI23:IVI24 ILM23:ILM24 IBQ23:IBQ24 HRU23:HRU24 HHY23:HHY24 GYC23:GYC24 GOG23:GOG24 GEK23:GEK24 FUO23:FUO24 FKS23:FKS24 FAW23:FAW24 ERA23:ERA24 EHE23:EHE24 DXI23:DXI24 DNM23:DNM24 DDQ23:DDQ24 CTU23:CTU24 CJY23:CJY24 CAC23:CAC24 BQG23:BQG24 BGK23:BGK24 AWO23:AWO24 AMS23:AMS24 ACW23:ACW24 TA23:TA24 JE23:JE24 I23:I24 WBQ18:WBQ24 WVI18:WVI24 JC23:JC24 SY23:SY24 ACU23:ACU24 AMQ23:AMQ24 AWM23:AWM24 BGI23:BGI24 BQE23:BQE24 CAA23:CAA24 CJW23:CJW24 CTS23:CTS24 DDO23:DDO24 DNK23:DNK24 DXG23:DXG24 EHC23:EHC24 EQY23:EQY24 FAU23:FAU24 FKQ23:FKQ24 FUM23:FUM24 GEI23:GEI24 GOE23:GOE24 GYA23:GYA24 HHW23:HHW24 HRS23:HRS24 IBO23:IBO24 ILK23:ILK24 IVG23:IVG24 JFC23:JFC24 JOY23:JOY24 JYU23:JYU24 KIQ23:KIQ24 KSM23:KSM24 LCI23:LCI24 LME23:LME24 LWA23:LWA24 MFW23:MFW24 MPS23:MPS24 MZO23:MZO24 NJK23:NJK24 NTG23:NTG24 ODC23:ODC24 OMY23:OMY24 OWU23:OWU24 PGQ23:PGQ24 PQM23:PQM24 QAI23:QAI24 QKE23:QKE24 QUA23:QUA24 RDW23:RDW24 RNS23:RNS24 RXO23:RXO24 SHK23:SHK24 SRG23:SRG24 TBC23:TBC24 TKY23:TKY24 TUU23:TUU24 UEQ23:UEQ24 UOM23:UOM24 UYI23:UYI24 VIE23:VIE24 VSA23:VSA24 WBW23:WBW24 WLS23:WLS24 WVO23:WVO24 JA18:JA24 SW18:SW24 ACS18:ACS24 AMO18:AMO24 AWK18:AWK24 BGG18:BGG24 BQC18:BQC24 BZY18:BZY24 CJU18:CJU24 CTQ18:CTQ24 DDM18:DDM24 DNI18:DNI24 DXE18:DXE24 EHA18:EHA24 EQW18:EQW24 FAS18:FAS24 FKO18:FKO24 FUK18:FUK24 GEG18:GEG24 GOC18:GOC24 GXY18:GXY24 HHU18:HHU24 HRQ18:HRQ24 IBM18:IBM24 ILI18:ILI24 IVE18:IVE24 JFA18:JFA24 JOW18:JOW24 JYS18:JYS24 KIO18:KIO24 KSK18:KSK24 LCG18:LCG24 LMC18:LMC24 LVY18:LVY24 MFU18:MFU24 MPQ18:MPQ24 MZM18:MZM24 NJI18:NJI24 NTE18:NTE24 ODA18:ODA24 OMW18:OMW24 OWS18:OWS24 PGO18:PGO24 PQK18:PQK24 QAG18:QAG24 QKC18:QKC24 QTY18:QTY24 RDU18:RDU24 RNQ18:RNQ24 RXM18:RXM24 SHI18:SHI24 SRE18:SRE24 TBA18:TBA24 TKW18:TKW24 TUS18:TUS24 UEO18:UEO24 UOK18:UOK24 UYG18:UYG24 VIC18:VIC24 VRY18:VRY24 WBU18:WBU24 WLQ18:WLQ24 WVK18:WVK24 WVM18:WVM24 IW18:IW24 IY18:IY24 SS18:SS24 SU18:SU24 ACO18:ACO24 ACQ18:ACQ24 AMK18:AMK24 AMM18:AMM24 AWG18:AWG24 AWI18:AWI24 BGC18:BGC24 BGE18:BGE24 BPY18:BPY24 BQA18:BQA24 BZU18:BZU24 BZW18:BZW24 CJQ18:CJQ24 CJS18:CJS24 CTM18:CTM24 CTO18:CTO24 DDI18:DDI24 DDK18:DDK24 DNE18:DNE24 DNG18:DNG24 DXA18:DXA24 DXC18:DXC24 EGW18:EGW24 EGY18:EGY24 EQS18:EQS24 EQU18:EQU24 FAO18:FAO24 FAQ18:FAQ24 FKK18:FKK24 FKM18:FKM24 FUG18:FUG24 FUI18:FUI24 GEC18:GEC24 GEE18:GEE24 GNY18:GNY24 GOA18:GOA24 GXU18:GXU24 GXW18:GXW24 HHQ18:HHQ24 HHS18:HHS24 HRM18:HRM24 HRO18:HRO24 IBI18:IBI24 IBK18:IBK24 ILE18:ILE24 ILG18:ILG24 IVA18:IVA24 IVC18:IVC24 JEW18:JEW24 JEY18:JEY24 JOS18:JOS24 JOU18:JOU24 JYO18:JYO24 JYQ18:JYQ24 KIK18:KIK24 KIM18:KIM24 KSG18:KSG24 KSI18:KSI24 LCC18:LCC24 LCE18:LCE24 LLY18:LLY24 LMA18:LMA24 LVU18:LVU24 LVW18:LVW24 MFQ18:MFQ24 MFS18:MFS24 MPM18:MPM24 MPO18:MPO24 MZI18:MZI24 MZK18:MZK24 NJE18:NJE24 NJG18:NJG24 NTA18:NTA24 NTC18:NTC24 OCW18:OCW24 OCY18:OCY24 OMS18:OMS24 OMU18:OMU24 OWO18:OWO24 OWQ18:OWQ24 PGK18:PGK24 PGM18:PGM24 PQG18:PQG24 PQI18:PQI24 QAC18:QAC24 QAE18:QAE24 QJY18:QJY24 QKA18:QKA24 QTU18:QTU24 QTW18:QTW24 RDQ18:RDQ24 RDS18:RDS24 RNM18:RNM24 RNO18:RNO24 RXI18:RXI24 RXK18:RXK24 SHE18:SHE24 SHG18:SHG24 SRA18:SRA24 SRC18:SRC24 TAW18:TAW24 TAY18:TAY24 TKS18:TKS24 TKU18:TKU24 TUO18:TUO24 TUQ18:TUQ24 UEK18:UEK24 UEM18:UEM24 UOG18:UOG24 UOI18:UOI24 UYC18:UYC24 UYE18:UYE24 VHY18:VHY24 VIA18:VIA24 VRU18:VRU24 VRW18:VRW24 B23:B29" xr:uid="{00000000-0002-0000-2B00-000005000000}"/>
    <dataValidation type="decimal" operator="lessThanOrEqual" allowBlank="1" showInputMessage="1" showErrorMessage="1" promptTitle="Annual depreciation expense" prompt="Enter annual depreciation expense as a negative amount." sqref="WVJ33:WVJ39 IX33:IX39 ST33:ST39 ACP33:ACP39 AML33:AML39 AWH33:AWH39 BGD33:BGD39 BPZ33:BPZ39 BZV33:BZV39 CJR33:CJR39 CTN33:CTN39 DDJ33:DDJ39 DNF33:DNF39 DXB33:DXB39 EGX33:EGX39 EQT33:EQT39 FAP33:FAP39 FKL33:FKL39 FUH33:FUH39 GED33:GED39 GNZ33:GNZ39 GXV33:GXV39 HHR33:HHR39 HRN33:HRN39 IBJ33:IBJ39 ILF33:ILF39 IVB33:IVB39 JEX33:JEX39 JOT33:JOT39 JYP33:JYP39 KIL33:KIL39 KSH33:KSH39 LCD33:LCD39 LLZ33:LLZ39 LVV33:LVV39 MFR33:MFR39 MPN33:MPN39 MZJ33:MZJ39 NJF33:NJF39 NTB33:NTB39 OCX33:OCX39 OMT33:OMT39 OWP33:OWP39 PGL33:PGL39 PQH33:PQH39 QAD33:QAD39 QJZ33:QJZ39 QTV33:QTV39 RDR33:RDR39 RNN33:RNN39 RXJ33:RXJ39 SHF33:SHF39 SRB33:SRB39 TAX33:TAX39 TKT33:TKT39 TUP33:TUP39 UEL33:UEL39 UOH33:UOH39 UYD33:UYD39 VHZ33:VHZ39 VRV33:VRV39 WBR33:WBR39 WLN33:WLN39 E23:E29" xr:uid="{00000000-0002-0000-2B00-000006000000}">
      <formula1>0</formula1>
    </dataValidation>
    <dataValidation type="decimal" operator="lessThanOrEqual" allowBlank="1" showInputMessage="1" showErrorMessage="1" promptTitle="Accumulated depreciation" prompt="Enter accumulated depreciation as a negative amount." sqref="WVH33:WVH39 IV33:IV39 SR33:SR39 ACN33:ACN39 AMJ33:AMJ39 AWF33:AWF39 BGB33:BGB39 BPX33:BPX39 BZT33:BZT39 CJP33:CJP39 CTL33:CTL39 DDH33:DDH39 DND33:DND39 DWZ33:DWZ39 EGV33:EGV39 EQR33:EQR39 FAN33:FAN39 FKJ33:FKJ39 FUF33:FUF39 GEB33:GEB39 GNX33:GNX39 GXT33:GXT39 HHP33:HHP39 HRL33:HRL39 IBH33:IBH39 ILD33:ILD39 IUZ33:IUZ39 JEV33:JEV39 JOR33:JOR39 JYN33:JYN39 KIJ33:KIJ39 KSF33:KSF39 LCB33:LCB39 LLX33:LLX39 LVT33:LVT39 MFP33:MFP39 MPL33:MPL39 MZH33:MZH39 NJD33:NJD39 NSZ33:NSZ39 OCV33:OCV39 OMR33:OMR39 OWN33:OWN39 PGJ33:PGJ39 PQF33:PQF39 QAB33:QAB39 QJX33:QJX39 QTT33:QTT39 RDP33:RDP39 RNL33:RNL39 RXH33:RXH39 SHD33:SHD39 SQZ33:SQZ39 TAV33:TAV39 TKR33:TKR39 TUN33:TUN39 UEJ33:UEJ39 UOF33:UOF39 UYB33:UYB39 VHX33:VHX39 VRT33:VRT39 WBP33:WBP39 WLL33:WLL39 D23:D29" xr:uid="{00000000-0002-0000-2B00-000007000000}">
      <formula1>0</formula1>
    </dataValidation>
  </dataValidations>
  <pageMargins left="0.75" right="0.75" top="1" bottom="1" header="0.5" footer="0.5"/>
  <pageSetup scale="45" orientation="landscape"/>
  <headerFooter alignWithMargins="0"/>
  <rowBreaks count="1" manualBreakCount="1">
    <brk id="38" max="6"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9">
    <tabColor theme="6" tint="0.39997558519241921"/>
  </sheetPr>
  <dimension ref="B1:I70"/>
  <sheetViews>
    <sheetView showGridLines="0" zoomScaleNormal="100" workbookViewId="0"/>
  </sheetViews>
  <sheetFormatPr defaultColWidth="9.28515625" defaultRowHeight="12.75" x14ac:dyDescent="0.2"/>
  <cols>
    <col min="1" max="1" width="2.28515625" style="1" customWidth="1"/>
    <col min="2" max="2" width="8.7109375" style="1" customWidth="1"/>
    <col min="3" max="3" width="30.7109375" style="1" customWidth="1"/>
    <col min="4" max="8" width="12.7109375" style="1" customWidth="1"/>
    <col min="9" max="9" width="14.7109375" style="1" customWidth="1"/>
    <col min="10" max="16384" width="9.28515625" style="1"/>
  </cols>
  <sheetData>
    <row r="1" spans="2:9" x14ac:dyDescent="0.2">
      <c r="H1" s="1090" t="s">
        <v>277</v>
      </c>
      <c r="I1" s="968" t="str">
        <f>EBNUMBER</f>
        <v>EB-2018-0056</v>
      </c>
    </row>
    <row r="2" spans="2:9" x14ac:dyDescent="0.2">
      <c r="H2" s="1090" t="s">
        <v>278</v>
      </c>
      <c r="I2" s="41"/>
    </row>
    <row r="3" spans="2:9" x14ac:dyDescent="0.2">
      <c r="H3" s="1090" t="s">
        <v>279</v>
      </c>
      <c r="I3" s="41"/>
    </row>
    <row r="4" spans="2:9" x14ac:dyDescent="0.2">
      <c r="H4" s="1090" t="s">
        <v>280</v>
      </c>
      <c r="I4" s="41"/>
    </row>
    <row r="5" spans="2:9" x14ac:dyDescent="0.2">
      <c r="H5" s="1090" t="s">
        <v>281</v>
      </c>
      <c r="I5" s="42"/>
    </row>
    <row r="6" spans="2:9" x14ac:dyDescent="0.2">
      <c r="H6" s="1090"/>
      <c r="I6" s="968"/>
    </row>
    <row r="7" spans="2:9" x14ac:dyDescent="0.2">
      <c r="H7" s="1090" t="s">
        <v>282</v>
      </c>
      <c r="I7" s="42"/>
    </row>
    <row r="9" spans="2:9" ht="18" x14ac:dyDescent="0.25">
      <c r="B9" s="1611" t="s">
        <v>395</v>
      </c>
      <c r="C9" s="1611"/>
      <c r="D9" s="1611"/>
      <c r="E9" s="1611"/>
      <c r="F9" s="1611"/>
      <c r="G9" s="1611"/>
      <c r="H9" s="1611"/>
      <c r="I9" s="1611"/>
    </row>
    <row r="10" spans="2:9" ht="18" x14ac:dyDescent="0.25">
      <c r="B10" s="1611" t="s">
        <v>96</v>
      </c>
      <c r="C10" s="1611"/>
      <c r="D10" s="1611"/>
      <c r="E10" s="1611"/>
      <c r="F10" s="1611"/>
      <c r="G10" s="1611"/>
      <c r="H10" s="1611"/>
      <c r="I10" s="1611"/>
    </row>
    <row r="11" spans="2:9" x14ac:dyDescent="0.2">
      <c r="B11" s="2047"/>
      <c r="C11" s="2047"/>
      <c r="D11" s="2047"/>
      <c r="E11" s="2047"/>
      <c r="F11" s="2047"/>
      <c r="G11" s="2047"/>
      <c r="H11" s="2047"/>
      <c r="I11" s="2047"/>
    </row>
    <row r="12" spans="2:9" ht="13.5" thickBot="1" x14ac:dyDescent="0.25"/>
    <row r="13" spans="2:9" x14ac:dyDescent="0.2">
      <c r="B13" s="2048"/>
      <c r="C13" s="2049"/>
      <c r="D13" s="2052" t="s">
        <v>125</v>
      </c>
      <c r="E13" s="2053"/>
      <c r="F13" s="2053"/>
      <c r="G13" s="2053"/>
      <c r="H13" s="2054"/>
      <c r="I13" s="2055" t="s">
        <v>126</v>
      </c>
    </row>
    <row r="14" spans="2:9" x14ac:dyDescent="0.2">
      <c r="B14" s="2050"/>
      <c r="C14" s="2051"/>
      <c r="D14" s="413">
        <f>IF(ISBLANK('LDC Info'!E26-5), "Year 5", 'LDC Info'!E26-5)</f>
        <v>2013</v>
      </c>
      <c r="E14" s="413">
        <f>IF(ISBLANK('LDC Info'!E26-4), "Year 5", 'LDC Info'!E26-4)</f>
        <v>2014</v>
      </c>
      <c r="F14" s="413">
        <f>IF(ISBLANK('LDC Info'!E26-3), "Year 5", 'LDC Info'!E26-3)</f>
        <v>2015</v>
      </c>
      <c r="G14" s="413">
        <f>IF(ISBLANK('LDC Info'!E26-2), "Year 5", 'LDC Info'!E26-2)</f>
        <v>2016</v>
      </c>
      <c r="H14" s="413">
        <f>IF(ISBLANK('LDC Info'!E26-1), "Year 5", 'LDC Info'!E26-1)</f>
        <v>2017</v>
      </c>
      <c r="I14" s="2056"/>
    </row>
    <row r="15" spans="2:9" x14ac:dyDescent="0.2">
      <c r="B15" s="1348"/>
      <c r="C15" s="2057" t="s">
        <v>127</v>
      </c>
      <c r="D15" s="2058"/>
      <c r="E15" s="2058"/>
      <c r="F15" s="2058"/>
      <c r="G15" s="2058"/>
      <c r="H15" s="2058"/>
      <c r="I15" s="2059"/>
    </row>
    <row r="16" spans="2:9" ht="25.5" x14ac:dyDescent="0.2">
      <c r="B16" s="1349" t="s">
        <v>128</v>
      </c>
      <c r="C16" s="1307" t="s">
        <v>129</v>
      </c>
      <c r="D16" s="414">
        <v>189823053.13865024</v>
      </c>
      <c r="E16" s="414">
        <v>196751647.39219356</v>
      </c>
      <c r="F16" s="414">
        <v>201773815.25724143</v>
      </c>
      <c r="G16" s="414">
        <v>209189301.68895</v>
      </c>
      <c r="H16" s="414">
        <v>203784766.5492</v>
      </c>
      <c r="I16" s="1350">
        <f>IF(SUM(D16:H16)=0,0,AVERAGE(D16:H16))</f>
        <v>200264516.80524707</v>
      </c>
    </row>
    <row r="17" spans="2:9" ht="25.5" x14ac:dyDescent="0.2">
      <c r="B17" s="1349" t="s">
        <v>130</v>
      </c>
      <c r="C17" s="1307" t="s">
        <v>131</v>
      </c>
      <c r="D17" s="414">
        <f>+D16/1.0045</f>
        <v>188972676.09621727</v>
      </c>
      <c r="E17" s="414">
        <f>+E16/1.0045</f>
        <v>195870231.35111356</v>
      </c>
      <c r="F17" s="414">
        <f>+F16/1.0045</f>
        <v>200869900.7040731</v>
      </c>
      <c r="G17" s="414">
        <f>+G16/1.0045</f>
        <v>208252166.93773022</v>
      </c>
      <c r="H17" s="414">
        <f>+H16/1.0045</f>
        <v>202871843.25455451</v>
      </c>
      <c r="I17" s="1350">
        <f>IF(SUM(D17:H17)=0,0,AVERAGE(D17:H17))</f>
        <v>199367363.66873771</v>
      </c>
    </row>
    <row r="18" spans="2:9" ht="38.25" x14ac:dyDescent="0.2">
      <c r="B18" s="1349" t="s">
        <v>132</v>
      </c>
      <c r="C18" s="1307" t="s">
        <v>133</v>
      </c>
      <c r="D18" s="414">
        <v>0</v>
      </c>
      <c r="E18" s="414">
        <v>0</v>
      </c>
      <c r="F18" s="414">
        <v>0</v>
      </c>
      <c r="G18" s="414">
        <v>0</v>
      </c>
      <c r="H18" s="414">
        <v>0</v>
      </c>
      <c r="I18" s="1350">
        <f>IF(SUM(D18:H18)=0,0,AVERAGE(D18:H18))</f>
        <v>0</v>
      </c>
    </row>
    <row r="19" spans="2:9" ht="25.5" x14ac:dyDescent="0.2">
      <c r="B19" s="1349" t="s">
        <v>134</v>
      </c>
      <c r="C19" s="1307" t="s">
        <v>146</v>
      </c>
      <c r="D19" s="1351">
        <f t="shared" ref="D19:I19" si="0">D17-D18</f>
        <v>188972676.09621727</v>
      </c>
      <c r="E19" s="1351">
        <f t="shared" si="0"/>
        <v>195870231.35111356</v>
      </c>
      <c r="F19" s="1351">
        <f t="shared" si="0"/>
        <v>200869900.7040731</v>
      </c>
      <c r="G19" s="1351">
        <f t="shared" si="0"/>
        <v>208252166.93773022</v>
      </c>
      <c r="H19" s="1351">
        <f t="shared" si="0"/>
        <v>202871843.25455451</v>
      </c>
      <c r="I19" s="1352">
        <f t="shared" si="0"/>
        <v>199367363.66873771</v>
      </c>
    </row>
    <row r="20" spans="2:9" ht="14.25" customHeight="1" x14ac:dyDescent="0.2">
      <c r="B20" s="1349" t="s">
        <v>135</v>
      </c>
      <c r="C20" s="1307" t="s">
        <v>136</v>
      </c>
      <c r="D20" s="414">
        <v>182708523.99999997</v>
      </c>
      <c r="E20" s="414">
        <v>189355728.61999997</v>
      </c>
      <c r="F20" s="414">
        <v>193845050</v>
      </c>
      <c r="G20" s="414">
        <v>202468100.51000002</v>
      </c>
      <c r="H20" s="414">
        <v>196959262.63</v>
      </c>
      <c r="I20" s="1350">
        <f>IF(SUM(D20:H20)=0,0,AVERAGE(D20:H20))</f>
        <v>193067333.15199998</v>
      </c>
    </row>
    <row r="21" spans="2:9" ht="38.25" x14ac:dyDescent="0.2">
      <c r="B21" s="1349" t="s">
        <v>137</v>
      </c>
      <c r="C21" s="1307" t="s">
        <v>138</v>
      </c>
      <c r="D21" s="414">
        <v>0</v>
      </c>
      <c r="E21" s="414">
        <v>0</v>
      </c>
      <c r="F21" s="414">
        <v>0</v>
      </c>
      <c r="G21" s="414">
        <v>0</v>
      </c>
      <c r="H21" s="414">
        <v>0</v>
      </c>
      <c r="I21" s="1350">
        <f>IF(SUM(D21:H21)=0,0,AVERAGE(D21:H21))</f>
        <v>0</v>
      </c>
    </row>
    <row r="22" spans="2:9" ht="25.5" x14ac:dyDescent="0.2">
      <c r="B22" s="1349" t="s">
        <v>139</v>
      </c>
      <c r="C22" s="1307" t="s">
        <v>147</v>
      </c>
      <c r="D22" s="1351">
        <f t="shared" ref="D22:I22" si="1">D20-D21</f>
        <v>182708523.99999997</v>
      </c>
      <c r="E22" s="1351">
        <f t="shared" si="1"/>
        <v>189355728.61999997</v>
      </c>
      <c r="F22" s="1351">
        <f t="shared" si="1"/>
        <v>193845050</v>
      </c>
      <c r="G22" s="1351">
        <f t="shared" si="1"/>
        <v>202468100.51000002</v>
      </c>
      <c r="H22" s="1351">
        <f t="shared" si="1"/>
        <v>196959262.63</v>
      </c>
      <c r="I22" s="1352">
        <f t="shared" si="1"/>
        <v>193067333.15199998</v>
      </c>
    </row>
    <row r="23" spans="2:9" ht="25.5" x14ac:dyDescent="0.2">
      <c r="B23" s="1349" t="s">
        <v>140</v>
      </c>
      <c r="C23" s="1307" t="s">
        <v>148</v>
      </c>
      <c r="D23" s="1353">
        <f t="shared" ref="D23:I23" si="2">IF(D22=0,"",D19/D22)</f>
        <v>1.0342849471884372</v>
      </c>
      <c r="E23" s="1353">
        <f t="shared" si="2"/>
        <v>1.0344035154288198</v>
      </c>
      <c r="F23" s="1353">
        <f t="shared" si="2"/>
        <v>1.0362395155515867</v>
      </c>
      <c r="G23" s="1353">
        <f t="shared" si="2"/>
        <v>1.0285677912380302</v>
      </c>
      <c r="H23" s="1353">
        <f t="shared" si="2"/>
        <v>1.0300193072699591</v>
      </c>
      <c r="I23" s="1354">
        <f t="shared" si="2"/>
        <v>1.0326312608864689</v>
      </c>
    </row>
    <row r="24" spans="2:9" ht="13.5" customHeight="1" x14ac:dyDescent="0.2">
      <c r="B24" s="1355"/>
      <c r="C24" s="2060" t="s">
        <v>142</v>
      </c>
      <c r="D24" s="2061"/>
      <c r="E24" s="2061"/>
      <c r="F24" s="2061"/>
      <c r="G24" s="2061"/>
      <c r="H24" s="2061"/>
      <c r="I24" s="2062"/>
    </row>
    <row r="25" spans="2:9" x14ac:dyDescent="0.2">
      <c r="B25" s="1349" t="s">
        <v>141</v>
      </c>
      <c r="C25" s="1307" t="s">
        <v>143</v>
      </c>
      <c r="D25" s="415">
        <v>1.0044999999999999</v>
      </c>
      <c r="E25" s="415">
        <v>1.0044999999999999</v>
      </c>
      <c r="F25" s="415">
        <v>1.0044999999999999</v>
      </c>
      <c r="G25" s="415">
        <v>1.0044999999999999</v>
      </c>
      <c r="H25" s="415">
        <v>1.0044999999999999</v>
      </c>
      <c r="I25" s="1356">
        <f>IF(SUM(D25:H25)=0,0,AVERAGE(D25:H25))</f>
        <v>1.0044999999999999</v>
      </c>
    </row>
    <row r="26" spans="2:9" x14ac:dyDescent="0.2">
      <c r="B26" s="1355"/>
      <c r="C26" s="2060" t="s">
        <v>144</v>
      </c>
      <c r="D26" s="2061"/>
      <c r="E26" s="2061"/>
      <c r="F26" s="2061"/>
      <c r="G26" s="2061"/>
      <c r="H26" s="2061"/>
      <c r="I26" s="2062"/>
    </row>
    <row r="27" spans="2:9" ht="13.5" thickBot="1" x14ac:dyDescent="0.25">
      <c r="B27" s="1357" t="s">
        <v>145</v>
      </c>
      <c r="C27" s="1358" t="s">
        <v>149</v>
      </c>
      <c r="D27" s="1359">
        <f t="shared" ref="D27:I27" si="3">IF(D23="","",D23*D25)</f>
        <v>1.0389392294507851</v>
      </c>
      <c r="E27" s="1359">
        <f t="shared" si="3"/>
        <v>1.0390583312482495</v>
      </c>
      <c r="F27" s="1359">
        <f t="shared" si="3"/>
        <v>1.0409025933715688</v>
      </c>
      <c r="G27" s="1359">
        <f t="shared" si="3"/>
        <v>1.0331963462986014</v>
      </c>
      <c r="H27" s="1359">
        <f t="shared" si="3"/>
        <v>1.0346543941526738</v>
      </c>
      <c r="I27" s="1360">
        <f t="shared" si="3"/>
        <v>1.037278101560458</v>
      </c>
    </row>
    <row r="29" spans="2:9" x14ac:dyDescent="0.2">
      <c r="B29" s="1041" t="s">
        <v>6</v>
      </c>
    </row>
    <row r="31" spans="2:9" x14ac:dyDescent="0.2">
      <c r="B31" s="1039" t="s">
        <v>128</v>
      </c>
      <c r="C31" s="2063" t="s">
        <v>255</v>
      </c>
      <c r="D31" s="2063"/>
      <c r="E31" s="2063"/>
      <c r="F31" s="2063"/>
      <c r="G31" s="2063"/>
      <c r="H31" s="2063"/>
      <c r="I31" s="2063"/>
    </row>
    <row r="32" spans="2:9" x14ac:dyDescent="0.2">
      <c r="B32" s="1361"/>
      <c r="C32" s="2063"/>
      <c r="D32" s="2063"/>
      <c r="E32" s="2063"/>
      <c r="F32" s="2063"/>
      <c r="G32" s="2063"/>
      <c r="H32" s="2063"/>
      <c r="I32" s="2063"/>
    </row>
    <row r="33" spans="2:9" x14ac:dyDescent="0.2">
      <c r="B33" s="1361"/>
      <c r="C33" s="2063"/>
      <c r="D33" s="2063"/>
      <c r="E33" s="2063"/>
      <c r="F33" s="2063"/>
      <c r="G33" s="2063"/>
      <c r="H33" s="2063"/>
      <c r="I33" s="2063"/>
    </row>
    <row r="34" spans="2:9" ht="7.5" customHeight="1" x14ac:dyDescent="0.2">
      <c r="B34" s="1361"/>
      <c r="C34" s="10"/>
      <c r="D34" s="10"/>
      <c r="E34" s="10"/>
      <c r="F34" s="10"/>
      <c r="G34" s="10"/>
      <c r="H34" s="10"/>
      <c r="I34" s="10"/>
    </row>
    <row r="35" spans="2:9" x14ac:dyDescent="0.2">
      <c r="B35" s="1361"/>
      <c r="C35" s="2063" t="s">
        <v>256</v>
      </c>
      <c r="D35" s="2063"/>
      <c r="E35" s="2063"/>
      <c r="F35" s="2063"/>
      <c r="G35" s="2063"/>
      <c r="H35" s="2063"/>
      <c r="I35" s="2063"/>
    </row>
    <row r="36" spans="2:9" x14ac:dyDescent="0.2">
      <c r="B36" s="1361"/>
      <c r="C36" s="2063"/>
      <c r="D36" s="2063"/>
      <c r="E36" s="2063"/>
      <c r="F36" s="2063"/>
      <c r="G36" s="2063"/>
      <c r="H36" s="2063"/>
      <c r="I36" s="2063"/>
    </row>
    <row r="37" spans="2:9" x14ac:dyDescent="0.2">
      <c r="B37" s="1361"/>
      <c r="C37" s="2063"/>
      <c r="D37" s="2063"/>
      <c r="E37" s="2063"/>
      <c r="F37" s="2063"/>
      <c r="G37" s="2063"/>
      <c r="H37" s="2063"/>
      <c r="I37" s="2063"/>
    </row>
    <row r="38" spans="2:9" x14ac:dyDescent="0.2">
      <c r="B38" s="1361"/>
      <c r="C38" s="2063"/>
      <c r="D38" s="2063"/>
      <c r="E38" s="2063"/>
      <c r="F38" s="2063"/>
      <c r="G38" s="2063"/>
      <c r="H38" s="2063"/>
      <c r="I38" s="2063"/>
    </row>
    <row r="39" spans="2:9" ht="7.5" customHeight="1" x14ac:dyDescent="0.2">
      <c r="B39" s="1361"/>
      <c r="C39" s="10"/>
      <c r="D39" s="10"/>
      <c r="E39" s="10"/>
      <c r="F39" s="10"/>
      <c r="G39" s="10"/>
      <c r="H39" s="10"/>
      <c r="I39" s="10"/>
    </row>
    <row r="40" spans="2:9" x14ac:dyDescent="0.2">
      <c r="B40" s="1361"/>
      <c r="C40" s="10" t="s">
        <v>210</v>
      </c>
      <c r="D40" s="10"/>
      <c r="E40" s="10"/>
      <c r="F40" s="10"/>
      <c r="G40" s="10"/>
      <c r="H40" s="10"/>
      <c r="I40" s="10"/>
    </row>
    <row r="41" spans="2:9" ht="7.5" customHeight="1" x14ac:dyDescent="0.2">
      <c r="B41" s="1361"/>
      <c r="C41" s="10"/>
      <c r="D41" s="10"/>
      <c r="E41" s="10"/>
      <c r="F41" s="10"/>
      <c r="G41" s="10"/>
      <c r="H41" s="10"/>
      <c r="I41" s="10"/>
    </row>
    <row r="42" spans="2:9" x14ac:dyDescent="0.2">
      <c r="B42" s="1039" t="s">
        <v>130</v>
      </c>
      <c r="C42" s="2063" t="s">
        <v>257</v>
      </c>
      <c r="D42" s="2063"/>
      <c r="E42" s="2063"/>
      <c r="F42" s="2063"/>
      <c r="G42" s="2063"/>
      <c r="H42" s="2063"/>
      <c r="I42" s="2063"/>
    </row>
    <row r="43" spans="2:9" x14ac:dyDescent="0.2">
      <c r="B43" s="1361"/>
      <c r="C43" s="2063"/>
      <c r="D43" s="2063"/>
      <c r="E43" s="2063"/>
      <c r="F43" s="2063"/>
      <c r="G43" s="2063"/>
      <c r="H43" s="2063"/>
      <c r="I43" s="2063"/>
    </row>
    <row r="44" spans="2:9" x14ac:dyDescent="0.2">
      <c r="B44" s="1361"/>
      <c r="C44" s="2063"/>
      <c r="D44" s="2063"/>
      <c r="E44" s="2063"/>
      <c r="F44" s="2063"/>
      <c r="G44" s="2063"/>
      <c r="H44" s="2063"/>
      <c r="I44" s="2063"/>
    </row>
    <row r="45" spans="2:9" ht="7.5" customHeight="1" x14ac:dyDescent="0.2">
      <c r="B45" s="1361"/>
      <c r="C45" s="10"/>
      <c r="D45" s="10"/>
      <c r="E45" s="10"/>
      <c r="F45" s="10"/>
      <c r="G45" s="10"/>
      <c r="H45" s="10"/>
      <c r="I45" s="10"/>
    </row>
    <row r="46" spans="2:9" ht="12.75" customHeight="1" x14ac:dyDescent="0.2">
      <c r="B46" s="1361"/>
      <c r="C46" s="2064" t="s">
        <v>564</v>
      </c>
      <c r="D46" s="2064"/>
      <c r="E46" s="2064"/>
      <c r="F46" s="2064"/>
      <c r="G46" s="2064"/>
      <c r="H46" s="2064"/>
      <c r="I46" s="2064"/>
    </row>
    <row r="47" spans="2:9" x14ac:dyDescent="0.2">
      <c r="B47" s="1361"/>
      <c r="C47" s="2064"/>
      <c r="D47" s="2064"/>
      <c r="E47" s="2064"/>
      <c r="F47" s="2064"/>
      <c r="G47" s="2064"/>
      <c r="H47" s="2064"/>
      <c r="I47" s="2064"/>
    </row>
    <row r="48" spans="2:9" x14ac:dyDescent="0.2">
      <c r="B48" s="1361"/>
      <c r="C48" s="2064"/>
      <c r="D48" s="2064"/>
      <c r="E48" s="2064"/>
      <c r="F48" s="2064"/>
      <c r="G48" s="2064"/>
      <c r="H48" s="2064"/>
      <c r="I48" s="2064"/>
    </row>
    <row r="49" spans="2:9" x14ac:dyDescent="0.2">
      <c r="B49" s="1361"/>
      <c r="C49" s="2064"/>
      <c r="D49" s="2064"/>
      <c r="E49" s="2064"/>
      <c r="F49" s="2064"/>
      <c r="G49" s="2064"/>
      <c r="H49" s="2064"/>
      <c r="I49" s="2064"/>
    </row>
    <row r="50" spans="2:9" ht="7.5" customHeight="1" x14ac:dyDescent="0.2">
      <c r="B50" s="1361"/>
      <c r="C50" s="10"/>
      <c r="D50" s="10"/>
      <c r="E50" s="10"/>
      <c r="F50" s="10"/>
      <c r="G50" s="10"/>
      <c r="H50" s="10"/>
      <c r="I50" s="10"/>
    </row>
    <row r="51" spans="2:9" x14ac:dyDescent="0.2">
      <c r="B51" s="1361"/>
      <c r="C51" s="2065" t="s">
        <v>210</v>
      </c>
      <c r="D51" s="2065"/>
      <c r="E51" s="2065"/>
      <c r="F51" s="2065"/>
      <c r="G51" s="2065"/>
      <c r="H51" s="2065"/>
      <c r="I51" s="2065"/>
    </row>
    <row r="52" spans="2:9" ht="7.5" customHeight="1" x14ac:dyDescent="0.2">
      <c r="B52" s="1361"/>
      <c r="C52" s="10"/>
      <c r="D52" s="10"/>
      <c r="E52" s="10"/>
      <c r="F52" s="10"/>
      <c r="G52" s="10"/>
      <c r="H52" s="10"/>
      <c r="I52" s="10"/>
    </row>
    <row r="53" spans="2:9" x14ac:dyDescent="0.2">
      <c r="B53" s="1361"/>
      <c r="C53" s="2063" t="s">
        <v>258</v>
      </c>
      <c r="D53" s="2063"/>
      <c r="E53" s="2063"/>
      <c r="F53" s="2063"/>
      <c r="G53" s="2063"/>
      <c r="H53" s="2063"/>
      <c r="I53" s="2063"/>
    </row>
    <row r="54" spans="2:9" x14ac:dyDescent="0.2">
      <c r="B54" s="1361"/>
      <c r="C54" s="2063"/>
      <c r="D54" s="2063"/>
      <c r="E54" s="2063"/>
      <c r="F54" s="2063"/>
      <c r="G54" s="2063"/>
      <c r="H54" s="2063"/>
      <c r="I54" s="2063"/>
    </row>
    <row r="55" spans="2:9" ht="7.5" customHeight="1" x14ac:dyDescent="0.2">
      <c r="B55" s="1361"/>
      <c r="C55" s="10"/>
      <c r="D55" s="10"/>
      <c r="E55" s="10"/>
      <c r="F55" s="10"/>
      <c r="G55" s="10"/>
      <c r="H55" s="10"/>
      <c r="I55" s="10"/>
    </row>
    <row r="56" spans="2:9" x14ac:dyDescent="0.2">
      <c r="B56" s="1039" t="s">
        <v>132</v>
      </c>
      <c r="C56" s="2063" t="s">
        <v>259</v>
      </c>
      <c r="D56" s="2063"/>
      <c r="E56" s="2063"/>
      <c r="F56" s="2063"/>
      <c r="G56" s="2063"/>
      <c r="H56" s="2063"/>
      <c r="I56" s="2063"/>
    </row>
    <row r="57" spans="2:9" x14ac:dyDescent="0.2">
      <c r="B57" s="1361"/>
      <c r="C57" s="2063"/>
      <c r="D57" s="2063"/>
      <c r="E57" s="2063"/>
      <c r="F57" s="2063"/>
      <c r="G57" s="2063"/>
      <c r="H57" s="2063"/>
      <c r="I57" s="2063"/>
    </row>
    <row r="58" spans="2:9" ht="7.5" customHeight="1" x14ac:dyDescent="0.2">
      <c r="B58" s="1361"/>
      <c r="C58" s="10"/>
      <c r="D58" s="10"/>
      <c r="E58" s="10"/>
      <c r="F58" s="10"/>
      <c r="G58" s="10"/>
      <c r="H58" s="10"/>
      <c r="I58" s="10"/>
    </row>
    <row r="59" spans="2:9" x14ac:dyDescent="0.2">
      <c r="B59" s="1039" t="s">
        <v>135</v>
      </c>
      <c r="C59" s="2064" t="s">
        <v>409</v>
      </c>
      <c r="D59" s="2063"/>
      <c r="E59" s="2063"/>
      <c r="F59" s="2063"/>
      <c r="G59" s="2063"/>
      <c r="H59" s="2063"/>
      <c r="I59" s="2063"/>
    </row>
    <row r="60" spans="2:9" x14ac:dyDescent="0.2">
      <c r="B60" s="1361"/>
      <c r="C60" s="10"/>
      <c r="D60" s="10"/>
      <c r="E60" s="10"/>
      <c r="F60" s="10"/>
      <c r="G60" s="10"/>
      <c r="H60" s="10"/>
      <c r="I60" s="10"/>
    </row>
    <row r="61" spans="2:9" x14ac:dyDescent="0.2">
      <c r="B61" s="1039" t="s">
        <v>260</v>
      </c>
      <c r="C61" s="2065" t="s">
        <v>211</v>
      </c>
      <c r="D61" s="2065"/>
      <c r="E61" s="2065"/>
      <c r="F61" s="2065"/>
      <c r="G61" s="2065"/>
      <c r="H61" s="2065"/>
      <c r="I61" s="2065"/>
    </row>
    <row r="62" spans="2:9" x14ac:dyDescent="0.2">
      <c r="B62" s="1361"/>
      <c r="C62" s="10"/>
      <c r="D62" s="10"/>
      <c r="E62" s="10"/>
      <c r="F62" s="10"/>
      <c r="G62" s="10"/>
      <c r="H62" s="10"/>
      <c r="I62" s="10"/>
    </row>
    <row r="63" spans="2:9" x14ac:dyDescent="0.2">
      <c r="B63" s="1039" t="s">
        <v>141</v>
      </c>
      <c r="C63" s="2065" t="s">
        <v>253</v>
      </c>
      <c r="D63" s="2065"/>
      <c r="E63" s="2065"/>
      <c r="F63" s="2065"/>
      <c r="G63" s="2065"/>
      <c r="H63" s="2065"/>
      <c r="I63" s="2065"/>
    </row>
    <row r="64" spans="2:9" x14ac:dyDescent="0.2">
      <c r="B64" s="10"/>
      <c r="C64" s="10"/>
      <c r="D64" s="10"/>
      <c r="E64" s="10"/>
      <c r="F64" s="10"/>
      <c r="G64" s="10"/>
      <c r="H64" s="10"/>
      <c r="I64" s="10"/>
    </row>
    <row r="65" spans="2:9" x14ac:dyDescent="0.2">
      <c r="B65" s="10"/>
      <c r="C65" s="2063" t="s">
        <v>254</v>
      </c>
      <c r="D65" s="2063"/>
      <c r="E65" s="2063"/>
      <c r="F65" s="2063"/>
      <c r="G65" s="2063"/>
      <c r="H65" s="2063"/>
      <c r="I65" s="10"/>
    </row>
    <row r="66" spans="2:9" x14ac:dyDescent="0.2">
      <c r="B66" s="10"/>
      <c r="C66" s="2063"/>
      <c r="D66" s="2063"/>
      <c r="E66" s="2063"/>
      <c r="F66" s="2063"/>
      <c r="G66" s="2063"/>
      <c r="H66" s="2063"/>
      <c r="I66" s="10"/>
    </row>
    <row r="67" spans="2:9" x14ac:dyDescent="0.2">
      <c r="B67" s="10"/>
      <c r="C67" s="2063"/>
      <c r="D67" s="2063"/>
      <c r="E67" s="2063"/>
      <c r="F67" s="2063"/>
      <c r="G67" s="2063"/>
      <c r="H67" s="2063"/>
      <c r="I67" s="10"/>
    </row>
    <row r="68" spans="2:9" x14ac:dyDescent="0.2">
      <c r="B68" s="10"/>
      <c r="C68" s="10"/>
      <c r="D68" s="10"/>
      <c r="E68" s="10"/>
      <c r="F68" s="10"/>
      <c r="G68" s="10"/>
      <c r="H68" s="10"/>
      <c r="I68" s="10"/>
    </row>
    <row r="69" spans="2:9" x14ac:dyDescent="0.2">
      <c r="C69" s="2065" t="s">
        <v>261</v>
      </c>
      <c r="D69" s="2066"/>
      <c r="E69" s="2066"/>
      <c r="F69" s="2066"/>
      <c r="G69" s="2066"/>
      <c r="H69" s="2066"/>
      <c r="I69" s="2066"/>
    </row>
    <row r="70" spans="2:9" x14ac:dyDescent="0.2">
      <c r="C70" s="1" t="s">
        <v>262</v>
      </c>
    </row>
  </sheetData>
  <sheetProtection algorithmName="SHA-512" hashValue="fRaixP0Tsq8nYKcPhtkoeOgUy+yj+rBF8R5QmRAMtf3e2A7SbtZ5GkIabzJPmVgc1xwuNFIKzGdA0eUzsulbmA==" saltValue="eKZddY35KVujX3rGCfowKw==" spinCount="100000" sheet="1" objects="1" scenarios="1"/>
  <mergeCells count="21">
    <mergeCell ref="C56:I57"/>
    <mergeCell ref="C59:I59"/>
    <mergeCell ref="C31:I33"/>
    <mergeCell ref="C69:I69"/>
    <mergeCell ref="C61:I61"/>
    <mergeCell ref="C63:I63"/>
    <mergeCell ref="C65:H67"/>
    <mergeCell ref="C51:I51"/>
    <mergeCell ref="C15:I15"/>
    <mergeCell ref="C24:I24"/>
    <mergeCell ref="C26:I26"/>
    <mergeCell ref="C53:I54"/>
    <mergeCell ref="C35:I38"/>
    <mergeCell ref="C42:I44"/>
    <mergeCell ref="C46:I49"/>
    <mergeCell ref="B9:I9"/>
    <mergeCell ref="B10:I10"/>
    <mergeCell ref="B11:I11"/>
    <mergeCell ref="B13:C14"/>
    <mergeCell ref="D13:H13"/>
    <mergeCell ref="I13:I14"/>
  </mergeCells>
  <phoneticPr fontId="16" type="noConversion"/>
  <dataValidations disablePrompts="1" count="1">
    <dataValidation allowBlank="1" showInputMessage="1" showErrorMessage="1" promptTitle="Date Format" prompt="E.g:  &quot;August 1, 2011&quot;" sqref="I7" xr:uid="{00000000-0002-0000-2C00-000000000000}"/>
  </dataValidations>
  <pageMargins left="0.75" right="0.75" top="1" bottom="1" header="0.5" footer="0.5"/>
  <pageSetup scale="64" fitToHeight="0" orientation="portrait"/>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20">
    <tabColor rgb="FFFFC000"/>
    <pageSetUpPr fitToPage="1"/>
  </sheetPr>
  <dimension ref="A1:H96"/>
  <sheetViews>
    <sheetView showGridLines="0" zoomScaleNormal="100" workbookViewId="0"/>
  </sheetViews>
  <sheetFormatPr defaultColWidth="9.28515625" defaultRowHeight="12.75" x14ac:dyDescent="0.2"/>
  <cols>
    <col min="1" max="1" width="6.7109375" style="27" customWidth="1"/>
    <col min="2" max="2" width="6.5703125" style="27" customWidth="1"/>
    <col min="3" max="5" width="13.7109375" style="27" customWidth="1"/>
    <col min="6" max="6" width="17.28515625" style="27" bestFit="1" customWidth="1"/>
    <col min="7" max="7" width="13.7109375" style="27" customWidth="1"/>
    <col min="8" max="8" width="16.42578125" style="27" customWidth="1"/>
    <col min="9" max="9" width="13.7109375" style="27" customWidth="1"/>
    <col min="10" max="16384" width="9.28515625" style="27"/>
  </cols>
  <sheetData>
    <row r="1" spans="1:8" x14ac:dyDescent="0.2">
      <c r="G1" s="217" t="s">
        <v>277</v>
      </c>
      <c r="H1" s="40" t="str">
        <f>EBNUMBER</f>
        <v>EB-2018-0056</v>
      </c>
    </row>
    <row r="2" spans="1:8" x14ac:dyDescent="0.2">
      <c r="G2" s="217" t="s">
        <v>278</v>
      </c>
      <c r="H2" s="41"/>
    </row>
    <row r="3" spans="1:8" x14ac:dyDescent="0.2">
      <c r="G3" s="217" t="s">
        <v>279</v>
      </c>
      <c r="H3" s="41"/>
    </row>
    <row r="4" spans="1:8" x14ac:dyDescent="0.2">
      <c r="G4" s="217" t="s">
        <v>280</v>
      </c>
      <c r="H4" s="41"/>
    </row>
    <row r="5" spans="1:8" x14ac:dyDescent="0.2">
      <c r="G5" s="217" t="s">
        <v>281</v>
      </c>
      <c r="H5" s="42"/>
    </row>
    <row r="6" spans="1:8" x14ac:dyDescent="0.2">
      <c r="G6" s="217"/>
      <c r="H6" s="40"/>
    </row>
    <row r="7" spans="1:8" x14ac:dyDescent="0.2">
      <c r="G7" s="217" t="s">
        <v>282</v>
      </c>
      <c r="H7" s="42"/>
    </row>
    <row r="9" spans="1:8" ht="18" x14ac:dyDescent="0.25">
      <c r="A9" s="1966" t="s">
        <v>181</v>
      </c>
      <c r="B9" s="1966"/>
      <c r="C9" s="1966"/>
      <c r="D9" s="1966"/>
      <c r="E9" s="1966"/>
      <c r="F9" s="1966"/>
      <c r="G9" s="1966"/>
      <c r="H9" s="1966"/>
    </row>
    <row r="10" spans="1:8" ht="18" x14ac:dyDescent="0.25">
      <c r="A10" s="1966" t="s">
        <v>163</v>
      </c>
      <c r="B10" s="1966"/>
      <c r="C10" s="1966"/>
      <c r="D10" s="1966"/>
      <c r="E10" s="1966"/>
      <c r="F10" s="1966"/>
      <c r="G10" s="1966"/>
      <c r="H10" s="1966"/>
    </row>
    <row r="11" spans="1:8" ht="13.5" thickBot="1" x14ac:dyDescent="0.25"/>
    <row r="12" spans="1:8" ht="51" x14ac:dyDescent="0.2">
      <c r="A12" s="416" t="s">
        <v>10</v>
      </c>
      <c r="B12" s="417" t="s">
        <v>287</v>
      </c>
      <c r="C12" s="45" t="s">
        <v>11</v>
      </c>
      <c r="D12" s="45" t="s">
        <v>12</v>
      </c>
      <c r="E12" s="45" t="s">
        <v>204</v>
      </c>
      <c r="F12" s="45" t="s">
        <v>13</v>
      </c>
      <c r="G12" s="45" t="s">
        <v>14</v>
      </c>
      <c r="H12" s="418" t="s">
        <v>15</v>
      </c>
    </row>
    <row r="13" spans="1:8" x14ac:dyDescent="0.2">
      <c r="A13" s="419"/>
      <c r="B13" s="227"/>
      <c r="C13" s="353" t="s">
        <v>16</v>
      </c>
      <c r="D13" s="353" t="s">
        <v>17</v>
      </c>
      <c r="E13" s="353" t="s">
        <v>205</v>
      </c>
      <c r="F13" s="353" t="s">
        <v>89</v>
      </c>
      <c r="G13" s="353" t="s">
        <v>19</v>
      </c>
      <c r="H13" s="420" t="s">
        <v>206</v>
      </c>
    </row>
    <row r="14" spans="1:8" x14ac:dyDescent="0.2">
      <c r="A14" s="421">
        <v>2006</v>
      </c>
      <c r="B14" s="422"/>
      <c r="C14" s="95"/>
      <c r="D14" s="95"/>
      <c r="E14" s="95"/>
      <c r="F14" s="96">
        <f t="shared" ref="F14:F25" si="0">C14-D14-E14</f>
        <v>0</v>
      </c>
      <c r="G14" s="95"/>
      <c r="H14" s="423">
        <f t="shared" ref="H14:H25" si="1">F14-G14</f>
        <v>0</v>
      </c>
    </row>
    <row r="15" spans="1:8" x14ac:dyDescent="0.2">
      <c r="A15" s="421">
        <v>2007</v>
      </c>
      <c r="B15" s="422"/>
      <c r="C15" s="95"/>
      <c r="D15" s="95"/>
      <c r="E15" s="95"/>
      <c r="F15" s="96">
        <f t="shared" si="0"/>
        <v>0</v>
      </c>
      <c r="G15" s="95"/>
      <c r="H15" s="423">
        <f t="shared" si="1"/>
        <v>0</v>
      </c>
    </row>
    <row r="16" spans="1:8" x14ac:dyDescent="0.2">
      <c r="A16" s="421">
        <v>2008</v>
      </c>
      <c r="B16" s="422"/>
      <c r="C16" s="95"/>
      <c r="D16" s="95"/>
      <c r="E16" s="95"/>
      <c r="F16" s="96">
        <f t="shared" si="0"/>
        <v>0</v>
      </c>
      <c r="G16" s="95"/>
      <c r="H16" s="423">
        <f t="shared" si="1"/>
        <v>0</v>
      </c>
    </row>
    <row r="17" spans="1:8" x14ac:dyDescent="0.2">
      <c r="A17" s="421">
        <v>2009</v>
      </c>
      <c r="B17" s="422"/>
      <c r="C17" s="95"/>
      <c r="D17" s="95"/>
      <c r="E17" s="95"/>
      <c r="F17" s="96">
        <f t="shared" si="0"/>
        <v>0</v>
      </c>
      <c r="G17" s="95"/>
      <c r="H17" s="423">
        <f t="shared" si="1"/>
        <v>0</v>
      </c>
    </row>
    <row r="18" spans="1:8" x14ac:dyDescent="0.2">
      <c r="A18" s="421">
        <v>2010</v>
      </c>
      <c r="B18" s="422"/>
      <c r="C18" s="95"/>
      <c r="D18" s="95"/>
      <c r="E18" s="95"/>
      <c r="F18" s="96">
        <f t="shared" si="0"/>
        <v>0</v>
      </c>
      <c r="G18" s="95"/>
      <c r="H18" s="423">
        <f t="shared" si="1"/>
        <v>0</v>
      </c>
    </row>
    <row r="19" spans="1:8" x14ac:dyDescent="0.2">
      <c r="A19" s="421">
        <v>2011</v>
      </c>
      <c r="B19" s="422"/>
      <c r="C19" s="95"/>
      <c r="D19" s="95"/>
      <c r="E19" s="95"/>
      <c r="F19" s="96">
        <f t="shared" si="0"/>
        <v>0</v>
      </c>
      <c r="G19" s="95"/>
      <c r="H19" s="423">
        <f t="shared" si="1"/>
        <v>0</v>
      </c>
    </row>
    <row r="20" spans="1:8" x14ac:dyDescent="0.2">
      <c r="A20" s="424">
        <v>2012</v>
      </c>
      <c r="B20" s="425"/>
      <c r="C20" s="250"/>
      <c r="D20" s="250"/>
      <c r="E20" s="250"/>
      <c r="F20" s="96">
        <f t="shared" si="0"/>
        <v>0</v>
      </c>
      <c r="G20" s="250"/>
      <c r="H20" s="423">
        <f t="shared" si="1"/>
        <v>0</v>
      </c>
    </row>
    <row r="21" spans="1:8" x14ac:dyDescent="0.2">
      <c r="A21" s="424">
        <v>2013</v>
      </c>
      <c r="B21" s="425"/>
      <c r="C21" s="250"/>
      <c r="D21" s="250"/>
      <c r="E21" s="250"/>
      <c r="F21" s="96">
        <f>C21-D21-E21</f>
        <v>0</v>
      </c>
      <c r="G21" s="250"/>
      <c r="H21" s="423">
        <f>F21-G21</f>
        <v>0</v>
      </c>
    </row>
    <row r="22" spans="1:8" x14ac:dyDescent="0.2">
      <c r="A22" s="424">
        <v>2014</v>
      </c>
      <c r="B22" s="425"/>
      <c r="C22" s="250"/>
      <c r="D22" s="250"/>
      <c r="E22" s="250"/>
      <c r="F22" s="96">
        <f>C22-D22-E22</f>
        <v>0</v>
      </c>
      <c r="G22" s="250"/>
      <c r="H22" s="423">
        <f>F22-G22</f>
        <v>0</v>
      </c>
    </row>
    <row r="23" spans="1:8" x14ac:dyDescent="0.2">
      <c r="A23" s="424">
        <v>2015</v>
      </c>
      <c r="B23" s="425"/>
      <c r="C23" s="250"/>
      <c r="D23" s="250"/>
      <c r="E23" s="250"/>
      <c r="F23" s="96">
        <f>C23-D23-E23</f>
        <v>0</v>
      </c>
      <c r="G23" s="250"/>
      <c r="H23" s="423">
        <f>F23-G23</f>
        <v>0</v>
      </c>
    </row>
    <row r="24" spans="1:8" x14ac:dyDescent="0.2">
      <c r="A24" s="424">
        <v>2016</v>
      </c>
      <c r="B24" s="425"/>
      <c r="C24" s="250"/>
      <c r="D24" s="250"/>
      <c r="E24" s="250"/>
      <c r="F24" s="96">
        <f>C24-D24-E24</f>
        <v>0</v>
      </c>
      <c r="G24" s="250"/>
      <c r="H24" s="423">
        <f>F24-G24</f>
        <v>0</v>
      </c>
    </row>
    <row r="25" spans="1:8" ht="13.5" thickBot="1" x14ac:dyDescent="0.25">
      <c r="A25" s="426">
        <v>2017</v>
      </c>
      <c r="B25" s="427" t="s">
        <v>286</v>
      </c>
      <c r="C25" s="428"/>
      <c r="D25" s="428"/>
      <c r="E25" s="428"/>
      <c r="F25" s="344">
        <f t="shared" si="0"/>
        <v>0</v>
      </c>
      <c r="G25" s="428"/>
      <c r="H25" s="429">
        <f t="shared" si="1"/>
        <v>0</v>
      </c>
    </row>
    <row r="27" spans="1:8" x14ac:dyDescent="0.2">
      <c r="A27" s="39" t="s">
        <v>6</v>
      </c>
    </row>
    <row r="28" spans="1:8" x14ac:dyDescent="0.2">
      <c r="A28" s="39"/>
    </row>
    <row r="29" spans="1:8" x14ac:dyDescent="0.2">
      <c r="A29" s="430" t="s">
        <v>286</v>
      </c>
      <c r="B29" s="431" t="s">
        <v>1091</v>
      </c>
      <c r="C29" s="431"/>
      <c r="D29" s="431"/>
      <c r="E29" s="431"/>
      <c r="F29" s="431"/>
      <c r="G29" s="431"/>
    </row>
    <row r="31" spans="1:8" x14ac:dyDescent="0.2">
      <c r="A31" s="2069" t="s">
        <v>168</v>
      </c>
      <c r="B31" s="2069"/>
      <c r="C31" s="2069"/>
      <c r="D31" s="2069"/>
      <c r="E31" s="2069"/>
      <c r="F31" s="2069"/>
      <c r="G31" s="2069"/>
      <c r="H31" s="2069"/>
    </row>
    <row r="32" spans="1:8" x14ac:dyDescent="0.2">
      <c r="A32" s="2069"/>
      <c r="B32" s="2069"/>
      <c r="C32" s="2069"/>
      <c r="D32" s="2069"/>
      <c r="E32" s="2069"/>
      <c r="F32" s="2069"/>
      <c r="G32" s="2069"/>
      <c r="H32" s="2069"/>
    </row>
    <row r="33" spans="1:8" x14ac:dyDescent="0.2">
      <c r="A33" s="2069"/>
      <c r="B33" s="2069"/>
      <c r="C33" s="2069"/>
      <c r="D33" s="2069"/>
      <c r="E33" s="2069"/>
      <c r="F33" s="2069"/>
      <c r="G33" s="2069"/>
      <c r="H33" s="2069"/>
    </row>
    <row r="34" spans="1:8" x14ac:dyDescent="0.2">
      <c r="A34" s="2069"/>
      <c r="B34" s="2069"/>
      <c r="C34" s="2069"/>
      <c r="D34" s="2069"/>
      <c r="E34" s="2069"/>
      <c r="F34" s="2069"/>
      <c r="G34" s="2069"/>
      <c r="H34" s="2069"/>
    </row>
    <row r="36" spans="1:8" x14ac:dyDescent="0.2">
      <c r="A36" s="2070" t="s">
        <v>558</v>
      </c>
      <c r="B36" s="2071"/>
      <c r="C36" s="2071"/>
      <c r="D36" s="2071"/>
      <c r="E36" s="2071"/>
      <c r="F36" s="2071"/>
      <c r="G36" s="2071"/>
      <c r="H36" s="2071"/>
    </row>
    <row r="37" spans="1:8" x14ac:dyDescent="0.2">
      <c r="A37" s="2071"/>
      <c r="B37" s="2071"/>
      <c r="C37" s="2071"/>
      <c r="D37" s="2071"/>
      <c r="E37" s="2071"/>
      <c r="F37" s="2071"/>
      <c r="G37" s="2071"/>
      <c r="H37" s="2071"/>
    </row>
    <row r="39" spans="1:8" x14ac:dyDescent="0.2">
      <c r="A39" s="456">
        <v>1</v>
      </c>
      <c r="B39" s="2067" t="s">
        <v>169</v>
      </c>
      <c r="C39" s="2067"/>
      <c r="D39" s="2067"/>
      <c r="E39" s="2067"/>
      <c r="F39" s="2067"/>
      <c r="G39" s="2067"/>
      <c r="H39" s="2067"/>
    </row>
    <row r="40" spans="1:8" x14ac:dyDescent="0.2">
      <c r="B40" s="2067"/>
      <c r="C40" s="2067"/>
      <c r="D40" s="2067"/>
      <c r="E40" s="2067"/>
      <c r="F40" s="2067"/>
      <c r="G40" s="2067"/>
      <c r="H40" s="2067"/>
    </row>
    <row r="42" spans="1:8" ht="12.75" customHeight="1" x14ac:dyDescent="0.2">
      <c r="A42" s="456">
        <v>2</v>
      </c>
      <c r="B42" s="2072" t="s">
        <v>207</v>
      </c>
      <c r="C42" s="2072"/>
      <c r="D42" s="2072"/>
      <c r="E42" s="2072"/>
      <c r="F42" s="2072"/>
      <c r="G42" s="2072"/>
      <c r="H42" s="2072"/>
    </row>
    <row r="43" spans="1:8" x14ac:dyDescent="0.2">
      <c r="B43" s="2072"/>
      <c r="C43" s="2072"/>
      <c r="D43" s="2072"/>
      <c r="E43" s="2072"/>
      <c r="F43" s="2072"/>
      <c r="G43" s="2072"/>
      <c r="H43" s="2072"/>
    </row>
    <row r="44" spans="1:8" x14ac:dyDescent="0.2">
      <c r="B44" s="2072"/>
      <c r="C44" s="2072"/>
      <c r="D44" s="2072"/>
      <c r="E44" s="2072"/>
      <c r="F44" s="2072"/>
      <c r="G44" s="2072"/>
      <c r="H44" s="2072"/>
    </row>
    <row r="46" spans="1:8" x14ac:dyDescent="0.2">
      <c r="A46" s="456">
        <v>3</v>
      </c>
      <c r="B46" s="2067" t="s">
        <v>170</v>
      </c>
      <c r="C46" s="2067"/>
      <c r="D46" s="2067"/>
      <c r="E46" s="2067"/>
      <c r="F46" s="2067"/>
      <c r="G46" s="2067"/>
      <c r="H46" s="2067"/>
    </row>
    <row r="47" spans="1:8" x14ac:dyDescent="0.2">
      <c r="B47" s="2067"/>
      <c r="C47" s="2067"/>
      <c r="D47" s="2067"/>
      <c r="E47" s="2067"/>
      <c r="F47" s="2067"/>
      <c r="G47" s="2067"/>
      <c r="H47" s="2067"/>
    </row>
    <row r="48" spans="1:8" x14ac:dyDescent="0.2">
      <c r="B48" s="2067"/>
      <c r="C48" s="2067"/>
      <c r="D48" s="2067"/>
      <c r="E48" s="2067"/>
      <c r="F48" s="2067"/>
      <c r="G48" s="2067"/>
      <c r="H48" s="2067"/>
    </row>
    <row r="49" spans="2:8" x14ac:dyDescent="0.2">
      <c r="B49" s="2067"/>
      <c r="C49" s="2067"/>
      <c r="D49" s="2067"/>
      <c r="E49" s="2067"/>
      <c r="F49" s="2067"/>
      <c r="G49" s="2067"/>
      <c r="H49" s="2067"/>
    </row>
    <row r="51" spans="2:8" x14ac:dyDescent="0.2">
      <c r="B51" s="2067" t="s">
        <v>76</v>
      </c>
      <c r="C51" s="2067"/>
      <c r="D51" s="2067"/>
      <c r="E51" s="2067"/>
      <c r="F51" s="2067"/>
      <c r="G51" s="2067"/>
      <c r="H51" s="2067"/>
    </row>
    <row r="52" spans="2:8" x14ac:dyDescent="0.2">
      <c r="B52" s="2067"/>
      <c r="C52" s="2067"/>
      <c r="D52" s="2067"/>
      <c r="E52" s="2067"/>
      <c r="F52" s="2067"/>
      <c r="G52" s="2067"/>
      <c r="H52" s="2067"/>
    </row>
    <row r="53" spans="2:8" x14ac:dyDescent="0.2">
      <c r="B53" s="2067"/>
      <c r="C53" s="2067"/>
      <c r="D53" s="2067"/>
      <c r="E53" s="2067"/>
      <c r="F53" s="2067"/>
      <c r="G53" s="2067"/>
      <c r="H53" s="2067"/>
    </row>
    <row r="54" spans="2:8" x14ac:dyDescent="0.2">
      <c r="B54" s="2067"/>
      <c r="C54" s="2067"/>
      <c r="D54" s="2067"/>
      <c r="E54" s="2067"/>
      <c r="F54" s="2067"/>
      <c r="G54" s="2067"/>
      <c r="H54" s="2067"/>
    </row>
    <row r="56" spans="2:8" x14ac:dyDescent="0.2">
      <c r="B56" s="27" t="s">
        <v>165</v>
      </c>
      <c r="C56" s="2067" t="s">
        <v>172</v>
      </c>
      <c r="D56" s="2067"/>
      <c r="E56" s="2067"/>
      <c r="F56" s="2067"/>
      <c r="G56" s="2067"/>
      <c r="H56" s="2067"/>
    </row>
    <row r="57" spans="2:8" x14ac:dyDescent="0.2">
      <c r="C57" s="2067"/>
      <c r="D57" s="2067"/>
      <c r="E57" s="2067"/>
      <c r="F57" s="2067"/>
      <c r="G57" s="2067"/>
      <c r="H57" s="2067"/>
    </row>
    <row r="59" spans="2:8" x14ac:dyDescent="0.2">
      <c r="B59" s="27" t="s">
        <v>166</v>
      </c>
      <c r="C59" s="2069" t="s">
        <v>173</v>
      </c>
      <c r="D59" s="2069"/>
      <c r="E59" s="2069"/>
      <c r="F59" s="2069"/>
      <c r="G59" s="2069"/>
      <c r="H59" s="2069"/>
    </row>
    <row r="60" spans="2:8" x14ac:dyDescent="0.2">
      <c r="C60" s="2069"/>
      <c r="D60" s="2069"/>
      <c r="E60" s="2069"/>
      <c r="F60" s="2069"/>
      <c r="G60" s="2069"/>
      <c r="H60" s="2069"/>
    </row>
    <row r="61" spans="2:8" x14ac:dyDescent="0.2">
      <c r="C61" s="2069"/>
      <c r="D61" s="2069"/>
      <c r="E61" s="2069"/>
      <c r="F61" s="2069"/>
      <c r="G61" s="2069"/>
      <c r="H61" s="2069"/>
    </row>
    <row r="62" spans="2:8" x14ac:dyDescent="0.2">
      <c r="C62" s="2069"/>
      <c r="D62" s="2069"/>
      <c r="E62" s="2069"/>
      <c r="F62" s="2069"/>
      <c r="G62" s="2069"/>
      <c r="H62" s="2069"/>
    </row>
    <row r="64" spans="2:8" x14ac:dyDescent="0.2">
      <c r="B64" s="27" t="s">
        <v>167</v>
      </c>
      <c r="C64" s="2069" t="s">
        <v>209</v>
      </c>
      <c r="D64" s="2069"/>
      <c r="E64" s="2069"/>
      <c r="F64" s="2069"/>
      <c r="G64" s="2069"/>
      <c r="H64" s="2069"/>
    </row>
    <row r="65" spans="1:8" x14ac:dyDescent="0.2">
      <c r="C65" s="2069"/>
      <c r="D65" s="2069"/>
      <c r="E65" s="2069"/>
      <c r="F65" s="2069"/>
      <c r="G65" s="2069"/>
      <c r="H65" s="2069"/>
    </row>
    <row r="66" spans="1:8" x14ac:dyDescent="0.2">
      <c r="C66" s="2069"/>
      <c r="D66" s="2069"/>
      <c r="E66" s="2069"/>
      <c r="F66" s="2069"/>
      <c r="G66" s="2069"/>
      <c r="H66" s="2069"/>
    </row>
    <row r="68" spans="1:8" x14ac:dyDescent="0.2">
      <c r="A68" s="2070" t="s">
        <v>557</v>
      </c>
      <c r="B68" s="2071"/>
      <c r="C68" s="2071"/>
      <c r="D68" s="2071"/>
      <c r="E68" s="2071"/>
      <c r="F68" s="2071"/>
      <c r="G68" s="2071"/>
      <c r="H68" s="2071"/>
    </row>
    <row r="69" spans="1:8" x14ac:dyDescent="0.2">
      <c r="A69" s="2071"/>
      <c r="B69" s="2071"/>
      <c r="C69" s="2071"/>
      <c r="D69" s="2071"/>
      <c r="E69" s="2071"/>
      <c r="F69" s="2071"/>
      <c r="G69" s="2071"/>
      <c r="H69" s="2071"/>
    </row>
    <row r="71" spans="1:8" x14ac:dyDescent="0.2">
      <c r="A71" s="456">
        <v>1</v>
      </c>
      <c r="B71" s="2067" t="s">
        <v>169</v>
      </c>
      <c r="C71" s="2067"/>
      <c r="D71" s="2067"/>
      <c r="E71" s="2067"/>
      <c r="F71" s="2067"/>
      <c r="G71" s="2067"/>
      <c r="H71" s="2067"/>
    </row>
    <row r="72" spans="1:8" x14ac:dyDescent="0.2">
      <c r="A72" s="456"/>
      <c r="B72" s="2067"/>
      <c r="C72" s="2067"/>
      <c r="D72" s="2067"/>
      <c r="E72" s="2067"/>
      <c r="F72" s="2067"/>
      <c r="G72" s="2067"/>
      <c r="H72" s="2067"/>
    </row>
    <row r="73" spans="1:8" x14ac:dyDescent="0.2">
      <c r="A73" s="456"/>
    </row>
    <row r="74" spans="1:8" ht="12.75" customHeight="1" x14ac:dyDescent="0.2">
      <c r="A74" s="456">
        <v>2</v>
      </c>
      <c r="B74" s="2068" t="s">
        <v>208</v>
      </c>
      <c r="C74" s="2068"/>
      <c r="D74" s="2068"/>
      <c r="E74" s="2068"/>
      <c r="F74" s="2068"/>
      <c r="G74" s="2068"/>
      <c r="H74" s="2068"/>
    </row>
    <row r="75" spans="1:8" x14ac:dyDescent="0.2">
      <c r="A75" s="456"/>
      <c r="B75" s="2068"/>
      <c r="C75" s="2068"/>
      <c r="D75" s="2068"/>
      <c r="E75" s="2068"/>
      <c r="F75" s="2068"/>
      <c r="G75" s="2068"/>
      <c r="H75" s="2068"/>
    </row>
    <row r="76" spans="1:8" x14ac:dyDescent="0.2">
      <c r="A76" s="456"/>
      <c r="B76" s="2068"/>
      <c r="C76" s="2068"/>
      <c r="D76" s="2068"/>
      <c r="E76" s="2068"/>
      <c r="F76" s="2068"/>
      <c r="G76" s="2068"/>
      <c r="H76" s="2068"/>
    </row>
    <row r="77" spans="1:8" x14ac:dyDescent="0.2">
      <c r="A77" s="456"/>
      <c r="B77" s="457"/>
      <c r="C77" s="457"/>
      <c r="D77" s="457"/>
      <c r="E77" s="457"/>
      <c r="F77" s="457"/>
      <c r="G77" s="457"/>
      <c r="H77" s="457"/>
    </row>
    <row r="78" spans="1:8" x14ac:dyDescent="0.2">
      <c r="A78" s="456">
        <v>3</v>
      </c>
      <c r="B78" s="2067" t="s">
        <v>77</v>
      </c>
      <c r="C78" s="2067"/>
      <c r="D78" s="2067"/>
      <c r="E78" s="2067"/>
      <c r="F78" s="2067"/>
      <c r="G78" s="2067"/>
      <c r="H78" s="2067"/>
    </row>
    <row r="79" spans="1:8" x14ac:dyDescent="0.2">
      <c r="A79" s="456"/>
      <c r="B79" s="2067"/>
      <c r="C79" s="2067"/>
      <c r="D79" s="2067"/>
      <c r="E79" s="2067"/>
      <c r="F79" s="2067"/>
      <c r="G79" s="2067"/>
      <c r="H79" s="2067"/>
    </row>
    <row r="80" spans="1:8" x14ac:dyDescent="0.2">
      <c r="A80" s="456"/>
      <c r="B80" s="2067"/>
      <c r="C80" s="2067"/>
      <c r="D80" s="2067"/>
      <c r="E80" s="2067"/>
      <c r="F80" s="2067"/>
      <c r="G80" s="2067"/>
      <c r="H80" s="2067"/>
    </row>
    <row r="81" spans="1:8" x14ac:dyDescent="0.2">
      <c r="A81" s="456"/>
    </row>
    <row r="82" spans="1:8" x14ac:dyDescent="0.2">
      <c r="A82" s="456">
        <v>4</v>
      </c>
      <c r="B82" s="2067" t="s">
        <v>176</v>
      </c>
      <c r="C82" s="2067"/>
      <c r="D82" s="2067"/>
      <c r="E82" s="2067"/>
      <c r="F82" s="2067"/>
      <c r="G82" s="2067"/>
      <c r="H82" s="2067"/>
    </row>
    <row r="83" spans="1:8" x14ac:dyDescent="0.2">
      <c r="A83" s="456"/>
      <c r="B83" s="2067"/>
      <c r="C83" s="2067"/>
      <c r="D83" s="2067"/>
      <c r="E83" s="2067"/>
      <c r="F83" s="2067"/>
      <c r="G83" s="2067"/>
      <c r="H83" s="2067"/>
    </row>
    <row r="84" spans="1:8" x14ac:dyDescent="0.2">
      <c r="A84" s="456"/>
      <c r="B84" s="2067"/>
      <c r="C84" s="2067"/>
      <c r="D84" s="2067"/>
      <c r="E84" s="2067"/>
      <c r="F84" s="2067"/>
      <c r="G84" s="2067"/>
      <c r="H84" s="2067"/>
    </row>
    <row r="85" spans="1:8" x14ac:dyDescent="0.2">
      <c r="A85" s="456"/>
    </row>
    <row r="86" spans="1:8" x14ac:dyDescent="0.2">
      <c r="A86" s="456">
        <v>5</v>
      </c>
      <c r="B86" s="2067" t="s">
        <v>78</v>
      </c>
      <c r="C86" s="2067"/>
      <c r="D86" s="2067"/>
      <c r="E86" s="2067"/>
      <c r="F86" s="2067"/>
      <c r="G86" s="2067"/>
      <c r="H86" s="2067"/>
    </row>
    <row r="87" spans="1:8" x14ac:dyDescent="0.2">
      <c r="A87" s="456"/>
      <c r="B87" s="2067"/>
      <c r="C87" s="2067"/>
      <c r="D87" s="2067"/>
      <c r="E87" s="2067"/>
      <c r="F87" s="2067"/>
      <c r="G87" s="2067"/>
      <c r="H87" s="2067"/>
    </row>
    <row r="88" spans="1:8" x14ac:dyDescent="0.2">
      <c r="A88" s="456"/>
      <c r="B88" s="2067"/>
      <c r="C88" s="2067"/>
      <c r="D88" s="2067"/>
      <c r="E88" s="2067"/>
      <c r="F88" s="2067"/>
      <c r="G88" s="2067"/>
      <c r="H88" s="2067"/>
    </row>
    <row r="89" spans="1:8" x14ac:dyDescent="0.2">
      <c r="A89" s="456"/>
    </row>
    <row r="90" spans="1:8" x14ac:dyDescent="0.2">
      <c r="A90" s="456">
        <v>6</v>
      </c>
      <c r="B90" s="2067" t="s">
        <v>79</v>
      </c>
      <c r="C90" s="2067"/>
      <c r="D90" s="2067"/>
      <c r="E90" s="2067"/>
      <c r="F90" s="2067"/>
      <c r="G90" s="2067"/>
      <c r="H90" s="2067"/>
    </row>
    <row r="91" spans="1:8" x14ac:dyDescent="0.2">
      <c r="A91" s="456"/>
      <c r="B91" s="2067"/>
      <c r="C91" s="2067"/>
      <c r="D91" s="2067"/>
      <c r="E91" s="2067"/>
      <c r="F91" s="2067"/>
      <c r="G91" s="2067"/>
      <c r="H91" s="2067"/>
    </row>
    <row r="92" spans="1:8" ht="15" customHeight="1" x14ac:dyDescent="0.2"/>
    <row r="93" spans="1:8" ht="12.75" customHeight="1" x14ac:dyDescent="0.2">
      <c r="A93" s="1623" t="s">
        <v>931</v>
      </c>
      <c r="B93" s="1624"/>
      <c r="C93" s="1624"/>
      <c r="D93" s="1624"/>
      <c r="E93" s="1624"/>
      <c r="F93" s="1624"/>
      <c r="G93" s="1624"/>
      <c r="H93" s="1624"/>
    </row>
    <row r="94" spans="1:8" x14ac:dyDescent="0.2">
      <c r="A94" s="1624"/>
      <c r="B94" s="1624"/>
      <c r="C94" s="1624"/>
      <c r="D94" s="1624"/>
      <c r="E94" s="1624"/>
      <c r="F94" s="1624"/>
      <c r="G94" s="1624"/>
      <c r="H94" s="1624"/>
    </row>
    <row r="95" spans="1:8" x14ac:dyDescent="0.2">
      <c r="A95" s="1624"/>
      <c r="B95" s="1624"/>
      <c r="C95" s="1624"/>
      <c r="D95" s="1624"/>
      <c r="E95" s="1624"/>
      <c r="F95" s="1624"/>
      <c r="G95" s="1624"/>
      <c r="H95" s="1624"/>
    </row>
    <row r="96" spans="1:8" x14ac:dyDescent="0.2">
      <c r="A96" s="1624"/>
      <c r="B96" s="1624"/>
      <c r="C96" s="1624"/>
      <c r="D96" s="1624"/>
      <c r="E96" s="1624"/>
      <c r="F96" s="1624"/>
      <c r="G96" s="1624"/>
      <c r="H96" s="1624"/>
    </row>
  </sheetData>
  <mergeCells count="19">
    <mergeCell ref="A9:H9"/>
    <mergeCell ref="A10:H10"/>
    <mergeCell ref="A31:H34"/>
    <mergeCell ref="A36:H37"/>
    <mergeCell ref="C56:H57"/>
    <mergeCell ref="C64:H66"/>
    <mergeCell ref="A68:H69"/>
    <mergeCell ref="B39:H40"/>
    <mergeCell ref="B42:H44"/>
    <mergeCell ref="B46:H49"/>
    <mergeCell ref="B51:H54"/>
    <mergeCell ref="C59:H62"/>
    <mergeCell ref="A93:H96"/>
    <mergeCell ref="B86:H88"/>
    <mergeCell ref="B90:H91"/>
    <mergeCell ref="B71:H72"/>
    <mergeCell ref="B78:H80"/>
    <mergeCell ref="B82:H84"/>
    <mergeCell ref="B74:H76"/>
  </mergeCells>
  <phoneticPr fontId="16" type="noConversion"/>
  <dataValidations count="1">
    <dataValidation allowBlank="1" showInputMessage="1" showErrorMessage="1" promptTitle="Date Format" prompt="E.g:  &quot;August 1, 2011&quot;" sqref="H7" xr:uid="{00000000-0002-0000-2D00-000000000000}"/>
  </dataValidations>
  <pageMargins left="0.74803149606299213" right="0.74803149606299213" top="0.98425196850393704" bottom="0.98425196850393704" header="0.51181102362204722" footer="0.51181102362204722"/>
  <pageSetup scale="52" orientation="portrait"/>
  <headerFooter alignWithMargins="0"/>
  <rowBreaks count="1" manualBreakCount="1">
    <brk id="66" max="7"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61">
    <tabColor rgb="FFFFC000"/>
    <pageSetUpPr fitToPage="1"/>
  </sheetPr>
  <dimension ref="A1:T40"/>
  <sheetViews>
    <sheetView showGridLines="0" zoomScaleNormal="100" workbookViewId="0"/>
  </sheetViews>
  <sheetFormatPr defaultColWidth="9.28515625" defaultRowHeight="12.75" x14ac:dyDescent="0.2"/>
  <cols>
    <col min="1" max="2" width="9.28515625" style="34"/>
    <col min="3" max="3" width="15.5703125" style="34" customWidth="1"/>
    <col min="4" max="6" width="14.7109375" style="34" customWidth="1"/>
    <col min="7" max="9" width="20.7109375" style="34" customWidth="1"/>
    <col min="10" max="16384" width="9.28515625" style="34"/>
  </cols>
  <sheetData>
    <row r="1" spans="1:9" x14ac:dyDescent="0.2">
      <c r="H1" s="77" t="s">
        <v>277</v>
      </c>
      <c r="I1" s="620" t="str">
        <f>EBNUMBER</f>
        <v>EB-2018-0056</v>
      </c>
    </row>
    <row r="2" spans="1:9" x14ac:dyDescent="0.2">
      <c r="H2" s="77" t="s">
        <v>278</v>
      </c>
      <c r="I2" s="33"/>
    </row>
    <row r="3" spans="1:9" x14ac:dyDescent="0.2">
      <c r="H3" s="77" t="s">
        <v>279</v>
      </c>
      <c r="I3" s="33"/>
    </row>
    <row r="4" spans="1:9" x14ac:dyDescent="0.2">
      <c r="H4" s="77" t="s">
        <v>280</v>
      </c>
      <c r="I4" s="33"/>
    </row>
    <row r="5" spans="1:9" x14ac:dyDescent="0.2">
      <c r="H5" s="77" t="s">
        <v>281</v>
      </c>
      <c r="I5" s="469"/>
    </row>
    <row r="6" spans="1:9" x14ac:dyDescent="0.2">
      <c r="H6" s="77"/>
      <c r="I6" s="620"/>
    </row>
    <row r="7" spans="1:9" x14ac:dyDescent="0.2">
      <c r="H7" s="77" t="s">
        <v>282</v>
      </c>
      <c r="I7" s="469"/>
    </row>
    <row r="9" spans="1:9" ht="18" x14ac:dyDescent="0.25">
      <c r="A9" s="1760" t="s">
        <v>832</v>
      </c>
      <c r="B9" s="1790"/>
      <c r="C9" s="1790"/>
      <c r="D9" s="1790"/>
      <c r="E9" s="1790"/>
      <c r="F9" s="1790"/>
      <c r="G9" s="1790"/>
      <c r="H9" s="1790"/>
      <c r="I9" s="1790"/>
    </row>
    <row r="10" spans="1:9" ht="18" x14ac:dyDescent="0.25">
      <c r="A10" s="1760" t="s">
        <v>469</v>
      </c>
      <c r="B10" s="1791"/>
      <c r="C10" s="1791"/>
      <c r="D10" s="1791"/>
      <c r="E10" s="1791"/>
      <c r="F10" s="1791"/>
      <c r="G10" s="1791"/>
      <c r="H10" s="1791"/>
      <c r="I10" s="1791"/>
    </row>
    <row r="11" spans="1:9" ht="18" x14ac:dyDescent="0.25">
      <c r="A11" s="1760" t="s">
        <v>470</v>
      </c>
      <c r="B11" s="1791"/>
      <c r="C11" s="1791"/>
      <c r="D11" s="1791"/>
      <c r="E11" s="1791"/>
      <c r="F11" s="1791"/>
      <c r="G11" s="1791"/>
      <c r="H11" s="1791"/>
      <c r="I11" s="1791"/>
    </row>
    <row r="14" spans="1:9" ht="13.5" thickBot="1" x14ac:dyDescent="0.25"/>
    <row r="15" spans="1:9" ht="12.75" customHeight="1" x14ac:dyDescent="0.2">
      <c r="A15" s="1775" t="s">
        <v>471</v>
      </c>
      <c r="B15" s="2125"/>
      <c r="C15" s="2126"/>
      <c r="D15" s="145">
        <f>TestYear</f>
        <v>2019</v>
      </c>
      <c r="E15" s="432">
        <f>TestYear</f>
        <v>2019</v>
      </c>
      <c r="F15" s="432" t="s">
        <v>69</v>
      </c>
      <c r="G15" s="2132" t="s">
        <v>472</v>
      </c>
      <c r="H15" s="2133"/>
      <c r="I15" s="2134"/>
    </row>
    <row r="16" spans="1:9" ht="14.25" x14ac:dyDescent="0.2">
      <c r="A16" s="1776"/>
      <c r="B16" s="2127"/>
      <c r="C16" s="2128"/>
      <c r="D16" s="146" t="s">
        <v>95</v>
      </c>
      <c r="E16" s="476" t="s">
        <v>992</v>
      </c>
      <c r="F16" s="433"/>
      <c r="G16" s="2135" t="s">
        <v>1046</v>
      </c>
      <c r="H16" s="2136"/>
      <c r="I16" s="2137"/>
    </row>
    <row r="17" spans="1:9" ht="13.5" thickBot="1" x14ac:dyDescent="0.25">
      <c r="A17" s="2129"/>
      <c r="B17" s="2130"/>
      <c r="C17" s="2131"/>
      <c r="D17" s="436"/>
      <c r="E17" s="477"/>
      <c r="F17" s="437"/>
      <c r="G17" s="438"/>
      <c r="H17" s="439"/>
      <c r="I17" s="440"/>
    </row>
    <row r="18" spans="1:9" ht="12.75" customHeight="1" x14ac:dyDescent="0.2">
      <c r="A18" s="2113" t="s">
        <v>965</v>
      </c>
      <c r="B18" s="2114"/>
      <c r="C18" s="2115"/>
      <c r="D18" s="441"/>
      <c r="E18" s="441"/>
      <c r="F18" s="442">
        <f>+D18-E18</f>
        <v>0</v>
      </c>
      <c r="G18" s="2116"/>
      <c r="H18" s="2117"/>
      <c r="I18" s="2118"/>
    </row>
    <row r="19" spans="1:9" ht="12.75" customHeight="1" x14ac:dyDescent="0.2">
      <c r="A19" s="2119" t="s">
        <v>1193</v>
      </c>
      <c r="B19" s="2120"/>
      <c r="C19" s="2121"/>
      <c r="D19" s="142"/>
      <c r="E19" s="142"/>
      <c r="F19" s="434">
        <f>+D19-E19</f>
        <v>0</v>
      </c>
      <c r="G19" s="2076"/>
      <c r="H19" s="2077"/>
      <c r="I19" s="2078"/>
    </row>
    <row r="20" spans="1:9" ht="12.75" customHeight="1" x14ac:dyDescent="0.2">
      <c r="A20" s="2122" t="s">
        <v>473</v>
      </c>
      <c r="B20" s="2123"/>
      <c r="C20" s="2124"/>
      <c r="D20" s="443">
        <f>(D18+D19)/2</f>
        <v>0</v>
      </c>
      <c r="E20" s="434">
        <f>(E18+E19)/2</f>
        <v>0</v>
      </c>
      <c r="F20" s="434">
        <f>+D20-E20</f>
        <v>0</v>
      </c>
      <c r="G20" s="2076"/>
      <c r="H20" s="2077"/>
      <c r="I20" s="2078"/>
    </row>
    <row r="21" spans="1:9" ht="12.75" customHeight="1" x14ac:dyDescent="0.2">
      <c r="A21" s="2100" t="s">
        <v>474</v>
      </c>
      <c r="B21" s="2101"/>
      <c r="C21" s="2102"/>
      <c r="D21" s="142"/>
      <c r="E21" s="142"/>
      <c r="F21" s="443">
        <f>+D21-E21</f>
        <v>0</v>
      </c>
      <c r="G21" s="2103"/>
      <c r="H21" s="2077"/>
      <c r="I21" s="2078"/>
    </row>
    <row r="22" spans="1:9" ht="13.5" customHeight="1" thickBot="1" x14ac:dyDescent="0.25">
      <c r="A22" s="2104" t="s">
        <v>475</v>
      </c>
      <c r="B22" s="2105"/>
      <c r="C22" s="2106"/>
      <c r="D22" s="444">
        <f>SUM(D20:D21)</f>
        <v>0</v>
      </c>
      <c r="E22" s="444">
        <f>SUM(E20:E21)</f>
        <v>0</v>
      </c>
      <c r="F22" s="443">
        <f>+D22-E22</f>
        <v>0</v>
      </c>
      <c r="G22" s="2107"/>
      <c r="H22" s="2108"/>
      <c r="I22" s="2109"/>
    </row>
    <row r="23" spans="1:9" ht="13.5" thickTop="1" x14ac:dyDescent="0.2">
      <c r="A23" s="2110"/>
      <c r="B23" s="2111"/>
      <c r="C23" s="2112"/>
      <c r="D23" s="2110"/>
      <c r="E23" s="2111"/>
      <c r="F23" s="2112">
        <f t="shared" ref="F23:F34" si="0">+D23-E23</f>
        <v>0</v>
      </c>
      <c r="G23" s="2110"/>
      <c r="H23" s="2111"/>
      <c r="I23" s="2112"/>
    </row>
    <row r="24" spans="1:9" ht="12.75" customHeight="1" x14ac:dyDescent="0.2">
      <c r="A24" s="2097" t="s">
        <v>476</v>
      </c>
      <c r="B24" s="2098"/>
      <c r="C24" s="2099"/>
      <c r="D24" s="142"/>
      <c r="E24" s="142"/>
      <c r="F24" s="434">
        <f t="shared" si="0"/>
        <v>0</v>
      </c>
      <c r="G24" s="2076"/>
      <c r="H24" s="2077"/>
      <c r="I24" s="2078"/>
    </row>
    <row r="25" spans="1:9" x14ac:dyDescent="0.2">
      <c r="A25" s="2094"/>
      <c r="B25" s="2095"/>
      <c r="C25" s="2096"/>
      <c r="D25" s="142"/>
      <c r="E25" s="142"/>
      <c r="F25" s="434">
        <f t="shared" si="0"/>
        <v>0</v>
      </c>
      <c r="G25" s="2076"/>
      <c r="H25" s="2077"/>
      <c r="I25" s="2078"/>
    </row>
    <row r="26" spans="1:9" x14ac:dyDescent="0.2">
      <c r="A26" s="2073" t="s">
        <v>107</v>
      </c>
      <c r="B26" s="2074"/>
      <c r="C26" s="2075"/>
      <c r="D26" s="142"/>
      <c r="E26" s="142"/>
      <c r="F26" s="434">
        <f t="shared" si="0"/>
        <v>0</v>
      </c>
      <c r="G26" s="2076"/>
      <c r="H26" s="2077"/>
      <c r="I26" s="2078"/>
    </row>
    <row r="27" spans="1:9" ht="12.75" customHeight="1" x14ac:dyDescent="0.2">
      <c r="A27" s="2073" t="s">
        <v>477</v>
      </c>
      <c r="B27" s="2074"/>
      <c r="C27" s="2075"/>
      <c r="D27" s="142"/>
      <c r="E27" s="142"/>
      <c r="F27" s="434">
        <f t="shared" si="0"/>
        <v>0</v>
      </c>
      <c r="G27" s="2076"/>
      <c r="H27" s="2077"/>
      <c r="I27" s="2078"/>
    </row>
    <row r="28" spans="1:9" ht="12.75" customHeight="1" x14ac:dyDescent="0.2">
      <c r="A28" s="2094" t="s">
        <v>478</v>
      </c>
      <c r="B28" s="2095"/>
      <c r="C28" s="2096"/>
      <c r="D28" s="142"/>
      <c r="E28" s="142"/>
      <c r="F28" s="434">
        <f t="shared" si="0"/>
        <v>0</v>
      </c>
      <c r="G28" s="2076"/>
      <c r="H28" s="2077"/>
      <c r="I28" s="2078"/>
    </row>
    <row r="29" spans="1:9" x14ac:dyDescent="0.2">
      <c r="A29" s="2094"/>
      <c r="B29" s="2095"/>
      <c r="C29" s="2096"/>
      <c r="D29" s="142"/>
      <c r="E29" s="142"/>
      <c r="F29" s="434">
        <f t="shared" si="0"/>
        <v>0</v>
      </c>
      <c r="G29" s="2076"/>
      <c r="H29" s="2077"/>
      <c r="I29" s="2078"/>
    </row>
    <row r="30" spans="1:9" ht="12.75" customHeight="1" x14ac:dyDescent="0.2">
      <c r="A30" s="2073" t="s">
        <v>479</v>
      </c>
      <c r="B30" s="2074"/>
      <c r="C30" s="2075"/>
      <c r="D30" s="142"/>
      <c r="E30" s="142"/>
      <c r="F30" s="434">
        <f t="shared" si="0"/>
        <v>0</v>
      </c>
      <c r="G30" s="2076"/>
      <c r="H30" s="2077"/>
      <c r="I30" s="2078"/>
    </row>
    <row r="31" spans="1:9" x14ac:dyDescent="0.2">
      <c r="A31" s="2079"/>
      <c r="B31" s="2080"/>
      <c r="C31" s="2081"/>
      <c r="D31" s="142"/>
      <c r="E31" s="142"/>
      <c r="F31" s="434">
        <f t="shared" si="0"/>
        <v>0</v>
      </c>
      <c r="G31" s="2076"/>
      <c r="H31" s="2077"/>
      <c r="I31" s="2078"/>
    </row>
    <row r="32" spans="1:9" x14ac:dyDescent="0.2">
      <c r="A32" s="2073"/>
      <c r="B32" s="2074"/>
      <c r="C32" s="2075"/>
      <c r="D32" s="142"/>
      <c r="E32" s="142"/>
      <c r="F32" s="434">
        <f t="shared" si="0"/>
        <v>0</v>
      </c>
      <c r="G32" s="2076"/>
      <c r="H32" s="2077"/>
      <c r="I32" s="2078"/>
    </row>
    <row r="33" spans="1:20" x14ac:dyDescent="0.2">
      <c r="A33" s="2073"/>
      <c r="B33" s="2074"/>
      <c r="C33" s="2075"/>
      <c r="D33" s="142"/>
      <c r="E33" s="142"/>
      <c r="F33" s="434">
        <f t="shared" si="0"/>
        <v>0</v>
      </c>
      <c r="G33" s="2076"/>
      <c r="H33" s="2077"/>
      <c r="I33" s="2078"/>
    </row>
    <row r="34" spans="1:20" ht="13.5" thickBot="1" x14ac:dyDescent="0.25">
      <c r="A34" s="2082" t="s">
        <v>164</v>
      </c>
      <c r="B34" s="2083"/>
      <c r="C34" s="2084"/>
      <c r="D34" s="143"/>
      <c r="E34" s="143"/>
      <c r="F34" s="434">
        <f t="shared" si="0"/>
        <v>0</v>
      </c>
      <c r="G34" s="2085"/>
      <c r="H34" s="2086"/>
      <c r="I34" s="2087"/>
    </row>
    <row r="35" spans="1:20" ht="14.25" customHeight="1" thickTop="1" thickBot="1" x14ac:dyDescent="0.25">
      <c r="A35" s="2088" t="s">
        <v>480</v>
      </c>
      <c r="B35" s="2089"/>
      <c r="C35" s="2090"/>
      <c r="D35" s="144">
        <f>SUM(D24:D34)</f>
        <v>0</v>
      </c>
      <c r="E35" s="144">
        <f>SUM(E24:E34)</f>
        <v>0</v>
      </c>
      <c r="F35" s="144">
        <f>SUM(F24:F34)</f>
        <v>0</v>
      </c>
      <c r="G35" s="2091"/>
      <c r="H35" s="2092"/>
      <c r="I35" s="2093"/>
    </row>
    <row r="37" spans="1:20" ht="87" customHeight="1" x14ac:dyDescent="0.2">
      <c r="A37" s="1681" t="s">
        <v>1064</v>
      </c>
      <c r="B37" s="1681"/>
      <c r="C37" s="1681"/>
      <c r="D37" s="1681"/>
      <c r="E37" s="1681"/>
      <c r="F37" s="1681"/>
      <c r="G37" s="1681"/>
      <c r="H37" s="1681"/>
      <c r="I37" s="1681"/>
      <c r="J37" s="768"/>
      <c r="K37" s="768"/>
      <c r="L37" s="768"/>
      <c r="M37" s="768"/>
      <c r="N37" s="768"/>
      <c r="O37" s="768"/>
      <c r="P37" s="768"/>
      <c r="Q37" s="768"/>
      <c r="R37" s="768"/>
      <c r="S37" s="768"/>
      <c r="T37" s="768"/>
    </row>
    <row r="38" spans="1:20" ht="12.75" customHeight="1" x14ac:dyDescent="0.2">
      <c r="A38" s="773"/>
      <c r="B38" s="773"/>
      <c r="C38" s="773"/>
      <c r="D38" s="773"/>
      <c r="E38" s="773"/>
      <c r="F38" s="773"/>
      <c r="G38" s="773"/>
      <c r="H38" s="773"/>
      <c r="I38" s="773"/>
      <c r="J38" s="768"/>
      <c r="K38" s="768"/>
      <c r="L38" s="768"/>
      <c r="M38" s="768"/>
      <c r="N38" s="768"/>
      <c r="O38" s="768"/>
      <c r="P38" s="768"/>
      <c r="Q38" s="768"/>
      <c r="R38" s="768"/>
      <c r="S38" s="768"/>
      <c r="T38" s="768"/>
    </row>
    <row r="39" spans="1:20" x14ac:dyDescent="0.2">
      <c r="A39" s="773"/>
      <c r="B39" s="773"/>
      <c r="C39" s="773"/>
      <c r="D39" s="773"/>
      <c r="E39" s="773"/>
      <c r="F39" s="773"/>
      <c r="G39" s="773"/>
      <c r="H39" s="773"/>
      <c r="I39" s="773"/>
      <c r="J39" s="768"/>
      <c r="K39" s="768"/>
      <c r="L39" s="768"/>
      <c r="M39" s="768"/>
      <c r="N39" s="768"/>
      <c r="O39" s="768"/>
      <c r="P39" s="768"/>
      <c r="Q39" s="768"/>
      <c r="R39" s="768"/>
      <c r="S39" s="768"/>
      <c r="T39" s="768"/>
    </row>
    <row r="40" spans="1:20" ht="12.75" customHeight="1" x14ac:dyDescent="0.2">
      <c r="A40" s="773"/>
      <c r="B40" s="773"/>
      <c r="C40" s="773"/>
      <c r="D40" s="773"/>
      <c r="E40" s="773"/>
      <c r="F40" s="773"/>
      <c r="G40" s="773"/>
      <c r="H40" s="773"/>
      <c r="I40" s="773"/>
    </row>
  </sheetData>
  <sheetProtection algorithmName="SHA-512" hashValue="QCYRELvrp39Yc62NHulrubwFfrPnEO3pnlYOzpUYYMX9EUpJf7wvOfS6YTq/bAWOITjsIruiZUWkGBxWLLztJA==" saltValue="LIDKjIEFfTgXE2BKHnrxBw==" spinCount="100000" sheet="1" objects="1" scenarios="1"/>
  <mergeCells count="44">
    <mergeCell ref="A9:I9"/>
    <mergeCell ref="A10:I10"/>
    <mergeCell ref="A11:I11"/>
    <mergeCell ref="A15:C17"/>
    <mergeCell ref="G15:I15"/>
    <mergeCell ref="G16:I16"/>
    <mergeCell ref="A18:C18"/>
    <mergeCell ref="G18:I18"/>
    <mergeCell ref="A19:C19"/>
    <mergeCell ref="G19:I19"/>
    <mergeCell ref="A20:C20"/>
    <mergeCell ref="G20:I20"/>
    <mergeCell ref="A21:C21"/>
    <mergeCell ref="G21:I21"/>
    <mergeCell ref="A22:C22"/>
    <mergeCell ref="G22:I22"/>
    <mergeCell ref="A23:C23"/>
    <mergeCell ref="D23:F23"/>
    <mergeCell ref="G23:I23"/>
    <mergeCell ref="A24:C24"/>
    <mergeCell ref="G24:I24"/>
    <mergeCell ref="A25:C25"/>
    <mergeCell ref="G25:I25"/>
    <mergeCell ref="A26:C26"/>
    <mergeCell ref="G26:I26"/>
    <mergeCell ref="A27:C27"/>
    <mergeCell ref="G27:I27"/>
    <mergeCell ref="A28:C28"/>
    <mergeCell ref="G28:I28"/>
    <mergeCell ref="A29:C29"/>
    <mergeCell ref="G29:I29"/>
    <mergeCell ref="A37:I37"/>
    <mergeCell ref="A30:C30"/>
    <mergeCell ref="G30:I30"/>
    <mergeCell ref="A31:C31"/>
    <mergeCell ref="G31:I31"/>
    <mergeCell ref="A32:C32"/>
    <mergeCell ref="G32:I32"/>
    <mergeCell ref="A33:C33"/>
    <mergeCell ref="G33:I33"/>
    <mergeCell ref="A34:C34"/>
    <mergeCell ref="G34:I34"/>
    <mergeCell ref="A35:C35"/>
    <mergeCell ref="G35:I35"/>
  </mergeCells>
  <pageMargins left="0.7" right="0.7" top="0.75" bottom="0.75" header="0.3" footer="0.3"/>
  <pageSetup scale="87" orientation="landscape" verticalDpi="120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64"/>
  <dimension ref="A1:J72"/>
  <sheetViews>
    <sheetView zoomScale="85" zoomScaleNormal="85" workbookViewId="0">
      <pane ySplit="1" topLeftCell="A35" activePane="bottomLeft" state="frozenSplit"/>
      <selection pane="bottomLeft" activeCell="M37" sqref="M37"/>
    </sheetView>
  </sheetViews>
  <sheetFormatPr defaultColWidth="9.28515625" defaultRowHeight="12.75" x14ac:dyDescent="0.2"/>
  <cols>
    <col min="1" max="1" width="33.5703125" style="27" bestFit="1" customWidth="1"/>
    <col min="2" max="9" width="11.7109375" style="27" bestFit="1" customWidth="1"/>
    <col min="10" max="15" width="9.28515625" style="27"/>
    <col min="16" max="16" width="33.5703125" style="27" bestFit="1" customWidth="1"/>
    <col min="17" max="16384" width="9.28515625" style="27"/>
  </cols>
  <sheetData>
    <row r="1" spans="1:9" x14ac:dyDescent="0.2">
      <c r="B1" s="445" t="s">
        <v>94</v>
      </c>
      <c r="C1" s="445" t="s">
        <v>94</v>
      </c>
      <c r="D1" s="445" t="s">
        <v>94</v>
      </c>
      <c r="E1" s="445" t="s">
        <v>95</v>
      </c>
      <c r="F1" s="445" t="s">
        <v>538</v>
      </c>
      <c r="G1" s="445" t="s">
        <v>687</v>
      </c>
      <c r="H1" s="445" t="s">
        <v>687</v>
      </c>
      <c r="I1" s="445" t="s">
        <v>687</v>
      </c>
    </row>
    <row r="2" spans="1:9" x14ac:dyDescent="0.2">
      <c r="B2" s="445" t="s">
        <v>244</v>
      </c>
      <c r="C2" s="445">
        <v>2012</v>
      </c>
      <c r="D2" s="445">
        <v>2013</v>
      </c>
      <c r="E2" s="445"/>
      <c r="F2" s="445"/>
      <c r="G2" s="445" t="s">
        <v>244</v>
      </c>
      <c r="H2" s="445">
        <v>2012</v>
      </c>
      <c r="I2" s="445">
        <v>2013</v>
      </c>
    </row>
    <row r="3" spans="1:9" x14ac:dyDescent="0.2">
      <c r="A3" s="235" t="s">
        <v>481</v>
      </c>
      <c r="B3" s="371" t="s">
        <v>535</v>
      </c>
      <c r="C3" s="371" t="s">
        <v>535</v>
      </c>
      <c r="D3" s="371" t="s">
        <v>535</v>
      </c>
      <c r="E3" s="371" t="s">
        <v>535</v>
      </c>
      <c r="F3" s="371" t="s">
        <v>535</v>
      </c>
      <c r="G3" s="371" t="s">
        <v>535</v>
      </c>
      <c r="H3" s="371" t="s">
        <v>535</v>
      </c>
      <c r="I3" s="371" t="s">
        <v>535</v>
      </c>
    </row>
    <row r="4" spans="1:9" x14ac:dyDescent="0.2">
      <c r="A4" s="235" t="s">
        <v>667</v>
      </c>
      <c r="B4" s="371" t="s">
        <v>535</v>
      </c>
      <c r="C4" s="371" t="s">
        <v>535</v>
      </c>
      <c r="D4" s="371" t="s">
        <v>535</v>
      </c>
      <c r="E4" s="371" t="s">
        <v>535</v>
      </c>
      <c r="F4" s="371" t="s">
        <v>535</v>
      </c>
      <c r="G4" s="371" t="s">
        <v>535</v>
      </c>
      <c r="H4" s="371" t="s">
        <v>535</v>
      </c>
      <c r="I4" s="371" t="s">
        <v>535</v>
      </c>
    </row>
    <row r="5" spans="1:9" x14ac:dyDescent="0.2">
      <c r="A5" s="235" t="s">
        <v>559</v>
      </c>
      <c r="B5" s="371" t="s">
        <v>535</v>
      </c>
      <c r="C5" s="371" t="s">
        <v>535</v>
      </c>
      <c r="D5" s="371" t="s">
        <v>535</v>
      </c>
      <c r="E5" s="371" t="s">
        <v>535</v>
      </c>
      <c r="F5" s="371" t="s">
        <v>535</v>
      </c>
      <c r="G5" s="371" t="s">
        <v>535</v>
      </c>
      <c r="H5" s="371" t="s">
        <v>535</v>
      </c>
      <c r="I5" s="371" t="s">
        <v>535</v>
      </c>
    </row>
    <row r="6" spans="1:9" x14ac:dyDescent="0.2">
      <c r="A6" s="235" t="s">
        <v>560</v>
      </c>
      <c r="B6" s="371" t="s">
        <v>535</v>
      </c>
      <c r="C6" s="371" t="s">
        <v>535</v>
      </c>
      <c r="D6" s="371" t="s">
        <v>535</v>
      </c>
      <c r="E6" s="371" t="s">
        <v>535</v>
      </c>
      <c r="F6" s="371" t="s">
        <v>535</v>
      </c>
      <c r="G6" s="371" t="s">
        <v>535</v>
      </c>
      <c r="H6" s="371" t="s">
        <v>535</v>
      </c>
      <c r="I6" s="371" t="s">
        <v>535</v>
      </c>
    </row>
    <row r="7" spans="1:9" x14ac:dyDescent="0.2">
      <c r="A7" s="235" t="s">
        <v>668</v>
      </c>
      <c r="B7" s="371" t="s">
        <v>535</v>
      </c>
      <c r="C7" s="371" t="s">
        <v>535</v>
      </c>
      <c r="D7" s="371" t="s">
        <v>535</v>
      </c>
      <c r="E7" s="371" t="s">
        <v>535</v>
      </c>
      <c r="F7" s="371" t="s">
        <v>535</v>
      </c>
      <c r="G7" s="371" t="s">
        <v>535</v>
      </c>
      <c r="H7" s="371" t="s">
        <v>535</v>
      </c>
      <c r="I7" s="371" t="s">
        <v>535</v>
      </c>
    </row>
    <row r="8" spans="1:9" x14ac:dyDescent="0.2">
      <c r="A8" s="235" t="s">
        <v>669</v>
      </c>
      <c r="B8" s="371" t="s">
        <v>535</v>
      </c>
      <c r="C8" s="371" t="s">
        <v>535</v>
      </c>
      <c r="D8" s="371" t="s">
        <v>535</v>
      </c>
      <c r="E8" s="371" t="s">
        <v>535</v>
      </c>
      <c r="F8" s="371" t="s">
        <v>535</v>
      </c>
      <c r="G8" s="371" t="s">
        <v>535</v>
      </c>
      <c r="H8" s="371" t="s">
        <v>535</v>
      </c>
      <c r="I8" s="371" t="s">
        <v>535</v>
      </c>
    </row>
    <row r="9" spans="1:9" x14ac:dyDescent="0.2">
      <c r="A9" s="235" t="s">
        <v>682</v>
      </c>
      <c r="B9" s="371" t="s">
        <v>535</v>
      </c>
      <c r="C9" s="371" t="s">
        <v>535</v>
      </c>
      <c r="D9" s="371" t="s">
        <v>535</v>
      </c>
      <c r="E9" s="371" t="s">
        <v>537</v>
      </c>
      <c r="F9" s="371" t="s">
        <v>535</v>
      </c>
      <c r="G9" s="371" t="s">
        <v>535</v>
      </c>
      <c r="H9" s="371" t="s">
        <v>535</v>
      </c>
      <c r="I9" s="371" t="s">
        <v>535</v>
      </c>
    </row>
    <row r="10" spans="1:9" x14ac:dyDescent="0.2">
      <c r="A10" s="235" t="s">
        <v>683</v>
      </c>
      <c r="B10" s="371" t="s">
        <v>537</v>
      </c>
      <c r="C10" s="371" t="s">
        <v>537</v>
      </c>
      <c r="D10" s="371" t="s">
        <v>537</v>
      </c>
      <c r="E10" s="371" t="s">
        <v>535</v>
      </c>
      <c r="F10" s="371" t="s">
        <v>537</v>
      </c>
      <c r="G10" s="371" t="s">
        <v>537</v>
      </c>
      <c r="H10" s="371" t="s">
        <v>537</v>
      </c>
      <c r="I10" s="371" t="s">
        <v>537</v>
      </c>
    </row>
    <row r="11" spans="1:9" x14ac:dyDescent="0.2">
      <c r="A11" s="235" t="s">
        <v>482</v>
      </c>
      <c r="B11" s="371" t="s">
        <v>535</v>
      </c>
      <c r="C11" s="371" t="s">
        <v>535</v>
      </c>
      <c r="D11" s="371" t="s">
        <v>535</v>
      </c>
      <c r="E11" s="371" t="s">
        <v>535</v>
      </c>
      <c r="F11" s="371" t="s">
        <v>535</v>
      </c>
      <c r="G11" s="371" t="s">
        <v>535</v>
      </c>
      <c r="H11" s="371" t="s">
        <v>535</v>
      </c>
      <c r="I11" s="371" t="s">
        <v>535</v>
      </c>
    </row>
    <row r="12" spans="1:9" x14ac:dyDescent="0.2">
      <c r="A12" s="235" t="s">
        <v>483</v>
      </c>
      <c r="B12" s="371" t="s">
        <v>537</v>
      </c>
      <c r="C12" s="371" t="s">
        <v>537</v>
      </c>
      <c r="D12" s="371" t="s">
        <v>537</v>
      </c>
      <c r="E12" s="371" t="s">
        <v>535</v>
      </c>
      <c r="F12" s="371" t="s">
        <v>537</v>
      </c>
      <c r="G12" s="371" t="s">
        <v>537</v>
      </c>
      <c r="H12" s="371" t="s">
        <v>537</v>
      </c>
      <c r="I12" s="371" t="s">
        <v>537</v>
      </c>
    </row>
    <row r="13" spans="1:9" x14ac:dyDescent="0.2">
      <c r="A13" s="235" t="s">
        <v>484</v>
      </c>
      <c r="B13" s="371" t="s">
        <v>537</v>
      </c>
      <c r="C13" s="371" t="s">
        <v>537</v>
      </c>
      <c r="D13" s="371" t="s">
        <v>537</v>
      </c>
      <c r="E13" s="371" t="s">
        <v>535</v>
      </c>
      <c r="F13" s="371" t="s">
        <v>537</v>
      </c>
      <c r="G13" s="371" t="s">
        <v>537</v>
      </c>
      <c r="H13" s="371" t="s">
        <v>537</v>
      </c>
      <c r="I13" s="371" t="s">
        <v>537</v>
      </c>
    </row>
    <row r="14" spans="1:9" x14ac:dyDescent="0.2">
      <c r="A14" s="235" t="s">
        <v>485</v>
      </c>
      <c r="B14" s="371" t="s">
        <v>537</v>
      </c>
      <c r="C14" s="371" t="s">
        <v>537</v>
      </c>
      <c r="D14" s="371" t="s">
        <v>537</v>
      </c>
      <c r="E14" s="371" t="s">
        <v>535</v>
      </c>
      <c r="F14" s="371" t="s">
        <v>537</v>
      </c>
      <c r="G14" s="371" t="s">
        <v>537</v>
      </c>
      <c r="H14" s="371" t="s">
        <v>537</v>
      </c>
      <c r="I14" s="371" t="s">
        <v>537</v>
      </c>
    </row>
    <row r="15" spans="1:9" x14ac:dyDescent="0.2">
      <c r="A15" s="235" t="s">
        <v>486</v>
      </c>
      <c r="B15" s="371" t="s">
        <v>537</v>
      </c>
      <c r="C15" s="371" t="s">
        <v>537</v>
      </c>
      <c r="D15" s="371" t="s">
        <v>537</v>
      </c>
      <c r="E15" s="371" t="s">
        <v>535</v>
      </c>
      <c r="F15" s="371" t="s">
        <v>537</v>
      </c>
      <c r="G15" s="371" t="s">
        <v>537</v>
      </c>
      <c r="H15" s="371" t="s">
        <v>537</v>
      </c>
      <c r="I15" s="371" t="s">
        <v>537</v>
      </c>
    </row>
    <row r="16" spans="1:9" x14ac:dyDescent="0.2">
      <c r="A16" s="235" t="s">
        <v>487</v>
      </c>
      <c r="B16" s="371" t="s">
        <v>537</v>
      </c>
      <c r="C16" s="371" t="s">
        <v>537</v>
      </c>
      <c r="D16" s="371" t="s">
        <v>537</v>
      </c>
      <c r="E16" s="371" t="s">
        <v>535</v>
      </c>
      <c r="F16" s="371" t="s">
        <v>537</v>
      </c>
      <c r="G16" s="371" t="s">
        <v>537</v>
      </c>
      <c r="H16" s="371" t="s">
        <v>537</v>
      </c>
      <c r="I16" s="371" t="s">
        <v>537</v>
      </c>
    </row>
    <row r="17" spans="1:9" x14ac:dyDescent="0.2">
      <c r="A17" s="235" t="s">
        <v>488</v>
      </c>
      <c r="B17" s="371" t="s">
        <v>537</v>
      </c>
      <c r="C17" s="371" t="s">
        <v>537</v>
      </c>
      <c r="D17" s="371" t="s">
        <v>537</v>
      </c>
      <c r="E17" s="371" t="s">
        <v>535</v>
      </c>
      <c r="F17" s="371" t="s">
        <v>537</v>
      </c>
      <c r="G17" s="371" t="s">
        <v>537</v>
      </c>
      <c r="H17" s="371" t="s">
        <v>537</v>
      </c>
      <c r="I17" s="371" t="s">
        <v>537</v>
      </c>
    </row>
    <row r="18" spans="1:9" x14ac:dyDescent="0.2">
      <c r="A18" s="235" t="s">
        <v>489</v>
      </c>
      <c r="B18" s="371" t="s">
        <v>537</v>
      </c>
      <c r="C18" s="371" t="s">
        <v>537</v>
      </c>
      <c r="D18" s="371" t="s">
        <v>537</v>
      </c>
      <c r="E18" s="371" t="s">
        <v>535</v>
      </c>
      <c r="F18" s="371" t="s">
        <v>537</v>
      </c>
      <c r="G18" s="371" t="s">
        <v>537</v>
      </c>
      <c r="H18" s="371" t="s">
        <v>537</v>
      </c>
      <c r="I18" s="371" t="s">
        <v>537</v>
      </c>
    </row>
    <row r="19" spans="1:9" x14ac:dyDescent="0.2">
      <c r="A19" s="235" t="s">
        <v>490</v>
      </c>
      <c r="B19" s="371" t="s">
        <v>537</v>
      </c>
      <c r="C19" s="371" t="s">
        <v>537</v>
      </c>
      <c r="D19" s="371" t="s">
        <v>537</v>
      </c>
      <c r="E19" s="371" t="s">
        <v>535</v>
      </c>
      <c r="F19" s="371" t="s">
        <v>537</v>
      </c>
      <c r="G19" s="371" t="s">
        <v>537</v>
      </c>
      <c r="H19" s="371" t="s">
        <v>537</v>
      </c>
      <c r="I19" s="371" t="s">
        <v>537</v>
      </c>
    </row>
    <row r="20" spans="1:9" x14ac:dyDescent="0.2">
      <c r="A20" s="235" t="s">
        <v>491</v>
      </c>
      <c r="B20" s="371" t="s">
        <v>537</v>
      </c>
      <c r="C20" s="371" t="s">
        <v>537</v>
      </c>
      <c r="D20" s="371" t="s">
        <v>537</v>
      </c>
      <c r="E20" s="371" t="s">
        <v>535</v>
      </c>
      <c r="F20" s="371" t="s">
        <v>537</v>
      </c>
      <c r="G20" s="371" t="s">
        <v>537</v>
      </c>
      <c r="H20" s="371" t="s">
        <v>537</v>
      </c>
      <c r="I20" s="371" t="s">
        <v>537</v>
      </c>
    </row>
    <row r="21" spans="1:9" x14ac:dyDescent="0.2">
      <c r="A21" s="235" t="s">
        <v>492</v>
      </c>
      <c r="B21" s="371" t="s">
        <v>537</v>
      </c>
      <c r="C21" s="371" t="s">
        <v>537</v>
      </c>
      <c r="D21" s="371" t="s">
        <v>537</v>
      </c>
      <c r="E21" s="371" t="s">
        <v>535</v>
      </c>
      <c r="F21" s="371" t="s">
        <v>537</v>
      </c>
      <c r="G21" s="371" t="s">
        <v>537</v>
      </c>
      <c r="H21" s="371" t="s">
        <v>537</v>
      </c>
      <c r="I21" s="371" t="s">
        <v>537</v>
      </c>
    </row>
    <row r="22" spans="1:9" x14ac:dyDescent="0.2">
      <c r="A22" s="235" t="s">
        <v>493</v>
      </c>
      <c r="B22" s="371" t="s">
        <v>537</v>
      </c>
      <c r="C22" s="371" t="s">
        <v>537</v>
      </c>
      <c r="D22" s="371" t="s">
        <v>537</v>
      </c>
      <c r="E22" s="371" t="s">
        <v>535</v>
      </c>
      <c r="F22" s="371" t="s">
        <v>537</v>
      </c>
      <c r="G22" s="371" t="s">
        <v>537</v>
      </c>
      <c r="H22" s="371" t="s">
        <v>537</v>
      </c>
      <c r="I22" s="371" t="s">
        <v>537</v>
      </c>
    </row>
    <row r="23" spans="1:9" x14ac:dyDescent="0.2">
      <c r="A23" s="235" t="s">
        <v>494</v>
      </c>
      <c r="B23" s="371" t="s">
        <v>537</v>
      </c>
      <c r="C23" s="371" t="s">
        <v>537</v>
      </c>
      <c r="D23" s="371" t="s">
        <v>537</v>
      </c>
      <c r="E23" s="371" t="s">
        <v>535</v>
      </c>
      <c r="F23" s="371" t="s">
        <v>537</v>
      </c>
      <c r="G23" s="371" t="s">
        <v>537</v>
      </c>
      <c r="H23" s="371" t="s">
        <v>537</v>
      </c>
      <c r="I23" s="371" t="s">
        <v>537</v>
      </c>
    </row>
    <row r="24" spans="1:9" x14ac:dyDescent="0.2">
      <c r="A24" s="235" t="s">
        <v>495</v>
      </c>
      <c r="B24" s="371" t="s">
        <v>537</v>
      </c>
      <c r="C24" s="371" t="s">
        <v>537</v>
      </c>
      <c r="D24" s="371" t="s">
        <v>537</v>
      </c>
      <c r="E24" s="371" t="s">
        <v>535</v>
      </c>
      <c r="F24" s="371" t="s">
        <v>537</v>
      </c>
      <c r="G24" s="371" t="s">
        <v>537</v>
      </c>
      <c r="H24" s="371" t="s">
        <v>537</v>
      </c>
      <c r="I24" s="371" t="s">
        <v>537</v>
      </c>
    </row>
    <row r="25" spans="1:9" x14ac:dyDescent="0.2">
      <c r="A25" s="235" t="s">
        <v>496</v>
      </c>
      <c r="B25" s="371" t="s">
        <v>537</v>
      </c>
      <c r="C25" s="371" t="s">
        <v>537</v>
      </c>
      <c r="D25" s="371" t="s">
        <v>537</v>
      </c>
      <c r="E25" s="371" t="s">
        <v>535</v>
      </c>
      <c r="F25" s="371" t="s">
        <v>537</v>
      </c>
      <c r="G25" s="371" t="s">
        <v>537</v>
      </c>
      <c r="H25" s="371" t="s">
        <v>537</v>
      </c>
      <c r="I25" s="371" t="s">
        <v>537</v>
      </c>
    </row>
    <row r="26" spans="1:9" x14ac:dyDescent="0.2">
      <c r="A26" s="235" t="s">
        <v>497</v>
      </c>
      <c r="B26" s="371" t="s">
        <v>535</v>
      </c>
      <c r="C26" s="371" t="s">
        <v>535</v>
      </c>
      <c r="D26" s="371" t="s">
        <v>535</v>
      </c>
      <c r="E26" s="371" t="s">
        <v>537</v>
      </c>
      <c r="F26" s="371" t="s">
        <v>537</v>
      </c>
      <c r="G26" s="371" t="s">
        <v>535</v>
      </c>
      <c r="H26" s="371" t="s">
        <v>535</v>
      </c>
      <c r="I26" s="371" t="s">
        <v>535</v>
      </c>
    </row>
    <row r="27" spans="1:9" x14ac:dyDescent="0.2">
      <c r="A27" s="235" t="s">
        <v>498</v>
      </c>
      <c r="B27" s="371" t="s">
        <v>535</v>
      </c>
      <c r="C27" s="371" t="s">
        <v>535</v>
      </c>
      <c r="D27" s="371" t="s">
        <v>537</v>
      </c>
      <c r="E27" s="371" t="s">
        <v>537</v>
      </c>
      <c r="F27" s="371" t="s">
        <v>537</v>
      </c>
      <c r="G27" s="371" t="s">
        <v>535</v>
      </c>
      <c r="H27" s="371" t="s">
        <v>535</v>
      </c>
      <c r="I27" s="371" t="s">
        <v>537</v>
      </c>
    </row>
    <row r="28" spans="1:9" x14ac:dyDescent="0.2">
      <c r="A28" s="235" t="s">
        <v>499</v>
      </c>
      <c r="B28" s="371" t="s">
        <v>535</v>
      </c>
      <c r="C28" s="371" t="s">
        <v>535</v>
      </c>
      <c r="D28" s="371" t="s">
        <v>537</v>
      </c>
      <c r="E28" s="371" t="s">
        <v>537</v>
      </c>
      <c r="F28" s="371" t="s">
        <v>537</v>
      </c>
      <c r="G28" s="371" t="s">
        <v>535</v>
      </c>
      <c r="H28" s="371" t="s">
        <v>535</v>
      </c>
      <c r="I28" s="371" t="s">
        <v>537</v>
      </c>
    </row>
    <row r="29" spans="1:9" x14ac:dyDescent="0.2">
      <c r="A29" s="235" t="s">
        <v>500</v>
      </c>
      <c r="B29" s="371" t="s">
        <v>535</v>
      </c>
      <c r="C29" s="371" t="s">
        <v>535</v>
      </c>
      <c r="D29" s="371" t="s">
        <v>537</v>
      </c>
      <c r="E29" s="371" t="s">
        <v>537</v>
      </c>
      <c r="F29" s="371" t="s">
        <v>537</v>
      </c>
      <c r="G29" s="371" t="s">
        <v>535</v>
      </c>
      <c r="H29" s="371" t="s">
        <v>535</v>
      </c>
      <c r="I29" s="371" t="s">
        <v>537</v>
      </c>
    </row>
    <row r="30" spans="1:9" x14ac:dyDescent="0.2">
      <c r="A30" s="235" t="s">
        <v>501</v>
      </c>
      <c r="B30" s="371" t="s">
        <v>535</v>
      </c>
      <c r="C30" s="371" t="s">
        <v>535</v>
      </c>
      <c r="D30" s="371" t="s">
        <v>537</v>
      </c>
      <c r="E30" s="371" t="s">
        <v>537</v>
      </c>
      <c r="F30" s="371" t="s">
        <v>537</v>
      </c>
      <c r="G30" s="371" t="s">
        <v>535</v>
      </c>
      <c r="H30" s="371" t="s">
        <v>535</v>
      </c>
      <c r="I30" s="371" t="s">
        <v>537</v>
      </c>
    </row>
    <row r="31" spans="1:9" x14ac:dyDescent="0.2">
      <c r="A31" s="235" t="s">
        <v>502</v>
      </c>
      <c r="B31" s="371" t="s">
        <v>535</v>
      </c>
      <c r="C31" s="371" t="s">
        <v>537</v>
      </c>
      <c r="D31" s="371" t="s">
        <v>535</v>
      </c>
      <c r="E31" s="371" t="s">
        <v>537</v>
      </c>
      <c r="F31" s="371" t="s">
        <v>537</v>
      </c>
      <c r="G31" s="371" t="s">
        <v>535</v>
      </c>
      <c r="H31" s="371" t="s">
        <v>537</v>
      </c>
      <c r="I31" s="371" t="s">
        <v>535</v>
      </c>
    </row>
    <row r="32" spans="1:9" x14ac:dyDescent="0.2">
      <c r="A32" s="235" t="s">
        <v>503</v>
      </c>
      <c r="B32" s="371" t="s">
        <v>535</v>
      </c>
      <c r="C32" s="371" t="s">
        <v>537</v>
      </c>
      <c r="D32" s="371" t="s">
        <v>535</v>
      </c>
      <c r="E32" s="371" t="s">
        <v>537</v>
      </c>
      <c r="F32" s="371" t="s">
        <v>537</v>
      </c>
      <c r="G32" s="371" t="s">
        <v>535</v>
      </c>
      <c r="H32" s="371" t="s">
        <v>537</v>
      </c>
      <c r="I32" s="371" t="s">
        <v>535</v>
      </c>
    </row>
    <row r="33" spans="1:10" x14ac:dyDescent="0.2">
      <c r="A33" s="235" t="s">
        <v>504</v>
      </c>
      <c r="B33" s="371" t="s">
        <v>535</v>
      </c>
      <c r="C33" s="371" t="s">
        <v>537</v>
      </c>
      <c r="D33" s="371" t="s">
        <v>535</v>
      </c>
      <c r="E33" s="371" t="s">
        <v>537</v>
      </c>
      <c r="F33" s="371" t="s">
        <v>537</v>
      </c>
      <c r="G33" s="371" t="s">
        <v>535</v>
      </c>
      <c r="H33" s="371" t="s">
        <v>537</v>
      </c>
      <c r="I33" s="371" t="s">
        <v>535</v>
      </c>
    </row>
    <row r="34" spans="1:10" x14ac:dyDescent="0.2">
      <c r="A34" s="235" t="s">
        <v>505</v>
      </c>
      <c r="B34" s="371" t="s">
        <v>535</v>
      </c>
      <c r="C34" s="371" t="s">
        <v>537</v>
      </c>
      <c r="D34" s="371" t="s">
        <v>535</v>
      </c>
      <c r="E34" s="371" t="s">
        <v>537</v>
      </c>
      <c r="F34" s="371" t="s">
        <v>537</v>
      </c>
      <c r="G34" s="371" t="s">
        <v>535</v>
      </c>
      <c r="H34" s="371" t="s">
        <v>537</v>
      </c>
      <c r="I34" s="371" t="s">
        <v>535</v>
      </c>
    </row>
    <row r="35" spans="1:10" x14ac:dyDescent="0.2">
      <c r="A35" s="235" t="s">
        <v>539</v>
      </c>
      <c r="B35" s="371" t="s">
        <v>537</v>
      </c>
      <c r="C35" s="371" t="s">
        <v>537</v>
      </c>
      <c r="D35" s="371" t="s">
        <v>537</v>
      </c>
      <c r="E35" s="371" t="s">
        <v>537</v>
      </c>
      <c r="F35" s="371" t="s">
        <v>535</v>
      </c>
      <c r="G35" s="371" t="s">
        <v>537</v>
      </c>
      <c r="H35" s="371" t="s">
        <v>537</v>
      </c>
      <c r="I35" s="371" t="s">
        <v>537</v>
      </c>
    </row>
    <row r="36" spans="1:10" x14ac:dyDescent="0.2">
      <c r="A36" s="235" t="s">
        <v>506</v>
      </c>
      <c r="B36" s="371" t="s">
        <v>537</v>
      </c>
      <c r="C36" s="371" t="s">
        <v>537</v>
      </c>
      <c r="D36" s="371" t="s">
        <v>537</v>
      </c>
      <c r="E36" s="371" t="s">
        <v>535</v>
      </c>
      <c r="F36" s="371" t="s">
        <v>537</v>
      </c>
      <c r="G36" s="371" t="s">
        <v>537</v>
      </c>
      <c r="H36" s="371" t="s">
        <v>537</v>
      </c>
      <c r="I36" s="371" t="s">
        <v>537</v>
      </c>
    </row>
    <row r="37" spans="1:10" x14ac:dyDescent="0.2">
      <c r="A37" s="235" t="s">
        <v>507</v>
      </c>
      <c r="B37" s="371" t="s">
        <v>535</v>
      </c>
      <c r="C37" s="371" t="s">
        <v>535</v>
      </c>
      <c r="D37" s="371" t="s">
        <v>535</v>
      </c>
      <c r="E37" s="371" t="s">
        <v>537</v>
      </c>
      <c r="F37" s="371" t="s">
        <v>537</v>
      </c>
      <c r="G37" s="371" t="s">
        <v>535</v>
      </c>
      <c r="H37" s="371" t="s">
        <v>535</v>
      </c>
      <c r="I37" s="371" t="s">
        <v>535</v>
      </c>
    </row>
    <row r="38" spans="1:10" x14ac:dyDescent="0.2">
      <c r="A38" s="235" t="s">
        <v>508</v>
      </c>
      <c r="B38" s="371" t="s">
        <v>537</v>
      </c>
      <c r="C38" s="371" t="s">
        <v>537</v>
      </c>
      <c r="D38" s="371" t="s">
        <v>537</v>
      </c>
      <c r="E38" s="371" t="s">
        <v>535</v>
      </c>
      <c r="F38" s="371" t="s">
        <v>535</v>
      </c>
      <c r="G38" s="371" t="s">
        <v>537</v>
      </c>
      <c r="H38" s="371" t="s">
        <v>537</v>
      </c>
      <c r="I38" s="371" t="s">
        <v>537</v>
      </c>
    </row>
    <row r="39" spans="1:10" x14ac:dyDescent="0.2">
      <c r="A39" s="235" t="s">
        <v>509</v>
      </c>
      <c r="B39" s="371" t="s">
        <v>537</v>
      </c>
      <c r="C39" s="371" t="s">
        <v>537</v>
      </c>
      <c r="D39" s="371" t="s">
        <v>537</v>
      </c>
      <c r="E39" s="371" t="s">
        <v>535</v>
      </c>
      <c r="F39" s="371" t="s">
        <v>535</v>
      </c>
      <c r="G39" s="371" t="s">
        <v>537</v>
      </c>
      <c r="H39" s="371" t="s">
        <v>537</v>
      </c>
      <c r="I39" s="371" t="s">
        <v>537</v>
      </c>
    </row>
    <row r="40" spans="1:10" x14ac:dyDescent="0.2">
      <c r="A40" s="235" t="s">
        <v>510</v>
      </c>
      <c r="B40" s="371" t="s">
        <v>537</v>
      </c>
      <c r="C40" s="371" t="s">
        <v>537</v>
      </c>
      <c r="D40" s="371" t="s">
        <v>537</v>
      </c>
      <c r="E40" s="371" t="s">
        <v>535</v>
      </c>
      <c r="F40" s="371" t="s">
        <v>535</v>
      </c>
      <c r="G40" s="371" t="s">
        <v>537</v>
      </c>
      <c r="H40" s="371" t="s">
        <v>537</v>
      </c>
      <c r="I40" s="371" t="s">
        <v>537</v>
      </c>
    </row>
    <row r="41" spans="1:10" x14ac:dyDescent="0.2">
      <c r="A41" s="235" t="s">
        <v>511</v>
      </c>
      <c r="B41" s="371" t="s">
        <v>535</v>
      </c>
      <c r="C41" s="371" t="s">
        <v>535</v>
      </c>
      <c r="D41" s="371" t="s">
        <v>537</v>
      </c>
      <c r="E41" s="371" t="s">
        <v>535</v>
      </c>
      <c r="F41" s="371" t="s">
        <v>535</v>
      </c>
      <c r="G41" s="371" t="s">
        <v>535</v>
      </c>
      <c r="H41" s="371" t="s">
        <v>535</v>
      </c>
      <c r="I41" s="371" t="s">
        <v>537</v>
      </c>
    </row>
    <row r="42" spans="1:10" x14ac:dyDescent="0.2">
      <c r="A42" s="235" t="s">
        <v>512</v>
      </c>
      <c r="B42" s="371" t="s">
        <v>535</v>
      </c>
      <c r="C42" s="371" t="s">
        <v>537</v>
      </c>
      <c r="D42" s="371" t="s">
        <v>535</v>
      </c>
      <c r="E42" s="371" t="s">
        <v>535</v>
      </c>
      <c r="F42" s="371" t="s">
        <v>535</v>
      </c>
      <c r="G42" s="371" t="s">
        <v>535</v>
      </c>
      <c r="H42" s="371" t="s">
        <v>537</v>
      </c>
      <c r="I42" s="371" t="s">
        <v>535</v>
      </c>
    </row>
    <row r="43" spans="1:10" x14ac:dyDescent="0.2">
      <c r="A43" s="235" t="s">
        <v>513</v>
      </c>
      <c r="B43" s="371" t="s">
        <v>536</v>
      </c>
      <c r="C43" s="371" t="s">
        <v>536</v>
      </c>
      <c r="D43" s="371" t="s">
        <v>536</v>
      </c>
      <c r="E43" s="371" t="s">
        <v>536</v>
      </c>
      <c r="F43" s="371" t="s">
        <v>536</v>
      </c>
      <c r="G43" s="371" t="s">
        <v>536</v>
      </c>
      <c r="H43" s="371" t="s">
        <v>536</v>
      </c>
      <c r="I43" s="371" t="s">
        <v>536</v>
      </c>
    </row>
    <row r="44" spans="1:10" x14ac:dyDescent="0.2">
      <c r="A44" s="235" t="s">
        <v>689</v>
      </c>
      <c r="B44" s="371" t="s">
        <v>536</v>
      </c>
      <c r="C44" s="371" t="s">
        <v>536</v>
      </c>
      <c r="D44" s="371" t="s">
        <v>536</v>
      </c>
      <c r="E44" s="371" t="s">
        <v>536</v>
      </c>
      <c r="F44" s="371" t="s">
        <v>536</v>
      </c>
      <c r="G44" s="371" t="s">
        <v>536</v>
      </c>
      <c r="H44" s="371" t="s">
        <v>536</v>
      </c>
      <c r="I44" s="371" t="s">
        <v>536</v>
      </c>
    </row>
    <row r="45" spans="1:10" x14ac:dyDescent="0.2">
      <c r="A45" s="235" t="s">
        <v>688</v>
      </c>
      <c r="B45" s="371" t="s">
        <v>536</v>
      </c>
      <c r="C45" s="371" t="s">
        <v>536</v>
      </c>
      <c r="D45" s="371" t="s">
        <v>536</v>
      </c>
      <c r="E45" s="371" t="s">
        <v>536</v>
      </c>
      <c r="F45" s="371" t="s">
        <v>536</v>
      </c>
      <c r="G45" s="371" t="s">
        <v>536</v>
      </c>
      <c r="H45" s="371" t="s">
        <v>536</v>
      </c>
      <c r="I45" s="371" t="s">
        <v>536</v>
      </c>
    </row>
    <row r="46" spans="1:10" x14ac:dyDescent="0.2">
      <c r="A46" s="235" t="s">
        <v>514</v>
      </c>
      <c r="B46" s="371" t="s">
        <v>535</v>
      </c>
      <c r="C46" s="371" t="s">
        <v>535</v>
      </c>
      <c r="D46" s="371" t="s">
        <v>535</v>
      </c>
      <c r="E46" s="371" t="s">
        <v>535</v>
      </c>
      <c r="F46" s="371" t="s">
        <v>535</v>
      </c>
      <c r="G46" s="371" t="s">
        <v>535</v>
      </c>
      <c r="H46" s="371" t="s">
        <v>535</v>
      </c>
      <c r="I46" s="371" t="s">
        <v>535</v>
      </c>
      <c r="J46" s="34"/>
    </row>
    <row r="47" spans="1:10" x14ac:dyDescent="0.2">
      <c r="A47" s="235" t="s">
        <v>515</v>
      </c>
      <c r="B47" s="371" t="s">
        <v>535</v>
      </c>
      <c r="C47" s="371" t="s">
        <v>535</v>
      </c>
      <c r="D47" s="371" t="s">
        <v>535</v>
      </c>
      <c r="E47" s="371" t="s">
        <v>535</v>
      </c>
      <c r="F47" s="371" t="s">
        <v>535</v>
      </c>
      <c r="G47" s="371" t="s">
        <v>535</v>
      </c>
      <c r="H47" s="371" t="s">
        <v>535</v>
      </c>
      <c r="I47" s="371" t="s">
        <v>535</v>
      </c>
      <c r="J47" s="34"/>
    </row>
    <row r="48" spans="1:10" x14ac:dyDescent="0.2">
      <c r="A48" s="235" t="s">
        <v>516</v>
      </c>
      <c r="B48" s="371" t="s">
        <v>535</v>
      </c>
      <c r="C48" s="371" t="s">
        <v>535</v>
      </c>
      <c r="D48" s="371" t="s">
        <v>535</v>
      </c>
      <c r="E48" s="371" t="s">
        <v>535</v>
      </c>
      <c r="F48" s="371" t="s">
        <v>535</v>
      </c>
      <c r="G48" s="371" t="s">
        <v>535</v>
      </c>
      <c r="H48" s="371" t="s">
        <v>535</v>
      </c>
      <c r="I48" s="371" t="s">
        <v>535</v>
      </c>
      <c r="J48" s="34"/>
    </row>
    <row r="49" spans="1:10" x14ac:dyDescent="0.2">
      <c r="A49" s="235" t="s">
        <v>700</v>
      </c>
      <c r="B49" s="371" t="s">
        <v>535</v>
      </c>
      <c r="C49" s="371" t="s">
        <v>535</v>
      </c>
      <c r="D49" s="371" t="s">
        <v>535</v>
      </c>
      <c r="E49" s="371" t="s">
        <v>535</v>
      </c>
      <c r="F49" s="371" t="s">
        <v>535</v>
      </c>
      <c r="G49" s="371" t="s">
        <v>535</v>
      </c>
      <c r="H49" s="371" t="s">
        <v>535</v>
      </c>
      <c r="I49" s="371" t="s">
        <v>535</v>
      </c>
      <c r="J49" s="446"/>
    </row>
    <row r="50" spans="1:10" x14ac:dyDescent="0.2">
      <c r="A50" s="235" t="s">
        <v>701</v>
      </c>
      <c r="B50" s="371" t="s">
        <v>535</v>
      </c>
      <c r="C50" s="371" t="s">
        <v>535</v>
      </c>
      <c r="D50" s="371" t="s">
        <v>535</v>
      </c>
      <c r="E50" s="371" t="s">
        <v>535</v>
      </c>
      <c r="F50" s="371" t="s">
        <v>535</v>
      </c>
      <c r="G50" s="371" t="s">
        <v>535</v>
      </c>
      <c r="H50" s="371" t="s">
        <v>535</v>
      </c>
      <c r="I50" s="371" t="s">
        <v>535</v>
      </c>
      <c r="J50" s="446"/>
    </row>
    <row r="51" spans="1:10" x14ac:dyDescent="0.2">
      <c r="A51" s="235" t="s">
        <v>702</v>
      </c>
      <c r="B51" s="371" t="s">
        <v>535</v>
      </c>
      <c r="C51" s="371" t="s">
        <v>535</v>
      </c>
      <c r="D51" s="371" t="s">
        <v>535</v>
      </c>
      <c r="E51" s="371" t="s">
        <v>535</v>
      </c>
      <c r="F51" s="371" t="s">
        <v>535</v>
      </c>
      <c r="G51" s="371" t="s">
        <v>535</v>
      </c>
      <c r="H51" s="371" t="s">
        <v>535</v>
      </c>
      <c r="I51" s="371" t="s">
        <v>535</v>
      </c>
    </row>
    <row r="52" spans="1:10" x14ac:dyDescent="0.2">
      <c r="A52" s="235" t="s">
        <v>517</v>
      </c>
      <c r="B52" s="371" t="s">
        <v>535</v>
      </c>
      <c r="C52" s="371" t="s">
        <v>535</v>
      </c>
      <c r="D52" s="371" t="s">
        <v>535</v>
      </c>
      <c r="E52" s="371" t="s">
        <v>535</v>
      </c>
      <c r="F52" s="371" t="s">
        <v>535</v>
      </c>
      <c r="G52" s="371" t="s">
        <v>535</v>
      </c>
      <c r="H52" s="371" t="s">
        <v>535</v>
      </c>
      <c r="I52" s="371" t="s">
        <v>535</v>
      </c>
    </row>
    <row r="53" spans="1:10" x14ac:dyDescent="0.2">
      <c r="A53" s="235" t="s">
        <v>518</v>
      </c>
      <c r="B53" s="371" t="s">
        <v>535</v>
      </c>
      <c r="C53" s="371" t="s">
        <v>535</v>
      </c>
      <c r="D53" s="371" t="s">
        <v>535</v>
      </c>
      <c r="E53" s="371" t="s">
        <v>535</v>
      </c>
      <c r="F53" s="371" t="s">
        <v>535</v>
      </c>
      <c r="G53" s="371" t="s">
        <v>535</v>
      </c>
      <c r="H53" s="371" t="s">
        <v>535</v>
      </c>
      <c r="I53" s="371" t="s">
        <v>535</v>
      </c>
    </row>
    <row r="54" spans="1:10" x14ac:dyDescent="0.2">
      <c r="A54" s="235" t="s">
        <v>519</v>
      </c>
      <c r="B54" s="371" t="s">
        <v>535</v>
      </c>
      <c r="C54" s="371" t="s">
        <v>535</v>
      </c>
      <c r="D54" s="371" t="s">
        <v>535</v>
      </c>
      <c r="E54" s="371" t="s">
        <v>535</v>
      </c>
      <c r="F54" s="371" t="s">
        <v>535</v>
      </c>
      <c r="G54" s="371" t="s">
        <v>535</v>
      </c>
      <c r="H54" s="371" t="s">
        <v>535</v>
      </c>
      <c r="I54" s="371" t="s">
        <v>535</v>
      </c>
    </row>
    <row r="55" spans="1:10" x14ac:dyDescent="0.2">
      <c r="A55" s="235" t="s">
        <v>520</v>
      </c>
      <c r="B55" s="371" t="s">
        <v>535</v>
      </c>
      <c r="C55" s="371" t="s">
        <v>535</v>
      </c>
      <c r="D55" s="371" t="s">
        <v>535</v>
      </c>
      <c r="E55" s="371" t="s">
        <v>535</v>
      </c>
      <c r="F55" s="371" t="s">
        <v>535</v>
      </c>
      <c r="G55" s="371" t="s">
        <v>535</v>
      </c>
      <c r="H55" s="371" t="s">
        <v>535</v>
      </c>
      <c r="I55" s="371" t="s">
        <v>535</v>
      </c>
    </row>
    <row r="56" spans="1:10" x14ac:dyDescent="0.2">
      <c r="A56" s="235" t="s">
        <v>521</v>
      </c>
      <c r="B56" s="371" t="s">
        <v>535</v>
      </c>
      <c r="C56" s="371" t="s">
        <v>535</v>
      </c>
      <c r="D56" s="371" t="s">
        <v>535</v>
      </c>
      <c r="E56" s="371" t="s">
        <v>535</v>
      </c>
      <c r="F56" s="371" t="s">
        <v>535</v>
      </c>
      <c r="G56" s="371" t="s">
        <v>535</v>
      </c>
      <c r="H56" s="371" t="s">
        <v>535</v>
      </c>
      <c r="I56" s="371" t="s">
        <v>535</v>
      </c>
    </row>
    <row r="57" spans="1:10" x14ac:dyDescent="0.2">
      <c r="A57" s="235" t="s">
        <v>522</v>
      </c>
      <c r="B57" s="371" t="s">
        <v>535</v>
      </c>
      <c r="C57" s="371" t="s">
        <v>535</v>
      </c>
      <c r="D57" s="371" t="s">
        <v>535</v>
      </c>
      <c r="E57" s="371" t="s">
        <v>535</v>
      </c>
      <c r="F57" s="371" t="s">
        <v>535</v>
      </c>
      <c r="G57" s="371" t="s">
        <v>535</v>
      </c>
      <c r="H57" s="371" t="s">
        <v>535</v>
      </c>
      <c r="I57" s="371" t="s">
        <v>535</v>
      </c>
    </row>
    <row r="58" spans="1:10" x14ac:dyDescent="0.2">
      <c r="A58" s="235" t="s">
        <v>523</v>
      </c>
      <c r="B58" s="371" t="s">
        <v>535</v>
      </c>
      <c r="C58" s="371" t="s">
        <v>535</v>
      </c>
      <c r="D58" s="371" t="s">
        <v>535</v>
      </c>
      <c r="E58" s="371" t="s">
        <v>535</v>
      </c>
      <c r="F58" s="371" t="s">
        <v>535</v>
      </c>
      <c r="G58" s="371" t="s">
        <v>535</v>
      </c>
      <c r="H58" s="371" t="s">
        <v>535</v>
      </c>
      <c r="I58" s="371" t="s">
        <v>535</v>
      </c>
    </row>
    <row r="59" spans="1:10" x14ac:dyDescent="0.2">
      <c r="A59" s="235" t="s">
        <v>524</v>
      </c>
      <c r="B59" s="371" t="s">
        <v>704</v>
      </c>
      <c r="C59" s="371" t="s">
        <v>704</v>
      </c>
      <c r="D59" s="371" t="s">
        <v>704</v>
      </c>
      <c r="E59" s="371" t="s">
        <v>704</v>
      </c>
      <c r="F59" s="371" t="s">
        <v>704</v>
      </c>
      <c r="G59" s="371" t="s">
        <v>704</v>
      </c>
      <c r="H59" s="371" t="s">
        <v>704</v>
      </c>
      <c r="I59" s="371" t="s">
        <v>704</v>
      </c>
    </row>
    <row r="60" spans="1:10" x14ac:dyDescent="0.2">
      <c r="A60" s="235" t="s">
        <v>525</v>
      </c>
      <c r="B60" s="371" t="s">
        <v>535</v>
      </c>
      <c r="C60" s="371" t="s">
        <v>535</v>
      </c>
      <c r="D60" s="371" t="s">
        <v>535</v>
      </c>
      <c r="E60" s="371" t="s">
        <v>535</v>
      </c>
      <c r="F60" s="371" t="s">
        <v>535</v>
      </c>
      <c r="G60" s="371" t="s">
        <v>535</v>
      </c>
      <c r="H60" s="371" t="s">
        <v>535</v>
      </c>
      <c r="I60" s="371" t="s">
        <v>535</v>
      </c>
    </row>
    <row r="61" spans="1:10" x14ac:dyDescent="0.2">
      <c r="A61" s="235" t="s">
        <v>526</v>
      </c>
      <c r="B61" s="371" t="s">
        <v>535</v>
      </c>
      <c r="C61" s="371" t="s">
        <v>535</v>
      </c>
      <c r="D61" s="371" t="s">
        <v>535</v>
      </c>
      <c r="E61" s="371" t="s">
        <v>535</v>
      </c>
      <c r="F61" s="371" t="s">
        <v>535</v>
      </c>
      <c r="G61" s="371" t="s">
        <v>535</v>
      </c>
      <c r="H61" s="371" t="s">
        <v>535</v>
      </c>
      <c r="I61" s="371" t="s">
        <v>535</v>
      </c>
    </row>
    <row r="62" spans="1:10" x14ac:dyDescent="0.2">
      <c r="A62" s="235" t="s">
        <v>527</v>
      </c>
      <c r="B62" s="371" t="s">
        <v>535</v>
      </c>
      <c r="C62" s="371" t="s">
        <v>535</v>
      </c>
      <c r="D62" s="371" t="s">
        <v>535</v>
      </c>
      <c r="E62" s="371" t="s">
        <v>535</v>
      </c>
      <c r="F62" s="371" t="s">
        <v>535</v>
      </c>
      <c r="G62" s="371" t="s">
        <v>535</v>
      </c>
      <c r="H62" s="371" t="s">
        <v>535</v>
      </c>
      <c r="I62" s="371" t="s">
        <v>535</v>
      </c>
    </row>
    <row r="63" spans="1:10" x14ac:dyDescent="0.2">
      <c r="A63" s="235" t="s">
        <v>528</v>
      </c>
      <c r="B63" s="371" t="s">
        <v>535</v>
      </c>
      <c r="C63" s="371" t="s">
        <v>535</v>
      </c>
      <c r="D63" s="371" t="s">
        <v>535</v>
      </c>
      <c r="E63" s="371" t="s">
        <v>535</v>
      </c>
      <c r="F63" s="371" t="s">
        <v>535</v>
      </c>
      <c r="G63" s="371" t="s">
        <v>535</v>
      </c>
      <c r="H63" s="371" t="s">
        <v>535</v>
      </c>
      <c r="I63" s="371" t="s">
        <v>535</v>
      </c>
    </row>
    <row r="64" spans="1:10" x14ac:dyDescent="0.2">
      <c r="A64" s="235" t="s">
        <v>529</v>
      </c>
      <c r="B64" s="371" t="s">
        <v>535</v>
      </c>
      <c r="C64" s="371" t="s">
        <v>535</v>
      </c>
      <c r="D64" s="371" t="s">
        <v>535</v>
      </c>
      <c r="E64" s="371" t="s">
        <v>535</v>
      </c>
      <c r="F64" s="371" t="s">
        <v>535</v>
      </c>
      <c r="G64" s="371" t="s">
        <v>535</v>
      </c>
      <c r="H64" s="371" t="s">
        <v>535</v>
      </c>
      <c r="I64" s="371" t="s">
        <v>535</v>
      </c>
    </row>
    <row r="65" spans="1:9" x14ac:dyDescent="0.2">
      <c r="A65" s="235" t="s">
        <v>530</v>
      </c>
      <c r="B65" s="371" t="s">
        <v>535</v>
      </c>
      <c r="C65" s="371" t="s">
        <v>535</v>
      </c>
      <c r="D65" s="371" t="s">
        <v>535</v>
      </c>
      <c r="E65" s="371" t="s">
        <v>535</v>
      </c>
      <c r="F65" s="371" t="s">
        <v>535</v>
      </c>
      <c r="G65" s="371" t="s">
        <v>535</v>
      </c>
      <c r="H65" s="371" t="s">
        <v>535</v>
      </c>
      <c r="I65" s="371" t="s">
        <v>535</v>
      </c>
    </row>
    <row r="66" spans="1:9" x14ac:dyDescent="0.2">
      <c r="A66" s="377" t="s">
        <v>531</v>
      </c>
      <c r="B66" s="371" t="s">
        <v>535</v>
      </c>
      <c r="C66" s="371" t="s">
        <v>535</v>
      </c>
      <c r="D66" s="371" t="s">
        <v>535</v>
      </c>
      <c r="E66" s="371" t="s">
        <v>535</v>
      </c>
      <c r="F66" s="371" t="s">
        <v>535</v>
      </c>
      <c r="G66" s="371" t="s">
        <v>535</v>
      </c>
      <c r="H66" s="371" t="s">
        <v>535</v>
      </c>
      <c r="I66" s="371" t="s">
        <v>535</v>
      </c>
    </row>
    <row r="67" spans="1:9" x14ac:dyDescent="0.2">
      <c r="A67" s="235" t="s">
        <v>532</v>
      </c>
      <c r="B67" s="371" t="s">
        <v>537</v>
      </c>
      <c r="C67" s="371" t="s">
        <v>537</v>
      </c>
      <c r="D67" s="371" t="s">
        <v>537</v>
      </c>
      <c r="E67" s="371" t="s">
        <v>535</v>
      </c>
      <c r="F67" s="371" t="s">
        <v>537</v>
      </c>
      <c r="G67" s="371" t="s">
        <v>537</v>
      </c>
      <c r="H67" s="371" t="s">
        <v>537</v>
      </c>
      <c r="I67" s="371" t="s">
        <v>537</v>
      </c>
    </row>
    <row r="68" spans="1:9" x14ac:dyDescent="0.2">
      <c r="A68" s="235" t="s">
        <v>533</v>
      </c>
      <c r="B68" s="371" t="s">
        <v>535</v>
      </c>
      <c r="C68" s="371" t="s">
        <v>535</v>
      </c>
      <c r="D68" s="371" t="s">
        <v>535</v>
      </c>
      <c r="E68" s="371" t="s">
        <v>537</v>
      </c>
      <c r="F68" s="371" t="s">
        <v>537</v>
      </c>
      <c r="G68" s="371" t="s">
        <v>535</v>
      </c>
      <c r="H68" s="371" t="s">
        <v>535</v>
      </c>
      <c r="I68" s="371" t="s">
        <v>535</v>
      </c>
    </row>
    <row r="69" spans="1:9" x14ac:dyDescent="0.2">
      <c r="A69" s="235" t="s">
        <v>561</v>
      </c>
      <c r="B69" s="371" t="s">
        <v>535</v>
      </c>
      <c r="C69" s="371" t="s">
        <v>535</v>
      </c>
      <c r="D69" s="371" t="s">
        <v>535</v>
      </c>
      <c r="E69" s="371" t="s">
        <v>535</v>
      </c>
      <c r="F69" s="371" t="s">
        <v>535</v>
      </c>
      <c r="G69" s="371" t="s">
        <v>535</v>
      </c>
      <c r="H69" s="371" t="s">
        <v>535</v>
      </c>
      <c r="I69" s="371" t="s">
        <v>535</v>
      </c>
    </row>
    <row r="70" spans="1:9" x14ac:dyDescent="0.2">
      <c r="A70" s="235" t="s">
        <v>699</v>
      </c>
      <c r="B70" s="371" t="s">
        <v>537</v>
      </c>
      <c r="C70" s="371" t="s">
        <v>537</v>
      </c>
      <c r="D70" s="371" t="s">
        <v>537</v>
      </c>
      <c r="E70" s="371" t="s">
        <v>537</v>
      </c>
      <c r="F70" s="371" t="s">
        <v>537</v>
      </c>
      <c r="G70" s="371" t="s">
        <v>537</v>
      </c>
      <c r="H70" s="371" t="s">
        <v>537</v>
      </c>
      <c r="I70" s="371" t="s">
        <v>537</v>
      </c>
    </row>
    <row r="71" spans="1:9" x14ac:dyDescent="0.2">
      <c r="A71" s="235" t="s">
        <v>703</v>
      </c>
      <c r="B71" s="371" t="s">
        <v>537</v>
      </c>
      <c r="C71" s="371" t="s">
        <v>537</v>
      </c>
      <c r="D71" s="371" t="s">
        <v>537</v>
      </c>
      <c r="E71" s="371" t="s">
        <v>537</v>
      </c>
      <c r="F71" s="371" t="s">
        <v>537</v>
      </c>
      <c r="G71" s="371" t="s">
        <v>537</v>
      </c>
      <c r="H71" s="371" t="s">
        <v>537</v>
      </c>
      <c r="I71" s="371" t="s">
        <v>537</v>
      </c>
    </row>
    <row r="72" spans="1:9" x14ac:dyDescent="0.2">
      <c r="A72" s="235" t="s">
        <v>534</v>
      </c>
      <c r="B72" s="447" t="s">
        <v>537</v>
      </c>
      <c r="C72" s="447" t="s">
        <v>537</v>
      </c>
      <c r="D72" s="447" t="s">
        <v>537</v>
      </c>
      <c r="E72" s="447" t="s">
        <v>537</v>
      </c>
      <c r="F72" s="447" t="s">
        <v>537</v>
      </c>
      <c r="G72" s="447" t="s">
        <v>537</v>
      </c>
      <c r="H72" s="447" t="s">
        <v>537</v>
      </c>
      <c r="I72" s="447" t="s">
        <v>537</v>
      </c>
    </row>
  </sheetData>
  <sheetProtection algorithmName="SHA-512" hashValue="tmfRY2guf0DsnjsrFRF1R3cZDKl8fAl6eZpgQzHin2X3HamhrFqZHRm0bT0WpSWgFNbWyhrBs7EXr9145KgRzw==" saltValue="vYE3bkEvYtkuKVtyDyV4dw==" spinCount="100000" sheet="1" objects="1" scenarios="1"/>
  <conditionalFormatting sqref="B3:B11 B26:B35 B37 B41:B66 B68:B80 E3:F80">
    <cfRule type="cellIs" dxfId="60" priority="62" operator="equal">
      <formula>"o"</formula>
    </cfRule>
    <cfRule type="cellIs" dxfId="59" priority="63" operator="equal">
      <formula>"x"</formula>
    </cfRule>
  </conditionalFormatting>
  <conditionalFormatting sqref="B3:B11 B26:B35 B37 B41:B66 B68:B72 E3:F72">
    <cfRule type="cellIs" dxfId="58" priority="61" operator="equal">
      <formula>"e"</formula>
    </cfRule>
  </conditionalFormatting>
  <conditionalFormatting sqref="C3:D11 C26:D26 C37:D37 D31:D34 C27:C30 C43:D66 D42 C41 C68:D80">
    <cfRule type="cellIs" dxfId="57" priority="59" operator="equal">
      <formula>"o"</formula>
    </cfRule>
    <cfRule type="cellIs" dxfId="56" priority="60" operator="equal">
      <formula>"x"</formula>
    </cfRule>
  </conditionalFormatting>
  <conditionalFormatting sqref="C3:D11 C26:D26 C37:D37 D31:D34 C27:C30 C43:D66 D42 C41 C68:D72">
    <cfRule type="cellIs" dxfId="55" priority="58" operator="equal">
      <formula>"e"</formula>
    </cfRule>
  </conditionalFormatting>
  <conditionalFormatting sqref="H3:I26 H37:I37 H27:H30 I31:I34 H43:I66 H41 I42 H68:I80">
    <cfRule type="cellIs" dxfId="54" priority="50" operator="equal">
      <formula>"o"</formula>
    </cfRule>
    <cfRule type="cellIs" dxfId="53" priority="51" operator="equal">
      <formula>"x"</formula>
    </cfRule>
  </conditionalFormatting>
  <conditionalFormatting sqref="H3:I26 H37:I37 H27:H30 I31:I34 H43:I66 H41 I42 H68:I72">
    <cfRule type="cellIs" dxfId="52" priority="49" operator="equal">
      <formula>"e"</formula>
    </cfRule>
  </conditionalFormatting>
  <conditionalFormatting sqref="G3:G34 G37 G41:G66 G68:G80">
    <cfRule type="cellIs" dxfId="51" priority="53" operator="equal">
      <formula>"o"</formula>
    </cfRule>
    <cfRule type="cellIs" dxfId="50" priority="54" operator="equal">
      <formula>"x"</formula>
    </cfRule>
  </conditionalFormatting>
  <conditionalFormatting sqref="G3:G34 G37 G41:G66 G68:G72">
    <cfRule type="cellIs" dxfId="49" priority="52" operator="equal">
      <formula>"e"</formula>
    </cfRule>
  </conditionalFormatting>
  <conditionalFormatting sqref="B12:D25">
    <cfRule type="cellIs" dxfId="48" priority="47" operator="equal">
      <formula>"o"</formula>
    </cfRule>
    <cfRule type="cellIs" dxfId="47" priority="48" operator="equal">
      <formula>"x"</formula>
    </cfRule>
  </conditionalFormatting>
  <conditionalFormatting sqref="B12:D25">
    <cfRule type="cellIs" dxfId="46" priority="46" operator="equal">
      <formula>"e"</formula>
    </cfRule>
  </conditionalFormatting>
  <conditionalFormatting sqref="B36:D36">
    <cfRule type="cellIs" dxfId="45" priority="44" operator="equal">
      <formula>"o"</formula>
    </cfRule>
    <cfRule type="cellIs" dxfId="44" priority="45" operator="equal">
      <formula>"x"</formula>
    </cfRule>
  </conditionalFormatting>
  <conditionalFormatting sqref="B36:D36">
    <cfRule type="cellIs" dxfId="43" priority="43" operator="equal">
      <formula>"e"</formula>
    </cfRule>
  </conditionalFormatting>
  <conditionalFormatting sqref="C31:C35">
    <cfRule type="cellIs" dxfId="42" priority="41" operator="equal">
      <formula>"o"</formula>
    </cfRule>
    <cfRule type="cellIs" dxfId="41" priority="42" operator="equal">
      <formula>"x"</formula>
    </cfRule>
  </conditionalFormatting>
  <conditionalFormatting sqref="C31:C35">
    <cfRule type="cellIs" dxfId="40" priority="40" operator="equal">
      <formula>"e"</formula>
    </cfRule>
  </conditionalFormatting>
  <conditionalFormatting sqref="D35">
    <cfRule type="cellIs" dxfId="39" priority="38" operator="equal">
      <formula>"o"</formula>
    </cfRule>
    <cfRule type="cellIs" dxfId="38" priority="39" operator="equal">
      <formula>"x"</formula>
    </cfRule>
  </conditionalFormatting>
  <conditionalFormatting sqref="D35">
    <cfRule type="cellIs" dxfId="37" priority="37" operator="equal">
      <formula>"e"</formula>
    </cfRule>
  </conditionalFormatting>
  <conditionalFormatting sqref="D27:D30">
    <cfRule type="cellIs" dxfId="36" priority="35" operator="equal">
      <formula>"o"</formula>
    </cfRule>
    <cfRule type="cellIs" dxfId="35" priority="36" operator="equal">
      <formula>"x"</formula>
    </cfRule>
  </conditionalFormatting>
  <conditionalFormatting sqref="D27:D30">
    <cfRule type="cellIs" dxfId="34" priority="34" operator="equal">
      <formula>"e"</formula>
    </cfRule>
  </conditionalFormatting>
  <conditionalFormatting sqref="I27:I30">
    <cfRule type="cellIs" dxfId="33" priority="32" operator="equal">
      <formula>"o"</formula>
    </cfRule>
    <cfRule type="cellIs" dxfId="32" priority="33" operator="equal">
      <formula>"x"</formula>
    </cfRule>
  </conditionalFormatting>
  <conditionalFormatting sqref="I27:I30">
    <cfRule type="cellIs" dxfId="31" priority="31" operator="equal">
      <formula>"e"</formula>
    </cfRule>
  </conditionalFormatting>
  <conditionalFormatting sqref="H31:H34">
    <cfRule type="cellIs" dxfId="30" priority="29" operator="equal">
      <formula>"o"</formula>
    </cfRule>
    <cfRule type="cellIs" dxfId="29" priority="30" operator="equal">
      <formula>"x"</formula>
    </cfRule>
  </conditionalFormatting>
  <conditionalFormatting sqref="H31:H34">
    <cfRule type="cellIs" dxfId="28" priority="28" operator="equal">
      <formula>"e"</formula>
    </cfRule>
  </conditionalFormatting>
  <conditionalFormatting sqref="G35:I36">
    <cfRule type="cellIs" dxfId="27" priority="26" operator="equal">
      <formula>"o"</formula>
    </cfRule>
    <cfRule type="cellIs" dxfId="26" priority="27" operator="equal">
      <formula>"x"</formula>
    </cfRule>
  </conditionalFormatting>
  <conditionalFormatting sqref="G35:I36">
    <cfRule type="cellIs" dxfId="25" priority="25" operator="equal">
      <formula>"e"</formula>
    </cfRule>
  </conditionalFormatting>
  <conditionalFormatting sqref="G38:I40">
    <cfRule type="cellIs" dxfId="24" priority="23" operator="equal">
      <formula>"o"</formula>
    </cfRule>
    <cfRule type="cellIs" dxfId="23" priority="24" operator="equal">
      <formula>"x"</formula>
    </cfRule>
  </conditionalFormatting>
  <conditionalFormatting sqref="G38:I40">
    <cfRule type="cellIs" dxfId="22" priority="22" operator="equal">
      <formula>"e"</formula>
    </cfRule>
  </conditionalFormatting>
  <conditionalFormatting sqref="I41">
    <cfRule type="cellIs" dxfId="21" priority="20" operator="equal">
      <formula>"o"</formula>
    </cfRule>
    <cfRule type="cellIs" dxfId="20" priority="21" operator="equal">
      <formula>"x"</formula>
    </cfRule>
  </conditionalFormatting>
  <conditionalFormatting sqref="I41">
    <cfRule type="cellIs" dxfId="19" priority="19" operator="equal">
      <formula>"e"</formula>
    </cfRule>
  </conditionalFormatting>
  <conditionalFormatting sqref="H42">
    <cfRule type="cellIs" dxfId="18" priority="17" operator="equal">
      <formula>"o"</formula>
    </cfRule>
    <cfRule type="cellIs" dxfId="17" priority="18" operator="equal">
      <formula>"x"</formula>
    </cfRule>
  </conditionalFormatting>
  <conditionalFormatting sqref="H42">
    <cfRule type="cellIs" dxfId="16" priority="16" operator="equal">
      <formula>"e"</formula>
    </cfRule>
  </conditionalFormatting>
  <conditionalFormatting sqref="C42">
    <cfRule type="cellIs" dxfId="15" priority="14" operator="equal">
      <formula>"o"</formula>
    </cfRule>
    <cfRule type="cellIs" dxfId="14" priority="15" operator="equal">
      <formula>"x"</formula>
    </cfRule>
  </conditionalFormatting>
  <conditionalFormatting sqref="C42">
    <cfRule type="cellIs" dxfId="13" priority="13" operator="equal">
      <formula>"e"</formula>
    </cfRule>
  </conditionalFormatting>
  <conditionalFormatting sqref="D38:D41">
    <cfRule type="cellIs" dxfId="12" priority="11" operator="equal">
      <formula>"o"</formula>
    </cfRule>
    <cfRule type="cellIs" dxfId="11" priority="12" operator="equal">
      <formula>"x"</formula>
    </cfRule>
  </conditionalFormatting>
  <conditionalFormatting sqref="D38:D41">
    <cfRule type="cellIs" dxfId="10" priority="10" operator="equal">
      <formula>"e"</formula>
    </cfRule>
  </conditionalFormatting>
  <conditionalFormatting sqref="B38:C40">
    <cfRule type="cellIs" dxfId="9" priority="8" operator="equal">
      <formula>"o"</formula>
    </cfRule>
    <cfRule type="cellIs" dxfId="8" priority="9" operator="equal">
      <formula>"x"</formula>
    </cfRule>
  </conditionalFormatting>
  <conditionalFormatting sqref="B38:C40">
    <cfRule type="cellIs" dxfId="7" priority="7" operator="equal">
      <formula>"e"</formula>
    </cfRule>
  </conditionalFormatting>
  <conditionalFormatting sqref="B67:D67">
    <cfRule type="cellIs" dxfId="6" priority="5" operator="equal">
      <formula>"o"</formula>
    </cfRule>
    <cfRule type="cellIs" dxfId="5" priority="6" operator="equal">
      <formula>"x"</formula>
    </cfRule>
  </conditionalFormatting>
  <conditionalFormatting sqref="B67:D67">
    <cfRule type="cellIs" dxfId="4" priority="4" operator="equal">
      <formula>"e"</formula>
    </cfRule>
  </conditionalFormatting>
  <conditionalFormatting sqref="G67:I67">
    <cfRule type="cellIs" dxfId="3" priority="2" operator="equal">
      <formula>"o"</formula>
    </cfRule>
    <cfRule type="cellIs" dxfId="2" priority="3" operator="equal">
      <formula>"x"</formula>
    </cfRule>
  </conditionalFormatting>
  <conditionalFormatting sqref="G67:I67">
    <cfRule type="cellIs" dxfId="1" priority="1" operator="equal">
      <formula>"e"</formula>
    </cfRule>
  </conditionalFormatting>
  <pageMargins left="0.7" right="0.7" top="0.75" bottom="0.75" header="0.3" footer="0.3"/>
  <pageSetup orientation="portrai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34">
    <tabColor rgb="FFFFC000"/>
    <pageSetUpPr fitToPage="1"/>
  </sheetPr>
  <dimension ref="A2:Q48"/>
  <sheetViews>
    <sheetView showGridLines="0" zoomScaleNormal="100" workbookViewId="0"/>
  </sheetViews>
  <sheetFormatPr defaultRowHeight="12.75" x14ac:dyDescent="0.2"/>
  <cols>
    <col min="1" max="1" width="5" style="34" customWidth="1"/>
    <col min="2" max="2" width="47.42578125" style="34" customWidth="1"/>
    <col min="3" max="3" width="12.7109375" style="34" bestFit="1" customWidth="1"/>
    <col min="4" max="4" width="1.7109375" style="34" customWidth="1"/>
    <col min="5" max="9" width="14.7109375" style="34" customWidth="1"/>
    <col min="10" max="13" width="16.7109375" style="34" customWidth="1"/>
    <col min="14" max="14" width="19.28515625" style="34" customWidth="1"/>
    <col min="15" max="15" width="40.28515625" style="34" customWidth="1"/>
    <col min="16" max="16" width="13.7109375" style="34" customWidth="1"/>
    <col min="17" max="17" width="40.7109375" style="34" customWidth="1"/>
    <col min="18" max="260" width="9.28515625" style="34"/>
    <col min="261" max="261" width="2.7109375" style="34" customWidth="1"/>
    <col min="262" max="262" width="5" style="34" customWidth="1"/>
    <col min="263" max="263" width="62" style="34" customWidth="1"/>
    <col min="264" max="264" width="12.7109375" style="34" bestFit="1" customWidth="1"/>
    <col min="265" max="265" width="1.7109375" style="34" customWidth="1"/>
    <col min="266" max="271" width="15.7109375" style="34" customWidth="1"/>
    <col min="272" max="272" width="13.7109375" style="34" customWidth="1"/>
    <col min="273" max="273" width="40.7109375" style="34" customWidth="1"/>
    <col min="274" max="516" width="9.28515625" style="34"/>
    <col min="517" max="517" width="2.7109375" style="34" customWidth="1"/>
    <col min="518" max="518" width="5" style="34" customWidth="1"/>
    <col min="519" max="519" width="62" style="34" customWidth="1"/>
    <col min="520" max="520" width="12.7109375" style="34" bestFit="1" customWidth="1"/>
    <col min="521" max="521" width="1.7109375" style="34" customWidth="1"/>
    <col min="522" max="527" width="15.7109375" style="34" customWidth="1"/>
    <col min="528" max="528" width="13.7109375" style="34" customWidth="1"/>
    <col min="529" max="529" width="40.7109375" style="34" customWidth="1"/>
    <col min="530" max="772" width="9.28515625" style="34"/>
    <col min="773" max="773" width="2.7109375" style="34" customWidth="1"/>
    <col min="774" max="774" width="5" style="34" customWidth="1"/>
    <col min="775" max="775" width="62" style="34" customWidth="1"/>
    <col min="776" max="776" width="12.7109375" style="34" bestFit="1" customWidth="1"/>
    <col min="777" max="777" width="1.7109375" style="34" customWidth="1"/>
    <col min="778" max="783" width="15.7109375" style="34" customWidth="1"/>
    <col min="784" max="784" width="13.7109375" style="34" customWidth="1"/>
    <col min="785" max="785" width="40.7109375" style="34" customWidth="1"/>
    <col min="786" max="1028" width="9.28515625" style="34"/>
    <col min="1029" max="1029" width="2.7109375" style="34" customWidth="1"/>
    <col min="1030" max="1030" width="5" style="34" customWidth="1"/>
    <col min="1031" max="1031" width="62" style="34" customWidth="1"/>
    <col min="1032" max="1032" width="12.7109375" style="34" bestFit="1" customWidth="1"/>
    <col min="1033" max="1033" width="1.7109375" style="34" customWidth="1"/>
    <col min="1034" max="1039" width="15.7109375" style="34" customWidth="1"/>
    <col min="1040" max="1040" width="13.7109375" style="34" customWidth="1"/>
    <col min="1041" max="1041" width="40.7109375" style="34" customWidth="1"/>
    <col min="1042" max="1284" width="9.28515625" style="34"/>
    <col min="1285" max="1285" width="2.7109375" style="34" customWidth="1"/>
    <col min="1286" max="1286" width="5" style="34" customWidth="1"/>
    <col min="1287" max="1287" width="62" style="34" customWidth="1"/>
    <col min="1288" max="1288" width="12.7109375" style="34" bestFit="1" customWidth="1"/>
    <col min="1289" max="1289" width="1.7109375" style="34" customWidth="1"/>
    <col min="1290" max="1295" width="15.7109375" style="34" customWidth="1"/>
    <col min="1296" max="1296" width="13.7109375" style="34" customWidth="1"/>
    <col min="1297" max="1297" width="40.7109375" style="34" customWidth="1"/>
    <col min="1298" max="1540" width="9.28515625" style="34"/>
    <col min="1541" max="1541" width="2.7109375" style="34" customWidth="1"/>
    <col min="1542" max="1542" width="5" style="34" customWidth="1"/>
    <col min="1543" max="1543" width="62" style="34" customWidth="1"/>
    <col min="1544" max="1544" width="12.7109375" style="34" bestFit="1" customWidth="1"/>
    <col min="1545" max="1545" width="1.7109375" style="34" customWidth="1"/>
    <col min="1546" max="1551" width="15.7109375" style="34" customWidth="1"/>
    <col min="1552" max="1552" width="13.7109375" style="34" customWidth="1"/>
    <col min="1553" max="1553" width="40.7109375" style="34" customWidth="1"/>
    <col min="1554" max="1796" width="9.28515625" style="34"/>
    <col min="1797" max="1797" width="2.7109375" style="34" customWidth="1"/>
    <col min="1798" max="1798" width="5" style="34" customWidth="1"/>
    <col min="1799" max="1799" width="62" style="34" customWidth="1"/>
    <col min="1800" max="1800" width="12.7109375" style="34" bestFit="1" customWidth="1"/>
    <col min="1801" max="1801" width="1.7109375" style="34" customWidth="1"/>
    <col min="1802" max="1807" width="15.7109375" style="34" customWidth="1"/>
    <col min="1808" max="1808" width="13.7109375" style="34" customWidth="1"/>
    <col min="1809" max="1809" width="40.7109375" style="34" customWidth="1"/>
    <col min="1810" max="2052" width="9.28515625" style="34"/>
    <col min="2053" max="2053" width="2.7109375" style="34" customWidth="1"/>
    <col min="2054" max="2054" width="5" style="34" customWidth="1"/>
    <col min="2055" max="2055" width="62" style="34" customWidth="1"/>
    <col min="2056" max="2056" width="12.7109375" style="34" bestFit="1" customWidth="1"/>
    <col min="2057" max="2057" width="1.7109375" style="34" customWidth="1"/>
    <col min="2058" max="2063" width="15.7109375" style="34" customWidth="1"/>
    <col min="2064" max="2064" width="13.7109375" style="34" customWidth="1"/>
    <col min="2065" max="2065" width="40.7109375" style="34" customWidth="1"/>
    <col min="2066" max="2308" width="9.28515625" style="34"/>
    <col min="2309" max="2309" width="2.7109375" style="34" customWidth="1"/>
    <col min="2310" max="2310" width="5" style="34" customWidth="1"/>
    <col min="2311" max="2311" width="62" style="34" customWidth="1"/>
    <col min="2312" max="2312" width="12.7109375" style="34" bestFit="1" customWidth="1"/>
    <col min="2313" max="2313" width="1.7109375" style="34" customWidth="1"/>
    <col min="2314" max="2319" width="15.7109375" style="34" customWidth="1"/>
    <col min="2320" max="2320" width="13.7109375" style="34" customWidth="1"/>
    <col min="2321" max="2321" width="40.7109375" style="34" customWidth="1"/>
    <col min="2322" max="2564" width="9.28515625" style="34"/>
    <col min="2565" max="2565" width="2.7109375" style="34" customWidth="1"/>
    <col min="2566" max="2566" width="5" style="34" customWidth="1"/>
    <col min="2567" max="2567" width="62" style="34" customWidth="1"/>
    <col min="2568" max="2568" width="12.7109375" style="34" bestFit="1" customWidth="1"/>
    <col min="2569" max="2569" width="1.7109375" style="34" customWidth="1"/>
    <col min="2570" max="2575" width="15.7109375" style="34" customWidth="1"/>
    <col min="2576" max="2576" width="13.7109375" style="34" customWidth="1"/>
    <col min="2577" max="2577" width="40.7109375" style="34" customWidth="1"/>
    <col min="2578" max="2820" width="9.28515625" style="34"/>
    <col min="2821" max="2821" width="2.7109375" style="34" customWidth="1"/>
    <col min="2822" max="2822" width="5" style="34" customWidth="1"/>
    <col min="2823" max="2823" width="62" style="34" customWidth="1"/>
    <col min="2824" max="2824" width="12.7109375" style="34" bestFit="1" customWidth="1"/>
    <col min="2825" max="2825" width="1.7109375" style="34" customWidth="1"/>
    <col min="2826" max="2831" width="15.7109375" style="34" customWidth="1"/>
    <col min="2832" max="2832" width="13.7109375" style="34" customWidth="1"/>
    <col min="2833" max="2833" width="40.7109375" style="34" customWidth="1"/>
    <col min="2834" max="3076" width="9.28515625" style="34"/>
    <col min="3077" max="3077" width="2.7109375" style="34" customWidth="1"/>
    <col min="3078" max="3078" width="5" style="34" customWidth="1"/>
    <col min="3079" max="3079" width="62" style="34" customWidth="1"/>
    <col min="3080" max="3080" width="12.7109375" style="34" bestFit="1" customWidth="1"/>
    <col min="3081" max="3081" width="1.7109375" style="34" customWidth="1"/>
    <col min="3082" max="3087" width="15.7109375" style="34" customWidth="1"/>
    <col min="3088" max="3088" width="13.7109375" style="34" customWidth="1"/>
    <col min="3089" max="3089" width="40.7109375" style="34" customWidth="1"/>
    <col min="3090" max="3332" width="9.28515625" style="34"/>
    <col min="3333" max="3333" width="2.7109375" style="34" customWidth="1"/>
    <col min="3334" max="3334" width="5" style="34" customWidth="1"/>
    <col min="3335" max="3335" width="62" style="34" customWidth="1"/>
    <col min="3336" max="3336" width="12.7109375" style="34" bestFit="1" customWidth="1"/>
    <col min="3337" max="3337" width="1.7109375" style="34" customWidth="1"/>
    <col min="3338" max="3343" width="15.7109375" style="34" customWidth="1"/>
    <col min="3344" max="3344" width="13.7109375" style="34" customWidth="1"/>
    <col min="3345" max="3345" width="40.7109375" style="34" customWidth="1"/>
    <col min="3346" max="3588" width="9.28515625" style="34"/>
    <col min="3589" max="3589" width="2.7109375" style="34" customWidth="1"/>
    <col min="3590" max="3590" width="5" style="34" customWidth="1"/>
    <col min="3591" max="3591" width="62" style="34" customWidth="1"/>
    <col min="3592" max="3592" width="12.7109375" style="34" bestFit="1" customWidth="1"/>
    <col min="3593" max="3593" width="1.7109375" style="34" customWidth="1"/>
    <col min="3594" max="3599" width="15.7109375" style="34" customWidth="1"/>
    <col min="3600" max="3600" width="13.7109375" style="34" customWidth="1"/>
    <col min="3601" max="3601" width="40.7109375" style="34" customWidth="1"/>
    <col min="3602" max="3844" width="9.28515625" style="34"/>
    <col min="3845" max="3845" width="2.7109375" style="34" customWidth="1"/>
    <col min="3846" max="3846" width="5" style="34" customWidth="1"/>
    <col min="3847" max="3847" width="62" style="34" customWidth="1"/>
    <col min="3848" max="3848" width="12.7109375" style="34" bestFit="1" customWidth="1"/>
    <col min="3849" max="3849" width="1.7109375" style="34" customWidth="1"/>
    <col min="3850" max="3855" width="15.7109375" style="34" customWidth="1"/>
    <col min="3856" max="3856" width="13.7109375" style="34" customWidth="1"/>
    <col min="3857" max="3857" width="40.7109375" style="34" customWidth="1"/>
    <col min="3858" max="4100" width="9.28515625" style="34"/>
    <col min="4101" max="4101" width="2.7109375" style="34" customWidth="1"/>
    <col min="4102" max="4102" width="5" style="34" customWidth="1"/>
    <col min="4103" max="4103" width="62" style="34" customWidth="1"/>
    <col min="4104" max="4104" width="12.7109375" style="34" bestFit="1" customWidth="1"/>
    <col min="4105" max="4105" width="1.7109375" style="34" customWidth="1"/>
    <col min="4106" max="4111" width="15.7109375" style="34" customWidth="1"/>
    <col min="4112" max="4112" width="13.7109375" style="34" customWidth="1"/>
    <col min="4113" max="4113" width="40.7109375" style="34" customWidth="1"/>
    <col min="4114" max="4356" width="9.28515625" style="34"/>
    <col min="4357" max="4357" width="2.7109375" style="34" customWidth="1"/>
    <col min="4358" max="4358" width="5" style="34" customWidth="1"/>
    <col min="4359" max="4359" width="62" style="34" customWidth="1"/>
    <col min="4360" max="4360" width="12.7109375" style="34" bestFit="1" customWidth="1"/>
    <col min="4361" max="4361" width="1.7109375" style="34" customWidth="1"/>
    <col min="4362" max="4367" width="15.7109375" style="34" customWidth="1"/>
    <col min="4368" max="4368" width="13.7109375" style="34" customWidth="1"/>
    <col min="4369" max="4369" width="40.7109375" style="34" customWidth="1"/>
    <col min="4370" max="4612" width="9.28515625" style="34"/>
    <col min="4613" max="4613" width="2.7109375" style="34" customWidth="1"/>
    <col min="4614" max="4614" width="5" style="34" customWidth="1"/>
    <col min="4615" max="4615" width="62" style="34" customWidth="1"/>
    <col min="4616" max="4616" width="12.7109375" style="34" bestFit="1" customWidth="1"/>
    <col min="4617" max="4617" width="1.7109375" style="34" customWidth="1"/>
    <col min="4618" max="4623" width="15.7109375" style="34" customWidth="1"/>
    <col min="4624" max="4624" width="13.7109375" style="34" customWidth="1"/>
    <col min="4625" max="4625" width="40.7109375" style="34" customWidth="1"/>
    <col min="4626" max="4868" width="9.28515625" style="34"/>
    <col min="4869" max="4869" width="2.7109375" style="34" customWidth="1"/>
    <col min="4870" max="4870" width="5" style="34" customWidth="1"/>
    <col min="4871" max="4871" width="62" style="34" customWidth="1"/>
    <col min="4872" max="4872" width="12.7109375" style="34" bestFit="1" customWidth="1"/>
    <col min="4873" max="4873" width="1.7109375" style="34" customWidth="1"/>
    <col min="4874" max="4879" width="15.7109375" style="34" customWidth="1"/>
    <col min="4880" max="4880" width="13.7109375" style="34" customWidth="1"/>
    <col min="4881" max="4881" width="40.7109375" style="34" customWidth="1"/>
    <col min="4882" max="5124" width="9.28515625" style="34"/>
    <col min="5125" max="5125" width="2.7109375" style="34" customWidth="1"/>
    <col min="5126" max="5126" width="5" style="34" customWidth="1"/>
    <col min="5127" max="5127" width="62" style="34" customWidth="1"/>
    <col min="5128" max="5128" width="12.7109375" style="34" bestFit="1" customWidth="1"/>
    <col min="5129" max="5129" width="1.7109375" style="34" customWidth="1"/>
    <col min="5130" max="5135" width="15.7109375" style="34" customWidth="1"/>
    <col min="5136" max="5136" width="13.7109375" style="34" customWidth="1"/>
    <col min="5137" max="5137" width="40.7109375" style="34" customWidth="1"/>
    <col min="5138" max="5380" width="9.28515625" style="34"/>
    <col min="5381" max="5381" width="2.7109375" style="34" customWidth="1"/>
    <col min="5382" max="5382" width="5" style="34" customWidth="1"/>
    <col min="5383" max="5383" width="62" style="34" customWidth="1"/>
    <col min="5384" max="5384" width="12.7109375" style="34" bestFit="1" customWidth="1"/>
    <col min="5385" max="5385" width="1.7109375" style="34" customWidth="1"/>
    <col min="5386" max="5391" width="15.7109375" style="34" customWidth="1"/>
    <col min="5392" max="5392" width="13.7109375" style="34" customWidth="1"/>
    <col min="5393" max="5393" width="40.7109375" style="34" customWidth="1"/>
    <col min="5394" max="5636" width="9.28515625" style="34"/>
    <col min="5637" max="5637" width="2.7109375" style="34" customWidth="1"/>
    <col min="5638" max="5638" width="5" style="34" customWidth="1"/>
    <col min="5639" max="5639" width="62" style="34" customWidth="1"/>
    <col min="5640" max="5640" width="12.7109375" style="34" bestFit="1" customWidth="1"/>
    <col min="5641" max="5641" width="1.7109375" style="34" customWidth="1"/>
    <col min="5642" max="5647" width="15.7109375" style="34" customWidth="1"/>
    <col min="5648" max="5648" width="13.7109375" style="34" customWidth="1"/>
    <col min="5649" max="5649" width="40.7109375" style="34" customWidth="1"/>
    <col min="5650" max="5892" width="9.28515625" style="34"/>
    <col min="5893" max="5893" width="2.7109375" style="34" customWidth="1"/>
    <col min="5894" max="5894" width="5" style="34" customWidth="1"/>
    <col min="5895" max="5895" width="62" style="34" customWidth="1"/>
    <col min="5896" max="5896" width="12.7109375" style="34" bestFit="1" customWidth="1"/>
    <col min="5897" max="5897" width="1.7109375" style="34" customWidth="1"/>
    <col min="5898" max="5903" width="15.7109375" style="34" customWidth="1"/>
    <col min="5904" max="5904" width="13.7109375" style="34" customWidth="1"/>
    <col min="5905" max="5905" width="40.7109375" style="34" customWidth="1"/>
    <col min="5906" max="6148" width="9.28515625" style="34"/>
    <col min="6149" max="6149" width="2.7109375" style="34" customWidth="1"/>
    <col min="6150" max="6150" width="5" style="34" customWidth="1"/>
    <col min="6151" max="6151" width="62" style="34" customWidth="1"/>
    <col min="6152" max="6152" width="12.7109375" style="34" bestFit="1" customWidth="1"/>
    <col min="6153" max="6153" width="1.7109375" style="34" customWidth="1"/>
    <col min="6154" max="6159" width="15.7109375" style="34" customWidth="1"/>
    <col min="6160" max="6160" width="13.7109375" style="34" customWidth="1"/>
    <col min="6161" max="6161" width="40.7109375" style="34" customWidth="1"/>
    <col min="6162" max="6404" width="9.28515625" style="34"/>
    <col min="6405" max="6405" width="2.7109375" style="34" customWidth="1"/>
    <col min="6406" max="6406" width="5" style="34" customWidth="1"/>
    <col min="6407" max="6407" width="62" style="34" customWidth="1"/>
    <col min="6408" max="6408" width="12.7109375" style="34" bestFit="1" customWidth="1"/>
    <col min="6409" max="6409" width="1.7109375" style="34" customWidth="1"/>
    <col min="6410" max="6415" width="15.7109375" style="34" customWidth="1"/>
    <col min="6416" max="6416" width="13.7109375" style="34" customWidth="1"/>
    <col min="6417" max="6417" width="40.7109375" style="34" customWidth="1"/>
    <col min="6418" max="6660" width="9.28515625" style="34"/>
    <col min="6661" max="6661" width="2.7109375" style="34" customWidth="1"/>
    <col min="6662" max="6662" width="5" style="34" customWidth="1"/>
    <col min="6663" max="6663" width="62" style="34" customWidth="1"/>
    <col min="6664" max="6664" width="12.7109375" style="34" bestFit="1" customWidth="1"/>
    <col min="6665" max="6665" width="1.7109375" style="34" customWidth="1"/>
    <col min="6666" max="6671" width="15.7109375" style="34" customWidth="1"/>
    <col min="6672" max="6672" width="13.7109375" style="34" customWidth="1"/>
    <col min="6673" max="6673" width="40.7109375" style="34" customWidth="1"/>
    <col min="6674" max="6916" width="9.28515625" style="34"/>
    <col min="6917" max="6917" width="2.7109375" style="34" customWidth="1"/>
    <col min="6918" max="6918" width="5" style="34" customWidth="1"/>
    <col min="6919" max="6919" width="62" style="34" customWidth="1"/>
    <col min="6920" max="6920" width="12.7109375" style="34" bestFit="1" customWidth="1"/>
    <col min="6921" max="6921" width="1.7109375" style="34" customWidth="1"/>
    <col min="6922" max="6927" width="15.7109375" style="34" customWidth="1"/>
    <col min="6928" max="6928" width="13.7109375" style="34" customWidth="1"/>
    <col min="6929" max="6929" width="40.7109375" style="34" customWidth="1"/>
    <col min="6930" max="7172" width="9.28515625" style="34"/>
    <col min="7173" max="7173" width="2.7109375" style="34" customWidth="1"/>
    <col min="7174" max="7174" width="5" style="34" customWidth="1"/>
    <col min="7175" max="7175" width="62" style="34" customWidth="1"/>
    <col min="7176" max="7176" width="12.7109375" style="34" bestFit="1" customWidth="1"/>
    <col min="7177" max="7177" width="1.7109375" style="34" customWidth="1"/>
    <col min="7178" max="7183" width="15.7109375" style="34" customWidth="1"/>
    <col min="7184" max="7184" width="13.7109375" style="34" customWidth="1"/>
    <col min="7185" max="7185" width="40.7109375" style="34" customWidth="1"/>
    <col min="7186" max="7428" width="9.28515625" style="34"/>
    <col min="7429" max="7429" width="2.7109375" style="34" customWidth="1"/>
    <col min="7430" max="7430" width="5" style="34" customWidth="1"/>
    <col min="7431" max="7431" width="62" style="34" customWidth="1"/>
    <col min="7432" max="7432" width="12.7109375" style="34" bestFit="1" customWidth="1"/>
    <col min="7433" max="7433" width="1.7109375" style="34" customWidth="1"/>
    <col min="7434" max="7439" width="15.7109375" style="34" customWidth="1"/>
    <col min="7440" max="7440" width="13.7109375" style="34" customWidth="1"/>
    <col min="7441" max="7441" width="40.7109375" style="34" customWidth="1"/>
    <col min="7442" max="7684" width="9.28515625" style="34"/>
    <col min="7685" max="7685" width="2.7109375" style="34" customWidth="1"/>
    <col min="7686" max="7686" width="5" style="34" customWidth="1"/>
    <col min="7687" max="7687" width="62" style="34" customWidth="1"/>
    <col min="7688" max="7688" width="12.7109375" style="34" bestFit="1" customWidth="1"/>
    <col min="7689" max="7689" width="1.7109375" style="34" customWidth="1"/>
    <col min="7690" max="7695" width="15.7109375" style="34" customWidth="1"/>
    <col min="7696" max="7696" width="13.7109375" style="34" customWidth="1"/>
    <col min="7697" max="7697" width="40.7109375" style="34" customWidth="1"/>
    <col min="7698" max="7940" width="9.28515625" style="34"/>
    <col min="7941" max="7941" width="2.7109375" style="34" customWidth="1"/>
    <col min="7942" max="7942" width="5" style="34" customWidth="1"/>
    <col min="7943" max="7943" width="62" style="34" customWidth="1"/>
    <col min="7944" max="7944" width="12.7109375" style="34" bestFit="1" customWidth="1"/>
    <col min="7945" max="7945" width="1.7109375" style="34" customWidth="1"/>
    <col min="7946" max="7951" width="15.7109375" style="34" customWidth="1"/>
    <col min="7952" max="7952" width="13.7109375" style="34" customWidth="1"/>
    <col min="7953" max="7953" width="40.7109375" style="34" customWidth="1"/>
    <col min="7954" max="8196" width="9.28515625" style="34"/>
    <col min="8197" max="8197" width="2.7109375" style="34" customWidth="1"/>
    <col min="8198" max="8198" width="5" style="34" customWidth="1"/>
    <col min="8199" max="8199" width="62" style="34" customWidth="1"/>
    <col min="8200" max="8200" width="12.7109375" style="34" bestFit="1" customWidth="1"/>
    <col min="8201" max="8201" width="1.7109375" style="34" customWidth="1"/>
    <col min="8202" max="8207" width="15.7109375" style="34" customWidth="1"/>
    <col min="8208" max="8208" width="13.7109375" style="34" customWidth="1"/>
    <col min="8209" max="8209" width="40.7109375" style="34" customWidth="1"/>
    <col min="8210" max="8452" width="9.28515625" style="34"/>
    <col min="8453" max="8453" width="2.7109375" style="34" customWidth="1"/>
    <col min="8454" max="8454" width="5" style="34" customWidth="1"/>
    <col min="8455" max="8455" width="62" style="34" customWidth="1"/>
    <col min="8456" max="8456" width="12.7109375" style="34" bestFit="1" customWidth="1"/>
    <col min="8457" max="8457" width="1.7109375" style="34" customWidth="1"/>
    <col min="8458" max="8463" width="15.7109375" style="34" customWidth="1"/>
    <col min="8464" max="8464" width="13.7109375" style="34" customWidth="1"/>
    <col min="8465" max="8465" width="40.7109375" style="34" customWidth="1"/>
    <col min="8466" max="8708" width="9.28515625" style="34"/>
    <col min="8709" max="8709" width="2.7109375" style="34" customWidth="1"/>
    <col min="8710" max="8710" width="5" style="34" customWidth="1"/>
    <col min="8711" max="8711" width="62" style="34" customWidth="1"/>
    <col min="8712" max="8712" width="12.7109375" style="34" bestFit="1" customWidth="1"/>
    <col min="8713" max="8713" width="1.7109375" style="34" customWidth="1"/>
    <col min="8714" max="8719" width="15.7109375" style="34" customWidth="1"/>
    <col min="8720" max="8720" width="13.7109375" style="34" customWidth="1"/>
    <col min="8721" max="8721" width="40.7109375" style="34" customWidth="1"/>
    <col min="8722" max="8964" width="9.28515625" style="34"/>
    <col min="8965" max="8965" width="2.7109375" style="34" customWidth="1"/>
    <col min="8966" max="8966" width="5" style="34" customWidth="1"/>
    <col min="8967" max="8967" width="62" style="34" customWidth="1"/>
    <col min="8968" max="8968" width="12.7109375" style="34" bestFit="1" customWidth="1"/>
    <col min="8969" max="8969" width="1.7109375" style="34" customWidth="1"/>
    <col min="8970" max="8975" width="15.7109375" style="34" customWidth="1"/>
    <col min="8976" max="8976" width="13.7109375" style="34" customWidth="1"/>
    <col min="8977" max="8977" width="40.7109375" style="34" customWidth="1"/>
    <col min="8978" max="9220" width="9.28515625" style="34"/>
    <col min="9221" max="9221" width="2.7109375" style="34" customWidth="1"/>
    <col min="9222" max="9222" width="5" style="34" customWidth="1"/>
    <col min="9223" max="9223" width="62" style="34" customWidth="1"/>
    <col min="9224" max="9224" width="12.7109375" style="34" bestFit="1" customWidth="1"/>
    <col min="9225" max="9225" width="1.7109375" style="34" customWidth="1"/>
    <col min="9226" max="9231" width="15.7109375" style="34" customWidth="1"/>
    <col min="9232" max="9232" width="13.7109375" style="34" customWidth="1"/>
    <col min="9233" max="9233" width="40.7109375" style="34" customWidth="1"/>
    <col min="9234" max="9476" width="9.28515625" style="34"/>
    <col min="9477" max="9477" width="2.7109375" style="34" customWidth="1"/>
    <col min="9478" max="9478" width="5" style="34" customWidth="1"/>
    <col min="9479" max="9479" width="62" style="34" customWidth="1"/>
    <col min="9480" max="9480" width="12.7109375" style="34" bestFit="1" customWidth="1"/>
    <col min="9481" max="9481" width="1.7109375" style="34" customWidth="1"/>
    <col min="9482" max="9487" width="15.7109375" style="34" customWidth="1"/>
    <col min="9488" max="9488" width="13.7109375" style="34" customWidth="1"/>
    <col min="9489" max="9489" width="40.7109375" style="34" customWidth="1"/>
    <col min="9490" max="9732" width="9.28515625" style="34"/>
    <col min="9733" max="9733" width="2.7109375" style="34" customWidth="1"/>
    <col min="9734" max="9734" width="5" style="34" customWidth="1"/>
    <col min="9735" max="9735" width="62" style="34" customWidth="1"/>
    <col min="9736" max="9736" width="12.7109375" style="34" bestFit="1" customWidth="1"/>
    <col min="9737" max="9737" width="1.7109375" style="34" customWidth="1"/>
    <col min="9738" max="9743" width="15.7109375" style="34" customWidth="1"/>
    <col min="9744" max="9744" width="13.7109375" style="34" customWidth="1"/>
    <col min="9745" max="9745" width="40.7109375" style="34" customWidth="1"/>
    <col min="9746" max="9988" width="9.28515625" style="34"/>
    <col min="9989" max="9989" width="2.7109375" style="34" customWidth="1"/>
    <col min="9990" max="9990" width="5" style="34" customWidth="1"/>
    <col min="9991" max="9991" width="62" style="34" customWidth="1"/>
    <col min="9992" max="9992" width="12.7109375" style="34" bestFit="1" customWidth="1"/>
    <col min="9993" max="9993" width="1.7109375" style="34" customWidth="1"/>
    <col min="9994" max="9999" width="15.7109375" style="34" customWidth="1"/>
    <col min="10000" max="10000" width="13.7109375" style="34" customWidth="1"/>
    <col min="10001" max="10001" width="40.7109375" style="34" customWidth="1"/>
    <col min="10002" max="10244" width="9.28515625" style="34"/>
    <col min="10245" max="10245" width="2.7109375" style="34" customWidth="1"/>
    <col min="10246" max="10246" width="5" style="34" customWidth="1"/>
    <col min="10247" max="10247" width="62" style="34" customWidth="1"/>
    <col min="10248" max="10248" width="12.7109375" style="34" bestFit="1" customWidth="1"/>
    <col min="10249" max="10249" width="1.7109375" style="34" customWidth="1"/>
    <col min="10250" max="10255" width="15.7109375" style="34" customWidth="1"/>
    <col min="10256" max="10256" width="13.7109375" style="34" customWidth="1"/>
    <col min="10257" max="10257" width="40.7109375" style="34" customWidth="1"/>
    <col min="10258" max="10500" width="9.28515625" style="34"/>
    <col min="10501" max="10501" width="2.7109375" style="34" customWidth="1"/>
    <col min="10502" max="10502" width="5" style="34" customWidth="1"/>
    <col min="10503" max="10503" width="62" style="34" customWidth="1"/>
    <col min="10504" max="10504" width="12.7109375" style="34" bestFit="1" customWidth="1"/>
    <col min="10505" max="10505" width="1.7109375" style="34" customWidth="1"/>
    <col min="10506" max="10511" width="15.7109375" style="34" customWidth="1"/>
    <col min="10512" max="10512" width="13.7109375" style="34" customWidth="1"/>
    <col min="10513" max="10513" width="40.7109375" style="34" customWidth="1"/>
    <col min="10514" max="10756" width="9.28515625" style="34"/>
    <col min="10757" max="10757" width="2.7109375" style="34" customWidth="1"/>
    <col min="10758" max="10758" width="5" style="34" customWidth="1"/>
    <col min="10759" max="10759" width="62" style="34" customWidth="1"/>
    <col min="10760" max="10760" width="12.7109375" style="34" bestFit="1" customWidth="1"/>
    <col min="10761" max="10761" width="1.7109375" style="34" customWidth="1"/>
    <col min="10762" max="10767" width="15.7109375" style="34" customWidth="1"/>
    <col min="10768" max="10768" width="13.7109375" style="34" customWidth="1"/>
    <col min="10769" max="10769" width="40.7109375" style="34" customWidth="1"/>
    <col min="10770" max="11012" width="9.28515625" style="34"/>
    <col min="11013" max="11013" width="2.7109375" style="34" customWidth="1"/>
    <col min="11014" max="11014" width="5" style="34" customWidth="1"/>
    <col min="11015" max="11015" width="62" style="34" customWidth="1"/>
    <col min="11016" max="11016" width="12.7109375" style="34" bestFit="1" customWidth="1"/>
    <col min="11017" max="11017" width="1.7109375" style="34" customWidth="1"/>
    <col min="11018" max="11023" width="15.7109375" style="34" customWidth="1"/>
    <col min="11024" max="11024" width="13.7109375" style="34" customWidth="1"/>
    <col min="11025" max="11025" width="40.7109375" style="34" customWidth="1"/>
    <col min="11026" max="11268" width="9.28515625" style="34"/>
    <col min="11269" max="11269" width="2.7109375" style="34" customWidth="1"/>
    <col min="11270" max="11270" width="5" style="34" customWidth="1"/>
    <col min="11271" max="11271" width="62" style="34" customWidth="1"/>
    <col min="11272" max="11272" width="12.7109375" style="34" bestFit="1" customWidth="1"/>
    <col min="11273" max="11273" width="1.7109375" style="34" customWidth="1"/>
    <col min="11274" max="11279" width="15.7109375" style="34" customWidth="1"/>
    <col min="11280" max="11280" width="13.7109375" style="34" customWidth="1"/>
    <col min="11281" max="11281" width="40.7109375" style="34" customWidth="1"/>
    <col min="11282" max="11524" width="9.28515625" style="34"/>
    <col min="11525" max="11525" width="2.7109375" style="34" customWidth="1"/>
    <col min="11526" max="11526" width="5" style="34" customWidth="1"/>
    <col min="11527" max="11527" width="62" style="34" customWidth="1"/>
    <col min="11528" max="11528" width="12.7109375" style="34" bestFit="1" customWidth="1"/>
    <col min="11529" max="11529" width="1.7109375" style="34" customWidth="1"/>
    <col min="11530" max="11535" width="15.7109375" style="34" customWidth="1"/>
    <col min="11536" max="11536" width="13.7109375" style="34" customWidth="1"/>
    <col min="11537" max="11537" width="40.7109375" style="34" customWidth="1"/>
    <col min="11538" max="11780" width="9.28515625" style="34"/>
    <col min="11781" max="11781" width="2.7109375" style="34" customWidth="1"/>
    <col min="11782" max="11782" width="5" style="34" customWidth="1"/>
    <col min="11783" max="11783" width="62" style="34" customWidth="1"/>
    <col min="11784" max="11784" width="12.7109375" style="34" bestFit="1" customWidth="1"/>
    <col min="11785" max="11785" width="1.7109375" style="34" customWidth="1"/>
    <col min="11786" max="11791" width="15.7109375" style="34" customWidth="1"/>
    <col min="11792" max="11792" width="13.7109375" style="34" customWidth="1"/>
    <col min="11793" max="11793" width="40.7109375" style="34" customWidth="1"/>
    <col min="11794" max="12036" width="9.28515625" style="34"/>
    <col min="12037" max="12037" width="2.7109375" style="34" customWidth="1"/>
    <col min="12038" max="12038" width="5" style="34" customWidth="1"/>
    <col min="12039" max="12039" width="62" style="34" customWidth="1"/>
    <col min="12040" max="12040" width="12.7109375" style="34" bestFit="1" customWidth="1"/>
    <col min="12041" max="12041" width="1.7109375" style="34" customWidth="1"/>
    <col min="12042" max="12047" width="15.7109375" style="34" customWidth="1"/>
    <col min="12048" max="12048" width="13.7109375" style="34" customWidth="1"/>
    <col min="12049" max="12049" width="40.7109375" style="34" customWidth="1"/>
    <col min="12050" max="12292" width="9.28515625" style="34"/>
    <col min="12293" max="12293" width="2.7109375" style="34" customWidth="1"/>
    <col min="12294" max="12294" width="5" style="34" customWidth="1"/>
    <col min="12295" max="12295" width="62" style="34" customWidth="1"/>
    <col min="12296" max="12296" width="12.7109375" style="34" bestFit="1" customWidth="1"/>
    <col min="12297" max="12297" width="1.7109375" style="34" customWidth="1"/>
    <col min="12298" max="12303" width="15.7109375" style="34" customWidth="1"/>
    <col min="12304" max="12304" width="13.7109375" style="34" customWidth="1"/>
    <col min="12305" max="12305" width="40.7109375" style="34" customWidth="1"/>
    <col min="12306" max="12548" width="9.28515625" style="34"/>
    <col min="12549" max="12549" width="2.7109375" style="34" customWidth="1"/>
    <col min="12550" max="12550" width="5" style="34" customWidth="1"/>
    <col min="12551" max="12551" width="62" style="34" customWidth="1"/>
    <col min="12552" max="12552" width="12.7109375" style="34" bestFit="1" customWidth="1"/>
    <col min="12553" max="12553" width="1.7109375" style="34" customWidth="1"/>
    <col min="12554" max="12559" width="15.7109375" style="34" customWidth="1"/>
    <col min="12560" max="12560" width="13.7109375" style="34" customWidth="1"/>
    <col min="12561" max="12561" width="40.7109375" style="34" customWidth="1"/>
    <col min="12562" max="12804" width="9.28515625" style="34"/>
    <col min="12805" max="12805" width="2.7109375" style="34" customWidth="1"/>
    <col min="12806" max="12806" width="5" style="34" customWidth="1"/>
    <col min="12807" max="12807" width="62" style="34" customWidth="1"/>
    <col min="12808" max="12808" width="12.7109375" style="34" bestFit="1" customWidth="1"/>
    <col min="12809" max="12809" width="1.7109375" style="34" customWidth="1"/>
    <col min="12810" max="12815" width="15.7109375" style="34" customWidth="1"/>
    <col min="12816" max="12816" width="13.7109375" style="34" customWidth="1"/>
    <col min="12817" max="12817" width="40.7109375" style="34" customWidth="1"/>
    <col min="12818" max="13060" width="9.28515625" style="34"/>
    <col min="13061" max="13061" width="2.7109375" style="34" customWidth="1"/>
    <col min="13062" max="13062" width="5" style="34" customWidth="1"/>
    <col min="13063" max="13063" width="62" style="34" customWidth="1"/>
    <col min="13064" max="13064" width="12.7109375" style="34" bestFit="1" customWidth="1"/>
    <col min="13065" max="13065" width="1.7109375" style="34" customWidth="1"/>
    <col min="13066" max="13071" width="15.7109375" style="34" customWidth="1"/>
    <col min="13072" max="13072" width="13.7109375" style="34" customWidth="1"/>
    <col min="13073" max="13073" width="40.7109375" style="34" customWidth="1"/>
    <col min="13074" max="13316" width="9.28515625" style="34"/>
    <col min="13317" max="13317" width="2.7109375" style="34" customWidth="1"/>
    <col min="13318" max="13318" width="5" style="34" customWidth="1"/>
    <col min="13319" max="13319" width="62" style="34" customWidth="1"/>
    <col min="13320" max="13320" width="12.7109375" style="34" bestFit="1" customWidth="1"/>
    <col min="13321" max="13321" width="1.7109375" style="34" customWidth="1"/>
    <col min="13322" max="13327" width="15.7109375" style="34" customWidth="1"/>
    <col min="13328" max="13328" width="13.7109375" style="34" customWidth="1"/>
    <col min="13329" max="13329" width="40.7109375" style="34" customWidth="1"/>
    <col min="13330" max="13572" width="9.28515625" style="34"/>
    <col min="13573" max="13573" width="2.7109375" style="34" customWidth="1"/>
    <col min="13574" max="13574" width="5" style="34" customWidth="1"/>
    <col min="13575" max="13575" width="62" style="34" customWidth="1"/>
    <col min="13576" max="13576" width="12.7109375" style="34" bestFit="1" customWidth="1"/>
    <col min="13577" max="13577" width="1.7109375" style="34" customWidth="1"/>
    <col min="13578" max="13583" width="15.7109375" style="34" customWidth="1"/>
    <col min="13584" max="13584" width="13.7109375" style="34" customWidth="1"/>
    <col min="13585" max="13585" width="40.7109375" style="34" customWidth="1"/>
    <col min="13586" max="13828" width="9.28515625" style="34"/>
    <col min="13829" max="13829" width="2.7109375" style="34" customWidth="1"/>
    <col min="13830" max="13830" width="5" style="34" customWidth="1"/>
    <col min="13831" max="13831" width="62" style="34" customWidth="1"/>
    <col min="13832" max="13832" width="12.7109375" style="34" bestFit="1" customWidth="1"/>
    <col min="13833" max="13833" width="1.7109375" style="34" customWidth="1"/>
    <col min="13834" max="13839" width="15.7109375" style="34" customWidth="1"/>
    <col min="13840" max="13840" width="13.7109375" style="34" customWidth="1"/>
    <col min="13841" max="13841" width="40.7109375" style="34" customWidth="1"/>
    <col min="13842" max="14084" width="9.28515625" style="34"/>
    <col min="14085" max="14085" width="2.7109375" style="34" customWidth="1"/>
    <col min="14086" max="14086" width="5" style="34" customWidth="1"/>
    <col min="14087" max="14087" width="62" style="34" customWidth="1"/>
    <col min="14088" max="14088" width="12.7109375" style="34" bestFit="1" customWidth="1"/>
    <col min="14089" max="14089" width="1.7109375" style="34" customWidth="1"/>
    <col min="14090" max="14095" width="15.7109375" style="34" customWidth="1"/>
    <col min="14096" max="14096" width="13.7109375" style="34" customWidth="1"/>
    <col min="14097" max="14097" width="40.7109375" style="34" customWidth="1"/>
    <col min="14098" max="14340" width="9.28515625" style="34"/>
    <col min="14341" max="14341" width="2.7109375" style="34" customWidth="1"/>
    <col min="14342" max="14342" width="5" style="34" customWidth="1"/>
    <col min="14343" max="14343" width="62" style="34" customWidth="1"/>
    <col min="14344" max="14344" width="12.7109375" style="34" bestFit="1" customWidth="1"/>
    <col min="14345" max="14345" width="1.7109375" style="34" customWidth="1"/>
    <col min="14346" max="14351" width="15.7109375" style="34" customWidth="1"/>
    <col min="14352" max="14352" width="13.7109375" style="34" customWidth="1"/>
    <col min="14353" max="14353" width="40.7109375" style="34" customWidth="1"/>
    <col min="14354" max="14596" width="9.28515625" style="34"/>
    <col min="14597" max="14597" width="2.7109375" style="34" customWidth="1"/>
    <col min="14598" max="14598" width="5" style="34" customWidth="1"/>
    <col min="14599" max="14599" width="62" style="34" customWidth="1"/>
    <col min="14600" max="14600" width="12.7109375" style="34" bestFit="1" customWidth="1"/>
    <col min="14601" max="14601" width="1.7109375" style="34" customWidth="1"/>
    <col min="14602" max="14607" width="15.7109375" style="34" customWidth="1"/>
    <col min="14608" max="14608" width="13.7109375" style="34" customWidth="1"/>
    <col min="14609" max="14609" width="40.7109375" style="34" customWidth="1"/>
    <col min="14610" max="14852" width="9.28515625" style="34"/>
    <col min="14853" max="14853" width="2.7109375" style="34" customWidth="1"/>
    <col min="14854" max="14854" width="5" style="34" customWidth="1"/>
    <col min="14855" max="14855" width="62" style="34" customWidth="1"/>
    <col min="14856" max="14856" width="12.7109375" style="34" bestFit="1" customWidth="1"/>
    <col min="14857" max="14857" width="1.7109375" style="34" customWidth="1"/>
    <col min="14858" max="14863" width="15.7109375" style="34" customWidth="1"/>
    <col min="14864" max="14864" width="13.7109375" style="34" customWidth="1"/>
    <col min="14865" max="14865" width="40.7109375" style="34" customWidth="1"/>
    <col min="14866" max="15108" width="9.28515625" style="34"/>
    <col min="15109" max="15109" width="2.7109375" style="34" customWidth="1"/>
    <col min="15110" max="15110" width="5" style="34" customWidth="1"/>
    <col min="15111" max="15111" width="62" style="34" customWidth="1"/>
    <col min="15112" max="15112" width="12.7109375" style="34" bestFit="1" customWidth="1"/>
    <col min="15113" max="15113" width="1.7109375" style="34" customWidth="1"/>
    <col min="15114" max="15119" width="15.7109375" style="34" customWidth="1"/>
    <col min="15120" max="15120" width="13.7109375" style="34" customWidth="1"/>
    <col min="15121" max="15121" width="40.7109375" style="34" customWidth="1"/>
    <col min="15122" max="15364" width="9.28515625" style="34"/>
    <col min="15365" max="15365" width="2.7109375" style="34" customWidth="1"/>
    <col min="15366" max="15366" width="5" style="34" customWidth="1"/>
    <col min="15367" max="15367" width="62" style="34" customWidth="1"/>
    <col min="15368" max="15368" width="12.7109375" style="34" bestFit="1" customWidth="1"/>
    <col min="15369" max="15369" width="1.7109375" style="34" customWidth="1"/>
    <col min="15370" max="15375" width="15.7109375" style="34" customWidth="1"/>
    <col min="15376" max="15376" width="13.7109375" style="34" customWidth="1"/>
    <col min="15377" max="15377" width="40.7109375" style="34" customWidth="1"/>
    <col min="15378" max="15620" width="9.28515625" style="34"/>
    <col min="15621" max="15621" width="2.7109375" style="34" customWidth="1"/>
    <col min="15622" max="15622" width="5" style="34" customWidth="1"/>
    <col min="15623" max="15623" width="62" style="34" customWidth="1"/>
    <col min="15624" max="15624" width="12.7109375" style="34" bestFit="1" customWidth="1"/>
    <col min="15625" max="15625" width="1.7109375" style="34" customWidth="1"/>
    <col min="15626" max="15631" width="15.7109375" style="34" customWidth="1"/>
    <col min="15632" max="15632" width="13.7109375" style="34" customWidth="1"/>
    <col min="15633" max="15633" width="40.7109375" style="34" customWidth="1"/>
    <col min="15634" max="15876" width="9.28515625" style="34"/>
    <col min="15877" max="15877" width="2.7109375" style="34" customWidth="1"/>
    <col min="15878" max="15878" width="5" style="34" customWidth="1"/>
    <col min="15879" max="15879" width="62" style="34" customWidth="1"/>
    <col min="15880" max="15880" width="12.7109375" style="34" bestFit="1" customWidth="1"/>
    <col min="15881" max="15881" width="1.7109375" style="34" customWidth="1"/>
    <col min="15882" max="15887" width="15.7109375" style="34" customWidth="1"/>
    <col min="15888" max="15888" width="13.7109375" style="34" customWidth="1"/>
    <col min="15889" max="15889" width="40.7109375" style="34" customWidth="1"/>
    <col min="15890" max="16132" width="9.28515625" style="34"/>
    <col min="16133" max="16133" width="2.7109375" style="34" customWidth="1"/>
    <col min="16134" max="16134" width="5" style="34" customWidth="1"/>
    <col min="16135" max="16135" width="62" style="34" customWidth="1"/>
    <col min="16136" max="16136" width="12.7109375" style="34" bestFit="1" customWidth="1"/>
    <col min="16137" max="16137" width="1.7109375" style="34" customWidth="1"/>
    <col min="16138" max="16143" width="15.7109375" style="34" customWidth="1"/>
    <col min="16144" max="16144" width="13.7109375" style="34" customWidth="1"/>
    <col min="16145" max="16145" width="40.7109375" style="34" customWidth="1"/>
    <col min="16146" max="16384" width="9.28515625" style="34"/>
  </cols>
  <sheetData>
    <row r="2" spans="1:17" x14ac:dyDescent="0.2">
      <c r="N2" s="77" t="s">
        <v>277</v>
      </c>
      <c r="O2" s="620" t="str">
        <f>EBNUMBER</f>
        <v>EB-2018-0056</v>
      </c>
    </row>
    <row r="3" spans="1:17" x14ac:dyDescent="0.2">
      <c r="N3" s="77" t="s">
        <v>278</v>
      </c>
      <c r="O3" s="33"/>
    </row>
    <row r="4" spans="1:17" x14ac:dyDescent="0.2">
      <c r="N4" s="77" t="s">
        <v>279</v>
      </c>
      <c r="O4" s="33"/>
    </row>
    <row r="5" spans="1:17" x14ac:dyDescent="0.2">
      <c r="N5" s="77" t="s">
        <v>280</v>
      </c>
      <c r="O5" s="33"/>
    </row>
    <row r="6" spans="1:17" x14ac:dyDescent="0.2">
      <c r="N6" s="77" t="s">
        <v>281</v>
      </c>
      <c r="O6" s="469"/>
    </row>
    <row r="7" spans="1:17" x14ac:dyDescent="0.2">
      <c r="N7" s="77"/>
      <c r="O7" s="620"/>
    </row>
    <row r="8" spans="1:17" x14ac:dyDescent="0.2">
      <c r="N8" s="77" t="s">
        <v>282</v>
      </c>
      <c r="O8" s="469"/>
    </row>
    <row r="9" spans="1:17" ht="18" x14ac:dyDescent="0.25">
      <c r="A9" s="1760" t="s">
        <v>1045</v>
      </c>
      <c r="B9" s="1790"/>
      <c r="C9" s="1790"/>
      <c r="D9" s="1790"/>
      <c r="E9" s="1790"/>
      <c r="F9" s="1790"/>
      <c r="G9" s="1790"/>
      <c r="H9" s="1790"/>
      <c r="I9" s="1790"/>
      <c r="J9" s="1790"/>
      <c r="K9" s="1790"/>
      <c r="L9" s="1790"/>
      <c r="M9" s="1790"/>
      <c r="N9" s="1790"/>
      <c r="O9" s="1790"/>
      <c r="P9" s="1790"/>
      <c r="Q9" s="1790"/>
    </row>
    <row r="10" spans="1:17" ht="18" x14ac:dyDescent="0.25">
      <c r="A10" s="1760" t="s">
        <v>365</v>
      </c>
      <c r="B10" s="1791"/>
      <c r="C10" s="1791"/>
      <c r="D10" s="1791"/>
      <c r="E10" s="1791"/>
      <c r="F10" s="1791"/>
      <c r="G10" s="1791"/>
      <c r="H10" s="1791"/>
      <c r="I10" s="1791"/>
      <c r="J10" s="1791"/>
      <c r="K10" s="1791"/>
      <c r="L10" s="1791"/>
      <c r="M10" s="1791"/>
      <c r="N10" s="1791"/>
      <c r="O10" s="1791"/>
      <c r="P10" s="1791"/>
      <c r="Q10" s="1791"/>
    </row>
    <row r="12" spans="1:17" ht="27" customHeight="1" x14ac:dyDescent="0.2">
      <c r="A12" s="1680" t="s">
        <v>366</v>
      </c>
      <c r="B12" s="1680"/>
      <c r="C12" s="1680"/>
      <c r="D12" s="1680"/>
      <c r="E12" s="1680"/>
      <c r="F12" s="1680"/>
      <c r="G12" s="1680"/>
      <c r="H12" s="1680"/>
      <c r="I12" s="1680"/>
      <c r="J12" s="1680"/>
      <c r="K12" s="1680"/>
      <c r="L12" s="1680"/>
      <c r="M12" s="1680"/>
      <c r="N12" s="1680"/>
      <c r="O12" s="1680"/>
      <c r="P12" s="779"/>
      <c r="Q12" s="779"/>
    </row>
    <row r="13" spans="1:17" ht="13.5" thickBot="1" x14ac:dyDescent="0.25"/>
    <row r="14" spans="1:17" ht="27.75" customHeight="1" x14ac:dyDescent="0.2">
      <c r="A14" s="2164" t="s">
        <v>367</v>
      </c>
      <c r="B14" s="2165"/>
      <c r="C14" s="2165"/>
      <c r="D14" s="892"/>
      <c r="E14" s="893" t="s">
        <v>962</v>
      </c>
      <c r="F14" s="894" t="s">
        <v>962</v>
      </c>
      <c r="G14" s="895" t="s">
        <v>962</v>
      </c>
      <c r="H14" s="894" t="s">
        <v>962</v>
      </c>
      <c r="I14" s="895" t="s">
        <v>962</v>
      </c>
      <c r="J14" s="633" t="s">
        <v>963</v>
      </c>
      <c r="K14" s="2171" t="s">
        <v>882</v>
      </c>
      <c r="L14" s="2159" t="s">
        <v>882</v>
      </c>
      <c r="M14" s="2173" t="s">
        <v>1194</v>
      </c>
      <c r="N14" s="2168" t="s">
        <v>883</v>
      </c>
      <c r="O14" s="2161" t="s">
        <v>368</v>
      </c>
    </row>
    <row r="15" spans="1:17" x14ac:dyDescent="0.2">
      <c r="A15" s="2166"/>
      <c r="B15" s="2167"/>
      <c r="C15" s="2167"/>
      <c r="D15" s="81"/>
      <c r="E15" s="896"/>
      <c r="F15" s="897"/>
      <c r="G15" s="898"/>
      <c r="H15" s="897"/>
      <c r="I15" s="898"/>
      <c r="J15" s="899"/>
      <c r="K15" s="2172"/>
      <c r="L15" s="2160"/>
      <c r="M15" s="2174"/>
      <c r="N15" s="2169"/>
      <c r="O15" s="2162"/>
    </row>
    <row r="16" spans="1:17" ht="36" customHeight="1" thickBot="1" x14ac:dyDescent="0.25">
      <c r="A16" s="2166"/>
      <c r="B16" s="2167"/>
      <c r="C16" s="2167"/>
      <c r="D16" s="81"/>
      <c r="E16" s="900">
        <v>2012</v>
      </c>
      <c r="F16" s="901">
        <v>2013</v>
      </c>
      <c r="G16" s="902">
        <v>2014</v>
      </c>
      <c r="H16" s="901">
        <v>2015</v>
      </c>
      <c r="I16" s="902" t="s">
        <v>1195</v>
      </c>
      <c r="J16" s="903" t="s">
        <v>1196</v>
      </c>
      <c r="K16" s="904" t="s">
        <v>1197</v>
      </c>
      <c r="L16" s="905" t="s">
        <v>1198</v>
      </c>
      <c r="M16" s="2175"/>
      <c r="N16" s="2170"/>
      <c r="O16" s="2163"/>
    </row>
    <row r="17" spans="1:17" ht="12.75" customHeight="1" x14ac:dyDescent="0.2">
      <c r="A17" s="2145" t="s">
        <v>1052</v>
      </c>
      <c r="B17" s="2146"/>
      <c r="C17" s="2147"/>
      <c r="D17" s="906"/>
      <c r="E17" s="907"/>
      <c r="F17" s="908"/>
      <c r="G17" s="908"/>
      <c r="H17" s="908"/>
      <c r="I17" s="908"/>
      <c r="J17" s="441"/>
      <c r="K17" s="909"/>
      <c r="L17" s="908"/>
      <c r="M17" s="908"/>
      <c r="N17" s="910">
        <f t="shared" ref="N17:N28" si="0">SUM(E17:M17)</f>
        <v>0</v>
      </c>
      <c r="O17" s="624"/>
    </row>
    <row r="18" spans="1:17" ht="12.75" customHeight="1" x14ac:dyDescent="0.2">
      <c r="A18" s="2144" t="s">
        <v>1053</v>
      </c>
      <c r="B18" s="1726"/>
      <c r="C18" s="1727"/>
      <c r="D18" s="906"/>
      <c r="E18" s="911"/>
      <c r="F18" s="135"/>
      <c r="G18" s="135"/>
      <c r="H18" s="135"/>
      <c r="I18" s="135"/>
      <c r="J18" s="142"/>
      <c r="K18" s="912"/>
      <c r="L18" s="135"/>
      <c r="M18" s="135"/>
      <c r="N18" s="910">
        <f t="shared" si="0"/>
        <v>0</v>
      </c>
      <c r="O18" s="624"/>
    </row>
    <row r="19" spans="1:17" ht="12.75" customHeight="1" x14ac:dyDescent="0.2">
      <c r="A19" s="2145" t="s">
        <v>1054</v>
      </c>
      <c r="B19" s="2146"/>
      <c r="C19" s="2147"/>
      <c r="D19" s="906"/>
      <c r="E19" s="911"/>
      <c r="F19" s="135"/>
      <c r="G19" s="135"/>
      <c r="H19" s="135"/>
      <c r="I19" s="135"/>
      <c r="J19" s="142"/>
      <c r="K19" s="912"/>
      <c r="L19" s="135"/>
      <c r="M19" s="135"/>
      <c r="N19" s="910">
        <f t="shared" si="0"/>
        <v>0</v>
      </c>
      <c r="O19" s="624"/>
    </row>
    <row r="20" spans="1:17" ht="12.75" customHeight="1" x14ac:dyDescent="0.2">
      <c r="A20" s="2148" t="s">
        <v>1055</v>
      </c>
      <c r="B20" s="2149"/>
      <c r="C20" s="2150"/>
      <c r="D20" s="906"/>
      <c r="E20" s="911"/>
      <c r="F20" s="135"/>
      <c r="G20" s="135"/>
      <c r="H20" s="135"/>
      <c r="I20" s="135"/>
      <c r="J20" s="142"/>
      <c r="K20" s="912"/>
      <c r="L20" s="135"/>
      <c r="M20" s="135"/>
      <c r="N20" s="910">
        <f t="shared" si="0"/>
        <v>0</v>
      </c>
      <c r="O20" s="624"/>
    </row>
    <row r="21" spans="1:17" ht="24" customHeight="1" x14ac:dyDescent="0.2">
      <c r="A21" s="2144" t="s">
        <v>1056</v>
      </c>
      <c r="B21" s="1726"/>
      <c r="C21" s="1727"/>
      <c r="D21" s="906"/>
      <c r="E21" s="911"/>
      <c r="F21" s="135"/>
      <c r="G21" s="135"/>
      <c r="H21" s="135"/>
      <c r="I21" s="135"/>
      <c r="J21" s="142"/>
      <c r="K21" s="912"/>
      <c r="L21" s="135"/>
      <c r="M21" s="135"/>
      <c r="N21" s="910">
        <f t="shared" si="0"/>
        <v>0</v>
      </c>
      <c r="O21" s="624"/>
    </row>
    <row r="22" spans="1:17" x14ac:dyDescent="0.2">
      <c r="A22" s="2151"/>
      <c r="B22" s="2152"/>
      <c r="C22" s="2153"/>
      <c r="D22" s="906"/>
      <c r="E22" s="911"/>
      <c r="F22" s="135"/>
      <c r="G22" s="135"/>
      <c r="H22" s="135"/>
      <c r="I22" s="135"/>
      <c r="J22" s="142"/>
      <c r="K22" s="912"/>
      <c r="L22" s="135"/>
      <c r="M22" s="135"/>
      <c r="N22" s="910">
        <f t="shared" si="0"/>
        <v>0</v>
      </c>
      <c r="O22" s="624"/>
    </row>
    <row r="23" spans="1:17" ht="25.15" customHeight="1" x14ac:dyDescent="0.2">
      <c r="A23" s="2082"/>
      <c r="B23" s="2083"/>
      <c r="C23" s="2154"/>
      <c r="D23" s="906"/>
      <c r="E23" s="911"/>
      <c r="F23" s="135"/>
      <c r="G23" s="135"/>
      <c r="H23" s="135"/>
      <c r="I23" s="135"/>
      <c r="J23" s="142"/>
      <c r="K23" s="912"/>
      <c r="L23" s="135"/>
      <c r="M23" s="135"/>
      <c r="N23" s="910">
        <f t="shared" si="0"/>
        <v>0</v>
      </c>
      <c r="O23" s="624"/>
    </row>
    <row r="24" spans="1:17" ht="25.15" customHeight="1" x14ac:dyDescent="0.2">
      <c r="A24" s="2082"/>
      <c r="B24" s="2083"/>
      <c r="C24" s="2154"/>
      <c r="D24" s="906"/>
      <c r="E24" s="911"/>
      <c r="F24" s="135"/>
      <c r="G24" s="135"/>
      <c r="H24" s="135"/>
      <c r="I24" s="135"/>
      <c r="J24" s="142"/>
      <c r="K24" s="912"/>
      <c r="L24" s="135"/>
      <c r="M24" s="135"/>
      <c r="N24" s="910">
        <f t="shared" si="0"/>
        <v>0</v>
      </c>
      <c r="O24" s="624"/>
    </row>
    <row r="25" spans="1:17" ht="13.5" customHeight="1" x14ac:dyDescent="0.2">
      <c r="A25" s="2151"/>
      <c r="B25" s="2152"/>
      <c r="C25" s="2153"/>
      <c r="D25" s="906"/>
      <c r="E25" s="911"/>
      <c r="F25" s="135"/>
      <c r="G25" s="135"/>
      <c r="H25" s="135"/>
      <c r="I25" s="135"/>
      <c r="J25" s="142"/>
      <c r="K25" s="912"/>
      <c r="L25" s="135"/>
      <c r="M25" s="135"/>
      <c r="N25" s="910">
        <f t="shared" si="0"/>
        <v>0</v>
      </c>
      <c r="O25" s="624"/>
    </row>
    <row r="26" spans="1:17" ht="32.25" customHeight="1" x14ac:dyDescent="0.2">
      <c r="A26" s="2073" t="s">
        <v>964</v>
      </c>
      <c r="B26" s="2074"/>
      <c r="C26" s="2155"/>
      <c r="D26" s="906"/>
      <c r="E26" s="911"/>
      <c r="F26" s="135"/>
      <c r="G26" s="135"/>
      <c r="H26" s="135"/>
      <c r="I26" s="135"/>
      <c r="J26" s="142"/>
      <c r="K26" s="912"/>
      <c r="L26" s="135"/>
      <c r="M26" s="135"/>
      <c r="N26" s="910">
        <f t="shared" si="0"/>
        <v>0</v>
      </c>
      <c r="O26" s="624"/>
    </row>
    <row r="27" spans="1:17" ht="27" customHeight="1" x14ac:dyDescent="0.2">
      <c r="A27" s="2073"/>
      <c r="B27" s="2074"/>
      <c r="C27" s="2155"/>
      <c r="D27" s="906"/>
      <c r="E27" s="911"/>
      <c r="F27" s="135"/>
      <c r="G27" s="135"/>
      <c r="H27" s="135"/>
      <c r="I27" s="135"/>
      <c r="J27" s="142"/>
      <c r="K27" s="912"/>
      <c r="L27" s="135"/>
      <c r="M27" s="135"/>
      <c r="N27" s="910">
        <f t="shared" si="0"/>
        <v>0</v>
      </c>
      <c r="O27" s="624"/>
    </row>
    <row r="28" spans="1:17" ht="13.5" customHeight="1" thickBot="1" x14ac:dyDescent="0.25">
      <c r="A28" s="2156" t="s">
        <v>164</v>
      </c>
      <c r="B28" s="2157"/>
      <c r="C28" s="2158"/>
      <c r="D28" s="906"/>
      <c r="E28" s="911"/>
      <c r="F28" s="135"/>
      <c r="G28" s="135"/>
      <c r="H28" s="135"/>
      <c r="I28" s="135"/>
      <c r="J28" s="142"/>
      <c r="K28" s="912"/>
      <c r="L28" s="135"/>
      <c r="M28" s="135"/>
      <c r="N28" s="910">
        <f t="shared" si="0"/>
        <v>0</v>
      </c>
      <c r="O28" s="625"/>
    </row>
    <row r="29" spans="1:17" ht="14.25" customHeight="1" thickTop="1" thickBot="1" x14ac:dyDescent="0.25">
      <c r="A29" s="2141" t="s">
        <v>272</v>
      </c>
      <c r="B29" s="2142"/>
      <c r="C29" s="2143"/>
      <c r="D29" s="913"/>
      <c r="E29" s="914">
        <f t="shared" ref="E29:L29" si="1">SUM(E17:E28)</f>
        <v>0</v>
      </c>
      <c r="F29" s="435">
        <f t="shared" si="1"/>
        <v>0</v>
      </c>
      <c r="G29" s="435"/>
      <c r="H29" s="435">
        <f>SUM(H17:H28)</f>
        <v>0</v>
      </c>
      <c r="I29" s="435"/>
      <c r="J29" s="435">
        <f t="shared" si="1"/>
        <v>0</v>
      </c>
      <c r="K29" s="915"/>
      <c r="L29" s="435">
        <f t="shared" si="1"/>
        <v>0</v>
      </c>
      <c r="M29" s="435"/>
      <c r="N29" s="144">
        <f>SUM(N17:N28)</f>
        <v>0</v>
      </c>
      <c r="O29" s="626"/>
    </row>
    <row r="31" spans="1:17" x14ac:dyDescent="0.2">
      <c r="A31" s="77" t="s">
        <v>105</v>
      </c>
      <c r="B31" s="38"/>
      <c r="C31" s="38"/>
      <c r="D31" s="38"/>
    </row>
    <row r="32" spans="1:17" ht="27" customHeight="1" x14ac:dyDescent="0.2">
      <c r="A32" s="463">
        <v>1</v>
      </c>
      <c r="B32" s="1681" t="s">
        <v>369</v>
      </c>
      <c r="C32" s="1681"/>
      <c r="D32" s="1681"/>
      <c r="E32" s="1681"/>
      <c r="F32" s="1681"/>
      <c r="G32" s="1681"/>
      <c r="H32" s="1681"/>
      <c r="I32" s="1681"/>
      <c r="J32" s="1681"/>
      <c r="K32" s="1681"/>
      <c r="L32" s="1681"/>
      <c r="M32" s="1681"/>
      <c r="N32" s="1681"/>
      <c r="O32" s="1681"/>
      <c r="P32" s="462"/>
      <c r="Q32" s="462"/>
    </row>
    <row r="33" spans="1:15" ht="12.75" customHeight="1" x14ac:dyDescent="0.2">
      <c r="A33" s="463">
        <v>2</v>
      </c>
      <c r="B33" s="2138" t="s">
        <v>468</v>
      </c>
      <c r="C33" s="2138"/>
      <c r="D33" s="2138"/>
      <c r="E33" s="2138"/>
      <c r="F33" s="2139"/>
      <c r="G33" s="2139"/>
    </row>
    <row r="34" spans="1:15" ht="12.75" customHeight="1" x14ac:dyDescent="0.2">
      <c r="A34" s="1785">
        <v>3</v>
      </c>
      <c r="B34" s="1681" t="s">
        <v>934</v>
      </c>
      <c r="C34" s="1681"/>
      <c r="D34" s="1681"/>
      <c r="E34" s="1681"/>
      <c r="F34" s="1681"/>
      <c r="G34" s="1681"/>
      <c r="H34" s="1681"/>
      <c r="I34" s="1681"/>
      <c r="J34" s="1681"/>
      <c r="K34" s="1681"/>
      <c r="L34" s="1681"/>
      <c r="M34" s="1681"/>
      <c r="N34" s="1681"/>
      <c r="O34" s="1681"/>
    </row>
    <row r="35" spans="1:15" x14ac:dyDescent="0.2">
      <c r="A35" s="1785"/>
      <c r="B35" s="773"/>
      <c r="C35" s="773"/>
      <c r="D35" s="773"/>
    </row>
    <row r="36" spans="1:15" x14ac:dyDescent="0.2">
      <c r="A36" s="138"/>
      <c r="B36" s="38"/>
      <c r="C36" s="38"/>
      <c r="D36" s="38"/>
    </row>
    <row r="37" spans="1:15" ht="12.75" customHeight="1" x14ac:dyDescent="0.2">
      <c r="A37" s="1785"/>
      <c r="B37" s="2140"/>
      <c r="C37" s="2140"/>
      <c r="D37" s="2140"/>
      <c r="E37" s="462"/>
      <c r="F37" s="462"/>
      <c r="G37" s="462"/>
      <c r="H37" s="462"/>
      <c r="I37" s="462"/>
      <c r="J37" s="462"/>
      <c r="K37" s="462"/>
      <c r="L37" s="462"/>
      <c r="M37" s="462"/>
      <c r="N37" s="462"/>
      <c r="O37" s="462"/>
    </row>
    <row r="38" spans="1:15" x14ac:dyDescent="0.2">
      <c r="A38" s="1785"/>
      <c r="B38" s="1786"/>
      <c r="C38" s="1786"/>
      <c r="D38" s="1786"/>
      <c r="E38" s="462"/>
      <c r="F38" s="462"/>
      <c r="G38" s="462"/>
      <c r="H38" s="462"/>
      <c r="I38" s="462"/>
      <c r="J38" s="462"/>
      <c r="K38" s="462"/>
      <c r="L38" s="462"/>
      <c r="M38" s="462"/>
      <c r="N38" s="462"/>
      <c r="O38" s="462"/>
    </row>
    <row r="39" spans="1:15" ht="12.75" customHeight="1" x14ac:dyDescent="0.2">
      <c r="A39" s="138"/>
      <c r="B39" s="775"/>
      <c r="C39" s="775"/>
      <c r="D39" s="775"/>
      <c r="E39" s="462"/>
      <c r="F39" s="462"/>
      <c r="G39" s="462"/>
      <c r="H39" s="462"/>
      <c r="I39" s="462"/>
      <c r="J39" s="462"/>
      <c r="K39" s="462"/>
      <c r="L39" s="462"/>
      <c r="M39" s="462"/>
      <c r="N39" s="462"/>
      <c r="O39" s="462"/>
    </row>
    <row r="40" spans="1:15" x14ac:dyDescent="0.2">
      <c r="A40" s="1787"/>
      <c r="B40" s="2140"/>
      <c r="C40" s="2140"/>
      <c r="D40" s="2140"/>
      <c r="E40" s="462"/>
      <c r="F40" s="462"/>
      <c r="G40" s="462"/>
      <c r="H40" s="462"/>
      <c r="I40" s="462"/>
      <c r="J40" s="462"/>
      <c r="K40" s="462"/>
      <c r="L40" s="462"/>
      <c r="M40" s="462"/>
      <c r="N40" s="462"/>
      <c r="O40" s="462"/>
    </row>
    <row r="41" spans="1:15" x14ac:dyDescent="0.2">
      <c r="A41" s="1787"/>
      <c r="B41" s="2140"/>
      <c r="C41" s="2140"/>
      <c r="D41" s="2140"/>
      <c r="E41" s="462"/>
      <c r="F41" s="462"/>
      <c r="G41" s="462"/>
      <c r="H41" s="462"/>
      <c r="I41" s="462"/>
      <c r="J41" s="462"/>
      <c r="K41" s="462"/>
      <c r="L41" s="462"/>
      <c r="M41" s="462"/>
      <c r="N41" s="462"/>
      <c r="O41" s="462"/>
    </row>
    <row r="42" spans="1:15" x14ac:dyDescent="0.2">
      <c r="A42" s="1787"/>
      <c r="B42" s="1786"/>
      <c r="C42" s="1786"/>
      <c r="D42" s="1786"/>
      <c r="E42" s="462"/>
      <c r="F42" s="462"/>
      <c r="G42" s="462"/>
      <c r="H42" s="462"/>
      <c r="I42" s="462"/>
      <c r="J42" s="462"/>
      <c r="K42" s="462"/>
      <c r="L42" s="462"/>
      <c r="M42" s="462"/>
      <c r="N42" s="462"/>
      <c r="O42" s="462"/>
    </row>
    <row r="43" spans="1:15" x14ac:dyDescent="0.2">
      <c r="A43" s="1787"/>
      <c r="B43" s="1786"/>
      <c r="C43" s="1786"/>
      <c r="D43" s="1786"/>
      <c r="E43" s="462"/>
      <c r="F43" s="462"/>
      <c r="G43" s="462"/>
      <c r="H43" s="462"/>
      <c r="I43" s="462"/>
      <c r="J43" s="462"/>
      <c r="K43" s="462"/>
      <c r="L43" s="462"/>
      <c r="M43" s="462"/>
      <c r="N43" s="462"/>
      <c r="O43" s="462"/>
    </row>
    <row r="44" spans="1:15" x14ac:dyDescent="0.2">
      <c r="A44" s="138"/>
      <c r="B44" s="38"/>
      <c r="C44" s="38"/>
      <c r="D44" s="38"/>
    </row>
    <row r="45" spans="1:15" ht="12.75" customHeight="1" x14ac:dyDescent="0.2">
      <c r="A45" s="1785"/>
      <c r="B45" s="2140"/>
      <c r="C45" s="2140"/>
      <c r="D45" s="2140"/>
      <c r="E45" s="462"/>
      <c r="F45" s="462"/>
      <c r="G45" s="462"/>
      <c r="H45" s="462"/>
      <c r="I45" s="462"/>
      <c r="J45" s="462"/>
      <c r="K45" s="462"/>
      <c r="L45" s="462"/>
      <c r="M45" s="462"/>
      <c r="N45" s="462"/>
      <c r="O45" s="462"/>
    </row>
    <row r="46" spans="1:15" x14ac:dyDescent="0.2">
      <c r="A46" s="1785"/>
      <c r="B46" s="2140"/>
      <c r="C46" s="2140"/>
      <c r="D46" s="2140"/>
      <c r="E46" s="462"/>
      <c r="F46" s="462"/>
      <c r="G46" s="462"/>
      <c r="H46" s="462"/>
      <c r="I46" s="462"/>
      <c r="J46" s="462"/>
      <c r="K46" s="462"/>
      <c r="L46" s="462"/>
      <c r="M46" s="462"/>
      <c r="N46" s="462"/>
      <c r="O46" s="462"/>
    </row>
    <row r="48" spans="1:15" ht="12.75" customHeight="1" x14ac:dyDescent="0.2"/>
  </sheetData>
  <sheetProtection algorithmName="SHA-512" hashValue="3j128nrIy+oRDiyX2PUWN9KlizVTY1+6J9DjpqAu+F8D3JSQ/NbT2lHQjzeKY1iB7OwdCbDGelDu/2QHgNGndA==" saltValue="4r3OUlr4YUpBwDRrqOQmmQ==" spinCount="100000" sheet="1" objects="1" scenarios="1"/>
  <mergeCells count="33">
    <mergeCell ref="A17:C17"/>
    <mergeCell ref="A14:C16"/>
    <mergeCell ref="N14:N16"/>
    <mergeCell ref="K14:K15"/>
    <mergeCell ref="M14:M16"/>
    <mergeCell ref="A9:Q9"/>
    <mergeCell ref="A10:Q10"/>
    <mergeCell ref="A12:O12"/>
    <mergeCell ref="L14:L15"/>
    <mergeCell ref="O14:O16"/>
    <mergeCell ref="A29:C29"/>
    <mergeCell ref="A18:C18"/>
    <mergeCell ref="A19:C19"/>
    <mergeCell ref="A20:C20"/>
    <mergeCell ref="A21:C21"/>
    <mergeCell ref="A22:C22"/>
    <mergeCell ref="A23:C23"/>
    <mergeCell ref="A24:C24"/>
    <mergeCell ref="A25:C25"/>
    <mergeCell ref="A26:C26"/>
    <mergeCell ref="A27:C27"/>
    <mergeCell ref="A28:C28"/>
    <mergeCell ref="A45:A46"/>
    <mergeCell ref="B45:D46"/>
    <mergeCell ref="A34:A35"/>
    <mergeCell ref="A37:A38"/>
    <mergeCell ref="B37:D38"/>
    <mergeCell ref="B33:E33"/>
    <mergeCell ref="F33:G33"/>
    <mergeCell ref="B32:O32"/>
    <mergeCell ref="B34:O34"/>
    <mergeCell ref="A40:A43"/>
    <mergeCell ref="B40:D43"/>
  </mergeCells>
  <dataValidations count="1">
    <dataValidation allowBlank="1" showInputMessage="1" showErrorMessage="1" promptTitle="Date Format" prompt="E.g:  &quot;August 1, 2011&quot;" sqref="WVR983040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7 JF65536 TB65536 ACX65536 AMT65536 AWP65536 BGL65536 BQH65536 CAD65536 CJZ65536 CTV65536 DDR65536 DNN65536 DXJ65536 EHF65536 ERB65536 FAX65536 FKT65536 FUP65536 GEL65536 GOH65536 GYD65536 HHZ65536 HRV65536 IBR65536 ILN65536 IVJ65536 JFF65536 JPB65536 JYX65536 KIT65536 KSP65536 LCL65536 LMH65536 LWD65536 MFZ65536 MPV65536 MZR65536 NJN65536 NTJ65536 ODF65536 ONB65536 OWX65536 PGT65536 PQP65536 QAL65536 QKH65536 QUD65536 RDZ65536 RNV65536 RXR65536 SHN65536 SRJ65536 TBF65536 TLB65536 TUX65536 UET65536 UOP65536 UYL65536 VIH65536 VSD65536 WBZ65536 WLV65536 WVR65536 JF131072 TB131072 ACX131072 AMT131072 AWP131072 BGL131072 BQH131072 CAD131072 CJZ131072 CTV131072 DDR131072 DNN131072 DXJ131072 EHF131072 ERB131072 FAX131072 FKT131072 FUP131072 GEL131072 GOH131072 GYD131072 HHZ131072 HRV131072 IBR131072 ILN131072 IVJ131072 JFF131072 JPB131072 JYX131072 KIT131072 KSP131072 LCL131072 LMH131072 LWD131072 MFZ131072 MPV131072 MZR131072 NJN131072 NTJ131072 ODF131072 ONB131072 OWX131072 PGT131072 PQP131072 QAL131072 QKH131072 QUD131072 RDZ131072 RNV131072 RXR131072 SHN131072 SRJ131072 TBF131072 TLB131072 TUX131072 UET131072 UOP131072 UYL131072 VIH131072 VSD131072 WBZ131072 WLV131072 WVR131072 JF196608 TB196608 ACX196608 AMT196608 AWP196608 BGL196608 BQH196608 CAD196608 CJZ196608 CTV196608 DDR196608 DNN196608 DXJ196608 EHF196608 ERB196608 FAX196608 FKT196608 FUP196608 GEL196608 GOH196608 GYD196608 HHZ196608 HRV196608 IBR196608 ILN196608 IVJ196608 JFF196608 JPB196608 JYX196608 KIT196608 KSP196608 LCL196608 LMH196608 LWD196608 MFZ196608 MPV196608 MZR196608 NJN196608 NTJ196608 ODF196608 ONB196608 OWX196608 PGT196608 PQP196608 QAL196608 QKH196608 QUD196608 RDZ196608 RNV196608 RXR196608 SHN196608 SRJ196608 TBF196608 TLB196608 TUX196608 UET196608 UOP196608 UYL196608 VIH196608 VSD196608 WBZ196608 WLV196608 WVR196608 JF262144 TB262144 ACX262144 AMT262144 AWP262144 BGL262144 BQH262144 CAD262144 CJZ262144 CTV262144 DDR262144 DNN262144 DXJ262144 EHF262144 ERB262144 FAX262144 FKT262144 FUP262144 GEL262144 GOH262144 GYD262144 HHZ262144 HRV262144 IBR262144 ILN262144 IVJ262144 JFF262144 JPB262144 JYX262144 KIT262144 KSP262144 LCL262144 LMH262144 LWD262144 MFZ262144 MPV262144 MZR262144 NJN262144 NTJ262144 ODF262144 ONB262144 OWX262144 PGT262144 PQP262144 QAL262144 QKH262144 QUD262144 RDZ262144 RNV262144 RXR262144 SHN262144 SRJ262144 TBF262144 TLB262144 TUX262144 UET262144 UOP262144 UYL262144 VIH262144 VSD262144 WBZ262144 WLV262144 WVR262144 JF327680 TB327680 ACX327680 AMT327680 AWP327680 BGL327680 BQH327680 CAD327680 CJZ327680 CTV327680 DDR327680 DNN327680 DXJ327680 EHF327680 ERB327680 FAX327680 FKT327680 FUP327680 GEL327680 GOH327680 GYD327680 HHZ327680 HRV327680 IBR327680 ILN327680 IVJ327680 JFF327680 JPB327680 JYX327680 KIT327680 KSP327680 LCL327680 LMH327680 LWD327680 MFZ327680 MPV327680 MZR327680 NJN327680 NTJ327680 ODF327680 ONB327680 OWX327680 PGT327680 PQP327680 QAL327680 QKH327680 QUD327680 RDZ327680 RNV327680 RXR327680 SHN327680 SRJ327680 TBF327680 TLB327680 TUX327680 UET327680 UOP327680 UYL327680 VIH327680 VSD327680 WBZ327680 WLV327680 WVR327680 JF393216 TB393216 ACX393216 AMT393216 AWP393216 BGL393216 BQH393216 CAD393216 CJZ393216 CTV393216 DDR393216 DNN393216 DXJ393216 EHF393216 ERB393216 FAX393216 FKT393216 FUP393216 GEL393216 GOH393216 GYD393216 HHZ393216 HRV393216 IBR393216 ILN393216 IVJ393216 JFF393216 JPB393216 JYX393216 KIT393216 KSP393216 LCL393216 LMH393216 LWD393216 MFZ393216 MPV393216 MZR393216 NJN393216 NTJ393216 ODF393216 ONB393216 OWX393216 PGT393216 PQP393216 QAL393216 QKH393216 QUD393216 RDZ393216 RNV393216 RXR393216 SHN393216 SRJ393216 TBF393216 TLB393216 TUX393216 UET393216 UOP393216 UYL393216 VIH393216 VSD393216 WBZ393216 WLV393216 WVR393216 JF458752 TB458752 ACX458752 AMT458752 AWP458752 BGL458752 BQH458752 CAD458752 CJZ458752 CTV458752 DDR458752 DNN458752 DXJ458752 EHF458752 ERB458752 FAX458752 FKT458752 FUP458752 GEL458752 GOH458752 GYD458752 HHZ458752 HRV458752 IBR458752 ILN458752 IVJ458752 JFF458752 JPB458752 JYX458752 KIT458752 KSP458752 LCL458752 LMH458752 LWD458752 MFZ458752 MPV458752 MZR458752 NJN458752 NTJ458752 ODF458752 ONB458752 OWX458752 PGT458752 PQP458752 QAL458752 QKH458752 QUD458752 RDZ458752 RNV458752 RXR458752 SHN458752 SRJ458752 TBF458752 TLB458752 TUX458752 UET458752 UOP458752 UYL458752 VIH458752 VSD458752 WBZ458752 WLV458752 WVR458752 JF524288 TB524288 ACX524288 AMT524288 AWP524288 BGL524288 BQH524288 CAD524288 CJZ524288 CTV524288 DDR524288 DNN524288 DXJ524288 EHF524288 ERB524288 FAX524288 FKT524288 FUP524288 GEL524288 GOH524288 GYD524288 HHZ524288 HRV524288 IBR524288 ILN524288 IVJ524288 JFF524288 JPB524288 JYX524288 KIT524288 KSP524288 LCL524288 LMH524288 LWD524288 MFZ524288 MPV524288 MZR524288 NJN524288 NTJ524288 ODF524288 ONB524288 OWX524288 PGT524288 PQP524288 QAL524288 QKH524288 QUD524288 RDZ524288 RNV524288 RXR524288 SHN524288 SRJ524288 TBF524288 TLB524288 TUX524288 UET524288 UOP524288 UYL524288 VIH524288 VSD524288 WBZ524288 WLV524288 WVR524288 JF589824 TB589824 ACX589824 AMT589824 AWP589824 BGL589824 BQH589824 CAD589824 CJZ589824 CTV589824 DDR589824 DNN589824 DXJ589824 EHF589824 ERB589824 FAX589824 FKT589824 FUP589824 GEL589824 GOH589824 GYD589824 HHZ589824 HRV589824 IBR589824 ILN589824 IVJ589824 JFF589824 JPB589824 JYX589824 KIT589824 KSP589824 LCL589824 LMH589824 LWD589824 MFZ589824 MPV589824 MZR589824 NJN589824 NTJ589824 ODF589824 ONB589824 OWX589824 PGT589824 PQP589824 QAL589824 QKH589824 QUD589824 RDZ589824 RNV589824 RXR589824 SHN589824 SRJ589824 TBF589824 TLB589824 TUX589824 UET589824 UOP589824 UYL589824 VIH589824 VSD589824 WBZ589824 WLV589824 WVR589824 JF655360 TB655360 ACX655360 AMT655360 AWP655360 BGL655360 BQH655360 CAD655360 CJZ655360 CTV655360 DDR655360 DNN655360 DXJ655360 EHF655360 ERB655360 FAX655360 FKT655360 FUP655360 GEL655360 GOH655360 GYD655360 HHZ655360 HRV655360 IBR655360 ILN655360 IVJ655360 JFF655360 JPB655360 JYX655360 KIT655360 KSP655360 LCL655360 LMH655360 LWD655360 MFZ655360 MPV655360 MZR655360 NJN655360 NTJ655360 ODF655360 ONB655360 OWX655360 PGT655360 PQP655360 QAL655360 QKH655360 QUD655360 RDZ655360 RNV655360 RXR655360 SHN655360 SRJ655360 TBF655360 TLB655360 TUX655360 UET655360 UOP655360 UYL655360 VIH655360 VSD655360 WBZ655360 WLV655360 WVR655360 JF720896 TB720896 ACX720896 AMT720896 AWP720896 BGL720896 BQH720896 CAD720896 CJZ720896 CTV720896 DDR720896 DNN720896 DXJ720896 EHF720896 ERB720896 FAX720896 FKT720896 FUP720896 GEL720896 GOH720896 GYD720896 HHZ720896 HRV720896 IBR720896 ILN720896 IVJ720896 JFF720896 JPB720896 JYX720896 KIT720896 KSP720896 LCL720896 LMH720896 LWD720896 MFZ720896 MPV720896 MZR720896 NJN720896 NTJ720896 ODF720896 ONB720896 OWX720896 PGT720896 PQP720896 QAL720896 QKH720896 QUD720896 RDZ720896 RNV720896 RXR720896 SHN720896 SRJ720896 TBF720896 TLB720896 TUX720896 UET720896 UOP720896 UYL720896 VIH720896 VSD720896 WBZ720896 WLV720896 WVR720896 JF786432 TB786432 ACX786432 AMT786432 AWP786432 BGL786432 BQH786432 CAD786432 CJZ786432 CTV786432 DDR786432 DNN786432 DXJ786432 EHF786432 ERB786432 FAX786432 FKT786432 FUP786432 GEL786432 GOH786432 GYD786432 HHZ786432 HRV786432 IBR786432 ILN786432 IVJ786432 JFF786432 JPB786432 JYX786432 KIT786432 KSP786432 LCL786432 LMH786432 LWD786432 MFZ786432 MPV786432 MZR786432 NJN786432 NTJ786432 ODF786432 ONB786432 OWX786432 PGT786432 PQP786432 QAL786432 QKH786432 QUD786432 RDZ786432 RNV786432 RXR786432 SHN786432 SRJ786432 TBF786432 TLB786432 TUX786432 UET786432 UOP786432 UYL786432 VIH786432 VSD786432 WBZ786432 WLV786432 WVR786432 JF851968 TB851968 ACX851968 AMT851968 AWP851968 BGL851968 BQH851968 CAD851968 CJZ851968 CTV851968 DDR851968 DNN851968 DXJ851968 EHF851968 ERB851968 FAX851968 FKT851968 FUP851968 GEL851968 GOH851968 GYD851968 HHZ851968 HRV851968 IBR851968 ILN851968 IVJ851968 JFF851968 JPB851968 JYX851968 KIT851968 KSP851968 LCL851968 LMH851968 LWD851968 MFZ851968 MPV851968 MZR851968 NJN851968 NTJ851968 ODF851968 ONB851968 OWX851968 PGT851968 PQP851968 QAL851968 QKH851968 QUD851968 RDZ851968 RNV851968 RXR851968 SHN851968 SRJ851968 TBF851968 TLB851968 TUX851968 UET851968 UOP851968 UYL851968 VIH851968 VSD851968 WBZ851968 WLV851968 WVR851968 JF917504 TB917504 ACX917504 AMT917504 AWP917504 BGL917504 BQH917504 CAD917504 CJZ917504 CTV917504 DDR917504 DNN917504 DXJ917504 EHF917504 ERB917504 FAX917504 FKT917504 FUP917504 GEL917504 GOH917504 GYD917504 HHZ917504 HRV917504 IBR917504 ILN917504 IVJ917504 JFF917504 JPB917504 JYX917504 KIT917504 KSP917504 LCL917504 LMH917504 LWD917504 MFZ917504 MPV917504 MZR917504 NJN917504 NTJ917504 ODF917504 ONB917504 OWX917504 PGT917504 PQP917504 QAL917504 QKH917504 QUD917504 RDZ917504 RNV917504 RXR917504 SHN917504 SRJ917504 TBF917504 TLB917504 TUX917504 UET917504 UOP917504 UYL917504 VIH917504 VSD917504 WBZ917504 WLV917504 WVR917504 JF983040 TB983040 ACX983040 AMT983040 AWP983040 BGL983040 BQH983040 CAD983040 CJZ983040 CTV983040 DDR983040 DNN983040 DXJ983040 EHF983040 ERB983040 FAX983040 FKT983040 FUP983040 GEL983040 GOH983040 GYD983040 HHZ983040 HRV983040 IBR983040 ILN983040 IVJ983040 JFF983040 JPB983040 JYX983040 KIT983040 KSP983040 LCL983040 LMH983040 LWD983040 MFZ983040 MPV983040 MZR983040 NJN983040 NTJ983040 ODF983040 ONB983040 OWX983040 PGT983040 PQP983040 QAL983040 QKH983040 QUD983040 RDZ983040 RNV983040 RXR983040 SHN983040 SRJ983040 TBF983040 TLB983040 TUX983040 UET983040 UOP983040 UYL983040 VIH983040 VSD983040 WBZ983040 WLV983040" xr:uid="{00000000-0002-0000-3000-000000000000}"/>
  </dataValidations>
  <pageMargins left="0.74803149606299213" right="0.74803149606299213" top="0.98425196850393704" bottom="0.98425196850393704" header="0.51181102362204722" footer="0.51181102362204722"/>
  <pageSetup scale="53"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6">
    <tabColor theme="6"/>
    <pageSetUpPr fitToPage="1"/>
  </sheetPr>
  <dimension ref="A1:H42"/>
  <sheetViews>
    <sheetView showGridLines="0" topLeftCell="B1" zoomScale="120" zoomScaleNormal="120" workbookViewId="0"/>
  </sheetViews>
  <sheetFormatPr defaultRowHeight="12.75" x14ac:dyDescent="0.2"/>
  <cols>
    <col min="1" max="1" width="2.7109375" customWidth="1"/>
    <col min="2" max="2" width="4.7109375" customWidth="1"/>
    <col min="3" max="3" width="2.7109375" customWidth="1"/>
    <col min="4" max="4" width="4.7109375" customWidth="1"/>
    <col min="5" max="5" width="2.7109375" customWidth="1"/>
    <col min="6" max="6" width="70.7109375" customWidth="1"/>
    <col min="7" max="7" width="13.42578125" customWidth="1"/>
    <col min="8" max="8" width="15.7109375" customWidth="1"/>
    <col min="9" max="9" width="31.28515625" customWidth="1"/>
  </cols>
  <sheetData>
    <row r="1" spans="1:8" x14ac:dyDescent="0.2">
      <c r="A1" s="27" t="s">
        <v>1200</v>
      </c>
      <c r="B1" s="27"/>
      <c r="C1" s="27"/>
      <c r="D1" s="27"/>
      <c r="E1" s="27"/>
      <c r="F1" s="27"/>
      <c r="G1" s="39" t="s">
        <v>277</v>
      </c>
      <c r="H1" s="40" t="str">
        <f>EBNUMBER</f>
        <v>EB-2018-0056</v>
      </c>
    </row>
    <row r="2" spans="1:8" x14ac:dyDescent="0.2">
      <c r="A2" s="27"/>
      <c r="B2" s="27"/>
      <c r="C2" s="27"/>
      <c r="D2" s="27"/>
      <c r="E2" s="27"/>
      <c r="F2" s="27"/>
      <c r="G2" s="39" t="s">
        <v>278</v>
      </c>
      <c r="H2" s="41"/>
    </row>
    <row r="3" spans="1:8" x14ac:dyDescent="0.2">
      <c r="A3" s="27"/>
      <c r="B3" s="27"/>
      <c r="C3" s="27"/>
      <c r="D3" s="27"/>
      <c r="E3" s="27"/>
      <c r="F3" s="27"/>
      <c r="G3" s="39" t="s">
        <v>279</v>
      </c>
      <c r="H3" s="41"/>
    </row>
    <row r="4" spans="1:8" x14ac:dyDescent="0.2">
      <c r="A4" s="27"/>
      <c r="B4" s="27"/>
      <c r="C4" s="27"/>
      <c r="D4" s="27"/>
      <c r="E4" s="27"/>
      <c r="F4" s="27"/>
      <c r="G4" s="39" t="s">
        <v>280</v>
      </c>
      <c r="H4" s="41"/>
    </row>
    <row r="5" spans="1:8" x14ac:dyDescent="0.2">
      <c r="A5" s="27"/>
      <c r="B5" s="27"/>
      <c r="C5" s="27"/>
      <c r="D5" s="27"/>
      <c r="E5" s="27"/>
      <c r="F5" s="27"/>
      <c r="G5" s="39" t="s">
        <v>281</v>
      </c>
      <c r="H5" s="42"/>
    </row>
    <row r="6" spans="1:8" x14ac:dyDescent="0.2">
      <c r="A6" s="27"/>
      <c r="B6" s="27"/>
      <c r="C6" s="27"/>
      <c r="D6" s="27"/>
      <c r="E6" s="27"/>
      <c r="F6" s="27"/>
      <c r="G6" s="39"/>
      <c r="H6" s="40"/>
    </row>
    <row r="7" spans="1:8" x14ac:dyDescent="0.2">
      <c r="A7" s="27"/>
      <c r="B7" s="27"/>
      <c r="C7" s="27"/>
      <c r="D7" s="27"/>
      <c r="E7" s="27"/>
      <c r="F7" s="27"/>
      <c r="G7" s="39" t="s">
        <v>282</v>
      </c>
      <c r="H7" s="42"/>
    </row>
    <row r="9" spans="1:8" ht="18" x14ac:dyDescent="0.25">
      <c r="B9" s="1615" t="s">
        <v>1051</v>
      </c>
      <c r="C9" s="1615"/>
      <c r="D9" s="1615"/>
      <c r="E9" s="1615"/>
      <c r="F9" s="1615"/>
      <c r="G9" s="1615"/>
      <c r="H9" s="1615"/>
    </row>
    <row r="10" spans="1:8" ht="18" x14ac:dyDescent="0.2">
      <c r="B10" s="1618" t="s">
        <v>1048</v>
      </c>
      <c r="C10" s="1618"/>
      <c r="D10" s="1618"/>
      <c r="E10" s="1618"/>
      <c r="F10" s="1618"/>
      <c r="G10" s="1618"/>
      <c r="H10" s="1618"/>
    </row>
    <row r="12" spans="1:8" ht="54" customHeight="1" x14ac:dyDescent="0.2">
      <c r="B12" s="1610" t="s">
        <v>1082</v>
      </c>
      <c r="C12" s="1610"/>
      <c r="D12" s="1610"/>
      <c r="E12" s="1610"/>
      <c r="F12" s="1610"/>
      <c r="G12" s="1610"/>
      <c r="H12" s="1610"/>
    </row>
    <row r="14" spans="1:8" x14ac:dyDescent="0.2">
      <c r="B14" s="1610" t="s">
        <v>1049</v>
      </c>
      <c r="C14" s="1610"/>
      <c r="D14" s="1610"/>
      <c r="E14" s="1610"/>
      <c r="F14" s="1610"/>
      <c r="G14" s="1610"/>
      <c r="H14" s="1610"/>
    </row>
    <row r="16" spans="1:8" ht="26.25" customHeight="1" x14ac:dyDescent="0.2">
      <c r="B16" s="1610" t="s">
        <v>1050</v>
      </c>
      <c r="C16" s="1610"/>
      <c r="D16" s="1610"/>
      <c r="E16" s="1610"/>
      <c r="F16" s="1610"/>
      <c r="G16" s="1610"/>
      <c r="H16" s="1610"/>
    </row>
    <row r="18" spans="2:8" x14ac:dyDescent="0.2">
      <c r="B18" s="1619" t="str">
        <f>CONCATENATE('LDC Info'!E14," is seeking the following approvals in this application:")</f>
        <v>Niagara-on-the-Lake Hydro Inc. is seeking the following approvals in this application:</v>
      </c>
      <c r="C18" s="1619"/>
      <c r="D18" s="1619"/>
      <c r="E18" s="1619"/>
      <c r="F18" s="1619"/>
      <c r="G18" s="1619"/>
      <c r="H18" s="1619"/>
    </row>
    <row r="20" spans="2:8" ht="77.25" customHeight="1" x14ac:dyDescent="0.2">
      <c r="B20" s="616">
        <v>1</v>
      </c>
      <c r="D20" s="616"/>
      <c r="F20" s="1616" t="s">
        <v>1609</v>
      </c>
      <c r="G20" s="1617"/>
      <c r="H20" s="1617"/>
    </row>
    <row r="22" spans="2:8" ht="76.5" customHeight="1" x14ac:dyDescent="0.2">
      <c r="B22" s="616">
        <v>2</v>
      </c>
      <c r="D22" s="616"/>
      <c r="F22" s="1616" t="s">
        <v>1610</v>
      </c>
      <c r="G22" s="1617"/>
      <c r="H22" s="1617"/>
    </row>
    <row r="24" spans="2:8" ht="76.5" customHeight="1" x14ac:dyDescent="0.2">
      <c r="B24" s="616">
        <v>3</v>
      </c>
      <c r="D24" s="616"/>
      <c r="F24" s="1616" t="s">
        <v>1611</v>
      </c>
      <c r="G24" s="1617"/>
      <c r="H24" s="1617"/>
    </row>
    <row r="26" spans="2:8" ht="76.5" customHeight="1" x14ac:dyDescent="0.2">
      <c r="B26" s="616">
        <v>4</v>
      </c>
      <c r="D26" s="616"/>
      <c r="F26" s="1616" t="s">
        <v>1612</v>
      </c>
      <c r="G26" s="1617"/>
      <c r="H26" s="1617"/>
    </row>
    <row r="28" spans="2:8" ht="76.5" customHeight="1" x14ac:dyDescent="0.2">
      <c r="B28" s="616">
        <v>5</v>
      </c>
      <c r="D28" s="616"/>
      <c r="F28" s="1616" t="s">
        <v>1613</v>
      </c>
      <c r="G28" s="1617"/>
      <c r="H28" s="1617"/>
    </row>
    <row r="30" spans="2:8" ht="76.5" customHeight="1" x14ac:dyDescent="0.2">
      <c r="B30" s="616">
        <v>6</v>
      </c>
      <c r="D30" s="616"/>
      <c r="F30" s="1616" t="s">
        <v>1614</v>
      </c>
      <c r="G30" s="1617"/>
      <c r="H30" s="1617"/>
    </row>
    <row r="32" spans="2:8" ht="76.5" customHeight="1" x14ac:dyDescent="0.2">
      <c r="B32" s="616">
        <v>7</v>
      </c>
      <c r="D32" s="616"/>
      <c r="F32" s="1616" t="s">
        <v>1615</v>
      </c>
      <c r="G32" s="1617"/>
      <c r="H32" s="1617"/>
    </row>
    <row r="34" spans="2:8" ht="76.5" customHeight="1" x14ac:dyDescent="0.2">
      <c r="B34" s="616">
        <v>8</v>
      </c>
      <c r="D34" s="616"/>
      <c r="F34" s="1616" t="s">
        <v>1616</v>
      </c>
      <c r="G34" s="1617"/>
      <c r="H34" s="1617"/>
    </row>
    <row r="36" spans="2:8" ht="76.5" customHeight="1" x14ac:dyDescent="0.2">
      <c r="B36" s="616">
        <v>9</v>
      </c>
      <c r="D36" s="616"/>
      <c r="F36" s="1616" t="s">
        <v>1617</v>
      </c>
      <c r="G36" s="1617"/>
      <c r="H36" s="1617"/>
    </row>
    <row r="38" spans="2:8" ht="76.5" customHeight="1" x14ac:dyDescent="0.2">
      <c r="B38" s="616">
        <v>10</v>
      </c>
      <c r="D38" s="616"/>
      <c r="F38" s="1616" t="s">
        <v>1618</v>
      </c>
      <c r="G38" s="1617"/>
      <c r="H38" s="1617"/>
    </row>
    <row r="40" spans="2:8" ht="76.5" customHeight="1" x14ac:dyDescent="0.2">
      <c r="B40" s="616">
        <v>11</v>
      </c>
      <c r="D40" s="616"/>
      <c r="F40" s="1616" t="s">
        <v>1619</v>
      </c>
      <c r="G40" s="1617"/>
      <c r="H40" s="1617"/>
    </row>
    <row r="42" spans="2:8" ht="76.5" customHeight="1" x14ac:dyDescent="0.2">
      <c r="B42" s="616"/>
      <c r="D42" s="616"/>
      <c r="F42" s="1617"/>
      <c r="G42" s="1617"/>
      <c r="H42" s="1617"/>
    </row>
  </sheetData>
  <sheetProtection algorithmName="SHA-512" hashValue="47mF3+iuuCvyaN4Gc+lAR9yX9UtbYkWaudXYI+eQYOl63vxc0wmumQIEFdP7rg0WbHo5ybnT/VDuien2aokTAg==" saltValue="OHJsfoOLfVofcKqaVR68kg==" spinCount="100000" sheet="1" objects="1" scenarios="1"/>
  <mergeCells count="18">
    <mergeCell ref="F42:H42"/>
    <mergeCell ref="B12:H12"/>
    <mergeCell ref="F30:H30"/>
    <mergeCell ref="F24:H24"/>
    <mergeCell ref="F26:H26"/>
    <mergeCell ref="F28:H28"/>
    <mergeCell ref="F32:H32"/>
    <mergeCell ref="F22:H22"/>
    <mergeCell ref="B14:H14"/>
    <mergeCell ref="B16:H16"/>
    <mergeCell ref="B18:H18"/>
    <mergeCell ref="F20:H20"/>
    <mergeCell ref="B9:H9"/>
    <mergeCell ref="F34:H34"/>
    <mergeCell ref="F36:H36"/>
    <mergeCell ref="F38:H38"/>
    <mergeCell ref="F40:H40"/>
    <mergeCell ref="B10:H10"/>
  </mergeCells>
  <pageMargins left="0.70866141732283472" right="0.70866141732283472" top="0.74803149606299213" bottom="0.74803149606299213" header="0.31496062992125984" footer="0.31496062992125984"/>
  <pageSetup scale="51" orientation="portrait"/>
  <legacyDrawing r:id="rId2"/>
  <extLst>
    <ext xmlns:x14="http://schemas.microsoft.com/office/spreadsheetml/2009/9/main" uri="{78C0D931-6437-407d-A8EE-F0AAD7539E65}">
      <x14:conditionalFormattings>
        <x14:conditionalFormatting xmlns:xm="http://schemas.microsoft.com/office/excel/2006/main">
          <x14:cfRule type="expression" priority="1" id="{6BF23DFD-526D-4374-8B19-C9F6268B6EBA}">
            <xm:f>'LDC Info'!$E$14:$K$14=""</xm:f>
            <x14:dxf>
              <font>
                <color theme="0"/>
              </font>
            </x14:dxf>
          </x14:cfRule>
          <xm:sqref>B18:H18</xm:sqref>
        </x14:conditionalFormatting>
      </x14:conditionalFormatting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39">
    <pageSetUpPr fitToPage="1"/>
  </sheetPr>
  <dimension ref="A1:V91"/>
  <sheetViews>
    <sheetView showGridLines="0" zoomScale="70" zoomScaleNormal="70" workbookViewId="0"/>
  </sheetViews>
  <sheetFormatPr defaultColWidth="8.5703125" defaultRowHeight="12.75" x14ac:dyDescent="0.2"/>
  <cols>
    <col min="1" max="1" width="10.5703125" style="1" customWidth="1"/>
    <col min="2" max="2" width="34.5703125" style="1" customWidth="1"/>
    <col min="3" max="3" width="10.28515625" style="1" customWidth="1"/>
    <col min="4" max="5" width="9.42578125" style="1" customWidth="1"/>
    <col min="6" max="7" width="14.42578125" style="1" customWidth="1"/>
    <col min="8" max="8" width="15" style="1" customWidth="1"/>
    <col min="9" max="9" width="16" style="1" bestFit="1" customWidth="1"/>
    <col min="10" max="12" width="14.42578125" style="1" customWidth="1"/>
    <col min="13" max="13" width="15.5703125" style="1" bestFit="1" customWidth="1"/>
    <col min="14" max="14" width="16" style="1" bestFit="1" customWidth="1"/>
    <col min="15" max="15" width="16" style="1" customWidth="1"/>
    <col min="16" max="16" width="12.5703125" style="1" customWidth="1"/>
    <col min="17" max="17" width="13.5703125" style="1" bestFit="1" customWidth="1"/>
    <col min="18" max="16384" width="8.5703125" style="1"/>
  </cols>
  <sheetData>
    <row r="1" spans="1:19" x14ac:dyDescent="0.2">
      <c r="B1" s="936"/>
      <c r="M1" s="1090" t="s">
        <v>277</v>
      </c>
      <c r="N1" s="968" t="str">
        <f>'App.2-S_Stranded Meters'!H1</f>
        <v>EB-2018-0056</v>
      </c>
      <c r="O1" s="1362"/>
    </row>
    <row r="2" spans="1:19" ht="12.95" customHeight="1" x14ac:dyDescent="0.2">
      <c r="A2" s="1586" t="s">
        <v>1387</v>
      </c>
      <c r="B2" s="1586"/>
      <c r="C2" s="1586"/>
      <c r="D2" s="1586"/>
      <c r="E2" s="1586"/>
      <c r="F2" s="1586"/>
      <c r="M2" s="1090" t="s">
        <v>278</v>
      </c>
      <c r="N2" s="41"/>
      <c r="O2" s="1363"/>
    </row>
    <row r="3" spans="1:19" ht="25.5" customHeight="1" x14ac:dyDescent="0.2">
      <c r="A3" s="1586"/>
      <c r="B3" s="1586"/>
      <c r="C3" s="1586"/>
      <c r="D3" s="1586"/>
      <c r="E3" s="1586"/>
      <c r="F3" s="1586"/>
      <c r="M3" s="1090" t="s">
        <v>279</v>
      </c>
      <c r="N3" s="41"/>
      <c r="O3" s="1363"/>
    </row>
    <row r="4" spans="1:19" x14ac:dyDescent="0.2">
      <c r="B4" s="1364"/>
      <c r="M4" s="1090" t="s">
        <v>280</v>
      </c>
      <c r="N4" s="41"/>
      <c r="O4" s="1363"/>
    </row>
    <row r="5" spans="1:19" x14ac:dyDescent="0.2">
      <c r="B5" s="1364"/>
      <c r="M5" s="1090" t="s">
        <v>281</v>
      </c>
      <c r="N5" s="42"/>
      <c r="O5" s="1362"/>
    </row>
    <row r="6" spans="1:19" x14ac:dyDescent="0.2">
      <c r="B6" s="1364"/>
      <c r="M6" s="1090"/>
      <c r="N6" s="968"/>
      <c r="O6" s="1127"/>
    </row>
    <row r="7" spans="1:19" x14ac:dyDescent="0.2">
      <c r="B7" s="1364"/>
      <c r="M7" s="1090" t="s">
        <v>282</v>
      </c>
      <c r="N7" s="42"/>
      <c r="O7" s="1362"/>
    </row>
    <row r="8" spans="1:19" x14ac:dyDescent="0.2">
      <c r="B8" s="1364"/>
      <c r="M8" s="1343"/>
      <c r="O8" s="1343"/>
    </row>
    <row r="9" spans="1:19" ht="18" x14ac:dyDescent="0.2">
      <c r="B9" s="2204" t="s">
        <v>1200</v>
      </c>
      <c r="C9" s="2204"/>
      <c r="D9" s="2204"/>
      <c r="E9" s="2204"/>
      <c r="F9" s="2204"/>
      <c r="G9" s="2204"/>
      <c r="H9" s="2204"/>
      <c r="I9" s="2204"/>
      <c r="J9" s="2204"/>
      <c r="K9" s="2204"/>
      <c r="L9" s="2204"/>
      <c r="M9" s="2204"/>
      <c r="N9" s="2204"/>
      <c r="O9" s="2204"/>
      <c r="P9" s="2204"/>
      <c r="Q9" s="2204"/>
      <c r="R9" s="2204"/>
      <c r="S9" s="2204"/>
    </row>
    <row r="10" spans="1:19" ht="18" x14ac:dyDescent="0.2">
      <c r="A10" s="2204" t="s">
        <v>1354</v>
      </c>
      <c r="B10" s="2204"/>
      <c r="C10" s="2204"/>
      <c r="D10" s="2204"/>
      <c r="E10" s="2204"/>
      <c r="F10" s="2204"/>
      <c r="G10" s="2204"/>
      <c r="H10" s="2204"/>
      <c r="I10" s="2204"/>
      <c r="J10" s="2204"/>
      <c r="K10" s="2204"/>
      <c r="L10" s="2204"/>
      <c r="M10" s="2204"/>
      <c r="N10" s="2204"/>
      <c r="O10" s="2204"/>
      <c r="P10" s="1365"/>
      <c r="Q10" s="1365"/>
      <c r="R10" s="1365"/>
      <c r="S10" s="1365"/>
    </row>
    <row r="11" spans="1:19" ht="18" x14ac:dyDescent="0.2">
      <c r="B11" s="1458"/>
      <c r="C11" s="1458"/>
      <c r="D11" s="1458"/>
      <c r="E11" s="1458"/>
      <c r="F11" s="1458"/>
      <c r="G11" s="1458"/>
      <c r="H11" s="1458"/>
      <c r="I11" s="1458"/>
      <c r="J11" s="1458"/>
      <c r="K11" s="1458"/>
      <c r="L11" s="1458"/>
      <c r="M11" s="1458"/>
      <c r="N11" s="1458"/>
      <c r="O11" s="1458"/>
      <c r="P11" s="1458"/>
      <c r="Q11" s="1458"/>
      <c r="R11" s="1458"/>
      <c r="S11" s="1458"/>
    </row>
    <row r="12" spans="1:19" ht="18.75" thickBot="1" x14ac:dyDescent="0.25">
      <c r="B12" s="1458"/>
      <c r="C12" s="1458"/>
      <c r="D12" s="1458"/>
      <c r="E12" s="1458"/>
      <c r="F12" s="1458"/>
      <c r="G12" s="1458"/>
      <c r="H12" s="1458"/>
      <c r="I12" s="1458"/>
      <c r="J12" s="1458"/>
      <c r="K12" s="1458"/>
      <c r="L12" s="1458"/>
      <c r="M12" s="1458"/>
      <c r="N12" s="1458"/>
      <c r="O12" s="1458"/>
      <c r="P12" s="1458"/>
      <c r="Q12" s="1458"/>
      <c r="R12" s="1458"/>
      <c r="S12" s="1458"/>
    </row>
    <row r="13" spans="1:19" ht="16.5" thickBot="1" x14ac:dyDescent="0.3">
      <c r="A13" s="1041" t="s">
        <v>1355</v>
      </c>
      <c r="B13" s="1366" t="s">
        <v>1356</v>
      </c>
      <c r="D13" s="2205" t="s">
        <v>1357</v>
      </c>
      <c r="E13" s="2206"/>
      <c r="F13" s="2206"/>
      <c r="G13" s="2206"/>
      <c r="H13" s="2206"/>
      <c r="I13" s="2206"/>
      <c r="J13" s="2206"/>
      <c r="K13" s="2206"/>
      <c r="L13" s="2206"/>
      <c r="M13" s="2206"/>
      <c r="N13" s="2206"/>
      <c r="O13" s="2207"/>
    </row>
    <row r="14" spans="1:19" ht="13.5" thickBot="1" x14ac:dyDescent="0.25">
      <c r="B14" s="1367"/>
    </row>
    <row r="15" spans="1:19" ht="13.5" thickBot="1" x14ac:dyDescent="0.25">
      <c r="B15" s="1367"/>
      <c r="I15" s="1809" t="s">
        <v>1322</v>
      </c>
      <c r="J15" s="1816"/>
      <c r="K15" s="1816"/>
      <c r="L15" s="2208" t="s">
        <v>1321</v>
      </c>
      <c r="M15" s="1809" t="s">
        <v>1358</v>
      </c>
      <c r="N15" s="1810"/>
    </row>
    <row r="16" spans="1:19" s="4" customFormat="1" ht="13.5" thickBot="1" x14ac:dyDescent="0.25">
      <c r="B16" s="1368" t="s">
        <v>1200</v>
      </c>
      <c r="C16" s="1369" t="s">
        <v>1317</v>
      </c>
      <c r="D16" s="2210"/>
      <c r="E16" s="2210"/>
      <c r="I16" s="937" t="s">
        <v>1318</v>
      </c>
      <c r="J16" s="937" t="s">
        <v>1319</v>
      </c>
      <c r="K16" s="938" t="s">
        <v>1320</v>
      </c>
      <c r="L16" s="2209"/>
      <c r="M16" s="939" t="s">
        <v>1322</v>
      </c>
      <c r="N16" s="940" t="s">
        <v>1321</v>
      </c>
    </row>
    <row r="17" spans="1:18" s="1370" customFormat="1" ht="15" customHeight="1" x14ac:dyDescent="0.2">
      <c r="B17" s="941" t="s">
        <v>1323</v>
      </c>
      <c r="C17" s="1371"/>
      <c r="D17" s="2213" t="s">
        <v>1324</v>
      </c>
      <c r="E17" s="2214"/>
      <c r="F17" s="1457" t="s">
        <v>1325</v>
      </c>
      <c r="G17" s="929" t="s">
        <v>1326</v>
      </c>
      <c r="I17" s="2226"/>
      <c r="J17" s="2227"/>
      <c r="K17" s="2228"/>
      <c r="L17" s="937"/>
      <c r="M17" s="927" t="s">
        <v>153</v>
      </c>
      <c r="N17" s="927" t="s">
        <v>153</v>
      </c>
    </row>
    <row r="18" spans="1:18" s="1370" customFormat="1" ht="15" customHeight="1" x14ac:dyDescent="0.2">
      <c r="B18" s="942" t="s">
        <v>72</v>
      </c>
      <c r="C18" s="942"/>
      <c r="D18" s="2199">
        <v>71017298.550000012</v>
      </c>
      <c r="E18" s="2199"/>
      <c r="F18" s="1444"/>
      <c r="G18" s="930">
        <f>+D18-F18</f>
        <v>71017298.550000012</v>
      </c>
      <c r="I18" s="1445"/>
      <c r="J18" s="1445">
        <v>1708576.6</v>
      </c>
      <c r="K18" s="931">
        <f>SUM(I18:J18)</f>
        <v>1708576.6</v>
      </c>
      <c r="L18" s="932">
        <f t="shared" ref="L18:L26" si="0">G18-(I18+J18)</f>
        <v>69308721.950000018</v>
      </c>
      <c r="M18" s="1459">
        <f t="shared" ref="M18:M24" si="1">+K18/D18</f>
        <v>2.4058597480965428E-2</v>
      </c>
      <c r="N18" s="1459">
        <f t="shared" ref="N18:N24" si="2">+L18/D18</f>
        <v>0.97594140251903461</v>
      </c>
      <c r="O18" s="1372"/>
    </row>
    <row r="19" spans="1:18" s="1370" customFormat="1" ht="14.25" x14ac:dyDescent="0.2">
      <c r="B19" s="942" t="s">
        <v>1327</v>
      </c>
      <c r="C19" s="942"/>
      <c r="D19" s="2199">
        <v>40733064.149999999</v>
      </c>
      <c r="E19" s="2199"/>
      <c r="F19" s="1444"/>
      <c r="G19" s="930">
        <f t="shared" ref="G19:G27" si="3">+D19-F19</f>
        <v>40733064.149999999</v>
      </c>
      <c r="I19" s="1445"/>
      <c r="J19" s="1445">
        <v>6219523.9000000004</v>
      </c>
      <c r="K19" s="931">
        <f t="shared" ref="K19:K24" si="4">SUM(I19:J19)</f>
        <v>6219523.9000000004</v>
      </c>
      <c r="L19" s="932">
        <f t="shared" si="0"/>
        <v>34513540.25</v>
      </c>
      <c r="M19" s="1459">
        <f t="shared" si="1"/>
        <v>0.15268981182207478</v>
      </c>
      <c r="N19" s="1459">
        <f t="shared" si="2"/>
        <v>0.84731018817792525</v>
      </c>
    </row>
    <row r="20" spans="1:18" s="1370" customFormat="1" ht="12.75" customHeight="1" x14ac:dyDescent="0.2">
      <c r="B20" s="942" t="s">
        <v>1328</v>
      </c>
      <c r="C20" s="942"/>
      <c r="D20" s="2199">
        <v>84099297.00999999</v>
      </c>
      <c r="E20" s="2199"/>
      <c r="F20" s="1444">
        <v>2849283</v>
      </c>
      <c r="G20" s="930">
        <f t="shared" si="3"/>
        <v>81250014.00999999</v>
      </c>
      <c r="I20" s="1445">
        <v>63483563.539999984</v>
      </c>
      <c r="J20" s="1445">
        <v>14691293.810000001</v>
      </c>
      <c r="K20" s="931">
        <f t="shared" si="4"/>
        <v>78174857.349999979</v>
      </c>
      <c r="L20" s="932">
        <f t="shared" si="0"/>
        <v>3075156.6600000113</v>
      </c>
      <c r="M20" s="1459">
        <f t="shared" si="1"/>
        <v>0.92955423088381395</v>
      </c>
      <c r="N20" s="1459">
        <f t="shared" si="2"/>
        <v>3.6565783179309502E-2</v>
      </c>
      <c r="O20" s="1372"/>
    </row>
    <row r="21" spans="1:18" s="1370" customFormat="1" ht="12.75" customHeight="1" x14ac:dyDescent="0.2">
      <c r="B21" s="942" t="s">
        <v>1329</v>
      </c>
      <c r="C21" s="942"/>
      <c r="D21" s="2199"/>
      <c r="E21" s="2199"/>
      <c r="F21" s="1444"/>
      <c r="G21" s="930">
        <f t="shared" si="3"/>
        <v>0</v>
      </c>
      <c r="I21" s="1445"/>
      <c r="J21" s="1445"/>
      <c r="K21" s="931">
        <f t="shared" si="4"/>
        <v>0</v>
      </c>
      <c r="L21" s="932">
        <f t="shared" si="0"/>
        <v>0</v>
      </c>
      <c r="M21" s="1459" t="e">
        <f t="shared" si="1"/>
        <v>#DIV/0!</v>
      </c>
      <c r="N21" s="1459" t="e">
        <f t="shared" si="2"/>
        <v>#DIV/0!</v>
      </c>
      <c r="O21" s="1372"/>
    </row>
    <row r="22" spans="1:18" s="1370" customFormat="1" ht="12.75" customHeight="1" x14ac:dyDescent="0.2">
      <c r="B22" s="942" t="s">
        <v>1083</v>
      </c>
      <c r="C22" s="942"/>
      <c r="D22" s="2199">
        <v>250759.37</v>
      </c>
      <c r="E22" s="2199"/>
      <c r="F22" s="1444"/>
      <c r="G22" s="930">
        <f t="shared" si="3"/>
        <v>250759.37</v>
      </c>
      <c r="I22" s="1445"/>
      <c r="J22" s="1445"/>
      <c r="K22" s="931">
        <f t="shared" si="4"/>
        <v>0</v>
      </c>
      <c r="L22" s="932">
        <f t="shared" si="0"/>
        <v>250759.37</v>
      </c>
      <c r="M22" s="1459">
        <f t="shared" si="1"/>
        <v>0</v>
      </c>
      <c r="N22" s="1459">
        <f t="shared" si="2"/>
        <v>1</v>
      </c>
      <c r="O22" s="1372"/>
    </row>
    <row r="23" spans="1:18" s="1370" customFormat="1" ht="12.75" customHeight="1" x14ac:dyDescent="0.2">
      <c r="B23" s="942" t="s">
        <v>1330</v>
      </c>
      <c r="C23" s="942"/>
      <c r="D23" s="2199"/>
      <c r="E23" s="2199"/>
      <c r="F23" s="1444"/>
      <c r="G23" s="930">
        <f t="shared" si="3"/>
        <v>0</v>
      </c>
      <c r="I23" s="1445"/>
      <c r="J23" s="1445"/>
      <c r="K23" s="931">
        <f t="shared" si="4"/>
        <v>0</v>
      </c>
      <c r="L23" s="932">
        <f t="shared" si="0"/>
        <v>0</v>
      </c>
      <c r="M23" s="1459" t="e">
        <f t="shared" si="1"/>
        <v>#DIV/0!</v>
      </c>
      <c r="N23" s="1459" t="e">
        <f t="shared" si="2"/>
        <v>#DIV/0!</v>
      </c>
      <c r="O23" s="1372"/>
    </row>
    <row r="24" spans="1:18" s="1370" customFormat="1" ht="12.75" customHeight="1" x14ac:dyDescent="0.2">
      <c r="B24" s="942" t="s">
        <v>1331</v>
      </c>
      <c r="C24" s="942"/>
      <c r="D24" s="2199">
        <v>858843.55</v>
      </c>
      <c r="E24" s="2199"/>
      <c r="F24" s="1444"/>
      <c r="G24" s="930">
        <f t="shared" si="3"/>
        <v>858843.55</v>
      </c>
      <c r="I24" s="1445">
        <v>754747.74999999988</v>
      </c>
      <c r="J24" s="1445"/>
      <c r="K24" s="931">
        <f t="shared" si="4"/>
        <v>754747.74999999988</v>
      </c>
      <c r="L24" s="932">
        <f t="shared" si="0"/>
        <v>104095.80000000016</v>
      </c>
      <c r="M24" s="1459">
        <f t="shared" si="1"/>
        <v>0.87879538712260208</v>
      </c>
      <c r="N24" s="1459">
        <f t="shared" si="2"/>
        <v>0.12120461287739794</v>
      </c>
      <c r="O24" s="1372"/>
    </row>
    <row r="25" spans="1:18" s="1370" customFormat="1" ht="12.75" customHeight="1" x14ac:dyDescent="0.2">
      <c r="B25" s="942" t="s">
        <v>1332</v>
      </c>
      <c r="C25" s="942"/>
      <c r="D25" s="2199"/>
      <c r="E25" s="2199"/>
      <c r="F25" s="1444"/>
      <c r="G25" s="930">
        <f t="shared" si="3"/>
        <v>0</v>
      </c>
      <c r="I25" s="1445"/>
      <c r="J25" s="1445"/>
      <c r="K25" s="931"/>
      <c r="L25" s="932">
        <f t="shared" si="0"/>
        <v>0</v>
      </c>
      <c r="M25" s="1459"/>
      <c r="N25" s="1459"/>
      <c r="O25" s="1372"/>
    </row>
    <row r="26" spans="1:18" s="1370" customFormat="1" ht="12.75" customHeight="1" x14ac:dyDescent="0.2">
      <c r="B26" s="942" t="s">
        <v>1332</v>
      </c>
      <c r="C26" s="942"/>
      <c r="D26" s="2199"/>
      <c r="E26" s="2199"/>
      <c r="F26" s="1444"/>
      <c r="G26" s="930">
        <f t="shared" si="3"/>
        <v>0</v>
      </c>
      <c r="I26" s="1445"/>
      <c r="J26" s="1445"/>
      <c r="K26" s="931"/>
      <c r="L26" s="932">
        <f t="shared" si="0"/>
        <v>0</v>
      </c>
      <c r="M26" s="1459"/>
      <c r="N26" s="1459"/>
      <c r="O26" s="1372"/>
    </row>
    <row r="27" spans="1:18" s="1370" customFormat="1" ht="12.75" customHeight="1" x14ac:dyDescent="0.2">
      <c r="B27" s="943" t="s">
        <v>1333</v>
      </c>
      <c r="C27" s="1373" t="s">
        <v>1317</v>
      </c>
      <c r="D27" s="2200">
        <f>SUM(D18:E26)</f>
        <v>196959262.63000003</v>
      </c>
      <c r="E27" s="2200"/>
      <c r="F27" s="933">
        <f>SUM(F18:F26)</f>
        <v>2849283</v>
      </c>
      <c r="G27" s="933">
        <f t="shared" si="3"/>
        <v>194109979.63000003</v>
      </c>
      <c r="I27" s="933">
        <f>SUM(I18:I26)</f>
        <v>64238311.289999984</v>
      </c>
      <c r="J27" s="933">
        <f>SUM(J18:J26)</f>
        <v>22619394.310000002</v>
      </c>
      <c r="K27" s="934">
        <f>SUM(K18:K26)</f>
        <v>86857705.599999979</v>
      </c>
      <c r="L27" s="933">
        <f>SUM(L18:L26)</f>
        <v>107252274.03000003</v>
      </c>
      <c r="M27" s="928"/>
      <c r="N27" s="928"/>
      <c r="O27" s="1374"/>
    </row>
    <row r="28" spans="1:18" s="1370" customFormat="1" ht="12.75" customHeight="1" x14ac:dyDescent="0.2">
      <c r="B28" s="1375" t="s">
        <v>153</v>
      </c>
      <c r="C28" s="1376" t="s">
        <v>1317</v>
      </c>
      <c r="D28" s="2201">
        <f>$D$27/$D$27</f>
        <v>1</v>
      </c>
      <c r="E28" s="2201"/>
      <c r="F28" s="1459"/>
      <c r="G28" s="1459">
        <v>1</v>
      </c>
      <c r="I28" s="1459">
        <f>$I$27/$G$27</f>
        <v>0.33093770558549812</v>
      </c>
      <c r="J28" s="1459">
        <f>$J$27/$G$27</f>
        <v>0.11652875526088684</v>
      </c>
      <c r="L28" s="1459">
        <f>$L$27/$G$27</f>
        <v>0.55253353915361503</v>
      </c>
      <c r="M28" s="1459">
        <f>I28+J28</f>
        <v>0.44746646084638497</v>
      </c>
      <c r="N28" s="944">
        <f>L28</f>
        <v>0.55253353915361503</v>
      </c>
      <c r="O28" s="1377">
        <f>M28+N28</f>
        <v>1</v>
      </c>
    </row>
    <row r="29" spans="1:18" s="1370" customFormat="1" ht="12.75" customHeight="1" thickBot="1" x14ac:dyDescent="0.25">
      <c r="A29" s="1378"/>
      <c r="B29" s="1379"/>
      <c r="C29" s="1380"/>
      <c r="D29" s="945"/>
      <c r="E29" s="945"/>
      <c r="F29" s="945"/>
      <c r="G29" s="945"/>
      <c r="H29" s="1378"/>
      <c r="I29" s="945"/>
      <c r="J29" s="945"/>
      <c r="K29" s="1378"/>
      <c r="L29" s="945"/>
      <c r="M29" s="945"/>
      <c r="N29" s="945"/>
      <c r="O29" s="1381"/>
    </row>
    <row r="30" spans="1:18" s="1370" customFormat="1" ht="12.95" customHeight="1" x14ac:dyDescent="0.2">
      <c r="B30" s="1382"/>
      <c r="C30" s="1383"/>
      <c r="D30" s="946"/>
      <c r="E30" s="946"/>
      <c r="F30" s="946"/>
      <c r="G30" s="946"/>
      <c r="I30" s="946"/>
      <c r="J30" s="946"/>
      <c r="L30" s="946"/>
      <c r="M30" s="946"/>
      <c r="N30" s="946"/>
      <c r="O30" s="1384"/>
    </row>
    <row r="31" spans="1:18" s="1370" customFormat="1" ht="21" customHeight="1" thickBot="1" x14ac:dyDescent="0.3">
      <c r="A31" s="1385" t="s">
        <v>1359</v>
      </c>
      <c r="B31" s="1366" t="s">
        <v>1360</v>
      </c>
      <c r="C31" s="1383"/>
      <c r="D31" s="946"/>
      <c r="E31" s="946"/>
      <c r="F31" s="946"/>
      <c r="G31" s="946"/>
      <c r="I31" s="946"/>
      <c r="J31" s="946"/>
      <c r="L31" s="946"/>
      <c r="M31" s="946"/>
      <c r="N31" s="946"/>
      <c r="O31" s="1384"/>
    </row>
    <row r="32" spans="1:18" s="1370" customFormat="1" ht="12.75" customHeight="1" thickBot="1" x14ac:dyDescent="0.25">
      <c r="B32" s="1386" t="s">
        <v>1317</v>
      </c>
      <c r="C32" s="1386"/>
      <c r="D32" s="1386"/>
      <c r="E32" s="1386"/>
      <c r="F32" s="1387"/>
      <c r="I32" s="2202" t="s">
        <v>1322</v>
      </c>
      <c r="J32" s="2203"/>
      <c r="M32" s="1386"/>
      <c r="N32" s="1386"/>
      <c r="O32" s="1386"/>
      <c r="P32" s="1388"/>
      <c r="Q32" s="1388"/>
      <c r="R32" s="1388"/>
    </row>
    <row r="33" spans="1:22" s="1370" customFormat="1" ht="12.75" customHeight="1" thickBot="1" x14ac:dyDescent="0.3">
      <c r="A33" s="1385" t="s">
        <v>1361</v>
      </c>
      <c r="B33" s="1389" t="s">
        <v>1362</v>
      </c>
      <c r="C33" s="2215" t="s">
        <v>1363</v>
      </c>
      <c r="D33" s="2216"/>
      <c r="E33" s="2216"/>
      <c r="F33" s="2217"/>
      <c r="G33" s="2218"/>
      <c r="H33" s="2219"/>
      <c r="I33" s="2220">
        <v>-44.38</v>
      </c>
      <c r="J33" s="2221"/>
      <c r="K33" s="1390" t="s">
        <v>1364</v>
      </c>
      <c r="L33" s="1386" t="s">
        <v>1365</v>
      </c>
      <c r="O33" s="1386"/>
      <c r="P33" s="1386"/>
      <c r="Q33" s="1386"/>
      <c r="R33" s="1388"/>
      <c r="S33" s="1388"/>
      <c r="T33" s="1388"/>
    </row>
    <row r="34" spans="1:22" s="1370" customFormat="1" ht="12.75" customHeight="1" thickBot="1" x14ac:dyDescent="0.25">
      <c r="B34" s="1391"/>
      <c r="C34" s="1386"/>
      <c r="D34" s="1386"/>
      <c r="E34" s="1386"/>
      <c r="F34" s="1392"/>
      <c r="G34" s="1393"/>
      <c r="H34" s="1393"/>
      <c r="I34" s="1390"/>
      <c r="J34" s="1386"/>
      <c r="M34" s="1386"/>
      <c r="N34" s="1386"/>
      <c r="O34" s="1386"/>
      <c r="P34" s="1388"/>
      <c r="Q34" s="1388"/>
      <c r="R34" s="1388"/>
    </row>
    <row r="35" spans="1:22" s="1370" customFormat="1" ht="12.75" customHeight="1" thickBot="1" x14ac:dyDescent="0.3">
      <c r="A35" s="1385" t="s">
        <v>1366</v>
      </c>
      <c r="B35" s="1394" t="s">
        <v>1360</v>
      </c>
      <c r="C35" s="1386" t="s">
        <v>1367</v>
      </c>
      <c r="D35" s="1386"/>
      <c r="E35" s="1386"/>
      <c r="G35" s="1393"/>
      <c r="I35" s="2222" t="s">
        <v>1322</v>
      </c>
      <c r="J35" s="2223"/>
      <c r="K35" s="1395"/>
      <c r="L35" s="2224" t="s">
        <v>1321</v>
      </c>
      <c r="M35" s="1386"/>
      <c r="N35" s="1386"/>
      <c r="O35" s="1386"/>
      <c r="P35" s="1388"/>
      <c r="Q35" s="1388"/>
      <c r="R35" s="1388"/>
    </row>
    <row r="36" spans="1:22" s="1370" customFormat="1" ht="12.75" customHeight="1" thickBot="1" x14ac:dyDescent="0.3">
      <c r="B36" s="1391"/>
      <c r="D36" s="1386"/>
      <c r="E36" s="1386"/>
      <c r="I36" s="1396" t="s">
        <v>1318</v>
      </c>
      <c r="J36" s="1396" t="s">
        <v>1319</v>
      </c>
      <c r="K36" s="1395"/>
      <c r="L36" s="2225"/>
      <c r="M36" s="1386"/>
      <c r="N36" s="1386"/>
      <c r="O36" s="1386"/>
      <c r="P36" s="1388"/>
      <c r="Q36" s="1388"/>
      <c r="R36" s="1388"/>
    </row>
    <row r="37" spans="1:22" s="1370" customFormat="1" ht="12.75" customHeight="1" x14ac:dyDescent="0.2">
      <c r="B37" s="1397" t="s">
        <v>1334</v>
      </c>
      <c r="C37" s="2194" t="s">
        <v>1368</v>
      </c>
      <c r="D37" s="2194"/>
      <c r="E37" s="2194"/>
      <c r="F37" s="2194"/>
      <c r="G37" s="2195"/>
      <c r="H37" s="1398"/>
      <c r="I37" s="1446">
        <v>21.57</v>
      </c>
      <c r="J37" s="947">
        <f>+I37</f>
        <v>21.57</v>
      </c>
      <c r="K37" s="1399"/>
      <c r="L37" s="2211"/>
      <c r="M37" s="1400"/>
      <c r="N37" s="1400"/>
    </row>
    <row r="38" spans="1:22" s="1370" customFormat="1" ht="12.75" customHeight="1" x14ac:dyDescent="0.2">
      <c r="B38" s="1397" t="s">
        <v>1335</v>
      </c>
      <c r="C38" s="2194" t="s">
        <v>1369</v>
      </c>
      <c r="D38" s="2194"/>
      <c r="E38" s="2194"/>
      <c r="F38" s="2194"/>
      <c r="G38" s="2196"/>
      <c r="H38" s="1401"/>
      <c r="I38" s="1446">
        <v>103.8</v>
      </c>
      <c r="J38" s="947">
        <f>+I38+I33</f>
        <v>59.419999999999995</v>
      </c>
      <c r="K38" s="1399"/>
      <c r="L38" s="2212"/>
      <c r="M38" s="1400"/>
      <c r="N38" s="1400"/>
    </row>
    <row r="39" spans="1:22" s="1370" customFormat="1" ht="12.75" customHeight="1" x14ac:dyDescent="0.2">
      <c r="B39" s="1397" t="s">
        <v>1370</v>
      </c>
      <c r="C39" s="2192"/>
      <c r="D39" s="2192"/>
      <c r="E39" s="2192"/>
      <c r="F39" s="2192"/>
      <c r="G39" s="2196"/>
      <c r="H39" s="1401"/>
      <c r="I39" s="1446">
        <v>1</v>
      </c>
      <c r="J39" s="947">
        <f>+I39</f>
        <v>1</v>
      </c>
      <c r="K39" s="1399"/>
      <c r="L39" s="2212"/>
    </row>
    <row r="40" spans="1:22" s="1370" customFormat="1" ht="12.75" customHeight="1" x14ac:dyDescent="0.2">
      <c r="B40" s="1402" t="s">
        <v>1336</v>
      </c>
      <c r="C40" s="2192" t="s">
        <v>1371</v>
      </c>
      <c r="D40" s="2192"/>
      <c r="E40" s="2192"/>
      <c r="F40" s="2192"/>
      <c r="G40" s="2196"/>
      <c r="H40" s="1460"/>
      <c r="I40" s="1403">
        <f>SUM(I37:I39)</f>
        <v>126.37</v>
      </c>
      <c r="J40" s="1403">
        <f>SUM(J37:J39)</f>
        <v>81.99</v>
      </c>
      <c r="K40" s="1404"/>
      <c r="L40" s="1403">
        <f>J40</f>
        <v>81.99</v>
      </c>
      <c r="M40" s="1400"/>
      <c r="N40" s="1400"/>
      <c r="V40" s="1370" t="s">
        <v>1200</v>
      </c>
    </row>
    <row r="41" spans="1:22" s="1370" customFormat="1" ht="12.75" customHeight="1" x14ac:dyDescent="0.2">
      <c r="B41" s="1405" t="s">
        <v>1337</v>
      </c>
      <c r="C41" s="2193"/>
      <c r="D41" s="2193"/>
      <c r="E41" s="2193"/>
      <c r="F41" s="2193"/>
      <c r="G41" s="2196"/>
      <c r="H41" s="1406"/>
      <c r="I41" s="1407">
        <f>I40/1000</f>
        <v>0.12637000000000001</v>
      </c>
      <c r="J41" s="1407">
        <f>J40/1000</f>
        <v>8.1989999999999993E-2</v>
      </c>
      <c r="K41" s="1404"/>
      <c r="L41" s="1461">
        <f>L40/1000</f>
        <v>8.1989999999999993E-2</v>
      </c>
      <c r="M41" s="1388"/>
      <c r="N41" s="1388"/>
    </row>
    <row r="42" spans="1:22" s="1370" customFormat="1" ht="12.75" customHeight="1" x14ac:dyDescent="0.2">
      <c r="B42" s="1408" t="s">
        <v>1372</v>
      </c>
      <c r="C42" s="2198" t="s">
        <v>1373</v>
      </c>
      <c r="D42" s="2198"/>
      <c r="E42" s="2198"/>
      <c r="F42" s="2198"/>
      <c r="G42" s="2197"/>
      <c r="H42" s="1406"/>
      <c r="I42" s="1409">
        <f>I28</f>
        <v>0.33093770558549812</v>
      </c>
      <c r="J42" s="1409">
        <f>J28</f>
        <v>0.11652875526088684</v>
      </c>
      <c r="K42" s="1404"/>
      <c r="L42" s="1410">
        <f>L28</f>
        <v>0.55253353915361503</v>
      </c>
      <c r="M42" s="1388"/>
      <c r="N42" s="1388"/>
    </row>
    <row r="43" spans="1:22" s="1370" customFormat="1" ht="12.75" customHeight="1" x14ac:dyDescent="0.2">
      <c r="B43" s="1402" t="s">
        <v>1374</v>
      </c>
      <c r="C43" s="2189" t="s">
        <v>1375</v>
      </c>
      <c r="D43" s="2189"/>
      <c r="E43" s="2189"/>
      <c r="F43" s="2189"/>
      <c r="G43" s="1411">
        <f>I43+J43+L43</f>
        <v>9.6677015373884401E-2</v>
      </c>
      <c r="H43" s="1412"/>
      <c r="I43" s="1413">
        <f>I41*I42</f>
        <v>4.1820597854839402E-2</v>
      </c>
      <c r="J43" s="1414">
        <f>J41*J42</f>
        <v>9.554192643840111E-3</v>
      </c>
      <c r="K43" s="1404"/>
      <c r="L43" s="1415">
        <f>L41*L42</f>
        <v>4.530222487520489E-2</v>
      </c>
      <c r="M43" s="1388"/>
      <c r="N43" s="1388"/>
    </row>
    <row r="44" spans="1:22" s="1370" customFormat="1" ht="15" thickBot="1" x14ac:dyDescent="0.25">
      <c r="A44" s="1378"/>
      <c r="B44" s="1378"/>
      <c r="C44" s="1378"/>
      <c r="D44" s="1378"/>
      <c r="E44" s="1378"/>
      <c r="F44" s="1378"/>
      <c r="G44" s="1378"/>
      <c r="H44" s="1378"/>
      <c r="I44" s="1378"/>
      <c r="J44" s="1378"/>
      <c r="K44" s="1378"/>
      <c r="L44" s="1378"/>
      <c r="M44" s="1378"/>
      <c r="N44" s="1378"/>
      <c r="O44" s="1378"/>
    </row>
    <row r="45" spans="1:22" s="1370" customFormat="1" ht="14.25" x14ac:dyDescent="0.2"/>
    <row r="46" spans="1:22" s="1370" customFormat="1" ht="15.75" x14ac:dyDescent="0.25">
      <c r="A46" s="1385" t="s">
        <v>1376</v>
      </c>
      <c r="B46" s="1366" t="s">
        <v>1377</v>
      </c>
    </row>
    <row r="47" spans="1:22" s="1370" customFormat="1" ht="14.25" x14ac:dyDescent="0.2">
      <c r="B47" s="1416" t="s">
        <v>1338</v>
      </c>
    </row>
    <row r="48" spans="1:22" s="1370" customFormat="1" ht="14.25" x14ac:dyDescent="0.2">
      <c r="B48" s="1367"/>
    </row>
    <row r="49" spans="2:15" s="1370" customFormat="1" ht="15.75" x14ac:dyDescent="0.25">
      <c r="B49" s="1182" t="s">
        <v>1339</v>
      </c>
      <c r="C49" s="1"/>
      <c r="D49" s="1"/>
      <c r="E49" s="1"/>
      <c r="F49" s="2190">
        <v>2018</v>
      </c>
      <c r="G49" s="2191"/>
      <c r="H49" s="2191"/>
      <c r="I49" s="2191"/>
      <c r="J49" s="2191"/>
      <c r="K49" s="2190">
        <v>2019</v>
      </c>
      <c r="L49" s="2191"/>
      <c r="M49" s="2191"/>
      <c r="N49" s="2191"/>
      <c r="O49" s="2191"/>
    </row>
    <row r="50" spans="2:15" s="1370" customFormat="1" ht="14.25" x14ac:dyDescent="0.2">
      <c r="B50" s="1417" t="s">
        <v>1340</v>
      </c>
      <c r="C50" s="1418"/>
      <c r="D50" s="1419" t="s">
        <v>1341</v>
      </c>
      <c r="E50" s="1419" t="s">
        <v>1342</v>
      </c>
      <c r="F50" s="1419" t="s">
        <v>1343</v>
      </c>
      <c r="G50" s="1419" t="s">
        <v>1344</v>
      </c>
      <c r="H50" s="1419" t="s">
        <v>1345</v>
      </c>
      <c r="I50" s="1419" t="s">
        <v>1346</v>
      </c>
      <c r="J50" s="1419" t="s">
        <v>1211</v>
      </c>
      <c r="K50" s="1419" t="s">
        <v>1343</v>
      </c>
      <c r="L50" s="1419" t="s">
        <v>1344</v>
      </c>
      <c r="M50" s="1419" t="s">
        <v>1345</v>
      </c>
      <c r="N50" s="1419" t="s">
        <v>1346</v>
      </c>
      <c r="O50" s="1419" t="s">
        <v>1211</v>
      </c>
    </row>
    <row r="51" spans="2:15" s="1370" customFormat="1" ht="21" x14ac:dyDescent="0.55000000000000004">
      <c r="B51" s="942" t="str">
        <f>+B20</f>
        <v>General Service 50 to 2999 kW</v>
      </c>
      <c r="C51" s="1451"/>
      <c r="D51" s="1451">
        <v>4035</v>
      </c>
      <c r="E51" s="1451">
        <v>4705</v>
      </c>
      <c r="F51" s="1447">
        <v>10817265.065544</v>
      </c>
      <c r="G51" s="1483">
        <v>23274</v>
      </c>
      <c r="H51" s="935">
        <f>+I37/1000</f>
        <v>2.1569999999999999E-2</v>
      </c>
      <c r="I51" s="1483">
        <v>38.959577734153456</v>
      </c>
      <c r="J51" s="1420">
        <f>(+F51*H51)+(G51*I51)</f>
        <v>1140073.6196484715</v>
      </c>
      <c r="K51" s="1449">
        <v>36947263.979721062</v>
      </c>
      <c r="L51" s="1448">
        <v>89373.84</v>
      </c>
      <c r="M51" s="935">
        <f>+I37/1000</f>
        <v>2.1569999999999999E-2</v>
      </c>
      <c r="N51" s="1483">
        <f>+I51</f>
        <v>38.959577734153456</v>
      </c>
      <c r="O51" s="1420">
        <f>(+K51*M51)+(L51*N51)</f>
        <v>4278919.550922377</v>
      </c>
    </row>
    <row r="52" spans="2:15" s="1370" customFormat="1" ht="21" x14ac:dyDescent="0.55000000000000004">
      <c r="B52" s="942" t="str">
        <f>+B21</f>
        <v>General Service 3000-4999 kW</v>
      </c>
      <c r="C52" s="1451"/>
      <c r="D52" s="1451">
        <v>4010</v>
      </c>
      <c r="E52" s="1451">
        <v>4705</v>
      </c>
      <c r="F52" s="1447"/>
      <c r="G52" s="1448"/>
      <c r="H52" s="935">
        <f>+I37/1000</f>
        <v>2.1569999999999999E-2</v>
      </c>
      <c r="I52" s="1448"/>
      <c r="J52" s="1420">
        <f>(+F52*H52)+(G52*I52)</f>
        <v>0</v>
      </c>
      <c r="K52" s="1447"/>
      <c r="L52" s="1448"/>
      <c r="M52" s="935">
        <f>+I37/1000</f>
        <v>2.1569999999999999E-2</v>
      </c>
      <c r="N52" s="1448"/>
      <c r="O52" s="1420">
        <f>(+K52*M52)+(L52*N52)</f>
        <v>0</v>
      </c>
    </row>
    <row r="53" spans="2:15" s="1370" customFormat="1" ht="14.25" x14ac:dyDescent="0.2">
      <c r="B53" s="1"/>
      <c r="C53" s="1"/>
      <c r="D53" s="1"/>
      <c r="E53" s="1"/>
      <c r="F53" s="1452">
        <f>+F51+F52</f>
        <v>10817265.065544</v>
      </c>
      <c r="G53" s="1451">
        <f>+G51+G52</f>
        <v>23274</v>
      </c>
      <c r="H53" s="1451"/>
      <c r="I53" s="1451"/>
      <c r="J53" s="1420">
        <f>+J51+J52</f>
        <v>1140073.6196484715</v>
      </c>
      <c r="K53" s="1452"/>
      <c r="L53" s="1451"/>
      <c r="M53" s="1451"/>
      <c r="N53" s="1451"/>
      <c r="O53" s="1420">
        <f>+O51+O52</f>
        <v>4278919.550922377</v>
      </c>
    </row>
    <row r="54" spans="2:15" s="1370" customFormat="1" ht="14.25" x14ac:dyDescent="0.2"/>
    <row r="55" spans="2:15" ht="15.75" x14ac:dyDescent="0.25">
      <c r="B55" s="1182" t="s">
        <v>1347</v>
      </c>
      <c r="F55" s="2182">
        <v>2018</v>
      </c>
      <c r="G55" s="2182"/>
      <c r="H55" s="2182"/>
      <c r="I55" s="2182"/>
      <c r="J55" s="2182"/>
      <c r="K55" s="2182">
        <v>2019</v>
      </c>
      <c r="L55" s="2182"/>
      <c r="M55" s="2182"/>
      <c r="N55" s="2182"/>
      <c r="O55" s="2182"/>
    </row>
    <row r="56" spans="2:15" s="1423" customFormat="1" x14ac:dyDescent="0.2">
      <c r="B56" s="1417" t="s">
        <v>1340</v>
      </c>
      <c r="C56" s="1419"/>
      <c r="D56" s="1419" t="s">
        <v>1341</v>
      </c>
      <c r="E56" s="1421" t="s">
        <v>1342</v>
      </c>
      <c r="F56" s="1422" t="s">
        <v>1200</v>
      </c>
      <c r="G56" s="1422"/>
      <c r="H56" s="1422"/>
      <c r="I56" s="1422"/>
      <c r="J56" s="1422"/>
      <c r="K56" s="1422"/>
      <c r="L56" s="1422"/>
      <c r="M56" s="1422"/>
      <c r="N56" s="1422"/>
      <c r="O56" s="1422"/>
    </row>
    <row r="57" spans="2:15" x14ac:dyDescent="0.2">
      <c r="B57" s="1424" t="s">
        <v>1348</v>
      </c>
      <c r="C57" s="1418" t="s">
        <v>1349</v>
      </c>
      <c r="D57" s="1418" t="s">
        <v>1350</v>
      </c>
      <c r="E57" s="1425" t="s">
        <v>1350</v>
      </c>
      <c r="F57" s="1426" t="s">
        <v>1351</v>
      </c>
      <c r="G57" s="1427" t="s">
        <v>1352</v>
      </c>
      <c r="H57" s="2176"/>
      <c r="I57" s="2177"/>
      <c r="J57" s="1427" t="s">
        <v>1211</v>
      </c>
      <c r="K57" s="1427" t="s">
        <v>1351</v>
      </c>
      <c r="L57" s="1427" t="s">
        <v>1352</v>
      </c>
      <c r="M57" s="2176"/>
      <c r="N57" s="2177"/>
      <c r="O57" s="1426" t="s">
        <v>1211</v>
      </c>
    </row>
    <row r="58" spans="2:15" x14ac:dyDescent="0.2">
      <c r="B58" s="942" t="str">
        <f t="shared" ref="B58:B66" si="5">B18</f>
        <v>Residential</v>
      </c>
      <c r="C58" s="1451" t="s">
        <v>70</v>
      </c>
      <c r="D58" s="1451">
        <v>4006</v>
      </c>
      <c r="E58" s="1453">
        <v>4705</v>
      </c>
      <c r="F58" s="1449">
        <v>76556402.124453455</v>
      </c>
      <c r="G58" s="1482">
        <f>+G43</f>
        <v>9.6677015373884401E-2</v>
      </c>
      <c r="H58" s="2178"/>
      <c r="I58" s="2179"/>
      <c r="J58" s="1428">
        <f t="shared" ref="J58:J66" si="6">F58*G58</f>
        <v>7401244.4651550632</v>
      </c>
      <c r="K58" s="1449">
        <v>76653501.274210036</v>
      </c>
      <c r="L58" s="1450">
        <f>+G58</f>
        <v>9.6677015373884401E-2</v>
      </c>
      <c r="M58" s="2178"/>
      <c r="N58" s="2179"/>
      <c r="O58" s="1428">
        <f t="shared" ref="O58:O66" si="7">ROUND(K58*L58,0)</f>
        <v>7410632</v>
      </c>
    </row>
    <row r="59" spans="2:15" x14ac:dyDescent="0.2">
      <c r="B59" s="942" t="str">
        <f t="shared" si="5"/>
        <v>General Service &lt; 50 kW</v>
      </c>
      <c r="C59" s="1451" t="s">
        <v>70</v>
      </c>
      <c r="D59" s="1451">
        <v>4010</v>
      </c>
      <c r="E59" s="1453">
        <v>4705</v>
      </c>
      <c r="F59" s="1449">
        <v>43975803.122625731</v>
      </c>
      <c r="G59" s="1429">
        <f>+$G$58</f>
        <v>9.6677015373884401E-2</v>
      </c>
      <c r="H59" s="2178"/>
      <c r="I59" s="2179"/>
      <c r="J59" s="1428">
        <f t="shared" si="6"/>
        <v>4251449.3945650011</v>
      </c>
      <c r="K59" s="1449">
        <v>43426350.808732957</v>
      </c>
      <c r="L59" s="1430">
        <f>L58</f>
        <v>9.6677015373884401E-2</v>
      </c>
      <c r="M59" s="2178"/>
      <c r="N59" s="2179"/>
      <c r="O59" s="1428">
        <f t="shared" si="7"/>
        <v>4198330</v>
      </c>
    </row>
    <row r="60" spans="2:15" x14ac:dyDescent="0.2">
      <c r="B60" s="942" t="str">
        <f t="shared" si="5"/>
        <v>General Service 50 to 2999 kW</v>
      </c>
      <c r="C60" s="1451" t="s">
        <v>70</v>
      </c>
      <c r="D60" s="1451">
        <v>4035</v>
      </c>
      <c r="E60" s="1453">
        <v>4705</v>
      </c>
      <c r="F60" s="1449">
        <v>78402351.58189562</v>
      </c>
      <c r="G60" s="1429">
        <f t="shared" ref="G60:G66" si="8">+$G$58</f>
        <v>9.6677015373884401E-2</v>
      </c>
      <c r="H60" s="2178"/>
      <c r="I60" s="2179"/>
      <c r="J60" s="1428">
        <f t="shared" si="6"/>
        <v>7579705.3492316129</v>
      </c>
      <c r="K60" s="1449">
        <v>72008752.328351691</v>
      </c>
      <c r="L60" s="1430">
        <f t="shared" ref="L60:L66" si="9">L59</f>
        <v>9.6677015373884401E-2</v>
      </c>
      <c r="M60" s="2178"/>
      <c r="N60" s="2179"/>
      <c r="O60" s="1428">
        <f t="shared" si="7"/>
        <v>6961591</v>
      </c>
    </row>
    <row r="61" spans="2:15" x14ac:dyDescent="0.2">
      <c r="B61" s="942" t="str">
        <f t="shared" si="5"/>
        <v>General Service 3000-4999 kW</v>
      </c>
      <c r="C61" s="1451" t="s">
        <v>70</v>
      </c>
      <c r="D61" s="1451">
        <v>4010</v>
      </c>
      <c r="E61" s="1453">
        <v>4705</v>
      </c>
      <c r="F61" s="1449"/>
      <c r="G61" s="1429">
        <f t="shared" si="8"/>
        <v>9.6677015373884401E-2</v>
      </c>
      <c r="H61" s="2178"/>
      <c r="I61" s="2179"/>
      <c r="J61" s="1428">
        <f t="shared" si="6"/>
        <v>0</v>
      </c>
      <c r="K61" s="1449"/>
      <c r="L61" s="1430">
        <f t="shared" si="9"/>
        <v>9.6677015373884401E-2</v>
      </c>
      <c r="M61" s="2178"/>
      <c r="N61" s="2179"/>
      <c r="O61" s="1428">
        <f t="shared" si="7"/>
        <v>0</v>
      </c>
    </row>
    <row r="62" spans="2:15" x14ac:dyDescent="0.2">
      <c r="B62" s="942" t="str">
        <f t="shared" si="5"/>
        <v>Unmetered Scattered Load</v>
      </c>
      <c r="C62" s="1451" t="s">
        <v>70</v>
      </c>
      <c r="D62" s="1451">
        <v>4025</v>
      </c>
      <c r="E62" s="1453">
        <v>4705</v>
      </c>
      <c r="F62" s="1449">
        <v>261040.15320000026</v>
      </c>
      <c r="G62" s="1429">
        <f t="shared" si="8"/>
        <v>9.6677015373884401E-2</v>
      </c>
      <c r="H62" s="2178"/>
      <c r="I62" s="2179"/>
      <c r="J62" s="1428">
        <f t="shared" si="6"/>
        <v>25236.582904117564</v>
      </c>
      <c r="K62" s="1449">
        <v>260883.74076726797</v>
      </c>
      <c r="L62" s="1430">
        <f t="shared" si="9"/>
        <v>9.6677015373884401E-2</v>
      </c>
      <c r="M62" s="2178"/>
      <c r="N62" s="2179"/>
      <c r="O62" s="1428">
        <f t="shared" si="7"/>
        <v>25221</v>
      </c>
    </row>
    <row r="63" spans="2:15" x14ac:dyDescent="0.2">
      <c r="B63" s="942" t="str">
        <f t="shared" si="5"/>
        <v>Sentinel Lighting</v>
      </c>
      <c r="C63" s="1451" t="s">
        <v>70</v>
      </c>
      <c r="D63" s="1451">
        <v>4025</v>
      </c>
      <c r="E63" s="1453">
        <v>4705</v>
      </c>
      <c r="F63" s="1449"/>
      <c r="G63" s="1429">
        <f t="shared" si="8"/>
        <v>9.6677015373884401E-2</v>
      </c>
      <c r="H63" s="2178"/>
      <c r="I63" s="2179"/>
      <c r="J63" s="1428">
        <f t="shared" si="6"/>
        <v>0</v>
      </c>
      <c r="K63" s="1449"/>
      <c r="L63" s="1430">
        <f t="shared" si="9"/>
        <v>9.6677015373884401E-2</v>
      </c>
      <c r="M63" s="2178"/>
      <c r="N63" s="2179"/>
      <c r="O63" s="1428">
        <f t="shared" si="7"/>
        <v>0</v>
      </c>
    </row>
    <row r="64" spans="2:15" x14ac:dyDescent="0.2">
      <c r="B64" s="942" t="str">
        <f t="shared" si="5"/>
        <v xml:space="preserve">Street Lighting </v>
      </c>
      <c r="C64" s="1451" t="s">
        <v>70</v>
      </c>
      <c r="D64" s="1451">
        <v>4025</v>
      </c>
      <c r="E64" s="1453">
        <v>4705</v>
      </c>
      <c r="F64" s="1449">
        <v>906898.17063967709</v>
      </c>
      <c r="G64" s="1429">
        <f t="shared" si="8"/>
        <v>9.6677015373884401E-2</v>
      </c>
      <c r="H64" s="2178"/>
      <c r="I64" s="2179"/>
      <c r="J64" s="1428">
        <f t="shared" si="6"/>
        <v>87676.208385479695</v>
      </c>
      <c r="K64" s="1449">
        <v>919667.12629027909</v>
      </c>
      <c r="L64" s="1430">
        <f t="shared" si="9"/>
        <v>9.6677015373884401E-2</v>
      </c>
      <c r="M64" s="2178"/>
      <c r="N64" s="2179"/>
      <c r="O64" s="1428">
        <f t="shared" si="7"/>
        <v>88911</v>
      </c>
    </row>
    <row r="65" spans="2:19" x14ac:dyDescent="0.2">
      <c r="B65" s="942" t="str">
        <f t="shared" si="5"/>
        <v>other</v>
      </c>
      <c r="C65" s="1451" t="s">
        <v>70</v>
      </c>
      <c r="D65" s="1451">
        <v>4025</v>
      </c>
      <c r="E65" s="1453">
        <v>4705</v>
      </c>
      <c r="F65" s="1449"/>
      <c r="G65" s="1429">
        <f t="shared" si="8"/>
        <v>9.6677015373884401E-2</v>
      </c>
      <c r="H65" s="2178"/>
      <c r="I65" s="2179"/>
      <c r="J65" s="1428">
        <f t="shared" si="6"/>
        <v>0</v>
      </c>
      <c r="K65" s="1449"/>
      <c r="L65" s="1430">
        <f t="shared" si="9"/>
        <v>9.6677015373884401E-2</v>
      </c>
      <c r="M65" s="2178"/>
      <c r="N65" s="2179"/>
      <c r="O65" s="1428">
        <f t="shared" si="7"/>
        <v>0</v>
      </c>
    </row>
    <row r="66" spans="2:19" x14ac:dyDescent="0.2">
      <c r="B66" s="942" t="str">
        <f t="shared" si="5"/>
        <v>other</v>
      </c>
      <c r="C66" s="1451" t="s">
        <v>70</v>
      </c>
      <c r="D66" s="1451">
        <v>4025</v>
      </c>
      <c r="E66" s="1453">
        <v>4705</v>
      </c>
      <c r="F66" s="1449"/>
      <c r="G66" s="1429">
        <f t="shared" si="8"/>
        <v>9.6677015373884401E-2</v>
      </c>
      <c r="H66" s="2178"/>
      <c r="I66" s="2179"/>
      <c r="J66" s="1428">
        <f t="shared" si="6"/>
        <v>0</v>
      </c>
      <c r="K66" s="1449"/>
      <c r="L66" s="1430">
        <f t="shared" si="9"/>
        <v>9.6677015373884401E-2</v>
      </c>
      <c r="M66" s="2178"/>
      <c r="N66" s="2179"/>
      <c r="O66" s="1428">
        <f t="shared" si="7"/>
        <v>0</v>
      </c>
      <c r="S66" s="1431"/>
    </row>
    <row r="67" spans="2:19" x14ac:dyDescent="0.2">
      <c r="B67" s="1417" t="s">
        <v>1333</v>
      </c>
      <c r="C67" s="1454"/>
      <c r="D67" s="1455"/>
      <c r="E67" s="1456"/>
      <c r="F67" s="1432">
        <f>SUM(F58:F66)</f>
        <v>200102495.15281448</v>
      </c>
      <c r="G67" s="1433"/>
      <c r="H67" s="2180"/>
      <c r="I67" s="2181"/>
      <c r="J67" s="1434">
        <f>SUM(J58:J66)</f>
        <v>19345312.000241276</v>
      </c>
      <c r="K67" s="1432">
        <f>SUM(K58:K66)</f>
        <v>193269155.27835226</v>
      </c>
      <c r="L67" s="1435"/>
      <c r="M67" s="2180"/>
      <c r="N67" s="2181"/>
      <c r="O67" s="1434">
        <f>SUM(O58:O66)</f>
        <v>18684685</v>
      </c>
    </row>
    <row r="68" spans="2:19" x14ac:dyDescent="0.2">
      <c r="B68" s="1343"/>
      <c r="C68" s="1436"/>
      <c r="D68" s="1436"/>
      <c r="E68" s="1436"/>
      <c r="F68" s="1436"/>
      <c r="G68" s="1436"/>
      <c r="H68" s="1436"/>
      <c r="I68" s="1436"/>
      <c r="J68" s="1436"/>
      <c r="K68" s="1436"/>
      <c r="L68" s="1436"/>
      <c r="M68" s="1436"/>
      <c r="N68" s="1436"/>
      <c r="O68" s="1436"/>
    </row>
    <row r="69" spans="2:19" x14ac:dyDescent="0.2">
      <c r="I69" s="1343"/>
      <c r="J69" s="1343"/>
    </row>
    <row r="70" spans="2:19" ht="15.75" x14ac:dyDescent="0.25">
      <c r="B70" s="1182" t="s">
        <v>272</v>
      </c>
      <c r="F70" s="2182">
        <v>2018</v>
      </c>
      <c r="G70" s="2182"/>
      <c r="H70" s="2182"/>
      <c r="I70" s="2182"/>
      <c r="J70" s="2182"/>
      <c r="K70" s="2182">
        <v>2019</v>
      </c>
      <c r="L70" s="2182"/>
      <c r="M70" s="2182"/>
      <c r="N70" s="2182"/>
      <c r="O70" s="2182"/>
    </row>
    <row r="71" spans="2:19" x14ac:dyDescent="0.2">
      <c r="B71" s="1417" t="s">
        <v>1340</v>
      </c>
      <c r="C71" s="1419"/>
      <c r="D71" s="1419" t="s">
        <v>1341</v>
      </c>
      <c r="E71" s="1421" t="s">
        <v>1342</v>
      </c>
      <c r="F71" s="1422" t="s">
        <v>1200</v>
      </c>
      <c r="G71" s="1422"/>
      <c r="H71" s="2183"/>
      <c r="I71" s="2184"/>
      <c r="J71" s="1422"/>
      <c r="K71" s="1422"/>
      <c r="L71" s="1422"/>
      <c r="M71" s="2183"/>
      <c r="N71" s="2184"/>
      <c r="O71" s="1422"/>
    </row>
    <row r="72" spans="2:19" x14ac:dyDescent="0.2">
      <c r="B72" s="1424" t="s">
        <v>1348</v>
      </c>
      <c r="C72" s="1418" t="s">
        <v>1349</v>
      </c>
      <c r="D72" s="1418" t="s">
        <v>1350</v>
      </c>
      <c r="E72" s="1425" t="s">
        <v>1350</v>
      </c>
      <c r="F72" s="1426" t="s">
        <v>1351</v>
      </c>
      <c r="G72" s="1427" t="s">
        <v>1353</v>
      </c>
      <c r="H72" s="2185"/>
      <c r="I72" s="2186"/>
      <c r="J72" s="1427" t="s">
        <v>1211</v>
      </c>
      <c r="K72" s="1427" t="s">
        <v>1351</v>
      </c>
      <c r="L72" s="1427" t="s">
        <v>1353</v>
      </c>
      <c r="M72" s="2185"/>
      <c r="N72" s="2186"/>
      <c r="O72" s="1426" t="s">
        <v>1211</v>
      </c>
    </row>
    <row r="73" spans="2:19" ht="21" x14ac:dyDescent="0.55000000000000004">
      <c r="B73" s="942" t="str">
        <f t="shared" ref="B73:B81" si="10">+B18</f>
        <v>Residential</v>
      </c>
      <c r="C73" s="1451" t="s">
        <v>70</v>
      </c>
      <c r="D73" s="1451">
        <v>4006</v>
      </c>
      <c r="E73" s="1453">
        <v>4705</v>
      </c>
      <c r="F73" s="1437">
        <f>+F58</f>
        <v>76556402.124453455</v>
      </c>
      <c r="G73" s="1429">
        <f t="shared" ref="G73:G79" si="11">+J73/F73</f>
        <v>9.6677015373884401E-2</v>
      </c>
      <c r="H73" s="2185"/>
      <c r="I73" s="2186"/>
      <c r="J73" s="1428">
        <f>+J58</f>
        <v>7401244.4651550632</v>
      </c>
      <c r="K73" s="1437">
        <f>+K58</f>
        <v>76653501.274210036</v>
      </c>
      <c r="L73" s="1438">
        <f t="shared" ref="L73:L79" si="12">+O73/K73</f>
        <v>9.6677019011697729E-2</v>
      </c>
      <c r="M73" s="2185"/>
      <c r="N73" s="2186"/>
      <c r="O73" s="1428">
        <f>+O58</f>
        <v>7410632</v>
      </c>
      <c r="Q73" s="1439"/>
      <c r="R73" s="1439"/>
    </row>
    <row r="74" spans="2:19" ht="21" x14ac:dyDescent="0.55000000000000004">
      <c r="B74" s="942" t="str">
        <f t="shared" si="10"/>
        <v>General Service &lt; 50 kW</v>
      </c>
      <c r="C74" s="1451" t="s">
        <v>70</v>
      </c>
      <c r="D74" s="1451">
        <v>4010</v>
      </c>
      <c r="E74" s="1453">
        <v>4705</v>
      </c>
      <c r="F74" s="1437">
        <f t="shared" ref="F74:F81" si="13">+F59</f>
        <v>43975803.122625731</v>
      </c>
      <c r="G74" s="1429">
        <f t="shared" si="11"/>
        <v>9.6677015373884401E-2</v>
      </c>
      <c r="H74" s="2185"/>
      <c r="I74" s="2186"/>
      <c r="J74" s="1428">
        <f>+J59</f>
        <v>4251449.3945650011</v>
      </c>
      <c r="K74" s="1437">
        <f>+K59</f>
        <v>43426350.808732957</v>
      </c>
      <c r="L74" s="1438">
        <f t="shared" si="12"/>
        <v>9.6677015724648999E-2</v>
      </c>
      <c r="M74" s="2185"/>
      <c r="N74" s="2186"/>
      <c r="O74" s="1428">
        <f t="shared" ref="O74:O81" si="14">+O59</f>
        <v>4198330</v>
      </c>
      <c r="Q74" s="1439"/>
      <c r="R74" s="1439"/>
    </row>
    <row r="75" spans="2:19" ht="21" x14ac:dyDescent="0.55000000000000004">
      <c r="B75" s="942" t="str">
        <f t="shared" si="10"/>
        <v>General Service 50 to 2999 kW</v>
      </c>
      <c r="C75" s="1451" t="s">
        <v>70</v>
      </c>
      <c r="D75" s="1451">
        <v>4035</v>
      </c>
      <c r="E75" s="1453">
        <v>4705</v>
      </c>
      <c r="F75" s="1437">
        <f>+F60+F51</f>
        <v>89219616.647439614</v>
      </c>
      <c r="G75" s="1438">
        <f t="shared" si="11"/>
        <v>9.7733876209501955E-2</v>
      </c>
      <c r="H75" s="2185"/>
      <c r="I75" s="2186"/>
      <c r="J75" s="1428">
        <f>+J60+J51</f>
        <v>8719778.9688800834</v>
      </c>
      <c r="K75" s="1437">
        <f>+K60+K51</f>
        <v>108956016.30807275</v>
      </c>
      <c r="L75" s="1438">
        <f t="shared" si="12"/>
        <v>0.10316557939434821</v>
      </c>
      <c r="M75" s="2185"/>
      <c r="N75" s="2186"/>
      <c r="O75" s="1428">
        <f>+O60+O51</f>
        <v>11240510.550922377</v>
      </c>
      <c r="Q75" s="1439"/>
      <c r="R75" s="1439"/>
    </row>
    <row r="76" spans="2:19" ht="21" x14ac:dyDescent="0.55000000000000004">
      <c r="B76" s="942" t="str">
        <f t="shared" si="10"/>
        <v>General Service 3000-4999 kW</v>
      </c>
      <c r="C76" s="1451" t="s">
        <v>70</v>
      </c>
      <c r="D76" s="1451">
        <v>4010</v>
      </c>
      <c r="E76" s="1453">
        <v>4705</v>
      </c>
      <c r="F76" s="1437">
        <f>+F61+F52</f>
        <v>0</v>
      </c>
      <c r="G76" s="1438" t="e">
        <f t="shared" si="11"/>
        <v>#DIV/0!</v>
      </c>
      <c r="H76" s="2185"/>
      <c r="I76" s="2186"/>
      <c r="J76" s="1428">
        <f>+J61+J52</f>
        <v>0</v>
      </c>
      <c r="K76" s="1437">
        <f>+K61+K52</f>
        <v>0</v>
      </c>
      <c r="L76" s="1438" t="e">
        <f t="shared" si="12"/>
        <v>#DIV/0!</v>
      </c>
      <c r="M76" s="2185"/>
      <c r="N76" s="2186"/>
      <c r="O76" s="1428">
        <f>+O61+O52</f>
        <v>0</v>
      </c>
      <c r="Q76" s="1439"/>
      <c r="R76" s="1439"/>
    </row>
    <row r="77" spans="2:19" ht="21" x14ac:dyDescent="0.55000000000000004">
      <c r="B77" s="942" t="str">
        <f t="shared" si="10"/>
        <v>Unmetered Scattered Load</v>
      </c>
      <c r="C77" s="1451" t="s">
        <v>70</v>
      </c>
      <c r="D77" s="1451">
        <v>4025</v>
      </c>
      <c r="E77" s="1453">
        <v>4705</v>
      </c>
      <c r="F77" s="1437">
        <f t="shared" si="13"/>
        <v>261040.15320000026</v>
      </c>
      <c r="G77" s="1429">
        <f t="shared" si="11"/>
        <v>9.6677015373884401E-2</v>
      </c>
      <c r="H77" s="2185"/>
      <c r="I77" s="2186"/>
      <c r="J77" s="1428">
        <f>+J62</f>
        <v>25236.582904117564</v>
      </c>
      <c r="K77" s="1437">
        <f t="shared" ref="K77:K81" si="15">+K62</f>
        <v>260883.74076726797</v>
      </c>
      <c r="L77" s="1438">
        <f t="shared" si="12"/>
        <v>9.6675246705004228E-2</v>
      </c>
      <c r="M77" s="2185"/>
      <c r="N77" s="2186"/>
      <c r="O77" s="1428">
        <f t="shared" si="14"/>
        <v>25221</v>
      </c>
      <c r="Q77" s="1439"/>
      <c r="R77" s="1439"/>
    </row>
    <row r="78" spans="2:19" ht="21" x14ac:dyDescent="0.55000000000000004">
      <c r="B78" s="942" t="str">
        <f t="shared" si="10"/>
        <v>Sentinel Lighting</v>
      </c>
      <c r="C78" s="1451" t="s">
        <v>70</v>
      </c>
      <c r="D78" s="1451">
        <v>4025</v>
      </c>
      <c r="E78" s="1453">
        <v>4705</v>
      </c>
      <c r="F78" s="1437">
        <f t="shared" si="13"/>
        <v>0</v>
      </c>
      <c r="G78" s="1429" t="e">
        <f t="shared" si="11"/>
        <v>#DIV/0!</v>
      </c>
      <c r="H78" s="2185"/>
      <c r="I78" s="2186"/>
      <c r="J78" s="1428">
        <f>+J63</f>
        <v>0</v>
      </c>
      <c r="K78" s="1437">
        <f t="shared" si="15"/>
        <v>0</v>
      </c>
      <c r="L78" s="1438" t="e">
        <f t="shared" si="12"/>
        <v>#DIV/0!</v>
      </c>
      <c r="M78" s="2185"/>
      <c r="N78" s="2186"/>
      <c r="O78" s="1428">
        <f t="shared" si="14"/>
        <v>0</v>
      </c>
      <c r="Q78" s="1439"/>
      <c r="R78" s="1439"/>
    </row>
    <row r="79" spans="2:19" ht="21" x14ac:dyDescent="0.55000000000000004">
      <c r="B79" s="942" t="str">
        <f t="shared" si="10"/>
        <v xml:space="preserve">Street Lighting </v>
      </c>
      <c r="C79" s="1451" t="s">
        <v>70</v>
      </c>
      <c r="D79" s="1451">
        <v>4025</v>
      </c>
      <c r="E79" s="1453">
        <v>4705</v>
      </c>
      <c r="F79" s="1437">
        <f t="shared" si="13"/>
        <v>906898.17063967709</v>
      </c>
      <c r="G79" s="1429">
        <f t="shared" si="11"/>
        <v>9.6677015373884401E-2</v>
      </c>
      <c r="H79" s="2185"/>
      <c r="I79" s="2186"/>
      <c r="J79" s="1428">
        <f>+J64</f>
        <v>87676.208385479695</v>
      </c>
      <c r="K79" s="1437">
        <f t="shared" si="15"/>
        <v>919667.12629027909</v>
      </c>
      <c r="L79" s="1438">
        <f t="shared" si="12"/>
        <v>9.6677371038199511E-2</v>
      </c>
      <c r="M79" s="2185"/>
      <c r="N79" s="2186"/>
      <c r="O79" s="1428">
        <f t="shared" si="14"/>
        <v>88911</v>
      </c>
      <c r="Q79" s="1439"/>
      <c r="R79" s="1439"/>
    </row>
    <row r="80" spans="2:19" ht="21" x14ac:dyDescent="0.55000000000000004">
      <c r="B80" s="942" t="str">
        <f t="shared" si="10"/>
        <v>other</v>
      </c>
      <c r="C80" s="1451" t="s">
        <v>70</v>
      </c>
      <c r="D80" s="1451">
        <v>4025</v>
      </c>
      <c r="E80" s="1453">
        <v>4705</v>
      </c>
      <c r="F80" s="1437">
        <f t="shared" si="13"/>
        <v>0</v>
      </c>
      <c r="G80" s="1429">
        <v>0</v>
      </c>
      <c r="H80" s="2185"/>
      <c r="I80" s="2186"/>
      <c r="J80" s="1428">
        <f>+J65</f>
        <v>0</v>
      </c>
      <c r="K80" s="1437">
        <f t="shared" si="15"/>
        <v>0</v>
      </c>
      <c r="L80" s="1438">
        <v>0</v>
      </c>
      <c r="M80" s="2185"/>
      <c r="N80" s="2186"/>
      <c r="O80" s="1428">
        <f t="shared" si="14"/>
        <v>0</v>
      </c>
      <c r="Q80" s="1439"/>
      <c r="R80" s="1439"/>
    </row>
    <row r="81" spans="1:18" ht="21" x14ac:dyDescent="0.55000000000000004">
      <c r="B81" s="942" t="str">
        <f t="shared" si="10"/>
        <v>other</v>
      </c>
      <c r="C81" s="1451" t="s">
        <v>70</v>
      </c>
      <c r="D81" s="1451">
        <v>4025</v>
      </c>
      <c r="E81" s="1453">
        <v>4705</v>
      </c>
      <c r="F81" s="1437">
        <f t="shared" si="13"/>
        <v>0</v>
      </c>
      <c r="G81" s="1429">
        <v>0</v>
      </c>
      <c r="H81" s="2185"/>
      <c r="I81" s="2186"/>
      <c r="J81" s="1428">
        <f>+J66</f>
        <v>0</v>
      </c>
      <c r="K81" s="1437">
        <f t="shared" si="15"/>
        <v>0</v>
      </c>
      <c r="L81" s="1438">
        <v>0</v>
      </c>
      <c r="M81" s="2185"/>
      <c r="N81" s="2186"/>
      <c r="O81" s="1428">
        <f t="shared" si="14"/>
        <v>0</v>
      </c>
      <c r="Q81" s="1439"/>
      <c r="R81" s="1439"/>
    </row>
    <row r="82" spans="1:18" ht="21" x14ac:dyDescent="0.55000000000000004">
      <c r="B82" s="1417" t="s">
        <v>1333</v>
      </c>
      <c r="C82" s="1440"/>
      <c r="D82" s="1419"/>
      <c r="E82" s="1421"/>
      <c r="F82" s="1432">
        <f>SUM(F73:F81)</f>
        <v>210919760.21835846</v>
      </c>
      <c r="G82" s="1433"/>
      <c r="H82" s="2187"/>
      <c r="I82" s="2188"/>
      <c r="J82" s="1434">
        <f>SUM(J73:J81)</f>
        <v>20485385.619889744</v>
      </c>
      <c r="K82" s="1432">
        <f>SUM(K73:K81)</f>
        <v>230216419.2580733</v>
      </c>
      <c r="L82" s="1435"/>
      <c r="M82" s="2187"/>
      <c r="N82" s="2188"/>
      <c r="O82" s="1434">
        <f>SUM(O73:O81)</f>
        <v>22963604.550922379</v>
      </c>
      <c r="Q82" s="1439"/>
      <c r="R82" s="1439"/>
    </row>
    <row r="83" spans="1:18" x14ac:dyDescent="0.2">
      <c r="H83" s="1441"/>
    </row>
    <row r="84" spans="1:18" ht="21" x14ac:dyDescent="0.55000000000000004">
      <c r="A84" s="1" t="s">
        <v>1378</v>
      </c>
      <c r="G84" s="1439"/>
      <c r="H84" s="1439"/>
      <c r="I84" s="1439"/>
      <c r="J84" s="1439"/>
      <c r="K84" s="1439"/>
    </row>
    <row r="85" spans="1:18" x14ac:dyDescent="0.2">
      <c r="A85" s="1" t="s">
        <v>1379</v>
      </c>
      <c r="G85" s="1442"/>
      <c r="H85" s="1442"/>
      <c r="K85" s="1442"/>
    </row>
    <row r="87" spans="1:18" ht="21" x14ac:dyDescent="0.55000000000000004">
      <c r="K87" s="1439"/>
    </row>
    <row r="88" spans="1:18" ht="21" x14ac:dyDescent="0.55000000000000004">
      <c r="K88" s="1439"/>
    </row>
    <row r="89" spans="1:18" x14ac:dyDescent="0.2">
      <c r="K89" s="1443"/>
    </row>
    <row r="91" spans="1:18" x14ac:dyDescent="0.2">
      <c r="K91" s="1441"/>
    </row>
  </sheetData>
  <sheetProtection algorithmName="SHA-512" hashValue="FiwKoF75OJ9M0/Oqw6hWZU/sfEaeZyEYBIH16Rzk+iPLkxM9rVDyKjABkTKJ7ej1SV/McOzoGUHok84kiNX+ZQ==" saltValue="JyNaRQzcjXgW8EY+yBk1sA==" spinCount="100000" sheet="1" objects="1" scenarios="1"/>
  <mergeCells count="46">
    <mergeCell ref="L37:L39"/>
    <mergeCell ref="D17:E17"/>
    <mergeCell ref="D22:E22"/>
    <mergeCell ref="D23:E23"/>
    <mergeCell ref="D24:E24"/>
    <mergeCell ref="C33:F33"/>
    <mergeCell ref="G33:H33"/>
    <mergeCell ref="I33:J33"/>
    <mergeCell ref="I35:J35"/>
    <mergeCell ref="L35:L36"/>
    <mergeCell ref="I17:K17"/>
    <mergeCell ref="D18:E18"/>
    <mergeCell ref="D19:E19"/>
    <mergeCell ref="D20:E20"/>
    <mergeCell ref="D21:E21"/>
    <mergeCell ref="D25:E25"/>
    <mergeCell ref="A2:F3"/>
    <mergeCell ref="B9:S9"/>
    <mergeCell ref="D13:O13"/>
    <mergeCell ref="I15:K15"/>
    <mergeCell ref="L15:L16"/>
    <mergeCell ref="M15:N15"/>
    <mergeCell ref="D16:E16"/>
    <mergeCell ref="A10:O10"/>
    <mergeCell ref="D26:E26"/>
    <mergeCell ref="D27:E27"/>
    <mergeCell ref="D28:E28"/>
    <mergeCell ref="I32:J32"/>
    <mergeCell ref="C38:F38"/>
    <mergeCell ref="C39:F39"/>
    <mergeCell ref="C40:F40"/>
    <mergeCell ref="C41:F41"/>
    <mergeCell ref="C37:F37"/>
    <mergeCell ref="G37:G42"/>
    <mergeCell ref="C42:F42"/>
    <mergeCell ref="C43:F43"/>
    <mergeCell ref="F49:J49"/>
    <mergeCell ref="K49:O49"/>
    <mergeCell ref="F55:J55"/>
    <mergeCell ref="K55:O55"/>
    <mergeCell ref="H57:I67"/>
    <mergeCell ref="M57:N67"/>
    <mergeCell ref="F70:J70"/>
    <mergeCell ref="K70:O70"/>
    <mergeCell ref="H71:I82"/>
    <mergeCell ref="M71:N82"/>
  </mergeCells>
  <conditionalFormatting sqref="B1">
    <cfRule type="expression" dxfId="0" priority="1" stopIfTrue="1">
      <formula>LEFT($C1,6)="Macros"</formula>
    </cfRule>
  </conditionalFormatting>
  <dataValidations count="2">
    <dataValidation type="list" allowBlank="1" showInputMessage="1" showErrorMessage="1" sqref="C58:C66 C73:C81" xr:uid="{00000000-0002-0000-3100-000000000000}">
      <formula1>"kWh, kW,Customer"</formula1>
    </dataValidation>
    <dataValidation allowBlank="1" showInputMessage="1" showErrorMessage="1" promptTitle="Date Format" prompt="E.g:  &quot;August 1, 2011&quot;" sqref="N7" xr:uid="{00000000-0002-0000-3100-000001000000}"/>
  </dataValidations>
  <pageMargins left="0.7" right="0.7" top="0.75" bottom="0.75" header="0.51180555555555551" footer="0.51180555555555551"/>
  <pageSetup scale="41" firstPageNumber="0" orientation="landscape" horizontalDpi="300" verticalDpi="300"/>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17"/>
  <dimension ref="A1"/>
  <sheetViews>
    <sheetView showGridLines="0" workbookViewId="0"/>
  </sheetViews>
  <sheetFormatPr defaultRowHeight="12.75" x14ac:dyDescent="0.2"/>
  <sheetData/>
  <sheetProtection algorithmName="SHA-512" hashValue="PbgApOZvYjNvMjDxFbKplvu4fajh9WnrJim2rOqZg22vPHnHR0cUkh+v9PI/pAN4jEcv+GANTAAUMVW7JrUCKw==" saltValue="x96KWR37RC7zeVw3UZGj+g==" spinCount="100000" sheet="1" objects="1" scenarios="1"/>
  <pageMargins left="0.7" right="0.7" top="0.75" bottom="0.75" header="0.3" footer="0.3"/>
  <pageSetup orientation="portrait" verticalDpi="12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00B0F0"/>
    <pageSetUpPr fitToPage="1"/>
  </sheetPr>
  <dimension ref="A1:I57"/>
  <sheetViews>
    <sheetView showGridLines="0" zoomScaleNormal="100" workbookViewId="0"/>
  </sheetViews>
  <sheetFormatPr defaultColWidth="9.28515625" defaultRowHeight="12.75" x14ac:dyDescent="0.2"/>
  <cols>
    <col min="1" max="1" width="30.28515625" style="27" customWidth="1"/>
    <col min="2" max="8" width="13.7109375" style="27" customWidth="1"/>
    <col min="9" max="16384" width="9.28515625" style="27"/>
  </cols>
  <sheetData>
    <row r="1" spans="1:9" x14ac:dyDescent="0.2">
      <c r="G1" s="39" t="s">
        <v>277</v>
      </c>
      <c r="H1" s="40" t="str">
        <f>EBNUMBER</f>
        <v>EB-2018-0056</v>
      </c>
    </row>
    <row r="2" spans="1:9" x14ac:dyDescent="0.2">
      <c r="G2" s="39" t="s">
        <v>278</v>
      </c>
      <c r="H2" s="41"/>
    </row>
    <row r="3" spans="1:9" x14ac:dyDescent="0.2">
      <c r="G3" s="39" t="s">
        <v>279</v>
      </c>
      <c r="H3" s="41"/>
    </row>
    <row r="4" spans="1:9" x14ac:dyDescent="0.2">
      <c r="G4" s="39" t="s">
        <v>280</v>
      </c>
      <c r="H4" s="41"/>
    </row>
    <row r="5" spans="1:9" x14ac:dyDescent="0.2">
      <c r="G5" s="39" t="s">
        <v>281</v>
      </c>
      <c r="H5" s="42"/>
    </row>
    <row r="6" spans="1:9" x14ac:dyDescent="0.2">
      <c r="G6" s="39"/>
      <c r="H6" s="40"/>
    </row>
    <row r="7" spans="1:9" x14ac:dyDescent="0.2">
      <c r="G7" s="39" t="s">
        <v>282</v>
      </c>
      <c r="H7" s="42"/>
    </row>
    <row r="9" spans="1:9" ht="18" x14ac:dyDescent="0.25">
      <c r="A9" s="1622" t="s">
        <v>646</v>
      </c>
      <c r="B9" s="1622"/>
      <c r="C9" s="1622"/>
      <c r="D9" s="1622"/>
      <c r="E9" s="1622"/>
      <c r="F9" s="1622"/>
      <c r="G9" s="1622"/>
      <c r="H9" s="1622"/>
      <c r="I9" s="43"/>
    </row>
    <row r="10" spans="1:9" ht="18" x14ac:dyDescent="0.25">
      <c r="A10" s="1622" t="s">
        <v>20</v>
      </c>
      <c r="B10" s="1622"/>
      <c r="C10" s="1622"/>
      <c r="D10" s="1622"/>
      <c r="E10" s="1622"/>
      <c r="F10" s="1622"/>
      <c r="G10" s="1622"/>
      <c r="H10" s="1622"/>
      <c r="I10" s="43"/>
    </row>
    <row r="12" spans="1:9" ht="13.5" thickBot="1" x14ac:dyDescent="0.25">
      <c r="A12" s="1620"/>
      <c r="B12" s="1620"/>
      <c r="C12" s="1620"/>
      <c r="D12" s="1620"/>
      <c r="E12" s="1620"/>
      <c r="F12" s="1620"/>
      <c r="G12" s="1620"/>
      <c r="H12" s="1620"/>
    </row>
    <row r="13" spans="1:9" ht="25.5" x14ac:dyDescent="0.2">
      <c r="A13" s="44" t="s">
        <v>178</v>
      </c>
      <c r="B13" s="45">
        <f>C13-1</f>
        <v>2014</v>
      </c>
      <c r="C13" s="45">
        <f>D13-1</f>
        <v>2015</v>
      </c>
      <c r="D13" s="45">
        <f>E13-1</f>
        <v>2016</v>
      </c>
      <c r="E13" s="45">
        <f>BridgeYear - 1</f>
        <v>2017</v>
      </c>
      <c r="F13" s="45" t="str">
        <f>BridgeYear &amp; " Bridge Year"</f>
        <v>2018 Bridge Year</v>
      </c>
      <c r="G13" s="45" t="str">
        <f>TestYear &amp; " Test Year"</f>
        <v>2019 Test Year</v>
      </c>
    </row>
    <row r="14" spans="1:9" x14ac:dyDescent="0.2">
      <c r="A14" s="46" t="s">
        <v>93</v>
      </c>
      <c r="B14" s="47" t="s">
        <v>95</v>
      </c>
      <c r="C14" s="47" t="s">
        <v>95</v>
      </c>
      <c r="D14" s="47" t="s">
        <v>95</v>
      </c>
      <c r="E14" s="47" t="s">
        <v>95</v>
      </c>
      <c r="F14" s="47" t="s">
        <v>95</v>
      </c>
      <c r="G14" s="47" t="s">
        <v>95</v>
      </c>
    </row>
    <row r="15" spans="1:9" x14ac:dyDescent="0.2">
      <c r="A15" s="48" t="s">
        <v>652</v>
      </c>
      <c r="B15" s="49"/>
      <c r="C15" s="49"/>
      <c r="D15" s="49"/>
      <c r="E15" s="49"/>
      <c r="F15" s="49"/>
      <c r="G15" s="49"/>
    </row>
    <row r="16" spans="1:9" x14ac:dyDescent="0.2">
      <c r="A16" s="1464" t="s">
        <v>1522</v>
      </c>
      <c r="B16" s="51">
        <v>539093.0519872877</v>
      </c>
      <c r="C16" s="51">
        <v>503221.41450766992</v>
      </c>
      <c r="D16" s="51">
        <v>486600.72388813423</v>
      </c>
      <c r="E16" s="51">
        <v>131215.71994623277</v>
      </c>
      <c r="F16" s="51">
        <v>125000</v>
      </c>
      <c r="G16" s="51">
        <v>125000</v>
      </c>
    </row>
    <row r="17" spans="1:7" x14ac:dyDescent="0.2">
      <c r="A17" s="1464" t="s">
        <v>1523</v>
      </c>
      <c r="B17" s="51">
        <v>88393.080336248226</v>
      </c>
      <c r="C17" s="51">
        <v>85943.038791909523</v>
      </c>
      <c r="D17" s="51">
        <v>1026672.5490368654</v>
      </c>
      <c r="E17" s="51">
        <v>142348.42444551075</v>
      </c>
      <c r="F17" s="51">
        <v>1526445.1536666667</v>
      </c>
      <c r="G17" s="51">
        <v>360500</v>
      </c>
    </row>
    <row r="18" spans="1:7" x14ac:dyDescent="0.2">
      <c r="A18" s="1464" t="s">
        <v>1524</v>
      </c>
      <c r="B18" s="51">
        <v>290017.40999999997</v>
      </c>
      <c r="C18" s="51">
        <v>350281.80000000005</v>
      </c>
      <c r="D18" s="51">
        <v>294760.3200906323</v>
      </c>
      <c r="E18" s="51">
        <v>203853.03</v>
      </c>
      <c r="F18" s="51">
        <v>270000</v>
      </c>
      <c r="G18" s="51">
        <v>290000</v>
      </c>
    </row>
    <row r="19" spans="1:7" x14ac:dyDescent="0.2">
      <c r="A19" s="1464" t="s">
        <v>251</v>
      </c>
      <c r="B19" s="51">
        <v>37965.599999999999</v>
      </c>
      <c r="C19" s="51">
        <v>43952.39</v>
      </c>
      <c r="D19" s="51">
        <v>21598.899999999998</v>
      </c>
      <c r="E19" s="51">
        <v>72521.78</v>
      </c>
      <c r="F19" s="51">
        <v>60000</v>
      </c>
      <c r="G19" s="51">
        <v>60000</v>
      </c>
    </row>
    <row r="20" spans="1:7" x14ac:dyDescent="0.2">
      <c r="A20" s="1464" t="s">
        <v>1525</v>
      </c>
      <c r="B20" s="51">
        <v>0</v>
      </c>
      <c r="C20" s="51">
        <v>0</v>
      </c>
      <c r="D20" s="51">
        <v>0</v>
      </c>
      <c r="E20" s="51">
        <v>0</v>
      </c>
      <c r="F20" s="51">
        <v>622282.69000000006</v>
      </c>
      <c r="G20" s="51">
        <v>0</v>
      </c>
    </row>
    <row r="21" spans="1:7" x14ac:dyDescent="0.2">
      <c r="A21" s="53" t="s">
        <v>180</v>
      </c>
      <c r="B21" s="54">
        <f t="shared" ref="B21:G21" si="0">SUM(B16:B20)</f>
        <v>955469.14232353598</v>
      </c>
      <c r="C21" s="54">
        <f t="shared" si="0"/>
        <v>983398.6432995795</v>
      </c>
      <c r="D21" s="54">
        <f t="shared" si="0"/>
        <v>1829632.493015632</v>
      </c>
      <c r="E21" s="54">
        <f t="shared" si="0"/>
        <v>549938.95439174352</v>
      </c>
      <c r="F21" s="54">
        <f t="shared" si="0"/>
        <v>2603727.8436666667</v>
      </c>
      <c r="G21" s="54">
        <f t="shared" si="0"/>
        <v>835500</v>
      </c>
    </row>
    <row r="22" spans="1:7" x14ac:dyDescent="0.2">
      <c r="A22" s="55" t="s">
        <v>653</v>
      </c>
      <c r="B22" s="49"/>
      <c r="C22" s="49"/>
      <c r="D22" s="49"/>
      <c r="E22" s="49"/>
      <c r="F22" s="49"/>
      <c r="G22" s="49"/>
    </row>
    <row r="23" spans="1:7" x14ac:dyDescent="0.2">
      <c r="A23" s="1464" t="s">
        <v>1526</v>
      </c>
      <c r="B23" s="52">
        <v>557161.71517420013</v>
      </c>
      <c r="C23" s="52">
        <v>465033.97470943956</v>
      </c>
      <c r="D23" s="52">
        <v>393510.73629366327</v>
      </c>
      <c r="E23" s="52">
        <v>499940.2532432786</v>
      </c>
      <c r="F23" s="52">
        <v>945417.39999999991</v>
      </c>
      <c r="G23" s="52">
        <v>637000</v>
      </c>
    </row>
    <row r="24" spans="1:7" x14ac:dyDescent="0.2">
      <c r="A24" s="1464" t="s">
        <v>1527</v>
      </c>
      <c r="B24" s="52">
        <v>316729.35250226379</v>
      </c>
      <c r="C24" s="52">
        <v>77093.241990981012</v>
      </c>
      <c r="D24" s="52">
        <v>316751.40069070458</v>
      </c>
      <c r="E24" s="52">
        <v>192059.33236497789</v>
      </c>
      <c r="F24" s="52">
        <v>528355.44999999995</v>
      </c>
      <c r="G24" s="52">
        <v>335000</v>
      </c>
    </row>
    <row r="25" spans="1:7" x14ac:dyDescent="0.2">
      <c r="A25" s="1464" t="s">
        <v>1528</v>
      </c>
      <c r="B25" s="52">
        <v>0</v>
      </c>
      <c r="C25" s="52">
        <v>0</v>
      </c>
      <c r="D25" s="52">
        <v>0</v>
      </c>
      <c r="E25" s="52">
        <v>0</v>
      </c>
      <c r="F25" s="52">
        <v>0</v>
      </c>
      <c r="G25" s="52">
        <v>125000</v>
      </c>
    </row>
    <row r="26" spans="1:7" x14ac:dyDescent="0.2">
      <c r="A26" s="48"/>
      <c r="B26" s="52"/>
      <c r="C26" s="52"/>
      <c r="D26" s="52"/>
      <c r="E26" s="52"/>
      <c r="F26" s="52"/>
      <c r="G26" s="52"/>
    </row>
    <row r="27" spans="1:7" x14ac:dyDescent="0.2">
      <c r="A27" s="48"/>
      <c r="B27" s="52"/>
      <c r="C27" s="52"/>
      <c r="D27" s="52"/>
      <c r="E27" s="52"/>
      <c r="F27" s="52"/>
      <c r="G27" s="52"/>
    </row>
    <row r="28" spans="1:7" x14ac:dyDescent="0.2">
      <c r="A28" s="53" t="s">
        <v>180</v>
      </c>
      <c r="B28" s="54">
        <f t="shared" ref="B28:G28" si="1">SUM(B23:B27)</f>
        <v>873891.06767646386</v>
      </c>
      <c r="C28" s="54">
        <f t="shared" si="1"/>
        <v>542127.2167004206</v>
      </c>
      <c r="D28" s="54">
        <f t="shared" si="1"/>
        <v>710262.13698436785</v>
      </c>
      <c r="E28" s="54">
        <f t="shared" si="1"/>
        <v>691999.58560825652</v>
      </c>
      <c r="F28" s="54">
        <f t="shared" si="1"/>
        <v>1473772.8499999999</v>
      </c>
      <c r="G28" s="54">
        <f t="shared" si="1"/>
        <v>1097000</v>
      </c>
    </row>
    <row r="29" spans="1:7" x14ac:dyDescent="0.2">
      <c r="A29" s="55" t="s">
        <v>654</v>
      </c>
      <c r="B29" s="49"/>
      <c r="C29" s="49"/>
      <c r="D29" s="49"/>
      <c r="E29" s="49"/>
      <c r="F29" s="49"/>
      <c r="G29" s="49"/>
    </row>
    <row r="30" spans="1:7" x14ac:dyDescent="0.2">
      <c r="A30" s="1464" t="s">
        <v>1529</v>
      </c>
      <c r="B30" s="52">
        <v>11055.96</v>
      </c>
      <c r="C30" s="52">
        <v>2536746.92</v>
      </c>
      <c r="D30" s="52">
        <v>76777.72</v>
      </c>
      <c r="E30" s="52">
        <v>44135.18</v>
      </c>
      <c r="F30" s="52">
        <v>5000</v>
      </c>
      <c r="G30" s="52">
        <v>3310000</v>
      </c>
    </row>
    <row r="31" spans="1:7" x14ac:dyDescent="0.2">
      <c r="A31" s="1464" t="s">
        <v>1530</v>
      </c>
      <c r="B31" s="52">
        <v>0</v>
      </c>
      <c r="C31" s="52">
        <v>0</v>
      </c>
      <c r="D31" s="52">
        <v>0</v>
      </c>
      <c r="E31" s="52">
        <v>0</v>
      </c>
      <c r="F31" s="52">
        <v>0</v>
      </c>
      <c r="G31" s="52">
        <v>442340</v>
      </c>
    </row>
    <row r="32" spans="1:7" x14ac:dyDescent="0.2">
      <c r="A32" s="1464" t="s">
        <v>1531</v>
      </c>
      <c r="B32" s="52">
        <v>29052.929999999997</v>
      </c>
      <c r="C32" s="52">
        <v>52384.07</v>
      </c>
      <c r="D32" s="52">
        <v>88111.25</v>
      </c>
      <c r="E32" s="52">
        <v>33997.81</v>
      </c>
      <c r="F32" s="52">
        <v>0</v>
      </c>
      <c r="G32" s="52">
        <v>0</v>
      </c>
    </row>
    <row r="33" spans="1:7" x14ac:dyDescent="0.2">
      <c r="A33" s="1464" t="s">
        <v>1532</v>
      </c>
      <c r="B33" s="52">
        <v>0</v>
      </c>
      <c r="C33" s="52">
        <v>68897.56</v>
      </c>
      <c r="D33" s="52">
        <v>64289.8</v>
      </c>
      <c r="E33" s="52">
        <v>128546.31</v>
      </c>
      <c r="F33" s="52">
        <v>120000</v>
      </c>
      <c r="G33" s="52">
        <v>80000</v>
      </c>
    </row>
    <row r="34" spans="1:7" x14ac:dyDescent="0.2">
      <c r="A34" s="48"/>
      <c r="B34" s="52"/>
      <c r="C34" s="52"/>
      <c r="D34" s="52"/>
      <c r="E34" s="52"/>
      <c r="F34" s="52"/>
      <c r="G34" s="52"/>
    </row>
    <row r="35" spans="1:7" x14ac:dyDescent="0.2">
      <c r="A35" s="53" t="s">
        <v>180</v>
      </c>
      <c r="B35" s="54">
        <f t="shared" ref="B35:G35" si="2">SUM(B30:B34)</f>
        <v>40108.89</v>
      </c>
      <c r="C35" s="54">
        <f t="shared" si="2"/>
        <v>2658028.5499999998</v>
      </c>
      <c r="D35" s="54">
        <f t="shared" si="2"/>
        <v>229178.77000000002</v>
      </c>
      <c r="E35" s="54">
        <f t="shared" si="2"/>
        <v>206679.3</v>
      </c>
      <c r="F35" s="54">
        <f t="shared" si="2"/>
        <v>125000</v>
      </c>
      <c r="G35" s="54">
        <f t="shared" si="2"/>
        <v>3832340</v>
      </c>
    </row>
    <row r="36" spans="1:7" x14ac:dyDescent="0.2">
      <c r="A36" s="55" t="s">
        <v>655</v>
      </c>
      <c r="B36" s="56"/>
      <c r="C36" s="56"/>
      <c r="D36" s="56"/>
      <c r="E36" s="56"/>
      <c r="F36" s="56"/>
      <c r="G36" s="56"/>
    </row>
    <row r="37" spans="1:7" x14ac:dyDescent="0.2">
      <c r="A37" s="1464" t="s">
        <v>252</v>
      </c>
      <c r="B37" s="50">
        <v>5717</v>
      </c>
      <c r="C37" s="50">
        <v>7007.86</v>
      </c>
      <c r="D37" s="50">
        <v>81142.210000000006</v>
      </c>
      <c r="E37" s="50">
        <v>49690.42</v>
      </c>
      <c r="F37" s="50">
        <v>52260.100000000006</v>
      </c>
      <c r="G37" s="50">
        <v>23150</v>
      </c>
    </row>
    <row r="38" spans="1:7" x14ac:dyDescent="0.2">
      <c r="A38" s="1464" t="s">
        <v>1533</v>
      </c>
      <c r="B38" s="51">
        <v>100322.25</v>
      </c>
      <c r="C38" s="51">
        <v>6290.16</v>
      </c>
      <c r="D38" s="51">
        <v>11084.470000000001</v>
      </c>
      <c r="E38" s="51">
        <v>44933.5</v>
      </c>
      <c r="F38" s="51">
        <v>29250</v>
      </c>
      <c r="G38" s="51">
        <v>20600</v>
      </c>
    </row>
    <row r="39" spans="1:7" x14ac:dyDescent="0.2">
      <c r="A39" s="1464" t="s">
        <v>1534</v>
      </c>
      <c r="B39" s="52">
        <v>0</v>
      </c>
      <c r="C39" s="52">
        <v>0</v>
      </c>
      <c r="D39" s="52">
        <v>0</v>
      </c>
      <c r="E39" s="52">
        <v>0</v>
      </c>
      <c r="F39" s="52">
        <v>364294.68999999994</v>
      </c>
      <c r="G39" s="52">
        <v>0</v>
      </c>
    </row>
    <row r="40" spans="1:7" x14ac:dyDescent="0.2">
      <c r="A40" s="48"/>
      <c r="B40" s="52"/>
      <c r="C40" s="52"/>
      <c r="D40" s="52"/>
      <c r="E40" s="52"/>
      <c r="F40" s="52"/>
      <c r="G40" s="52"/>
    </row>
    <row r="41" spans="1:7" x14ac:dyDescent="0.2">
      <c r="A41" s="48"/>
      <c r="B41" s="52"/>
      <c r="C41" s="52"/>
      <c r="D41" s="52"/>
      <c r="E41" s="52"/>
      <c r="F41" s="52"/>
      <c r="G41" s="52"/>
    </row>
    <row r="42" spans="1:7" x14ac:dyDescent="0.2">
      <c r="A42" s="53" t="s">
        <v>180</v>
      </c>
      <c r="B42" s="54">
        <f t="shared" ref="B42:G42" si="3">SUM(B37:B41)</f>
        <v>106039.25</v>
      </c>
      <c r="C42" s="54">
        <f t="shared" si="3"/>
        <v>13298.02</v>
      </c>
      <c r="D42" s="54">
        <f t="shared" si="3"/>
        <v>92226.680000000008</v>
      </c>
      <c r="E42" s="54">
        <f t="shared" si="3"/>
        <v>94623.92</v>
      </c>
      <c r="F42" s="54">
        <f t="shared" si="3"/>
        <v>445804.78999999992</v>
      </c>
      <c r="G42" s="54">
        <f t="shared" si="3"/>
        <v>43750</v>
      </c>
    </row>
    <row r="43" spans="1:7" ht="13.5" thickBot="1" x14ac:dyDescent="0.25">
      <c r="A43" s="55" t="s">
        <v>179</v>
      </c>
      <c r="B43" s="51">
        <v>6545.4599999999991</v>
      </c>
      <c r="C43" s="51">
        <v>53107.040000000001</v>
      </c>
      <c r="D43" s="51">
        <v>14827.9</v>
      </c>
      <c r="E43" s="51">
        <v>60002.67</v>
      </c>
      <c r="F43" s="51">
        <v>52974.979999999996</v>
      </c>
      <c r="G43" s="51">
        <v>40000</v>
      </c>
    </row>
    <row r="44" spans="1:7" ht="14.25" thickTop="1" thickBot="1" x14ac:dyDescent="0.25">
      <c r="A44" s="57" t="s">
        <v>272</v>
      </c>
      <c r="B44" s="58">
        <f t="shared" ref="B44:G44" si="4">SUMPRODUCT(--($A15:$A43="Sub-Total"), B$15:B$43)+B43</f>
        <v>1982053.8099999998</v>
      </c>
      <c r="C44" s="58">
        <f t="shared" si="4"/>
        <v>4249959.47</v>
      </c>
      <c r="D44" s="58">
        <f t="shared" si="4"/>
        <v>2876127.98</v>
      </c>
      <c r="E44" s="58">
        <f t="shared" si="4"/>
        <v>1603244.43</v>
      </c>
      <c r="F44" s="58">
        <f t="shared" si="4"/>
        <v>4701280.4636666672</v>
      </c>
      <c r="G44" s="58">
        <f t="shared" si="4"/>
        <v>5848590</v>
      </c>
    </row>
    <row r="45" spans="1:7" ht="51.75" thickBot="1" x14ac:dyDescent="0.25">
      <c r="A45" s="59" t="s">
        <v>915</v>
      </c>
      <c r="B45" s="51">
        <v>0</v>
      </c>
      <c r="C45" s="51">
        <v>0</v>
      </c>
      <c r="D45" s="51">
        <v>0</v>
      </c>
      <c r="E45" s="51">
        <v>0</v>
      </c>
      <c r="F45" s="51">
        <v>0</v>
      </c>
      <c r="G45" s="51">
        <v>0</v>
      </c>
    </row>
    <row r="46" spans="1:7" ht="14.25" thickTop="1" thickBot="1" x14ac:dyDescent="0.25">
      <c r="A46" s="60" t="s">
        <v>272</v>
      </c>
      <c r="B46" s="58">
        <f t="shared" ref="B46:G46" si="5">B44+B45</f>
        <v>1982053.8099999998</v>
      </c>
      <c r="C46" s="58">
        <f t="shared" si="5"/>
        <v>4249959.47</v>
      </c>
      <c r="D46" s="58">
        <f t="shared" si="5"/>
        <v>2876127.98</v>
      </c>
      <c r="E46" s="58">
        <f t="shared" si="5"/>
        <v>1603244.43</v>
      </c>
      <c r="F46" s="58">
        <f t="shared" si="5"/>
        <v>4701280.4636666672</v>
      </c>
      <c r="G46" s="58">
        <f t="shared" si="5"/>
        <v>5848590</v>
      </c>
    </row>
    <row r="48" spans="1:7" x14ac:dyDescent="0.2">
      <c r="A48" s="61" t="s">
        <v>6</v>
      </c>
      <c r="G48" s="62"/>
    </row>
    <row r="50" spans="1:9" ht="27.75" customHeight="1" x14ac:dyDescent="0.2">
      <c r="A50" s="1623" t="s">
        <v>430</v>
      </c>
      <c r="B50" s="1624"/>
      <c r="C50" s="1624"/>
      <c r="D50" s="1624"/>
      <c r="E50" s="1624"/>
      <c r="F50" s="1624"/>
      <c r="G50" s="1624"/>
      <c r="H50" s="1624"/>
    </row>
    <row r="51" spans="1:9" ht="28.5" customHeight="1" x14ac:dyDescent="0.2">
      <c r="A51" s="1623" t="s">
        <v>845</v>
      </c>
      <c r="B51" s="1624"/>
      <c r="C51" s="1624"/>
      <c r="D51" s="1624"/>
      <c r="E51" s="1624"/>
      <c r="F51" s="1624"/>
      <c r="G51" s="1624"/>
      <c r="H51" s="1624"/>
      <c r="I51" s="450"/>
    </row>
    <row r="52" spans="1:9" ht="27" customHeight="1" x14ac:dyDescent="0.2">
      <c r="A52" s="1623"/>
      <c r="B52" s="1624"/>
      <c r="C52" s="1624"/>
      <c r="D52" s="1624"/>
      <c r="E52" s="1624"/>
      <c r="F52" s="1624"/>
      <c r="G52" s="1624"/>
      <c r="H52" s="1624"/>
    </row>
    <row r="54" spans="1:9" x14ac:dyDescent="0.2">
      <c r="A54" s="1621"/>
      <c r="B54" s="1621"/>
      <c r="C54" s="1621"/>
      <c r="D54" s="1621"/>
      <c r="E54" s="1621"/>
      <c r="F54" s="1621"/>
      <c r="G54" s="1621"/>
      <c r="H54" s="1621"/>
      <c r="I54" s="1621"/>
    </row>
    <row r="55" spans="1:9" x14ac:dyDescent="0.2">
      <c r="A55" s="1621"/>
      <c r="B55" s="1621"/>
      <c r="C55" s="1621"/>
      <c r="D55" s="1621"/>
      <c r="E55" s="1621"/>
      <c r="F55" s="1621"/>
      <c r="G55" s="1621"/>
      <c r="H55" s="1621"/>
      <c r="I55" s="1621"/>
    </row>
    <row r="57" spans="1:9" x14ac:dyDescent="0.2">
      <c r="A57" s="39"/>
    </row>
  </sheetData>
  <mergeCells count="7">
    <mergeCell ref="A12:H12"/>
    <mergeCell ref="A54:I55"/>
    <mergeCell ref="A10:H10"/>
    <mergeCell ref="A9:H9"/>
    <mergeCell ref="A50:H50"/>
    <mergeCell ref="A52:H52"/>
    <mergeCell ref="A51:H51"/>
  </mergeCells>
  <phoneticPr fontId="16" type="noConversion"/>
  <dataValidations count="1">
    <dataValidation type="list" allowBlank="1" showInputMessage="1" showErrorMessage="1" sqref="B14:G14" xr:uid="{00000000-0002-0000-0500-000000000000}">
      <formula1>"CGAAP, MIFRS, USGAAP, ASPE"</formula1>
    </dataValidation>
  </dataValidations>
  <pageMargins left="0.75" right="0.75" top="1" bottom="1" header="0.5" footer="0.5"/>
  <pageSetup scale="72"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9">
    <tabColor rgb="FF00B0F0"/>
  </sheetPr>
  <dimension ref="A1:AG39"/>
  <sheetViews>
    <sheetView showGridLines="0" zoomScale="85" zoomScaleNormal="85" workbookViewId="0"/>
  </sheetViews>
  <sheetFormatPr defaultColWidth="9.28515625" defaultRowHeight="12.75" x14ac:dyDescent="0.2"/>
  <cols>
    <col min="1" max="1" width="28.28515625" style="1" customWidth="1"/>
    <col min="2" max="13" width="9.28515625" style="1" hidden="1" customWidth="1"/>
    <col min="14" max="18" width="9.28515625" style="1" customWidth="1"/>
    <col min="19" max="19" width="12.7109375" style="1" customWidth="1"/>
    <col min="20" max="20" width="13.28515625" style="1" customWidth="1"/>
    <col min="21" max="33" width="9.28515625" style="1" customWidth="1"/>
    <col min="34" max="16384" width="9.28515625" style="1"/>
  </cols>
  <sheetData>
    <row r="1" spans="1:33" x14ac:dyDescent="0.2">
      <c r="AE1" s="967" t="s">
        <v>277</v>
      </c>
      <c r="AG1" s="968" t="str">
        <f>EBNUMBER</f>
        <v>EB-2018-0056</v>
      </c>
    </row>
    <row r="2" spans="1:33" x14ac:dyDescent="0.2">
      <c r="AE2" s="967" t="s">
        <v>278</v>
      </c>
      <c r="AG2" s="41"/>
    </row>
    <row r="3" spans="1:33" x14ac:dyDescent="0.2">
      <c r="AE3" s="967" t="s">
        <v>279</v>
      </c>
      <c r="AG3" s="41"/>
    </row>
    <row r="4" spans="1:33" x14ac:dyDescent="0.2">
      <c r="AE4" s="967" t="s">
        <v>280</v>
      </c>
      <c r="AG4" s="41"/>
    </row>
    <row r="5" spans="1:33" ht="15" x14ac:dyDescent="0.25">
      <c r="A5" s="970" t="s">
        <v>1310</v>
      </c>
      <c r="AE5" s="967" t="s">
        <v>281</v>
      </c>
      <c r="AG5" s="42"/>
    </row>
    <row r="6" spans="1:33" x14ac:dyDescent="0.2">
      <c r="AE6" s="967"/>
      <c r="AG6" s="968"/>
    </row>
    <row r="7" spans="1:33" x14ac:dyDescent="0.2">
      <c r="AE7" s="967" t="s">
        <v>282</v>
      </c>
      <c r="AG7" s="42"/>
    </row>
    <row r="9" spans="1:33" ht="18" x14ac:dyDescent="0.2">
      <c r="A9" s="1622" t="s">
        <v>662</v>
      </c>
      <c r="B9" s="1622"/>
      <c r="C9" s="1622"/>
      <c r="D9" s="1622"/>
      <c r="E9" s="1622"/>
      <c r="F9" s="1622"/>
      <c r="G9" s="1622"/>
      <c r="H9" s="1622"/>
      <c r="I9" s="1622"/>
      <c r="J9" s="1622"/>
      <c r="K9" s="1622"/>
      <c r="L9" s="1622"/>
      <c r="M9" s="1622"/>
      <c r="N9" s="1622"/>
      <c r="O9" s="1622"/>
      <c r="P9" s="1622"/>
      <c r="Q9" s="1622"/>
      <c r="R9" s="1622"/>
      <c r="S9" s="1622"/>
      <c r="T9" s="1622"/>
      <c r="U9" s="1622"/>
      <c r="V9" s="1622"/>
      <c r="W9" s="1622"/>
      <c r="X9" s="1622"/>
      <c r="Y9" s="1622"/>
      <c r="Z9" s="1622"/>
      <c r="AA9" s="1622"/>
      <c r="AB9" s="1622"/>
      <c r="AC9" s="1622"/>
      <c r="AD9" s="1622"/>
      <c r="AE9" s="1622"/>
      <c r="AF9" s="1622"/>
      <c r="AG9" s="1622"/>
    </row>
    <row r="10" spans="1:33" ht="36.75" customHeight="1" x14ac:dyDescent="0.2">
      <c r="A10" s="1637" t="s">
        <v>663</v>
      </c>
      <c r="B10" s="1637"/>
      <c r="C10" s="1637"/>
      <c r="D10" s="1637"/>
      <c r="E10" s="1637"/>
      <c r="F10" s="1637"/>
      <c r="G10" s="1637"/>
      <c r="H10" s="1637"/>
      <c r="I10" s="1637"/>
      <c r="J10" s="1637"/>
      <c r="K10" s="1637"/>
      <c r="L10" s="1637"/>
      <c r="M10" s="1637"/>
      <c r="N10" s="1637"/>
      <c r="O10" s="1637"/>
      <c r="P10" s="1637"/>
      <c r="Q10" s="1637"/>
      <c r="R10" s="1637"/>
      <c r="S10" s="1637"/>
      <c r="T10" s="1637"/>
      <c r="U10" s="1637"/>
      <c r="V10" s="1637"/>
      <c r="W10" s="1637"/>
      <c r="X10" s="1637"/>
      <c r="Y10" s="1637"/>
      <c r="Z10" s="1637"/>
      <c r="AA10" s="1637"/>
      <c r="AB10" s="1637"/>
      <c r="AC10" s="1637"/>
      <c r="AD10" s="1637"/>
      <c r="AE10" s="1637"/>
      <c r="AF10" s="1637"/>
      <c r="AG10" s="1637"/>
    </row>
    <row r="11" spans="1:33" x14ac:dyDescent="0.2">
      <c r="A11" s="972" t="s">
        <v>647</v>
      </c>
    </row>
    <row r="12" spans="1:33" ht="23.25" customHeight="1" thickBot="1" x14ac:dyDescent="0.25">
      <c r="A12" s="973">
        <f>TestYear</f>
        <v>2019</v>
      </c>
      <c r="B12" s="972"/>
      <c r="C12" s="972"/>
      <c r="D12" s="972"/>
      <c r="E12" s="972"/>
      <c r="F12" s="972"/>
      <c r="G12" s="972"/>
      <c r="H12" s="972"/>
      <c r="I12" s="972"/>
      <c r="J12" s="972"/>
      <c r="K12" s="972"/>
      <c r="L12" s="972"/>
      <c r="M12" s="972"/>
    </row>
    <row r="13" spans="1:33" s="974" customFormat="1" ht="18.600000000000001" customHeight="1" thickTop="1" thickBot="1" x14ac:dyDescent="0.25">
      <c r="A13" s="1646" t="s">
        <v>648</v>
      </c>
      <c r="B13" s="1643" t="s">
        <v>664</v>
      </c>
      <c r="C13" s="1644"/>
      <c r="D13" s="1644"/>
      <c r="E13" s="1644"/>
      <c r="F13" s="1644"/>
      <c r="G13" s="1644"/>
      <c r="H13" s="1644"/>
      <c r="I13" s="1644"/>
      <c r="J13" s="1644"/>
      <c r="K13" s="1644"/>
      <c r="L13" s="1644"/>
      <c r="M13" s="1644"/>
      <c r="N13" s="1644"/>
      <c r="O13" s="1644"/>
      <c r="P13" s="1644"/>
      <c r="Q13" s="1644"/>
      <c r="R13" s="1644"/>
      <c r="S13" s="1644"/>
      <c r="T13" s="1644"/>
      <c r="U13" s="1644"/>
      <c r="V13" s="1644"/>
      <c r="W13" s="1644"/>
      <c r="X13" s="1644"/>
      <c r="Y13" s="1644"/>
      <c r="Z13" s="1644"/>
      <c r="AA13" s="1644"/>
      <c r="AB13" s="1645"/>
      <c r="AC13" s="1649" t="s">
        <v>665</v>
      </c>
      <c r="AD13" s="1650"/>
      <c r="AE13" s="1650"/>
      <c r="AF13" s="1650"/>
      <c r="AG13" s="1651"/>
    </row>
    <row r="14" spans="1:33" s="974" customFormat="1" ht="13.5" thickBot="1" x14ac:dyDescent="0.25">
      <c r="A14" s="1647"/>
      <c r="B14" s="1638">
        <f>E14-1</f>
        <v>2010</v>
      </c>
      <c r="C14" s="1639"/>
      <c r="D14" s="1640"/>
      <c r="E14" s="1638">
        <f>H14-1</f>
        <v>2011</v>
      </c>
      <c r="F14" s="1639"/>
      <c r="G14" s="1640"/>
      <c r="H14" s="1638">
        <f>K14-1</f>
        <v>2012</v>
      </c>
      <c r="I14" s="1639"/>
      <c r="J14" s="1640"/>
      <c r="K14" s="1643">
        <f>N14-1</f>
        <v>2013</v>
      </c>
      <c r="L14" s="1644"/>
      <c r="M14" s="1645"/>
      <c r="N14" s="1638">
        <f>Q14-1</f>
        <v>2014</v>
      </c>
      <c r="O14" s="1639"/>
      <c r="P14" s="1640"/>
      <c r="Q14" s="1638">
        <f>T14-1</f>
        <v>2015</v>
      </c>
      <c r="R14" s="1639"/>
      <c r="S14" s="1640"/>
      <c r="T14" s="1638">
        <f>W14-1</f>
        <v>2016</v>
      </c>
      <c r="U14" s="1639"/>
      <c r="V14" s="1640"/>
      <c r="W14" s="1638">
        <f>Z14-1</f>
        <v>2017</v>
      </c>
      <c r="X14" s="1639"/>
      <c r="Y14" s="1640"/>
      <c r="Z14" s="1638">
        <f>AC14-1</f>
        <v>2018</v>
      </c>
      <c r="AA14" s="1639"/>
      <c r="AB14" s="1640"/>
      <c r="AC14" s="1641">
        <f>A12</f>
        <v>2019</v>
      </c>
      <c r="AD14" s="1641">
        <f>AC14+1</f>
        <v>2020</v>
      </c>
      <c r="AE14" s="1641">
        <f>AD14+1</f>
        <v>2021</v>
      </c>
      <c r="AF14" s="1641">
        <f>AE14+1</f>
        <v>2022</v>
      </c>
      <c r="AG14" s="1641">
        <f>AF14+1</f>
        <v>2023</v>
      </c>
    </row>
    <row r="15" spans="1:33" s="974" customFormat="1" ht="15" thickBot="1" x14ac:dyDescent="0.25">
      <c r="A15" s="1647"/>
      <c r="B15" s="975" t="s">
        <v>649</v>
      </c>
      <c r="C15" s="975" t="s">
        <v>370</v>
      </c>
      <c r="D15" s="975" t="s">
        <v>650</v>
      </c>
      <c r="E15" s="975" t="s">
        <v>649</v>
      </c>
      <c r="F15" s="975" t="s">
        <v>370</v>
      </c>
      <c r="G15" s="975" t="s">
        <v>650</v>
      </c>
      <c r="H15" s="975" t="s">
        <v>649</v>
      </c>
      <c r="I15" s="975" t="s">
        <v>370</v>
      </c>
      <c r="J15" s="975" t="s">
        <v>650</v>
      </c>
      <c r="K15" s="975" t="s">
        <v>649</v>
      </c>
      <c r="L15" s="975" t="s">
        <v>370</v>
      </c>
      <c r="M15" s="975" t="s">
        <v>650</v>
      </c>
      <c r="N15" s="975" t="s">
        <v>649</v>
      </c>
      <c r="O15" s="975" t="s">
        <v>370</v>
      </c>
      <c r="P15" s="975" t="s">
        <v>650</v>
      </c>
      <c r="Q15" s="975" t="s">
        <v>649</v>
      </c>
      <c r="R15" s="976" t="s">
        <v>370</v>
      </c>
      <c r="S15" s="975" t="s">
        <v>650</v>
      </c>
      <c r="T15" s="976" t="s">
        <v>649</v>
      </c>
      <c r="U15" s="976" t="s">
        <v>370</v>
      </c>
      <c r="V15" s="975" t="s">
        <v>650</v>
      </c>
      <c r="W15" s="975" t="s">
        <v>649</v>
      </c>
      <c r="X15" s="975" t="s">
        <v>370</v>
      </c>
      <c r="Y15" s="975" t="s">
        <v>650</v>
      </c>
      <c r="Z15" s="976" t="s">
        <v>649</v>
      </c>
      <c r="AA15" s="976" t="s">
        <v>666</v>
      </c>
      <c r="AB15" s="975" t="s">
        <v>650</v>
      </c>
      <c r="AC15" s="1642"/>
      <c r="AD15" s="1642"/>
      <c r="AE15" s="1642"/>
      <c r="AF15" s="1642"/>
      <c r="AG15" s="1642"/>
    </row>
    <row r="16" spans="1:33" s="974" customFormat="1" ht="13.5" thickBot="1" x14ac:dyDescent="0.25">
      <c r="A16" s="1648"/>
      <c r="B16" s="1654" t="s">
        <v>651</v>
      </c>
      <c r="C16" s="1655"/>
      <c r="D16" s="977" t="s">
        <v>153</v>
      </c>
      <c r="E16" s="1654" t="s">
        <v>651</v>
      </c>
      <c r="F16" s="1655"/>
      <c r="G16" s="977" t="s">
        <v>153</v>
      </c>
      <c r="H16" s="1654" t="s">
        <v>651</v>
      </c>
      <c r="I16" s="1655"/>
      <c r="J16" s="977" t="s">
        <v>153</v>
      </c>
      <c r="K16" s="1656" t="s">
        <v>651</v>
      </c>
      <c r="L16" s="1659"/>
      <c r="M16" s="977" t="s">
        <v>153</v>
      </c>
      <c r="N16" s="1654" t="s">
        <v>651</v>
      </c>
      <c r="O16" s="1655"/>
      <c r="P16" s="977" t="s">
        <v>153</v>
      </c>
      <c r="Q16" s="1654" t="s">
        <v>651</v>
      </c>
      <c r="R16" s="1655"/>
      <c r="S16" s="977" t="s">
        <v>153</v>
      </c>
      <c r="T16" s="1654" t="s">
        <v>651</v>
      </c>
      <c r="U16" s="1655"/>
      <c r="V16" s="977" t="s">
        <v>153</v>
      </c>
      <c r="W16" s="1654" t="s">
        <v>651</v>
      </c>
      <c r="X16" s="1655"/>
      <c r="Y16" s="977" t="s">
        <v>153</v>
      </c>
      <c r="Z16" s="1654" t="s">
        <v>651</v>
      </c>
      <c r="AA16" s="1655"/>
      <c r="AB16" s="977" t="s">
        <v>153</v>
      </c>
      <c r="AC16" s="1656" t="s">
        <v>651</v>
      </c>
      <c r="AD16" s="1657"/>
      <c r="AE16" s="1657"/>
      <c r="AF16" s="1657"/>
      <c r="AG16" s="1658"/>
    </row>
    <row r="17" spans="1:33" s="974" customFormat="1" ht="16.5" thickBot="1" x14ac:dyDescent="0.25">
      <c r="A17" s="978" t="s">
        <v>652</v>
      </c>
      <c r="B17" s="65"/>
      <c r="C17" s="65"/>
      <c r="D17" s="979" t="str">
        <f>IF(ISERROR((C17-B17)/B17),"--",(C17-B17)/B17)</f>
        <v>--</v>
      </c>
      <c r="E17" s="65"/>
      <c r="F17" s="65"/>
      <c r="G17" s="979" t="str">
        <f>IF(ISERROR((F17-E17)/E17),"--",(F17-E17)/E17)</f>
        <v>--</v>
      </c>
      <c r="H17" s="65"/>
      <c r="I17" s="65"/>
      <c r="J17" s="979" t="str">
        <f>IF(ISERROR((I17-H17)/H17),"--",(I17-H17)/H17)</f>
        <v>--</v>
      </c>
      <c r="K17" s="65"/>
      <c r="L17" s="65"/>
      <c r="M17" s="979" t="str">
        <f>IF(ISERROR((L17-K17)/K17),"--",(L17-K17)/K17)</f>
        <v>--</v>
      </c>
      <c r="N17" s="65">
        <v>100</v>
      </c>
      <c r="O17" s="65">
        <v>955.46914232353595</v>
      </c>
      <c r="P17" s="979">
        <f>IF(ISERROR((O17-N17)/N17),"--",(O17-N17)/N17)</f>
        <v>8.5546914232353597</v>
      </c>
      <c r="Q17" s="65">
        <v>100</v>
      </c>
      <c r="R17" s="65">
        <v>983.39864329957948</v>
      </c>
      <c r="S17" s="979">
        <f>IF(ISERROR((R17-Q17)/Q17),"--",(R17-Q17)/Q17)</f>
        <v>8.8339864329957951</v>
      </c>
      <c r="T17" s="65">
        <v>100</v>
      </c>
      <c r="U17" s="65">
        <v>1829.632493015632</v>
      </c>
      <c r="V17" s="979">
        <f>IF(ISERROR((U17-T17)/T17),"--",(U17-T17)/T17)</f>
        <v>17.29632493015632</v>
      </c>
      <c r="W17" s="65">
        <v>100</v>
      </c>
      <c r="X17" s="65">
        <v>549.93895439174355</v>
      </c>
      <c r="Y17" s="979">
        <f>IF(ISERROR((X17-W17)/W17),"--",(X17-W17)/W17)</f>
        <v>4.4993895439174354</v>
      </c>
      <c r="Z17" s="65">
        <v>100</v>
      </c>
      <c r="AA17" s="65">
        <v>2603.7278436666666</v>
      </c>
      <c r="AB17" s="979">
        <f>IF(ISERROR((AA17-Z17)/Z17),"--",(AA17-Z17)/Z17)</f>
        <v>25.037278436666664</v>
      </c>
      <c r="AC17" s="65">
        <v>835.5</v>
      </c>
      <c r="AD17" s="65">
        <v>851.31500000000005</v>
      </c>
      <c r="AE17" s="65">
        <v>842.45399999999995</v>
      </c>
      <c r="AF17" s="65">
        <v>853.928</v>
      </c>
      <c r="AG17" s="66">
        <v>872.74599999999998</v>
      </c>
    </row>
    <row r="18" spans="1:33" s="974" customFormat="1" ht="16.5" thickBot="1" x14ac:dyDescent="0.25">
      <c r="A18" s="978" t="s">
        <v>653</v>
      </c>
      <c r="B18" s="65"/>
      <c r="C18" s="65"/>
      <c r="D18" s="979" t="str">
        <f t="shared" ref="D18:D24" si="0">IF(ISERROR((C18-B18)/B18),"--",(C18-B18)/B18)</f>
        <v>--</v>
      </c>
      <c r="E18" s="65"/>
      <c r="F18" s="65"/>
      <c r="G18" s="979" t="str">
        <f t="shared" ref="G18:G24" si="1">IF(ISERROR((F18-E18)/E18),"--",(F18-E18)/E18)</f>
        <v>--</v>
      </c>
      <c r="H18" s="65"/>
      <c r="I18" s="65"/>
      <c r="J18" s="979" t="str">
        <f t="shared" ref="J18:J24" si="2">IF(ISERROR((I18-H18)/H18),"--",(I18-H18)/H18)</f>
        <v>--</v>
      </c>
      <c r="K18" s="65"/>
      <c r="L18" s="65"/>
      <c r="M18" s="979" t="str">
        <f t="shared" ref="M18:M24" si="3">IF(ISERROR((L18-K18)/K18),"--",(L18-K18)/K18)</f>
        <v>--</v>
      </c>
      <c r="N18" s="65">
        <v>970</v>
      </c>
      <c r="O18" s="65">
        <v>873.89106767646388</v>
      </c>
      <c r="P18" s="979">
        <f t="shared" ref="P18:P24" si="4">IF(ISERROR((O18-N18)/N18),"--",(O18-N18)/N18)</f>
        <v>-9.908137352941869E-2</v>
      </c>
      <c r="Q18" s="65">
        <v>4030</v>
      </c>
      <c r="R18" s="65">
        <v>542.1272167004206</v>
      </c>
      <c r="S18" s="979">
        <f t="shared" ref="S18:S24" si="5">IF(ISERROR((R18-Q18)/Q18),"--",(R18-Q18)/Q18)</f>
        <v>-0.8654771174440643</v>
      </c>
      <c r="T18" s="65">
        <v>1030</v>
      </c>
      <c r="U18" s="65">
        <v>710.26213698436788</v>
      </c>
      <c r="V18" s="979">
        <f t="shared" ref="V18:V24" si="6">IF(ISERROR((U18-T18)/T18),"--",(U18-T18)/T18)</f>
        <v>-0.31042510972391468</v>
      </c>
      <c r="W18" s="65">
        <v>935</v>
      </c>
      <c r="X18" s="65">
        <v>691.99958560825655</v>
      </c>
      <c r="Y18" s="979">
        <f t="shared" ref="Y18:Y24" si="7">IF(ISERROR((X18-W18)/W18),"--",(X18-W18)/W18)</f>
        <v>-0.25989349132806788</v>
      </c>
      <c r="Z18" s="65">
        <v>1030</v>
      </c>
      <c r="AA18" s="65">
        <v>1473.7728499999998</v>
      </c>
      <c r="AB18" s="979">
        <f t="shared" ref="AB18:AB24" si="8">IF(ISERROR((AA18-Z18)/Z18),"--",(AA18-Z18)/Z18)</f>
        <v>0.43084742718446584</v>
      </c>
      <c r="AC18" s="65">
        <v>1097</v>
      </c>
      <c r="AD18" s="65">
        <v>1160</v>
      </c>
      <c r="AE18" s="65">
        <v>935</v>
      </c>
      <c r="AF18" s="65">
        <v>935</v>
      </c>
      <c r="AG18" s="66">
        <v>969</v>
      </c>
    </row>
    <row r="19" spans="1:33" s="974" customFormat="1" ht="16.5" thickBot="1" x14ac:dyDescent="0.25">
      <c r="A19" s="978" t="s">
        <v>654</v>
      </c>
      <c r="B19" s="65"/>
      <c r="C19" s="65"/>
      <c r="D19" s="979" t="str">
        <f t="shared" si="0"/>
        <v>--</v>
      </c>
      <c r="E19" s="65"/>
      <c r="F19" s="65"/>
      <c r="G19" s="979" t="str">
        <f t="shared" si="1"/>
        <v>--</v>
      </c>
      <c r="H19" s="65"/>
      <c r="I19" s="65"/>
      <c r="J19" s="979" t="str">
        <f t="shared" si="2"/>
        <v>--</v>
      </c>
      <c r="K19" s="65"/>
      <c r="L19" s="65"/>
      <c r="M19" s="979" t="str">
        <f t="shared" si="3"/>
        <v>--</v>
      </c>
      <c r="N19" s="65">
        <v>95</v>
      </c>
      <c r="O19" s="65">
        <v>40.108890000000002</v>
      </c>
      <c r="P19" s="979">
        <f t="shared" si="4"/>
        <v>-0.57780115789473685</v>
      </c>
      <c r="Q19" s="65">
        <v>55</v>
      </c>
      <c r="R19" s="65">
        <v>2658.02855</v>
      </c>
      <c r="S19" s="979">
        <f t="shared" si="5"/>
        <v>47.327791818181815</v>
      </c>
      <c r="T19" s="65">
        <v>55</v>
      </c>
      <c r="U19" s="65">
        <v>229.17877000000001</v>
      </c>
      <c r="V19" s="979">
        <f t="shared" si="6"/>
        <v>3.1668867272727277</v>
      </c>
      <c r="W19" s="65">
        <v>55</v>
      </c>
      <c r="X19" s="65">
        <v>206.67929999999998</v>
      </c>
      <c r="Y19" s="979">
        <f t="shared" si="7"/>
        <v>2.7578054545454544</v>
      </c>
      <c r="Z19" s="65">
        <v>55</v>
      </c>
      <c r="AA19" s="65">
        <v>125</v>
      </c>
      <c r="AB19" s="979">
        <f t="shared" si="8"/>
        <v>1.2727272727272727</v>
      </c>
      <c r="AC19" s="65">
        <v>3832.34</v>
      </c>
      <c r="AD19" s="65">
        <v>97.7</v>
      </c>
      <c r="AE19" s="65">
        <v>100.482</v>
      </c>
      <c r="AF19" s="65">
        <v>130</v>
      </c>
      <c r="AG19" s="66">
        <v>106.29600000000001</v>
      </c>
    </row>
    <row r="20" spans="1:33" s="974" customFormat="1" ht="16.5" thickBot="1" x14ac:dyDescent="0.25">
      <c r="A20" s="978" t="s">
        <v>655</v>
      </c>
      <c r="B20" s="65"/>
      <c r="C20" s="65"/>
      <c r="D20" s="979" t="str">
        <f t="shared" si="0"/>
        <v>--</v>
      </c>
      <c r="E20" s="65"/>
      <c r="F20" s="65"/>
      <c r="G20" s="979" t="str">
        <f t="shared" si="1"/>
        <v>--</v>
      </c>
      <c r="H20" s="65"/>
      <c r="I20" s="65"/>
      <c r="J20" s="979" t="str">
        <f t="shared" si="2"/>
        <v>--</v>
      </c>
      <c r="K20" s="65"/>
      <c r="L20" s="65"/>
      <c r="M20" s="979" t="str">
        <f t="shared" si="3"/>
        <v>--</v>
      </c>
      <c r="N20" s="65">
        <v>120</v>
      </c>
      <c r="O20" s="65">
        <v>112.58470999999999</v>
      </c>
      <c r="P20" s="979">
        <f t="shared" si="4"/>
        <v>-6.1794083333333444E-2</v>
      </c>
      <c r="Q20" s="65">
        <v>65</v>
      </c>
      <c r="R20" s="65">
        <v>66.405059999999992</v>
      </c>
      <c r="S20" s="979">
        <f t="shared" si="5"/>
        <v>2.1616307692307567E-2</v>
      </c>
      <c r="T20" s="65">
        <v>65</v>
      </c>
      <c r="U20" s="65">
        <v>107.05458</v>
      </c>
      <c r="V20" s="979">
        <f t="shared" si="6"/>
        <v>0.64699353846153851</v>
      </c>
      <c r="W20" s="65">
        <v>160</v>
      </c>
      <c r="X20" s="65">
        <v>154.62658999999996</v>
      </c>
      <c r="Y20" s="979">
        <f t="shared" si="7"/>
        <v>-3.3583812500000219E-2</v>
      </c>
      <c r="Z20" s="65">
        <v>65</v>
      </c>
      <c r="AA20" s="65">
        <v>498.77976999999993</v>
      </c>
      <c r="AB20" s="979">
        <f t="shared" si="8"/>
        <v>6.6735349230769216</v>
      </c>
      <c r="AC20" s="65">
        <v>83.75</v>
      </c>
      <c r="AD20" s="65">
        <v>71.718999999999994</v>
      </c>
      <c r="AE20" s="65">
        <v>148.58000000000001</v>
      </c>
      <c r="AF20" s="65">
        <v>133.84</v>
      </c>
      <c r="AG20" s="66">
        <v>534.79399999999998</v>
      </c>
    </row>
    <row r="21" spans="1:33" s="974" customFormat="1" ht="32.25" thickBot="1" x14ac:dyDescent="0.25">
      <c r="A21" s="978" t="s">
        <v>656</v>
      </c>
      <c r="B21" s="980">
        <f>SUM(B17:B20)</f>
        <v>0</v>
      </c>
      <c r="C21" s="980">
        <f>SUM(C17:C20)</f>
        <v>0</v>
      </c>
      <c r="D21" s="981" t="str">
        <f t="shared" si="0"/>
        <v>--</v>
      </c>
      <c r="E21" s="980">
        <f>SUM(E17:E20)</f>
        <v>0</v>
      </c>
      <c r="F21" s="980">
        <f>SUM(F17:F20)</f>
        <v>0</v>
      </c>
      <c r="G21" s="981" t="str">
        <f t="shared" si="1"/>
        <v>--</v>
      </c>
      <c r="H21" s="980">
        <f>SUM(H17:H20)</f>
        <v>0</v>
      </c>
      <c r="I21" s="980">
        <f>SUM(I17:I20)</f>
        <v>0</v>
      </c>
      <c r="J21" s="981" t="str">
        <f t="shared" si="2"/>
        <v>--</v>
      </c>
      <c r="K21" s="980">
        <f>SUM(K17:K20)</f>
        <v>0</v>
      </c>
      <c r="L21" s="980">
        <f>SUM(L17:L20)</f>
        <v>0</v>
      </c>
      <c r="M21" s="981" t="str">
        <f t="shared" si="3"/>
        <v>--</v>
      </c>
      <c r="N21" s="980">
        <f>SUM(N17:N20)</f>
        <v>1285</v>
      </c>
      <c r="O21" s="980">
        <f t="shared" ref="O21:AF21" si="9">SUM(O17:O20)</f>
        <v>1982.0538099999999</v>
      </c>
      <c r="P21" s="981">
        <f t="shared" si="4"/>
        <v>0.5424543268482489</v>
      </c>
      <c r="Q21" s="982">
        <f t="shared" si="9"/>
        <v>4250</v>
      </c>
      <c r="R21" s="982">
        <f t="shared" si="9"/>
        <v>4249.9594700000007</v>
      </c>
      <c r="S21" s="981">
        <f t="shared" si="5"/>
        <v>-9.5364705880723804E-6</v>
      </c>
      <c r="T21" s="982">
        <f t="shared" si="9"/>
        <v>1250</v>
      </c>
      <c r="U21" s="982">
        <f t="shared" si="9"/>
        <v>2876.1279799999998</v>
      </c>
      <c r="V21" s="981">
        <f t="shared" si="6"/>
        <v>1.3009023839999998</v>
      </c>
      <c r="W21" s="982">
        <f t="shared" si="9"/>
        <v>1250</v>
      </c>
      <c r="X21" s="982">
        <f t="shared" si="9"/>
        <v>1603.2444300000002</v>
      </c>
      <c r="Y21" s="981">
        <f t="shared" si="7"/>
        <v>0.28259554400000014</v>
      </c>
      <c r="Z21" s="982">
        <f t="shared" si="9"/>
        <v>1250</v>
      </c>
      <c r="AA21" s="982">
        <f t="shared" si="9"/>
        <v>4701.2804636666669</v>
      </c>
      <c r="AB21" s="981">
        <f t="shared" si="8"/>
        <v>2.7610243709333337</v>
      </c>
      <c r="AC21" s="980">
        <f t="shared" si="9"/>
        <v>5848.59</v>
      </c>
      <c r="AD21" s="980">
        <f t="shared" si="9"/>
        <v>2180.7339999999999</v>
      </c>
      <c r="AE21" s="980">
        <f t="shared" si="9"/>
        <v>2026.5159999999998</v>
      </c>
      <c r="AF21" s="980">
        <f t="shared" si="9"/>
        <v>2052.768</v>
      </c>
      <c r="AG21" s="983">
        <f>SUM(AG17:AG20)</f>
        <v>2482.8360000000002</v>
      </c>
    </row>
    <row r="22" spans="1:33" s="974" customFormat="1" ht="16.5" thickBot="1" x14ac:dyDescent="0.25">
      <c r="A22" s="978" t="s">
        <v>1203</v>
      </c>
      <c r="B22" s="916"/>
      <c r="C22" s="916"/>
      <c r="D22" s="984" t="str">
        <f t="shared" si="0"/>
        <v>--</v>
      </c>
      <c r="E22" s="916"/>
      <c r="F22" s="916"/>
      <c r="G22" s="984" t="str">
        <f t="shared" si="1"/>
        <v>--</v>
      </c>
      <c r="H22" s="916"/>
      <c r="I22" s="916"/>
      <c r="J22" s="984" t="str">
        <f t="shared" si="2"/>
        <v>--</v>
      </c>
      <c r="K22" s="916"/>
      <c r="L22" s="916"/>
      <c r="M22" s="984" t="str">
        <f t="shared" si="3"/>
        <v>--</v>
      </c>
      <c r="N22" s="916">
        <v>0</v>
      </c>
      <c r="O22" s="916">
        <v>-708.46411999999998</v>
      </c>
      <c r="P22" s="984" t="str">
        <f t="shared" si="4"/>
        <v>--</v>
      </c>
      <c r="Q22" s="916">
        <v>0</v>
      </c>
      <c r="R22" s="916">
        <v>-600.72156000000007</v>
      </c>
      <c r="S22" s="984" t="str">
        <f t="shared" si="5"/>
        <v>--</v>
      </c>
      <c r="T22" s="916">
        <v>0</v>
      </c>
      <c r="U22" s="916">
        <v>-1603.2772799999998</v>
      </c>
      <c r="V22" s="984" t="str">
        <f t="shared" si="6"/>
        <v>--</v>
      </c>
      <c r="W22" s="916">
        <v>0</v>
      </c>
      <c r="X22" s="916">
        <v>-319.95391000000001</v>
      </c>
      <c r="Y22" s="984" t="str">
        <f t="shared" si="7"/>
        <v>--</v>
      </c>
      <c r="Z22" s="916">
        <v>0</v>
      </c>
      <c r="AA22" s="916">
        <v>-1983.9451536666668</v>
      </c>
      <c r="AB22" s="984" t="str">
        <f t="shared" si="8"/>
        <v>--</v>
      </c>
      <c r="AC22" s="916">
        <v>-787.13599999999997</v>
      </c>
      <c r="AD22" s="916">
        <v>-656.31500000000005</v>
      </c>
      <c r="AE22" s="916">
        <v>-667.45399999999995</v>
      </c>
      <c r="AF22" s="916">
        <v>-678.928</v>
      </c>
      <c r="AG22" s="916">
        <v>-694.24599999999998</v>
      </c>
    </row>
    <row r="23" spans="1:33" s="974" customFormat="1" ht="32.25" thickBot="1" x14ac:dyDescent="0.25">
      <c r="A23" s="978" t="s">
        <v>1204</v>
      </c>
      <c r="B23" s="65"/>
      <c r="C23" s="65"/>
      <c r="D23" s="984" t="str">
        <f t="shared" si="0"/>
        <v>--</v>
      </c>
      <c r="E23" s="65"/>
      <c r="F23" s="65"/>
      <c r="G23" s="984" t="str">
        <f t="shared" si="1"/>
        <v>--</v>
      </c>
      <c r="H23" s="65"/>
      <c r="I23" s="65"/>
      <c r="J23" s="984" t="str">
        <f t="shared" si="2"/>
        <v>--</v>
      </c>
      <c r="K23" s="65"/>
      <c r="L23" s="65"/>
      <c r="M23" s="984" t="str">
        <f t="shared" si="3"/>
        <v>--</v>
      </c>
      <c r="N23" s="65">
        <f>+N21+N22</f>
        <v>1285</v>
      </c>
      <c r="O23" s="65">
        <f>+O21+O22</f>
        <v>1273.5896899999998</v>
      </c>
      <c r="P23" s="984">
        <f t="shared" si="4"/>
        <v>-8.8796186770429639E-3</v>
      </c>
      <c r="Q23" s="65">
        <f>+Q21+Q22</f>
        <v>4250</v>
      </c>
      <c r="R23" s="65">
        <f>+R21+R22</f>
        <v>3649.2379100000007</v>
      </c>
      <c r="S23" s="985">
        <f t="shared" si="5"/>
        <v>-0.14135578588235276</v>
      </c>
      <c r="T23" s="65">
        <f>+T21+T22</f>
        <v>1250</v>
      </c>
      <c r="U23" s="65">
        <f>+U21+U22</f>
        <v>1272.8507</v>
      </c>
      <c r="V23" s="984">
        <f t="shared" si="6"/>
        <v>1.828055999999997E-2</v>
      </c>
      <c r="W23" s="65">
        <f>+W21+W22</f>
        <v>1250</v>
      </c>
      <c r="X23" s="65">
        <f>+X21+X22</f>
        <v>1283.2905200000002</v>
      </c>
      <c r="Y23" s="984">
        <f t="shared" si="7"/>
        <v>2.6632416000000193E-2</v>
      </c>
      <c r="Z23" s="65">
        <f>+Z21+Z22</f>
        <v>1250</v>
      </c>
      <c r="AA23" s="65">
        <f>+AA21+AA22</f>
        <v>2717.3353100000004</v>
      </c>
      <c r="AB23" s="984">
        <f t="shared" si="8"/>
        <v>1.1738682480000002</v>
      </c>
      <c r="AC23" s="65">
        <f>+AC21+AC22</f>
        <v>5061.4539999999997</v>
      </c>
      <c r="AD23" s="65">
        <f>+AD21+AD22</f>
        <v>1524.4189999999999</v>
      </c>
      <c r="AE23" s="65">
        <f>+AE21+AE22</f>
        <v>1359.0619999999999</v>
      </c>
      <c r="AF23" s="65">
        <f>+AF21+AF22</f>
        <v>1373.8400000000001</v>
      </c>
      <c r="AG23" s="65">
        <f>+AG21+AG22</f>
        <v>1788.5900000000001</v>
      </c>
    </row>
    <row r="24" spans="1:33" s="974" customFormat="1" ht="16.5" thickBot="1" x14ac:dyDescent="0.25">
      <c r="A24" s="986" t="s">
        <v>657</v>
      </c>
      <c r="B24" s="448"/>
      <c r="C24" s="448"/>
      <c r="D24" s="987" t="str">
        <f t="shared" si="0"/>
        <v>--</v>
      </c>
      <c r="E24" s="448"/>
      <c r="F24" s="448"/>
      <c r="G24" s="987" t="str">
        <f t="shared" si="1"/>
        <v>--</v>
      </c>
      <c r="H24" s="448"/>
      <c r="I24" s="448"/>
      <c r="J24" s="987" t="str">
        <f t="shared" si="2"/>
        <v>--</v>
      </c>
      <c r="K24" s="448"/>
      <c r="L24" s="448"/>
      <c r="M24" s="987" t="str">
        <f t="shared" si="3"/>
        <v>--</v>
      </c>
      <c r="N24" s="448">
        <v>948.17693550814408</v>
      </c>
      <c r="O24" s="448">
        <v>903.65845999999999</v>
      </c>
      <c r="P24" s="987">
        <f t="shared" si="4"/>
        <v>-4.6951654106926664E-2</v>
      </c>
      <c r="Q24" s="448">
        <v>963.34776647627439</v>
      </c>
      <c r="R24" s="448">
        <v>1000.1179</v>
      </c>
      <c r="S24" s="987">
        <f t="shared" si="5"/>
        <v>3.8169116910109283E-2</v>
      </c>
      <c r="T24" s="448">
        <v>978.76133073989479</v>
      </c>
      <c r="U24" s="448">
        <v>1130.5680699999998</v>
      </c>
      <c r="V24" s="987">
        <f t="shared" si="6"/>
        <v>0.1551008754558649</v>
      </c>
      <c r="W24" s="448">
        <v>994.42151203173307</v>
      </c>
      <c r="X24" s="448">
        <v>1088.6038599999999</v>
      </c>
      <c r="Y24" s="987">
        <f t="shared" si="7"/>
        <v>9.4710690415214391E-2</v>
      </c>
      <c r="Z24" s="448">
        <v>1010.3322562242408</v>
      </c>
      <c r="AA24" s="448">
        <v>1152.4874572899882</v>
      </c>
      <c r="AB24" s="987">
        <f t="shared" si="8"/>
        <v>0.14070143775969515</v>
      </c>
      <c r="AC24" s="448">
        <v>1161.4004589633535</v>
      </c>
      <c r="AD24" s="448">
        <v>1178.8214658478037</v>
      </c>
      <c r="AE24" s="448">
        <v>1196.5037878355206</v>
      </c>
      <c r="AF24" s="448">
        <v>1214.4513446530532</v>
      </c>
      <c r="AG24" s="448">
        <v>1232.6681148228488</v>
      </c>
    </row>
    <row r="25" spans="1:33" s="951" customFormat="1" ht="13.5" thickTop="1" x14ac:dyDescent="0.2"/>
    <row r="26" spans="1:33" ht="15" x14ac:dyDescent="0.25">
      <c r="A26" s="1653" t="s">
        <v>658</v>
      </c>
      <c r="B26" s="1653"/>
      <c r="C26" s="1653"/>
      <c r="D26" s="1653"/>
      <c r="E26" s="1653"/>
      <c r="F26" s="1653"/>
      <c r="G26" s="1653"/>
      <c r="H26" s="1653"/>
      <c r="I26" s="1653"/>
      <c r="J26" s="1653"/>
      <c r="K26" s="1653"/>
      <c r="L26" s="1653"/>
      <c r="M26" s="1653"/>
      <c r="N26" s="1653"/>
      <c r="O26" s="1653"/>
      <c r="P26" s="1653"/>
      <c r="Q26" s="1653"/>
      <c r="R26" s="1653"/>
      <c r="S26" s="1653"/>
      <c r="T26" s="1653"/>
      <c r="U26" s="1653"/>
      <c r="V26" s="1653"/>
      <c r="W26" s="1653"/>
      <c r="X26" s="1653"/>
      <c r="Y26" s="1653"/>
      <c r="Z26" s="1653"/>
      <c r="AA26" s="1653"/>
      <c r="AB26" s="1653"/>
      <c r="AC26" s="1653"/>
      <c r="AD26" s="1653"/>
      <c r="AE26" s="1653"/>
      <c r="AF26" s="1653"/>
      <c r="AG26" s="1653"/>
    </row>
    <row r="27" spans="1:33" ht="27.75" customHeight="1" x14ac:dyDescent="0.2">
      <c r="A27" s="1660" t="s">
        <v>1069</v>
      </c>
      <c r="B27" s="1660"/>
      <c r="C27" s="1660"/>
      <c r="D27" s="1660"/>
      <c r="E27" s="1660"/>
      <c r="F27" s="1660"/>
      <c r="G27" s="1660"/>
      <c r="H27" s="1660"/>
      <c r="I27" s="1660"/>
      <c r="J27" s="1660"/>
      <c r="K27" s="1660"/>
      <c r="L27" s="1660"/>
      <c r="M27" s="1660"/>
      <c r="N27" s="1660"/>
      <c r="O27" s="1660"/>
      <c r="P27" s="1660"/>
      <c r="Q27" s="1660"/>
      <c r="R27" s="1660"/>
      <c r="S27" s="1660"/>
      <c r="T27" s="1660"/>
      <c r="U27" s="1660"/>
      <c r="V27" s="1660"/>
      <c r="W27" s="1660"/>
      <c r="X27" s="1660"/>
      <c r="Y27" s="1660"/>
      <c r="Z27" s="1660"/>
      <c r="AA27" s="1660"/>
      <c r="AB27" s="1660"/>
      <c r="AC27" s="1660"/>
      <c r="AD27" s="1660"/>
      <c r="AE27" s="1660"/>
      <c r="AF27" s="1660"/>
      <c r="AG27" s="1660"/>
    </row>
    <row r="28" spans="1:33" x14ac:dyDescent="0.2">
      <c r="A28" s="1652" t="s">
        <v>1070</v>
      </c>
      <c r="B28" s="1652"/>
      <c r="C28" s="1652"/>
      <c r="D28" s="1652"/>
      <c r="E28" s="1652"/>
      <c r="F28" s="1652"/>
      <c r="G28" s="1652"/>
      <c r="H28" s="1652"/>
      <c r="I28" s="1652"/>
      <c r="J28" s="1652"/>
      <c r="K28" s="1652"/>
      <c r="L28" s="1652"/>
      <c r="M28" s="1652"/>
      <c r="N28" s="1652"/>
      <c r="O28" s="1652"/>
      <c r="P28" s="1652"/>
      <c r="Q28" s="1652"/>
      <c r="R28" s="1652"/>
      <c r="S28" s="1652"/>
      <c r="T28" s="1652"/>
      <c r="U28" s="1652"/>
      <c r="V28" s="1652"/>
      <c r="W28" s="1652"/>
      <c r="X28" s="1652"/>
      <c r="Y28" s="1652"/>
      <c r="Z28" s="1652"/>
      <c r="AA28" s="1652"/>
      <c r="AB28" s="1652"/>
      <c r="AC28" s="1652"/>
      <c r="AD28" s="1652"/>
      <c r="AE28" s="1652"/>
      <c r="AF28" s="1652"/>
      <c r="AG28" s="1652"/>
    </row>
    <row r="30" spans="1:33" ht="18.75" x14ac:dyDescent="0.3">
      <c r="A30" s="1634" t="s">
        <v>659</v>
      </c>
      <c r="B30" s="1635"/>
      <c r="C30" s="1635"/>
      <c r="D30" s="1635"/>
      <c r="E30" s="1635"/>
      <c r="F30" s="1635"/>
      <c r="G30" s="1635"/>
      <c r="H30" s="1635"/>
      <c r="I30" s="1635"/>
      <c r="J30" s="1635"/>
      <c r="K30" s="1635"/>
      <c r="L30" s="1635"/>
      <c r="M30" s="1635"/>
      <c r="N30" s="1635"/>
      <c r="O30" s="1635"/>
      <c r="P30" s="1635"/>
      <c r="Q30" s="1635"/>
      <c r="R30" s="1635"/>
      <c r="S30" s="1635"/>
      <c r="T30" s="1635"/>
      <c r="U30" s="1635"/>
      <c r="V30" s="1635"/>
      <c r="W30" s="1635"/>
      <c r="X30" s="1635"/>
      <c r="Y30" s="1635"/>
      <c r="Z30" s="1635"/>
      <c r="AA30" s="1635"/>
      <c r="AB30" s="1635"/>
      <c r="AC30" s="1635"/>
      <c r="AD30" s="1635"/>
      <c r="AE30" s="1635"/>
      <c r="AF30" s="1635"/>
      <c r="AG30" s="1636"/>
    </row>
    <row r="31" spans="1:33" ht="15" x14ac:dyDescent="0.25">
      <c r="A31" s="1631" t="s">
        <v>846</v>
      </c>
      <c r="B31" s="1632"/>
      <c r="C31" s="1632"/>
      <c r="D31" s="1632"/>
      <c r="E31" s="1632"/>
      <c r="F31" s="1632"/>
      <c r="G31" s="1632"/>
      <c r="H31" s="1632"/>
      <c r="I31" s="1632"/>
      <c r="J31" s="1632"/>
      <c r="K31" s="1632"/>
      <c r="L31" s="1632"/>
      <c r="M31" s="1632"/>
      <c r="N31" s="1632"/>
      <c r="O31" s="1632"/>
      <c r="P31" s="1632"/>
      <c r="Q31" s="1632"/>
      <c r="R31" s="1632"/>
      <c r="S31" s="1632"/>
      <c r="T31" s="1632"/>
      <c r="U31" s="1632"/>
      <c r="V31" s="1632"/>
      <c r="W31" s="1632"/>
      <c r="X31" s="1632"/>
      <c r="Y31" s="1632"/>
      <c r="Z31" s="1632"/>
      <c r="AA31" s="1632"/>
      <c r="AB31" s="1632"/>
      <c r="AC31" s="1632"/>
      <c r="AD31" s="1632"/>
      <c r="AE31" s="1632"/>
      <c r="AF31" s="1632"/>
      <c r="AG31" s="1633"/>
    </row>
    <row r="32" spans="1:33" ht="30" customHeight="1" x14ac:dyDescent="0.2">
      <c r="A32" s="1625"/>
      <c r="B32" s="1626"/>
      <c r="C32" s="1626"/>
      <c r="D32" s="1626"/>
      <c r="E32" s="1626"/>
      <c r="F32" s="1626"/>
      <c r="G32" s="1626"/>
      <c r="H32" s="1626"/>
      <c r="I32" s="1626"/>
      <c r="J32" s="1626"/>
      <c r="K32" s="1626"/>
      <c r="L32" s="1626"/>
      <c r="M32" s="1626"/>
      <c r="N32" s="1626"/>
      <c r="O32" s="1626"/>
      <c r="P32" s="1626"/>
      <c r="Q32" s="1626"/>
      <c r="R32" s="1626"/>
      <c r="S32" s="1626"/>
      <c r="T32" s="1626"/>
      <c r="U32" s="1626"/>
      <c r="V32" s="1626"/>
      <c r="W32" s="1626"/>
      <c r="X32" s="1626"/>
      <c r="Y32" s="1626"/>
      <c r="Z32" s="1626"/>
      <c r="AA32" s="1626"/>
      <c r="AB32" s="1626"/>
      <c r="AC32" s="1626"/>
      <c r="AD32" s="1626"/>
      <c r="AE32" s="1626"/>
      <c r="AF32" s="1626"/>
      <c r="AG32" s="1627"/>
    </row>
    <row r="33" spans="1:33" ht="30" customHeight="1" x14ac:dyDescent="0.2">
      <c r="A33" s="1628"/>
      <c r="B33" s="1629"/>
      <c r="C33" s="1629"/>
      <c r="D33" s="1629"/>
      <c r="E33" s="1629"/>
      <c r="F33" s="1629"/>
      <c r="G33" s="1629"/>
      <c r="H33" s="1629"/>
      <c r="I33" s="1629"/>
      <c r="J33" s="1629"/>
      <c r="K33" s="1629"/>
      <c r="L33" s="1629"/>
      <c r="M33" s="1629"/>
      <c r="N33" s="1629"/>
      <c r="O33" s="1629"/>
      <c r="P33" s="1629"/>
      <c r="Q33" s="1629"/>
      <c r="R33" s="1629"/>
      <c r="S33" s="1629"/>
      <c r="T33" s="1629"/>
      <c r="U33" s="1629"/>
      <c r="V33" s="1629"/>
      <c r="W33" s="1629"/>
      <c r="X33" s="1629"/>
      <c r="Y33" s="1629"/>
      <c r="Z33" s="1629"/>
      <c r="AA33" s="1629"/>
      <c r="AB33" s="1629"/>
      <c r="AC33" s="1629"/>
      <c r="AD33" s="1629"/>
      <c r="AE33" s="1629"/>
      <c r="AF33" s="1629"/>
      <c r="AG33" s="1630"/>
    </row>
    <row r="34" spans="1:33" ht="15" x14ac:dyDescent="0.25">
      <c r="A34" s="1631" t="s">
        <v>660</v>
      </c>
      <c r="B34" s="1632"/>
      <c r="C34" s="1632"/>
      <c r="D34" s="1632"/>
      <c r="E34" s="1632"/>
      <c r="F34" s="1632"/>
      <c r="G34" s="1632"/>
      <c r="H34" s="1632"/>
      <c r="I34" s="1632"/>
      <c r="J34" s="1632"/>
      <c r="K34" s="1632"/>
      <c r="L34" s="1632"/>
      <c r="M34" s="1632"/>
      <c r="N34" s="1632"/>
      <c r="O34" s="1632"/>
      <c r="P34" s="1632"/>
      <c r="Q34" s="1632"/>
      <c r="R34" s="1632"/>
      <c r="S34" s="1632"/>
      <c r="T34" s="1632"/>
      <c r="U34" s="1632"/>
      <c r="V34" s="1632"/>
      <c r="W34" s="1632"/>
      <c r="X34" s="1632"/>
      <c r="Y34" s="1632"/>
      <c r="Z34" s="1632"/>
      <c r="AA34" s="1632"/>
      <c r="AB34" s="1632"/>
      <c r="AC34" s="1632"/>
      <c r="AD34" s="1632"/>
      <c r="AE34" s="1632"/>
      <c r="AF34" s="1632"/>
      <c r="AG34" s="1633"/>
    </row>
    <row r="35" spans="1:33" ht="30" customHeight="1" x14ac:dyDescent="0.2">
      <c r="A35" s="1625"/>
      <c r="B35" s="1626"/>
      <c r="C35" s="1626"/>
      <c r="D35" s="1626"/>
      <c r="E35" s="1626"/>
      <c r="F35" s="1626"/>
      <c r="G35" s="1626"/>
      <c r="H35" s="1626"/>
      <c r="I35" s="1626"/>
      <c r="J35" s="1626"/>
      <c r="K35" s="1626"/>
      <c r="L35" s="1626"/>
      <c r="M35" s="1626"/>
      <c r="N35" s="1626"/>
      <c r="O35" s="1626"/>
      <c r="P35" s="1626"/>
      <c r="Q35" s="1626"/>
      <c r="R35" s="1626"/>
      <c r="S35" s="1626"/>
      <c r="T35" s="1626"/>
      <c r="U35" s="1626"/>
      <c r="V35" s="1626"/>
      <c r="W35" s="1626"/>
      <c r="X35" s="1626"/>
      <c r="Y35" s="1626"/>
      <c r="Z35" s="1626"/>
      <c r="AA35" s="1626"/>
      <c r="AB35" s="1626"/>
      <c r="AC35" s="1626"/>
      <c r="AD35" s="1626"/>
      <c r="AE35" s="1626"/>
      <c r="AF35" s="1626"/>
      <c r="AG35" s="1627"/>
    </row>
    <row r="36" spans="1:33" ht="30" customHeight="1" x14ac:dyDescent="0.2">
      <c r="A36" s="1628"/>
      <c r="B36" s="1629"/>
      <c r="C36" s="1629"/>
      <c r="D36" s="1629"/>
      <c r="E36" s="1629"/>
      <c r="F36" s="1629"/>
      <c r="G36" s="1629"/>
      <c r="H36" s="1629"/>
      <c r="I36" s="1629"/>
      <c r="J36" s="1629"/>
      <c r="K36" s="1629"/>
      <c r="L36" s="1629"/>
      <c r="M36" s="1629"/>
      <c r="N36" s="1629"/>
      <c r="O36" s="1629"/>
      <c r="P36" s="1629"/>
      <c r="Q36" s="1629"/>
      <c r="R36" s="1629"/>
      <c r="S36" s="1629"/>
      <c r="T36" s="1629"/>
      <c r="U36" s="1629"/>
      <c r="V36" s="1629"/>
      <c r="W36" s="1629"/>
      <c r="X36" s="1629"/>
      <c r="Y36" s="1629"/>
      <c r="Z36" s="1629"/>
      <c r="AA36" s="1629"/>
      <c r="AB36" s="1629"/>
      <c r="AC36" s="1629"/>
      <c r="AD36" s="1629"/>
      <c r="AE36" s="1629"/>
      <c r="AF36" s="1629"/>
      <c r="AG36" s="1630"/>
    </row>
    <row r="37" spans="1:33" ht="15" x14ac:dyDescent="0.25">
      <c r="A37" s="1631" t="s">
        <v>661</v>
      </c>
      <c r="B37" s="1632"/>
      <c r="C37" s="1632"/>
      <c r="D37" s="1632"/>
      <c r="E37" s="1632"/>
      <c r="F37" s="1632"/>
      <c r="G37" s="1632"/>
      <c r="H37" s="1632"/>
      <c r="I37" s="1632"/>
      <c r="J37" s="1632"/>
      <c r="K37" s="1632"/>
      <c r="L37" s="1632"/>
      <c r="M37" s="1632"/>
      <c r="N37" s="1632"/>
      <c r="O37" s="1632"/>
      <c r="P37" s="1632"/>
      <c r="Q37" s="1632"/>
      <c r="R37" s="1632"/>
      <c r="S37" s="1632"/>
      <c r="T37" s="1632"/>
      <c r="U37" s="1632"/>
      <c r="V37" s="1632"/>
      <c r="W37" s="1632"/>
      <c r="X37" s="1632"/>
      <c r="Y37" s="1632"/>
      <c r="Z37" s="1632"/>
      <c r="AA37" s="1632"/>
      <c r="AB37" s="1632"/>
      <c r="AC37" s="1632"/>
      <c r="AD37" s="1632"/>
      <c r="AE37" s="1632"/>
      <c r="AF37" s="1632"/>
      <c r="AG37" s="1633"/>
    </row>
    <row r="38" spans="1:33" ht="30" customHeight="1" x14ac:dyDescent="0.2">
      <c r="A38" s="1625"/>
      <c r="B38" s="1626"/>
      <c r="C38" s="1626"/>
      <c r="D38" s="1626"/>
      <c r="E38" s="1626"/>
      <c r="F38" s="1626"/>
      <c r="G38" s="1626"/>
      <c r="H38" s="1626"/>
      <c r="I38" s="1626"/>
      <c r="J38" s="1626"/>
      <c r="K38" s="1626"/>
      <c r="L38" s="1626"/>
      <c r="M38" s="1626"/>
      <c r="N38" s="1626"/>
      <c r="O38" s="1626"/>
      <c r="P38" s="1626"/>
      <c r="Q38" s="1626"/>
      <c r="R38" s="1626"/>
      <c r="S38" s="1626"/>
      <c r="T38" s="1626"/>
      <c r="U38" s="1626"/>
      <c r="V38" s="1626"/>
      <c r="W38" s="1626"/>
      <c r="X38" s="1626"/>
      <c r="Y38" s="1626"/>
      <c r="Z38" s="1626"/>
      <c r="AA38" s="1626"/>
      <c r="AB38" s="1626"/>
      <c r="AC38" s="1626"/>
      <c r="AD38" s="1626"/>
      <c r="AE38" s="1626"/>
      <c r="AF38" s="1626"/>
      <c r="AG38" s="1627"/>
    </row>
    <row r="39" spans="1:33" ht="30" customHeight="1" x14ac:dyDescent="0.2">
      <c r="A39" s="1628"/>
      <c r="B39" s="1629"/>
      <c r="C39" s="1629"/>
      <c r="D39" s="1629"/>
      <c r="E39" s="1629"/>
      <c r="F39" s="1629"/>
      <c r="G39" s="1629"/>
      <c r="H39" s="1629"/>
      <c r="I39" s="1629"/>
      <c r="J39" s="1629"/>
      <c r="K39" s="1629"/>
      <c r="L39" s="1629"/>
      <c r="M39" s="1629"/>
      <c r="N39" s="1629"/>
      <c r="O39" s="1629"/>
      <c r="P39" s="1629"/>
      <c r="Q39" s="1629"/>
      <c r="R39" s="1629"/>
      <c r="S39" s="1629"/>
      <c r="T39" s="1629"/>
      <c r="U39" s="1629"/>
      <c r="V39" s="1629"/>
      <c r="W39" s="1629"/>
      <c r="X39" s="1629"/>
      <c r="Y39" s="1629"/>
      <c r="Z39" s="1629"/>
      <c r="AA39" s="1629"/>
      <c r="AB39" s="1629"/>
      <c r="AC39" s="1629"/>
      <c r="AD39" s="1629"/>
      <c r="AE39" s="1629"/>
      <c r="AF39" s="1629"/>
      <c r="AG39" s="1630"/>
    </row>
  </sheetData>
  <sheetProtection algorithmName="SHA-512" hashValue="nL1Zw/DhSKGoG6o3oRW/Ik8Dy9nncFGH2QwFEibB59bSt4rHIn39+HDl6AVLfE070lMruBKnI7DiMjmmOS8llg==" saltValue="qIBTFLSwWpoNoBB5EAhHiw==" spinCount="100000" sheet="1" objects="1" scenarios="1"/>
  <mergeCells count="39">
    <mergeCell ref="A28:AG28"/>
    <mergeCell ref="A26:AG26"/>
    <mergeCell ref="H14:J14"/>
    <mergeCell ref="H16:I16"/>
    <mergeCell ref="E14:G14"/>
    <mergeCell ref="E16:F16"/>
    <mergeCell ref="AC16:AG16"/>
    <mergeCell ref="AG14:AG15"/>
    <mergeCell ref="K16:L16"/>
    <mergeCell ref="B16:C16"/>
    <mergeCell ref="A27:AG27"/>
    <mergeCell ref="N16:O16"/>
    <mergeCell ref="Q16:R16"/>
    <mergeCell ref="T16:U16"/>
    <mergeCell ref="W16:X16"/>
    <mergeCell ref="Z16:AA16"/>
    <mergeCell ref="A9:AG9"/>
    <mergeCell ref="A10:AG10"/>
    <mergeCell ref="T14:V14"/>
    <mergeCell ref="W14:Y14"/>
    <mergeCell ref="Z14:AB14"/>
    <mergeCell ref="AC14:AC15"/>
    <mergeCell ref="AD14:AD15"/>
    <mergeCell ref="B13:AB13"/>
    <mergeCell ref="K14:M14"/>
    <mergeCell ref="B14:D14"/>
    <mergeCell ref="A13:A16"/>
    <mergeCell ref="AC13:AG13"/>
    <mergeCell ref="N14:P14"/>
    <mergeCell ref="Q14:S14"/>
    <mergeCell ref="AE14:AE15"/>
    <mergeCell ref="AF14:AF15"/>
    <mergeCell ref="A35:AG36"/>
    <mergeCell ref="A38:AG39"/>
    <mergeCell ref="A37:AG37"/>
    <mergeCell ref="A30:AG30"/>
    <mergeCell ref="A31:AG31"/>
    <mergeCell ref="A32:AG33"/>
    <mergeCell ref="A34:AG34"/>
  </mergeCells>
  <pageMargins left="0.7" right="0.7" top="0.75" bottom="0.75" header="0.3" footer="0.3"/>
  <pageSetup scale="42" orientation="landscape"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7">
    <tabColor rgb="FF00B0F0"/>
  </sheetPr>
  <dimension ref="A1:I113"/>
  <sheetViews>
    <sheetView topLeftCell="A65" workbookViewId="0"/>
  </sheetViews>
  <sheetFormatPr defaultRowHeight="12.75" x14ac:dyDescent="0.2"/>
  <cols>
    <col min="1" max="1" width="10.5703125" bestFit="1" customWidth="1"/>
    <col min="2" max="2" width="10.28515625" bestFit="1" customWidth="1"/>
    <col min="3" max="3" width="8.7109375" bestFit="1" customWidth="1"/>
    <col min="4" max="4" width="10.7109375" bestFit="1" customWidth="1"/>
    <col min="5" max="5" width="17" bestFit="1" customWidth="1"/>
    <col min="6" max="6" width="21.7109375" bestFit="1" customWidth="1"/>
  </cols>
  <sheetData>
    <row r="1" spans="1:9" x14ac:dyDescent="0.2">
      <c r="A1" t="s">
        <v>1208</v>
      </c>
      <c r="B1" t="s">
        <v>1209</v>
      </c>
      <c r="C1" t="s">
        <v>290</v>
      </c>
      <c r="D1" t="s">
        <v>289</v>
      </c>
      <c r="E1" t="s">
        <v>288</v>
      </c>
      <c r="F1" t="s">
        <v>1205</v>
      </c>
      <c r="G1" t="s">
        <v>10</v>
      </c>
      <c r="H1" t="s">
        <v>649</v>
      </c>
      <c r="I1" t="s">
        <v>370</v>
      </c>
    </row>
    <row r="2" spans="1:9" x14ac:dyDescent="0.2">
      <c r="A2" t="str">
        <f>'LDC Info'!$E$14</f>
        <v>Niagara-on-the-Lake Hydro Inc.</v>
      </c>
      <c r="B2" t="str">
        <f t="shared" ref="B2:B33" si="0">EBNUMBER</f>
        <v>EB-2018-0056</v>
      </c>
      <c r="C2">
        <f t="shared" ref="C2:C33" si="1">TestYear</f>
        <v>2019</v>
      </c>
      <c r="D2">
        <f t="shared" ref="D2:D33" si="2">BridgeYear</f>
        <v>2018</v>
      </c>
      <c r="E2">
        <f t="shared" ref="E2:E33" si="3">RebaseYear</f>
        <v>2014</v>
      </c>
      <c r="F2" t="s">
        <v>652</v>
      </c>
      <c r="G2">
        <v>2010</v>
      </c>
      <c r="H2">
        <f>'App.2-AB_Capital Expenditures'!B17</f>
        <v>0</v>
      </c>
      <c r="I2">
        <f>'App.2-AB_Capital Expenditures'!C17</f>
        <v>0</v>
      </c>
    </row>
    <row r="3" spans="1:9" x14ac:dyDescent="0.2">
      <c r="A3" t="str">
        <f>'LDC Info'!$E$14</f>
        <v>Niagara-on-the-Lake Hydro Inc.</v>
      </c>
      <c r="B3" t="str">
        <f t="shared" si="0"/>
        <v>EB-2018-0056</v>
      </c>
      <c r="C3">
        <f t="shared" si="1"/>
        <v>2019</v>
      </c>
      <c r="D3">
        <f t="shared" si="2"/>
        <v>2018</v>
      </c>
      <c r="E3">
        <f t="shared" si="3"/>
        <v>2014</v>
      </c>
      <c r="F3" t="s">
        <v>653</v>
      </c>
      <c r="G3">
        <v>2010</v>
      </c>
      <c r="H3">
        <f>'App.2-AB_Capital Expenditures'!B18</f>
        <v>0</v>
      </c>
      <c r="I3">
        <f>'App.2-AB_Capital Expenditures'!C18</f>
        <v>0</v>
      </c>
    </row>
    <row r="4" spans="1:9" x14ac:dyDescent="0.2">
      <c r="A4" t="str">
        <f>'LDC Info'!$E$14</f>
        <v>Niagara-on-the-Lake Hydro Inc.</v>
      </c>
      <c r="B4" t="str">
        <f t="shared" si="0"/>
        <v>EB-2018-0056</v>
      </c>
      <c r="C4">
        <f t="shared" si="1"/>
        <v>2019</v>
      </c>
      <c r="D4">
        <f t="shared" si="2"/>
        <v>2018</v>
      </c>
      <c r="E4">
        <f t="shared" si="3"/>
        <v>2014</v>
      </c>
      <c r="F4" t="s">
        <v>654</v>
      </c>
      <c r="G4">
        <v>2010</v>
      </c>
      <c r="H4">
        <f>'App.2-AB_Capital Expenditures'!B19</f>
        <v>0</v>
      </c>
      <c r="I4">
        <f>'App.2-AB_Capital Expenditures'!C19</f>
        <v>0</v>
      </c>
    </row>
    <row r="5" spans="1:9" x14ac:dyDescent="0.2">
      <c r="A5" t="str">
        <f>'LDC Info'!$E$14</f>
        <v>Niagara-on-the-Lake Hydro Inc.</v>
      </c>
      <c r="B5" t="str">
        <f t="shared" si="0"/>
        <v>EB-2018-0056</v>
      </c>
      <c r="C5">
        <f t="shared" si="1"/>
        <v>2019</v>
      </c>
      <c r="D5">
        <f t="shared" si="2"/>
        <v>2018</v>
      </c>
      <c r="E5">
        <f t="shared" si="3"/>
        <v>2014</v>
      </c>
      <c r="F5" t="s">
        <v>655</v>
      </c>
      <c r="G5">
        <v>2010</v>
      </c>
      <c r="H5">
        <f>'App.2-AB_Capital Expenditures'!B20</f>
        <v>0</v>
      </c>
      <c r="I5">
        <f>'App.2-AB_Capital Expenditures'!C20</f>
        <v>0</v>
      </c>
    </row>
    <row r="6" spans="1:9" x14ac:dyDescent="0.2">
      <c r="A6" t="str">
        <f>'LDC Info'!$E$14</f>
        <v>Niagara-on-the-Lake Hydro Inc.</v>
      </c>
      <c r="B6" t="str">
        <f t="shared" si="0"/>
        <v>EB-2018-0056</v>
      </c>
      <c r="C6">
        <f t="shared" si="1"/>
        <v>2019</v>
      </c>
      <c r="D6">
        <f t="shared" si="2"/>
        <v>2018</v>
      </c>
      <c r="E6">
        <f t="shared" si="3"/>
        <v>2014</v>
      </c>
      <c r="F6" s="9" t="s">
        <v>1206</v>
      </c>
      <c r="G6">
        <v>2010</v>
      </c>
      <c r="H6">
        <f>'App.2-AB_Capital Expenditures'!B21</f>
        <v>0</v>
      </c>
      <c r="I6">
        <f>'App.2-AB_Capital Expenditures'!C21</f>
        <v>0</v>
      </c>
    </row>
    <row r="7" spans="1:9" x14ac:dyDescent="0.2">
      <c r="A7" t="str">
        <f>'LDC Info'!$E$14</f>
        <v>Niagara-on-the-Lake Hydro Inc.</v>
      </c>
      <c r="B7" t="str">
        <f t="shared" si="0"/>
        <v>EB-2018-0056</v>
      </c>
      <c r="C7">
        <f t="shared" si="1"/>
        <v>2019</v>
      </c>
      <c r="D7">
        <f t="shared" si="2"/>
        <v>2018</v>
      </c>
      <c r="E7">
        <f t="shared" si="3"/>
        <v>2014</v>
      </c>
      <c r="F7" s="9" t="s">
        <v>1203</v>
      </c>
      <c r="G7">
        <v>2010</v>
      </c>
      <c r="H7">
        <f>'App.2-AB_Capital Expenditures'!B22</f>
        <v>0</v>
      </c>
      <c r="I7">
        <f>'App.2-AB_Capital Expenditures'!C22</f>
        <v>0</v>
      </c>
    </row>
    <row r="8" spans="1:9" x14ac:dyDescent="0.2">
      <c r="A8" t="str">
        <f>'LDC Info'!$E$14</f>
        <v>Niagara-on-the-Lake Hydro Inc.</v>
      </c>
      <c r="B8" t="str">
        <f t="shared" si="0"/>
        <v>EB-2018-0056</v>
      </c>
      <c r="C8">
        <f t="shared" si="1"/>
        <v>2019</v>
      </c>
      <c r="D8">
        <f t="shared" si="2"/>
        <v>2018</v>
      </c>
      <c r="E8">
        <f t="shared" si="3"/>
        <v>2014</v>
      </c>
      <c r="F8" s="9" t="s">
        <v>1207</v>
      </c>
      <c r="G8">
        <v>2010</v>
      </c>
      <c r="H8">
        <f>'App.2-AB_Capital Expenditures'!B23</f>
        <v>0</v>
      </c>
      <c r="I8">
        <f>'App.2-AB_Capital Expenditures'!C23</f>
        <v>0</v>
      </c>
    </row>
    <row r="9" spans="1:9" x14ac:dyDescent="0.2">
      <c r="A9" t="str">
        <f>'LDC Info'!$E$14</f>
        <v>Niagara-on-the-Lake Hydro Inc.</v>
      </c>
      <c r="B9" t="str">
        <f t="shared" si="0"/>
        <v>EB-2018-0056</v>
      </c>
      <c r="C9">
        <f t="shared" si="1"/>
        <v>2019</v>
      </c>
      <c r="D9">
        <f t="shared" si="2"/>
        <v>2018</v>
      </c>
      <c r="E9">
        <f t="shared" si="3"/>
        <v>2014</v>
      </c>
      <c r="F9" t="s">
        <v>657</v>
      </c>
      <c r="G9">
        <v>2010</v>
      </c>
      <c r="H9">
        <f>'App.2-AB_Capital Expenditures'!B24</f>
        <v>0</v>
      </c>
      <c r="I9">
        <f>'App.2-AB_Capital Expenditures'!C24</f>
        <v>0</v>
      </c>
    </row>
    <row r="10" spans="1:9" x14ac:dyDescent="0.2">
      <c r="A10" t="str">
        <f>'LDC Info'!$E$14</f>
        <v>Niagara-on-the-Lake Hydro Inc.</v>
      </c>
      <c r="B10" t="str">
        <f t="shared" si="0"/>
        <v>EB-2018-0056</v>
      </c>
      <c r="C10">
        <f t="shared" si="1"/>
        <v>2019</v>
      </c>
      <c r="D10">
        <f t="shared" si="2"/>
        <v>2018</v>
      </c>
      <c r="E10">
        <f t="shared" si="3"/>
        <v>2014</v>
      </c>
      <c r="F10" t="s">
        <v>652</v>
      </c>
      <c r="G10">
        <v>2011</v>
      </c>
      <c r="H10">
        <f>'App.2-AB_Capital Expenditures'!E17</f>
        <v>0</v>
      </c>
      <c r="I10">
        <f>'App.2-AB_Capital Expenditures'!F17</f>
        <v>0</v>
      </c>
    </row>
    <row r="11" spans="1:9" x14ac:dyDescent="0.2">
      <c r="A11" t="str">
        <f>'LDC Info'!$E$14</f>
        <v>Niagara-on-the-Lake Hydro Inc.</v>
      </c>
      <c r="B11" t="str">
        <f t="shared" si="0"/>
        <v>EB-2018-0056</v>
      </c>
      <c r="C11">
        <f t="shared" si="1"/>
        <v>2019</v>
      </c>
      <c r="D11">
        <f t="shared" si="2"/>
        <v>2018</v>
      </c>
      <c r="E11">
        <f t="shared" si="3"/>
        <v>2014</v>
      </c>
      <c r="F11" t="s">
        <v>653</v>
      </c>
      <c r="G11">
        <v>2011</v>
      </c>
      <c r="H11">
        <f>'App.2-AB_Capital Expenditures'!E18</f>
        <v>0</v>
      </c>
      <c r="I11">
        <f>'App.2-AB_Capital Expenditures'!F18</f>
        <v>0</v>
      </c>
    </row>
    <row r="12" spans="1:9" x14ac:dyDescent="0.2">
      <c r="A12" t="str">
        <f>'LDC Info'!$E$14</f>
        <v>Niagara-on-the-Lake Hydro Inc.</v>
      </c>
      <c r="B12" t="str">
        <f t="shared" si="0"/>
        <v>EB-2018-0056</v>
      </c>
      <c r="C12">
        <f t="shared" si="1"/>
        <v>2019</v>
      </c>
      <c r="D12">
        <f t="shared" si="2"/>
        <v>2018</v>
      </c>
      <c r="E12">
        <f t="shared" si="3"/>
        <v>2014</v>
      </c>
      <c r="F12" t="s">
        <v>654</v>
      </c>
      <c r="G12">
        <v>2011</v>
      </c>
      <c r="H12">
        <f>'App.2-AB_Capital Expenditures'!E19</f>
        <v>0</v>
      </c>
      <c r="I12">
        <f>'App.2-AB_Capital Expenditures'!F19</f>
        <v>0</v>
      </c>
    </row>
    <row r="13" spans="1:9" x14ac:dyDescent="0.2">
      <c r="A13" t="str">
        <f>'LDC Info'!$E$14</f>
        <v>Niagara-on-the-Lake Hydro Inc.</v>
      </c>
      <c r="B13" t="str">
        <f t="shared" si="0"/>
        <v>EB-2018-0056</v>
      </c>
      <c r="C13">
        <f t="shared" si="1"/>
        <v>2019</v>
      </c>
      <c r="D13">
        <f t="shared" si="2"/>
        <v>2018</v>
      </c>
      <c r="E13">
        <f t="shared" si="3"/>
        <v>2014</v>
      </c>
      <c r="F13" t="s">
        <v>655</v>
      </c>
      <c r="G13">
        <v>2011</v>
      </c>
      <c r="H13">
        <f>'App.2-AB_Capital Expenditures'!E20</f>
        <v>0</v>
      </c>
      <c r="I13">
        <f>'App.2-AB_Capital Expenditures'!F20</f>
        <v>0</v>
      </c>
    </row>
    <row r="14" spans="1:9" x14ac:dyDescent="0.2">
      <c r="A14" t="str">
        <f>'LDC Info'!$E$14</f>
        <v>Niagara-on-the-Lake Hydro Inc.</v>
      </c>
      <c r="B14" t="str">
        <f t="shared" si="0"/>
        <v>EB-2018-0056</v>
      </c>
      <c r="C14">
        <f t="shared" si="1"/>
        <v>2019</v>
      </c>
      <c r="D14">
        <f t="shared" si="2"/>
        <v>2018</v>
      </c>
      <c r="E14">
        <f t="shared" si="3"/>
        <v>2014</v>
      </c>
      <c r="F14" s="9" t="s">
        <v>1206</v>
      </c>
      <c r="G14">
        <v>2011</v>
      </c>
      <c r="H14">
        <f>'App.2-AB_Capital Expenditures'!E21</f>
        <v>0</v>
      </c>
      <c r="I14">
        <f>'App.2-AB_Capital Expenditures'!F21</f>
        <v>0</v>
      </c>
    </row>
    <row r="15" spans="1:9" x14ac:dyDescent="0.2">
      <c r="A15" t="str">
        <f>'LDC Info'!$E$14</f>
        <v>Niagara-on-the-Lake Hydro Inc.</v>
      </c>
      <c r="B15" t="str">
        <f t="shared" si="0"/>
        <v>EB-2018-0056</v>
      </c>
      <c r="C15">
        <f t="shared" si="1"/>
        <v>2019</v>
      </c>
      <c r="D15">
        <f t="shared" si="2"/>
        <v>2018</v>
      </c>
      <c r="E15">
        <f t="shared" si="3"/>
        <v>2014</v>
      </c>
      <c r="F15" s="9" t="s">
        <v>1203</v>
      </c>
      <c r="G15">
        <v>2011</v>
      </c>
      <c r="H15">
        <f>'App.2-AB_Capital Expenditures'!E22</f>
        <v>0</v>
      </c>
      <c r="I15">
        <f>'App.2-AB_Capital Expenditures'!F22</f>
        <v>0</v>
      </c>
    </row>
    <row r="16" spans="1:9" x14ac:dyDescent="0.2">
      <c r="A16" t="str">
        <f>'LDC Info'!$E$14</f>
        <v>Niagara-on-the-Lake Hydro Inc.</v>
      </c>
      <c r="B16" t="str">
        <f t="shared" si="0"/>
        <v>EB-2018-0056</v>
      </c>
      <c r="C16">
        <f t="shared" si="1"/>
        <v>2019</v>
      </c>
      <c r="D16">
        <f t="shared" si="2"/>
        <v>2018</v>
      </c>
      <c r="E16">
        <f t="shared" si="3"/>
        <v>2014</v>
      </c>
      <c r="F16" s="9" t="s">
        <v>1207</v>
      </c>
      <c r="G16">
        <v>2011</v>
      </c>
      <c r="H16">
        <f>'App.2-AB_Capital Expenditures'!E23</f>
        <v>0</v>
      </c>
      <c r="I16">
        <f>'App.2-AB_Capital Expenditures'!F23</f>
        <v>0</v>
      </c>
    </row>
    <row r="17" spans="1:9" x14ac:dyDescent="0.2">
      <c r="A17" t="str">
        <f>'LDC Info'!$E$14</f>
        <v>Niagara-on-the-Lake Hydro Inc.</v>
      </c>
      <c r="B17" t="str">
        <f t="shared" si="0"/>
        <v>EB-2018-0056</v>
      </c>
      <c r="C17">
        <f t="shared" si="1"/>
        <v>2019</v>
      </c>
      <c r="D17">
        <f t="shared" si="2"/>
        <v>2018</v>
      </c>
      <c r="E17">
        <f t="shared" si="3"/>
        <v>2014</v>
      </c>
      <c r="F17" t="s">
        <v>657</v>
      </c>
      <c r="G17">
        <v>2011</v>
      </c>
      <c r="H17">
        <f>'App.2-AB_Capital Expenditures'!E24</f>
        <v>0</v>
      </c>
      <c r="I17">
        <f>'App.2-AB_Capital Expenditures'!F24</f>
        <v>0</v>
      </c>
    </row>
    <row r="18" spans="1:9" x14ac:dyDescent="0.2">
      <c r="A18" t="str">
        <f>'LDC Info'!$E$14</f>
        <v>Niagara-on-the-Lake Hydro Inc.</v>
      </c>
      <c r="B18" t="str">
        <f t="shared" si="0"/>
        <v>EB-2018-0056</v>
      </c>
      <c r="C18">
        <f t="shared" si="1"/>
        <v>2019</v>
      </c>
      <c r="D18">
        <f t="shared" si="2"/>
        <v>2018</v>
      </c>
      <c r="E18">
        <f t="shared" si="3"/>
        <v>2014</v>
      </c>
      <c r="F18" t="s">
        <v>652</v>
      </c>
      <c r="G18">
        <v>2012</v>
      </c>
      <c r="H18">
        <f>'App.2-AB_Capital Expenditures'!H17</f>
        <v>0</v>
      </c>
      <c r="I18">
        <f>'App.2-AB_Capital Expenditures'!I17</f>
        <v>0</v>
      </c>
    </row>
    <row r="19" spans="1:9" x14ac:dyDescent="0.2">
      <c r="A19" t="str">
        <f>'LDC Info'!$E$14</f>
        <v>Niagara-on-the-Lake Hydro Inc.</v>
      </c>
      <c r="B19" t="str">
        <f t="shared" si="0"/>
        <v>EB-2018-0056</v>
      </c>
      <c r="C19">
        <f t="shared" si="1"/>
        <v>2019</v>
      </c>
      <c r="D19">
        <f t="shared" si="2"/>
        <v>2018</v>
      </c>
      <c r="E19">
        <f t="shared" si="3"/>
        <v>2014</v>
      </c>
      <c r="F19" t="s">
        <v>653</v>
      </c>
      <c r="G19">
        <v>2012</v>
      </c>
      <c r="H19">
        <f>'App.2-AB_Capital Expenditures'!H18</f>
        <v>0</v>
      </c>
      <c r="I19">
        <f>'App.2-AB_Capital Expenditures'!I18</f>
        <v>0</v>
      </c>
    </row>
    <row r="20" spans="1:9" x14ac:dyDescent="0.2">
      <c r="A20" t="str">
        <f>'LDC Info'!$E$14</f>
        <v>Niagara-on-the-Lake Hydro Inc.</v>
      </c>
      <c r="B20" t="str">
        <f t="shared" si="0"/>
        <v>EB-2018-0056</v>
      </c>
      <c r="C20">
        <f t="shared" si="1"/>
        <v>2019</v>
      </c>
      <c r="D20">
        <f t="shared" si="2"/>
        <v>2018</v>
      </c>
      <c r="E20">
        <f t="shared" si="3"/>
        <v>2014</v>
      </c>
      <c r="F20" t="s">
        <v>654</v>
      </c>
      <c r="G20">
        <v>2012</v>
      </c>
      <c r="H20">
        <f>'App.2-AB_Capital Expenditures'!H19</f>
        <v>0</v>
      </c>
      <c r="I20">
        <f>'App.2-AB_Capital Expenditures'!I19</f>
        <v>0</v>
      </c>
    </row>
    <row r="21" spans="1:9" x14ac:dyDescent="0.2">
      <c r="A21" t="str">
        <f>'LDC Info'!$E$14</f>
        <v>Niagara-on-the-Lake Hydro Inc.</v>
      </c>
      <c r="B21" t="str">
        <f t="shared" si="0"/>
        <v>EB-2018-0056</v>
      </c>
      <c r="C21">
        <f t="shared" si="1"/>
        <v>2019</v>
      </c>
      <c r="D21">
        <f t="shared" si="2"/>
        <v>2018</v>
      </c>
      <c r="E21">
        <f t="shared" si="3"/>
        <v>2014</v>
      </c>
      <c r="F21" t="s">
        <v>655</v>
      </c>
      <c r="G21">
        <v>2012</v>
      </c>
      <c r="H21">
        <f>'App.2-AB_Capital Expenditures'!H20</f>
        <v>0</v>
      </c>
      <c r="I21">
        <f>'App.2-AB_Capital Expenditures'!I20</f>
        <v>0</v>
      </c>
    </row>
    <row r="22" spans="1:9" x14ac:dyDescent="0.2">
      <c r="A22" t="str">
        <f>'LDC Info'!$E$14</f>
        <v>Niagara-on-the-Lake Hydro Inc.</v>
      </c>
      <c r="B22" t="str">
        <f t="shared" si="0"/>
        <v>EB-2018-0056</v>
      </c>
      <c r="C22">
        <f t="shared" si="1"/>
        <v>2019</v>
      </c>
      <c r="D22">
        <f t="shared" si="2"/>
        <v>2018</v>
      </c>
      <c r="E22">
        <f t="shared" si="3"/>
        <v>2014</v>
      </c>
      <c r="F22" s="9" t="s">
        <v>1206</v>
      </c>
      <c r="G22">
        <v>2012</v>
      </c>
      <c r="H22">
        <f>'App.2-AB_Capital Expenditures'!H21</f>
        <v>0</v>
      </c>
      <c r="I22">
        <f>'App.2-AB_Capital Expenditures'!I21</f>
        <v>0</v>
      </c>
    </row>
    <row r="23" spans="1:9" x14ac:dyDescent="0.2">
      <c r="A23" t="str">
        <f>'LDC Info'!$E$14</f>
        <v>Niagara-on-the-Lake Hydro Inc.</v>
      </c>
      <c r="B23" t="str">
        <f t="shared" si="0"/>
        <v>EB-2018-0056</v>
      </c>
      <c r="C23">
        <f t="shared" si="1"/>
        <v>2019</v>
      </c>
      <c r="D23">
        <f t="shared" si="2"/>
        <v>2018</v>
      </c>
      <c r="E23">
        <f t="shared" si="3"/>
        <v>2014</v>
      </c>
      <c r="F23" s="9" t="s">
        <v>1203</v>
      </c>
      <c r="G23">
        <v>2012</v>
      </c>
      <c r="H23">
        <f>'App.2-AB_Capital Expenditures'!H22</f>
        <v>0</v>
      </c>
      <c r="I23">
        <f>'App.2-AB_Capital Expenditures'!I22</f>
        <v>0</v>
      </c>
    </row>
    <row r="24" spans="1:9" x14ac:dyDescent="0.2">
      <c r="A24" t="str">
        <f>'LDC Info'!$E$14</f>
        <v>Niagara-on-the-Lake Hydro Inc.</v>
      </c>
      <c r="B24" t="str">
        <f t="shared" si="0"/>
        <v>EB-2018-0056</v>
      </c>
      <c r="C24">
        <f t="shared" si="1"/>
        <v>2019</v>
      </c>
      <c r="D24">
        <f t="shared" si="2"/>
        <v>2018</v>
      </c>
      <c r="E24">
        <f t="shared" si="3"/>
        <v>2014</v>
      </c>
      <c r="F24" s="9" t="s">
        <v>1207</v>
      </c>
      <c r="G24">
        <v>2012</v>
      </c>
      <c r="H24">
        <f>'App.2-AB_Capital Expenditures'!H23</f>
        <v>0</v>
      </c>
      <c r="I24">
        <f>'App.2-AB_Capital Expenditures'!I23</f>
        <v>0</v>
      </c>
    </row>
    <row r="25" spans="1:9" x14ac:dyDescent="0.2">
      <c r="A25" t="str">
        <f>'LDC Info'!$E$14</f>
        <v>Niagara-on-the-Lake Hydro Inc.</v>
      </c>
      <c r="B25" t="str">
        <f t="shared" si="0"/>
        <v>EB-2018-0056</v>
      </c>
      <c r="C25">
        <f t="shared" si="1"/>
        <v>2019</v>
      </c>
      <c r="D25">
        <f t="shared" si="2"/>
        <v>2018</v>
      </c>
      <c r="E25">
        <f t="shared" si="3"/>
        <v>2014</v>
      </c>
      <c r="F25" t="s">
        <v>657</v>
      </c>
      <c r="G25">
        <v>2012</v>
      </c>
      <c r="H25">
        <f>'App.2-AB_Capital Expenditures'!H24</f>
        <v>0</v>
      </c>
      <c r="I25">
        <f>'App.2-AB_Capital Expenditures'!I24</f>
        <v>0</v>
      </c>
    </row>
    <row r="26" spans="1:9" x14ac:dyDescent="0.2">
      <c r="A26" t="str">
        <f>'LDC Info'!$E$14</f>
        <v>Niagara-on-the-Lake Hydro Inc.</v>
      </c>
      <c r="B26" t="str">
        <f t="shared" si="0"/>
        <v>EB-2018-0056</v>
      </c>
      <c r="C26">
        <f t="shared" si="1"/>
        <v>2019</v>
      </c>
      <c r="D26">
        <f t="shared" si="2"/>
        <v>2018</v>
      </c>
      <c r="E26">
        <f t="shared" si="3"/>
        <v>2014</v>
      </c>
      <c r="F26" t="s">
        <v>652</v>
      </c>
      <c r="G26">
        <v>2013</v>
      </c>
      <c r="H26">
        <f>'App.2-AB_Capital Expenditures'!K17</f>
        <v>0</v>
      </c>
      <c r="I26">
        <f>'App.2-AB_Capital Expenditures'!L17</f>
        <v>0</v>
      </c>
    </row>
    <row r="27" spans="1:9" x14ac:dyDescent="0.2">
      <c r="A27" t="str">
        <f>'LDC Info'!$E$14</f>
        <v>Niagara-on-the-Lake Hydro Inc.</v>
      </c>
      <c r="B27" t="str">
        <f t="shared" si="0"/>
        <v>EB-2018-0056</v>
      </c>
      <c r="C27">
        <f t="shared" si="1"/>
        <v>2019</v>
      </c>
      <c r="D27">
        <f t="shared" si="2"/>
        <v>2018</v>
      </c>
      <c r="E27">
        <f t="shared" si="3"/>
        <v>2014</v>
      </c>
      <c r="F27" t="s">
        <v>653</v>
      </c>
      <c r="G27">
        <v>2013</v>
      </c>
      <c r="H27">
        <f>'App.2-AB_Capital Expenditures'!K18</f>
        <v>0</v>
      </c>
      <c r="I27">
        <f>'App.2-AB_Capital Expenditures'!L18</f>
        <v>0</v>
      </c>
    </row>
    <row r="28" spans="1:9" x14ac:dyDescent="0.2">
      <c r="A28" t="str">
        <f>'LDC Info'!$E$14</f>
        <v>Niagara-on-the-Lake Hydro Inc.</v>
      </c>
      <c r="B28" t="str">
        <f t="shared" si="0"/>
        <v>EB-2018-0056</v>
      </c>
      <c r="C28">
        <f t="shared" si="1"/>
        <v>2019</v>
      </c>
      <c r="D28">
        <f t="shared" si="2"/>
        <v>2018</v>
      </c>
      <c r="E28">
        <f t="shared" si="3"/>
        <v>2014</v>
      </c>
      <c r="F28" t="s">
        <v>654</v>
      </c>
      <c r="G28">
        <v>2013</v>
      </c>
      <c r="H28">
        <f>'App.2-AB_Capital Expenditures'!K19</f>
        <v>0</v>
      </c>
      <c r="I28">
        <f>'App.2-AB_Capital Expenditures'!L19</f>
        <v>0</v>
      </c>
    </row>
    <row r="29" spans="1:9" x14ac:dyDescent="0.2">
      <c r="A29" t="str">
        <f>'LDC Info'!$E$14</f>
        <v>Niagara-on-the-Lake Hydro Inc.</v>
      </c>
      <c r="B29" t="str">
        <f t="shared" si="0"/>
        <v>EB-2018-0056</v>
      </c>
      <c r="C29">
        <f t="shared" si="1"/>
        <v>2019</v>
      </c>
      <c r="D29">
        <f t="shared" si="2"/>
        <v>2018</v>
      </c>
      <c r="E29">
        <f t="shared" si="3"/>
        <v>2014</v>
      </c>
      <c r="F29" t="s">
        <v>655</v>
      </c>
      <c r="G29">
        <v>2013</v>
      </c>
      <c r="H29">
        <f>'App.2-AB_Capital Expenditures'!K20</f>
        <v>0</v>
      </c>
      <c r="I29">
        <f>'App.2-AB_Capital Expenditures'!L20</f>
        <v>0</v>
      </c>
    </row>
    <row r="30" spans="1:9" x14ac:dyDescent="0.2">
      <c r="A30" t="str">
        <f>'LDC Info'!$E$14</f>
        <v>Niagara-on-the-Lake Hydro Inc.</v>
      </c>
      <c r="B30" t="str">
        <f t="shared" si="0"/>
        <v>EB-2018-0056</v>
      </c>
      <c r="C30">
        <f t="shared" si="1"/>
        <v>2019</v>
      </c>
      <c r="D30">
        <f t="shared" si="2"/>
        <v>2018</v>
      </c>
      <c r="E30">
        <f t="shared" si="3"/>
        <v>2014</v>
      </c>
      <c r="F30" s="9" t="s">
        <v>1206</v>
      </c>
      <c r="G30">
        <v>2013</v>
      </c>
      <c r="H30">
        <f>'App.2-AB_Capital Expenditures'!K21</f>
        <v>0</v>
      </c>
      <c r="I30">
        <f>'App.2-AB_Capital Expenditures'!L21</f>
        <v>0</v>
      </c>
    </row>
    <row r="31" spans="1:9" x14ac:dyDescent="0.2">
      <c r="A31" t="str">
        <f>'LDC Info'!$E$14</f>
        <v>Niagara-on-the-Lake Hydro Inc.</v>
      </c>
      <c r="B31" t="str">
        <f t="shared" si="0"/>
        <v>EB-2018-0056</v>
      </c>
      <c r="C31">
        <f t="shared" si="1"/>
        <v>2019</v>
      </c>
      <c r="D31">
        <f t="shared" si="2"/>
        <v>2018</v>
      </c>
      <c r="E31">
        <f t="shared" si="3"/>
        <v>2014</v>
      </c>
      <c r="F31" s="9" t="s">
        <v>1203</v>
      </c>
      <c r="G31">
        <v>2013</v>
      </c>
      <c r="H31">
        <f>'App.2-AB_Capital Expenditures'!K22</f>
        <v>0</v>
      </c>
      <c r="I31">
        <f>'App.2-AB_Capital Expenditures'!L22</f>
        <v>0</v>
      </c>
    </row>
    <row r="32" spans="1:9" x14ac:dyDescent="0.2">
      <c r="A32" t="str">
        <f>'LDC Info'!$E$14</f>
        <v>Niagara-on-the-Lake Hydro Inc.</v>
      </c>
      <c r="B32" t="str">
        <f t="shared" si="0"/>
        <v>EB-2018-0056</v>
      </c>
      <c r="C32">
        <f t="shared" si="1"/>
        <v>2019</v>
      </c>
      <c r="D32">
        <f t="shared" si="2"/>
        <v>2018</v>
      </c>
      <c r="E32">
        <f t="shared" si="3"/>
        <v>2014</v>
      </c>
      <c r="F32" s="9" t="s">
        <v>1207</v>
      </c>
      <c r="G32">
        <v>2013</v>
      </c>
      <c r="H32">
        <f>'App.2-AB_Capital Expenditures'!K23</f>
        <v>0</v>
      </c>
      <c r="I32">
        <f>'App.2-AB_Capital Expenditures'!L23</f>
        <v>0</v>
      </c>
    </row>
    <row r="33" spans="1:9" x14ac:dyDescent="0.2">
      <c r="A33" t="str">
        <f>'LDC Info'!$E$14</f>
        <v>Niagara-on-the-Lake Hydro Inc.</v>
      </c>
      <c r="B33" t="str">
        <f t="shared" si="0"/>
        <v>EB-2018-0056</v>
      </c>
      <c r="C33">
        <f t="shared" si="1"/>
        <v>2019</v>
      </c>
      <c r="D33">
        <f t="shared" si="2"/>
        <v>2018</v>
      </c>
      <c r="E33">
        <f t="shared" si="3"/>
        <v>2014</v>
      </c>
      <c r="F33" t="s">
        <v>657</v>
      </c>
      <c r="G33">
        <v>2013</v>
      </c>
      <c r="H33">
        <f>'App.2-AB_Capital Expenditures'!K24</f>
        <v>0</v>
      </c>
      <c r="I33">
        <f>'App.2-AB_Capital Expenditures'!L24</f>
        <v>0</v>
      </c>
    </row>
    <row r="34" spans="1:9" x14ac:dyDescent="0.2">
      <c r="A34" t="str">
        <f>'LDC Info'!$E$14</f>
        <v>Niagara-on-the-Lake Hydro Inc.</v>
      </c>
      <c r="B34" t="str">
        <f t="shared" ref="B34:B65" si="4">EBNUMBER</f>
        <v>EB-2018-0056</v>
      </c>
      <c r="C34">
        <f t="shared" ref="C34:C65" si="5">TestYear</f>
        <v>2019</v>
      </c>
      <c r="D34">
        <f t="shared" ref="D34:D65" si="6">BridgeYear</f>
        <v>2018</v>
      </c>
      <c r="E34">
        <f t="shared" ref="E34:E65" si="7">RebaseYear</f>
        <v>2014</v>
      </c>
      <c r="F34" t="s">
        <v>652</v>
      </c>
      <c r="G34">
        <v>2014</v>
      </c>
      <c r="H34">
        <f>'App.2-AB_Capital Expenditures'!N17</f>
        <v>100</v>
      </c>
      <c r="I34">
        <f>'App.2-AB_Capital Expenditures'!O17</f>
        <v>955.46914232353595</v>
      </c>
    </row>
    <row r="35" spans="1:9" x14ac:dyDescent="0.2">
      <c r="A35" t="str">
        <f>'LDC Info'!$E$14</f>
        <v>Niagara-on-the-Lake Hydro Inc.</v>
      </c>
      <c r="B35" t="str">
        <f t="shared" si="4"/>
        <v>EB-2018-0056</v>
      </c>
      <c r="C35">
        <f t="shared" si="5"/>
        <v>2019</v>
      </c>
      <c r="D35">
        <f t="shared" si="6"/>
        <v>2018</v>
      </c>
      <c r="E35">
        <f t="shared" si="7"/>
        <v>2014</v>
      </c>
      <c r="F35" t="s">
        <v>653</v>
      </c>
      <c r="G35">
        <v>2014</v>
      </c>
      <c r="H35">
        <f>'App.2-AB_Capital Expenditures'!N18</f>
        <v>970</v>
      </c>
      <c r="I35">
        <f>'App.2-AB_Capital Expenditures'!O18</f>
        <v>873.89106767646388</v>
      </c>
    </row>
    <row r="36" spans="1:9" x14ac:dyDescent="0.2">
      <c r="A36" t="str">
        <f>'LDC Info'!$E$14</f>
        <v>Niagara-on-the-Lake Hydro Inc.</v>
      </c>
      <c r="B36" t="str">
        <f t="shared" si="4"/>
        <v>EB-2018-0056</v>
      </c>
      <c r="C36">
        <f t="shared" si="5"/>
        <v>2019</v>
      </c>
      <c r="D36">
        <f t="shared" si="6"/>
        <v>2018</v>
      </c>
      <c r="E36">
        <f t="shared" si="7"/>
        <v>2014</v>
      </c>
      <c r="F36" t="s">
        <v>654</v>
      </c>
      <c r="G36">
        <v>2014</v>
      </c>
      <c r="H36">
        <f>'App.2-AB_Capital Expenditures'!N19</f>
        <v>95</v>
      </c>
      <c r="I36">
        <f>'App.2-AB_Capital Expenditures'!O19</f>
        <v>40.108890000000002</v>
      </c>
    </row>
    <row r="37" spans="1:9" x14ac:dyDescent="0.2">
      <c r="A37" t="str">
        <f>'LDC Info'!$E$14</f>
        <v>Niagara-on-the-Lake Hydro Inc.</v>
      </c>
      <c r="B37" t="str">
        <f t="shared" si="4"/>
        <v>EB-2018-0056</v>
      </c>
      <c r="C37">
        <f t="shared" si="5"/>
        <v>2019</v>
      </c>
      <c r="D37">
        <f t="shared" si="6"/>
        <v>2018</v>
      </c>
      <c r="E37">
        <f t="shared" si="7"/>
        <v>2014</v>
      </c>
      <c r="F37" t="s">
        <v>655</v>
      </c>
      <c r="G37">
        <v>2014</v>
      </c>
      <c r="H37">
        <f>'App.2-AB_Capital Expenditures'!N20</f>
        <v>120</v>
      </c>
      <c r="I37">
        <f>'App.2-AB_Capital Expenditures'!O20</f>
        <v>112.58470999999999</v>
      </c>
    </row>
    <row r="38" spans="1:9" x14ac:dyDescent="0.2">
      <c r="A38" t="str">
        <f>'LDC Info'!$E$14</f>
        <v>Niagara-on-the-Lake Hydro Inc.</v>
      </c>
      <c r="B38" t="str">
        <f t="shared" si="4"/>
        <v>EB-2018-0056</v>
      </c>
      <c r="C38">
        <f t="shared" si="5"/>
        <v>2019</v>
      </c>
      <c r="D38">
        <f t="shared" si="6"/>
        <v>2018</v>
      </c>
      <c r="E38">
        <f t="shared" si="7"/>
        <v>2014</v>
      </c>
      <c r="F38" s="9" t="s">
        <v>1206</v>
      </c>
      <c r="G38">
        <v>2014</v>
      </c>
      <c r="H38">
        <f>'App.2-AB_Capital Expenditures'!N21</f>
        <v>1285</v>
      </c>
      <c r="I38">
        <f>'App.2-AB_Capital Expenditures'!O21</f>
        <v>1982.0538099999999</v>
      </c>
    </row>
    <row r="39" spans="1:9" x14ac:dyDescent="0.2">
      <c r="A39" t="str">
        <f>'LDC Info'!$E$14</f>
        <v>Niagara-on-the-Lake Hydro Inc.</v>
      </c>
      <c r="B39" t="str">
        <f t="shared" si="4"/>
        <v>EB-2018-0056</v>
      </c>
      <c r="C39">
        <f t="shared" si="5"/>
        <v>2019</v>
      </c>
      <c r="D39">
        <f t="shared" si="6"/>
        <v>2018</v>
      </c>
      <c r="E39">
        <f t="shared" si="7"/>
        <v>2014</v>
      </c>
      <c r="F39" s="9" t="s">
        <v>1203</v>
      </c>
      <c r="G39">
        <v>2014</v>
      </c>
      <c r="H39">
        <f>'App.2-AB_Capital Expenditures'!N22</f>
        <v>0</v>
      </c>
      <c r="I39">
        <f>'App.2-AB_Capital Expenditures'!O22</f>
        <v>-708.46411999999998</v>
      </c>
    </row>
    <row r="40" spans="1:9" x14ac:dyDescent="0.2">
      <c r="A40" t="str">
        <f>'LDC Info'!$E$14</f>
        <v>Niagara-on-the-Lake Hydro Inc.</v>
      </c>
      <c r="B40" t="str">
        <f t="shared" si="4"/>
        <v>EB-2018-0056</v>
      </c>
      <c r="C40">
        <f t="shared" si="5"/>
        <v>2019</v>
      </c>
      <c r="D40">
        <f t="shared" si="6"/>
        <v>2018</v>
      </c>
      <c r="E40">
        <f t="shared" si="7"/>
        <v>2014</v>
      </c>
      <c r="F40" s="9" t="s">
        <v>1207</v>
      </c>
      <c r="G40">
        <v>2014</v>
      </c>
      <c r="H40">
        <f>'App.2-AB_Capital Expenditures'!N23</f>
        <v>1285</v>
      </c>
      <c r="I40">
        <f>'App.2-AB_Capital Expenditures'!O23</f>
        <v>1273.5896899999998</v>
      </c>
    </row>
    <row r="41" spans="1:9" x14ac:dyDescent="0.2">
      <c r="A41" t="str">
        <f>'LDC Info'!$E$14</f>
        <v>Niagara-on-the-Lake Hydro Inc.</v>
      </c>
      <c r="B41" t="str">
        <f t="shared" si="4"/>
        <v>EB-2018-0056</v>
      </c>
      <c r="C41">
        <f t="shared" si="5"/>
        <v>2019</v>
      </c>
      <c r="D41">
        <f t="shared" si="6"/>
        <v>2018</v>
      </c>
      <c r="E41">
        <f t="shared" si="7"/>
        <v>2014</v>
      </c>
      <c r="F41" t="s">
        <v>657</v>
      </c>
      <c r="G41">
        <v>2014</v>
      </c>
      <c r="H41">
        <f>'App.2-AB_Capital Expenditures'!N24</f>
        <v>948.17693550814408</v>
      </c>
      <c r="I41">
        <f>'App.2-AB_Capital Expenditures'!O24</f>
        <v>903.65845999999999</v>
      </c>
    </row>
    <row r="42" spans="1:9" x14ac:dyDescent="0.2">
      <c r="A42" t="str">
        <f>'LDC Info'!$E$14</f>
        <v>Niagara-on-the-Lake Hydro Inc.</v>
      </c>
      <c r="B42" t="str">
        <f t="shared" si="4"/>
        <v>EB-2018-0056</v>
      </c>
      <c r="C42">
        <f t="shared" si="5"/>
        <v>2019</v>
      </c>
      <c r="D42">
        <f t="shared" si="6"/>
        <v>2018</v>
      </c>
      <c r="E42">
        <f t="shared" si="7"/>
        <v>2014</v>
      </c>
      <c r="F42" t="s">
        <v>652</v>
      </c>
      <c r="G42">
        <v>2015</v>
      </c>
      <c r="H42">
        <f>'App.2-AB_Capital Expenditures'!Q17</f>
        <v>100</v>
      </c>
      <c r="I42">
        <f>'App.2-AB_Capital Expenditures'!R17</f>
        <v>983.39864329957948</v>
      </c>
    </row>
    <row r="43" spans="1:9" x14ac:dyDescent="0.2">
      <c r="A43" t="str">
        <f>'LDC Info'!$E$14</f>
        <v>Niagara-on-the-Lake Hydro Inc.</v>
      </c>
      <c r="B43" t="str">
        <f t="shared" si="4"/>
        <v>EB-2018-0056</v>
      </c>
      <c r="C43">
        <f t="shared" si="5"/>
        <v>2019</v>
      </c>
      <c r="D43">
        <f t="shared" si="6"/>
        <v>2018</v>
      </c>
      <c r="E43">
        <f t="shared" si="7"/>
        <v>2014</v>
      </c>
      <c r="F43" t="s">
        <v>653</v>
      </c>
      <c r="G43">
        <v>2015</v>
      </c>
      <c r="H43">
        <f>'App.2-AB_Capital Expenditures'!Q18</f>
        <v>4030</v>
      </c>
      <c r="I43">
        <f>'App.2-AB_Capital Expenditures'!R18</f>
        <v>542.1272167004206</v>
      </c>
    </row>
    <row r="44" spans="1:9" x14ac:dyDescent="0.2">
      <c r="A44" t="str">
        <f>'LDC Info'!$E$14</f>
        <v>Niagara-on-the-Lake Hydro Inc.</v>
      </c>
      <c r="B44" t="str">
        <f t="shared" si="4"/>
        <v>EB-2018-0056</v>
      </c>
      <c r="C44">
        <f t="shared" si="5"/>
        <v>2019</v>
      </c>
      <c r="D44">
        <f t="shared" si="6"/>
        <v>2018</v>
      </c>
      <c r="E44">
        <f t="shared" si="7"/>
        <v>2014</v>
      </c>
      <c r="F44" t="s">
        <v>654</v>
      </c>
      <c r="G44">
        <v>2015</v>
      </c>
      <c r="H44">
        <f>'App.2-AB_Capital Expenditures'!Q19</f>
        <v>55</v>
      </c>
      <c r="I44">
        <f>'App.2-AB_Capital Expenditures'!R19</f>
        <v>2658.02855</v>
      </c>
    </row>
    <row r="45" spans="1:9" x14ac:dyDescent="0.2">
      <c r="A45" t="str">
        <f>'LDC Info'!$E$14</f>
        <v>Niagara-on-the-Lake Hydro Inc.</v>
      </c>
      <c r="B45" t="str">
        <f t="shared" si="4"/>
        <v>EB-2018-0056</v>
      </c>
      <c r="C45">
        <f t="shared" si="5"/>
        <v>2019</v>
      </c>
      <c r="D45">
        <f t="shared" si="6"/>
        <v>2018</v>
      </c>
      <c r="E45">
        <f t="shared" si="7"/>
        <v>2014</v>
      </c>
      <c r="F45" t="s">
        <v>655</v>
      </c>
      <c r="G45">
        <v>2015</v>
      </c>
      <c r="H45">
        <f>'App.2-AB_Capital Expenditures'!Q20</f>
        <v>65</v>
      </c>
      <c r="I45">
        <f>'App.2-AB_Capital Expenditures'!R20</f>
        <v>66.405059999999992</v>
      </c>
    </row>
    <row r="46" spans="1:9" x14ac:dyDescent="0.2">
      <c r="A46" t="str">
        <f>'LDC Info'!$E$14</f>
        <v>Niagara-on-the-Lake Hydro Inc.</v>
      </c>
      <c r="B46" t="str">
        <f t="shared" si="4"/>
        <v>EB-2018-0056</v>
      </c>
      <c r="C46">
        <f t="shared" si="5"/>
        <v>2019</v>
      </c>
      <c r="D46">
        <f t="shared" si="6"/>
        <v>2018</v>
      </c>
      <c r="E46">
        <f t="shared" si="7"/>
        <v>2014</v>
      </c>
      <c r="F46" s="9" t="s">
        <v>1206</v>
      </c>
      <c r="G46">
        <v>2015</v>
      </c>
      <c r="H46">
        <f>'App.2-AB_Capital Expenditures'!Q21</f>
        <v>4250</v>
      </c>
      <c r="I46">
        <f>'App.2-AB_Capital Expenditures'!R21</f>
        <v>4249.9594700000007</v>
      </c>
    </row>
    <row r="47" spans="1:9" x14ac:dyDescent="0.2">
      <c r="A47" t="str">
        <f>'LDC Info'!$E$14</f>
        <v>Niagara-on-the-Lake Hydro Inc.</v>
      </c>
      <c r="B47" t="str">
        <f t="shared" si="4"/>
        <v>EB-2018-0056</v>
      </c>
      <c r="C47">
        <f t="shared" si="5"/>
        <v>2019</v>
      </c>
      <c r="D47">
        <f t="shared" si="6"/>
        <v>2018</v>
      </c>
      <c r="E47">
        <f t="shared" si="7"/>
        <v>2014</v>
      </c>
      <c r="F47" s="9" t="s">
        <v>1203</v>
      </c>
      <c r="G47">
        <v>2015</v>
      </c>
      <c r="H47">
        <f>'App.2-AB_Capital Expenditures'!Q22</f>
        <v>0</v>
      </c>
      <c r="I47">
        <f>'App.2-AB_Capital Expenditures'!R22</f>
        <v>-600.72156000000007</v>
      </c>
    </row>
    <row r="48" spans="1:9" x14ac:dyDescent="0.2">
      <c r="A48" t="str">
        <f>'LDC Info'!$E$14</f>
        <v>Niagara-on-the-Lake Hydro Inc.</v>
      </c>
      <c r="B48" t="str">
        <f t="shared" si="4"/>
        <v>EB-2018-0056</v>
      </c>
      <c r="C48">
        <f t="shared" si="5"/>
        <v>2019</v>
      </c>
      <c r="D48">
        <f t="shared" si="6"/>
        <v>2018</v>
      </c>
      <c r="E48">
        <f t="shared" si="7"/>
        <v>2014</v>
      </c>
      <c r="F48" s="9" t="s">
        <v>1207</v>
      </c>
      <c r="G48">
        <v>2015</v>
      </c>
      <c r="H48">
        <f>'App.2-AB_Capital Expenditures'!Q23</f>
        <v>4250</v>
      </c>
      <c r="I48">
        <f>'App.2-AB_Capital Expenditures'!R23</f>
        <v>3649.2379100000007</v>
      </c>
    </row>
    <row r="49" spans="1:9" x14ac:dyDescent="0.2">
      <c r="A49" t="str">
        <f>'LDC Info'!$E$14</f>
        <v>Niagara-on-the-Lake Hydro Inc.</v>
      </c>
      <c r="B49" t="str">
        <f t="shared" si="4"/>
        <v>EB-2018-0056</v>
      </c>
      <c r="C49">
        <f t="shared" si="5"/>
        <v>2019</v>
      </c>
      <c r="D49">
        <f t="shared" si="6"/>
        <v>2018</v>
      </c>
      <c r="E49">
        <f t="shared" si="7"/>
        <v>2014</v>
      </c>
      <c r="F49" t="s">
        <v>657</v>
      </c>
      <c r="G49">
        <v>2015</v>
      </c>
      <c r="H49">
        <f>'App.2-AB_Capital Expenditures'!Q24</f>
        <v>963.34776647627439</v>
      </c>
      <c r="I49">
        <f>'App.2-AB_Capital Expenditures'!R24</f>
        <v>1000.1179</v>
      </c>
    </row>
    <row r="50" spans="1:9" x14ac:dyDescent="0.2">
      <c r="A50" t="str">
        <f>'LDC Info'!$E$14</f>
        <v>Niagara-on-the-Lake Hydro Inc.</v>
      </c>
      <c r="B50" t="str">
        <f t="shared" si="4"/>
        <v>EB-2018-0056</v>
      </c>
      <c r="C50">
        <f t="shared" si="5"/>
        <v>2019</v>
      </c>
      <c r="D50">
        <f t="shared" si="6"/>
        <v>2018</v>
      </c>
      <c r="E50">
        <f t="shared" si="7"/>
        <v>2014</v>
      </c>
      <c r="F50" t="s">
        <v>652</v>
      </c>
      <c r="G50">
        <v>2016</v>
      </c>
      <c r="H50">
        <f>'App.2-AB_Capital Expenditures'!T17</f>
        <v>100</v>
      </c>
      <c r="I50">
        <f>'App.2-AB_Capital Expenditures'!U17</f>
        <v>1829.632493015632</v>
      </c>
    </row>
    <row r="51" spans="1:9" x14ac:dyDescent="0.2">
      <c r="A51" t="str">
        <f>'LDC Info'!$E$14</f>
        <v>Niagara-on-the-Lake Hydro Inc.</v>
      </c>
      <c r="B51" t="str">
        <f t="shared" si="4"/>
        <v>EB-2018-0056</v>
      </c>
      <c r="C51">
        <f t="shared" si="5"/>
        <v>2019</v>
      </c>
      <c r="D51">
        <f t="shared" si="6"/>
        <v>2018</v>
      </c>
      <c r="E51">
        <f t="shared" si="7"/>
        <v>2014</v>
      </c>
      <c r="F51" t="s">
        <v>653</v>
      </c>
      <c r="G51">
        <v>2016</v>
      </c>
      <c r="H51">
        <f>'App.2-AB_Capital Expenditures'!T18</f>
        <v>1030</v>
      </c>
      <c r="I51">
        <f>'App.2-AB_Capital Expenditures'!U18</f>
        <v>710.26213698436788</v>
      </c>
    </row>
    <row r="52" spans="1:9" x14ac:dyDescent="0.2">
      <c r="A52" t="str">
        <f>'LDC Info'!$E$14</f>
        <v>Niagara-on-the-Lake Hydro Inc.</v>
      </c>
      <c r="B52" t="str">
        <f t="shared" si="4"/>
        <v>EB-2018-0056</v>
      </c>
      <c r="C52">
        <f t="shared" si="5"/>
        <v>2019</v>
      </c>
      <c r="D52">
        <f t="shared" si="6"/>
        <v>2018</v>
      </c>
      <c r="E52">
        <f t="shared" si="7"/>
        <v>2014</v>
      </c>
      <c r="F52" t="s">
        <v>654</v>
      </c>
      <c r="G52">
        <v>2016</v>
      </c>
      <c r="H52">
        <f>'App.2-AB_Capital Expenditures'!T19</f>
        <v>55</v>
      </c>
      <c r="I52">
        <f>'App.2-AB_Capital Expenditures'!U19</f>
        <v>229.17877000000001</v>
      </c>
    </row>
    <row r="53" spans="1:9" x14ac:dyDescent="0.2">
      <c r="A53" t="str">
        <f>'LDC Info'!$E$14</f>
        <v>Niagara-on-the-Lake Hydro Inc.</v>
      </c>
      <c r="B53" t="str">
        <f t="shared" si="4"/>
        <v>EB-2018-0056</v>
      </c>
      <c r="C53">
        <f t="shared" si="5"/>
        <v>2019</v>
      </c>
      <c r="D53">
        <f t="shared" si="6"/>
        <v>2018</v>
      </c>
      <c r="E53">
        <f t="shared" si="7"/>
        <v>2014</v>
      </c>
      <c r="F53" t="s">
        <v>655</v>
      </c>
      <c r="G53">
        <v>2016</v>
      </c>
      <c r="H53">
        <f>'App.2-AB_Capital Expenditures'!T20</f>
        <v>65</v>
      </c>
      <c r="I53">
        <f>'App.2-AB_Capital Expenditures'!U20</f>
        <v>107.05458</v>
      </c>
    </row>
    <row r="54" spans="1:9" x14ac:dyDescent="0.2">
      <c r="A54" t="str">
        <f>'LDC Info'!$E$14</f>
        <v>Niagara-on-the-Lake Hydro Inc.</v>
      </c>
      <c r="B54" t="str">
        <f t="shared" si="4"/>
        <v>EB-2018-0056</v>
      </c>
      <c r="C54">
        <f t="shared" si="5"/>
        <v>2019</v>
      </c>
      <c r="D54">
        <f t="shared" si="6"/>
        <v>2018</v>
      </c>
      <c r="E54">
        <f t="shared" si="7"/>
        <v>2014</v>
      </c>
      <c r="F54" s="9" t="s">
        <v>1206</v>
      </c>
      <c r="G54">
        <v>2016</v>
      </c>
      <c r="H54">
        <f>'App.2-AB_Capital Expenditures'!T21</f>
        <v>1250</v>
      </c>
      <c r="I54">
        <f>'App.2-AB_Capital Expenditures'!U21</f>
        <v>2876.1279799999998</v>
      </c>
    </row>
    <row r="55" spans="1:9" x14ac:dyDescent="0.2">
      <c r="A55" t="str">
        <f>'LDC Info'!$E$14</f>
        <v>Niagara-on-the-Lake Hydro Inc.</v>
      </c>
      <c r="B55" t="str">
        <f t="shared" si="4"/>
        <v>EB-2018-0056</v>
      </c>
      <c r="C55">
        <f t="shared" si="5"/>
        <v>2019</v>
      </c>
      <c r="D55">
        <f t="shared" si="6"/>
        <v>2018</v>
      </c>
      <c r="E55">
        <f t="shared" si="7"/>
        <v>2014</v>
      </c>
      <c r="F55" s="9" t="s">
        <v>1203</v>
      </c>
      <c r="G55">
        <v>2016</v>
      </c>
      <c r="H55">
        <f>'App.2-AB_Capital Expenditures'!T22</f>
        <v>0</v>
      </c>
      <c r="I55">
        <f>'App.2-AB_Capital Expenditures'!U22</f>
        <v>-1603.2772799999998</v>
      </c>
    </row>
    <row r="56" spans="1:9" x14ac:dyDescent="0.2">
      <c r="A56" t="str">
        <f>'LDC Info'!$E$14</f>
        <v>Niagara-on-the-Lake Hydro Inc.</v>
      </c>
      <c r="B56" t="str">
        <f t="shared" si="4"/>
        <v>EB-2018-0056</v>
      </c>
      <c r="C56">
        <f t="shared" si="5"/>
        <v>2019</v>
      </c>
      <c r="D56">
        <f t="shared" si="6"/>
        <v>2018</v>
      </c>
      <c r="E56">
        <f t="shared" si="7"/>
        <v>2014</v>
      </c>
      <c r="F56" s="9" t="s">
        <v>1207</v>
      </c>
      <c r="G56">
        <v>2016</v>
      </c>
      <c r="H56">
        <f>'App.2-AB_Capital Expenditures'!T23</f>
        <v>1250</v>
      </c>
      <c r="I56">
        <f>'App.2-AB_Capital Expenditures'!U23</f>
        <v>1272.8507</v>
      </c>
    </row>
    <row r="57" spans="1:9" x14ac:dyDescent="0.2">
      <c r="A57" t="str">
        <f>'LDC Info'!$E$14</f>
        <v>Niagara-on-the-Lake Hydro Inc.</v>
      </c>
      <c r="B57" t="str">
        <f t="shared" si="4"/>
        <v>EB-2018-0056</v>
      </c>
      <c r="C57">
        <f t="shared" si="5"/>
        <v>2019</v>
      </c>
      <c r="D57">
        <f t="shared" si="6"/>
        <v>2018</v>
      </c>
      <c r="E57">
        <f t="shared" si="7"/>
        <v>2014</v>
      </c>
      <c r="F57" t="s">
        <v>657</v>
      </c>
      <c r="G57">
        <v>2016</v>
      </c>
      <c r="H57">
        <f>'App.2-AB_Capital Expenditures'!T24</f>
        <v>978.76133073989479</v>
      </c>
      <c r="I57">
        <f>'App.2-AB_Capital Expenditures'!U24</f>
        <v>1130.5680699999998</v>
      </c>
    </row>
    <row r="58" spans="1:9" x14ac:dyDescent="0.2">
      <c r="A58" t="str">
        <f>'LDC Info'!$E$14</f>
        <v>Niagara-on-the-Lake Hydro Inc.</v>
      </c>
      <c r="B58" t="str">
        <f t="shared" si="4"/>
        <v>EB-2018-0056</v>
      </c>
      <c r="C58">
        <f t="shared" si="5"/>
        <v>2019</v>
      </c>
      <c r="D58">
        <f t="shared" si="6"/>
        <v>2018</v>
      </c>
      <c r="E58">
        <f t="shared" si="7"/>
        <v>2014</v>
      </c>
      <c r="F58" t="s">
        <v>652</v>
      </c>
      <c r="G58">
        <v>2017</v>
      </c>
      <c r="H58">
        <f>'App.2-AB_Capital Expenditures'!W17</f>
        <v>100</v>
      </c>
      <c r="I58">
        <f>'App.2-AB_Capital Expenditures'!X17</f>
        <v>549.93895439174355</v>
      </c>
    </row>
    <row r="59" spans="1:9" x14ac:dyDescent="0.2">
      <c r="A59" t="str">
        <f>'LDC Info'!$E$14</f>
        <v>Niagara-on-the-Lake Hydro Inc.</v>
      </c>
      <c r="B59" t="str">
        <f t="shared" si="4"/>
        <v>EB-2018-0056</v>
      </c>
      <c r="C59">
        <f t="shared" si="5"/>
        <v>2019</v>
      </c>
      <c r="D59">
        <f t="shared" si="6"/>
        <v>2018</v>
      </c>
      <c r="E59">
        <f t="shared" si="7"/>
        <v>2014</v>
      </c>
      <c r="F59" t="s">
        <v>653</v>
      </c>
      <c r="G59">
        <v>2017</v>
      </c>
      <c r="H59">
        <f>'App.2-AB_Capital Expenditures'!W18</f>
        <v>935</v>
      </c>
      <c r="I59">
        <f>'App.2-AB_Capital Expenditures'!X18</f>
        <v>691.99958560825655</v>
      </c>
    </row>
    <row r="60" spans="1:9" x14ac:dyDescent="0.2">
      <c r="A60" t="str">
        <f>'LDC Info'!$E$14</f>
        <v>Niagara-on-the-Lake Hydro Inc.</v>
      </c>
      <c r="B60" t="str">
        <f t="shared" si="4"/>
        <v>EB-2018-0056</v>
      </c>
      <c r="C60">
        <f t="shared" si="5"/>
        <v>2019</v>
      </c>
      <c r="D60">
        <f t="shared" si="6"/>
        <v>2018</v>
      </c>
      <c r="E60">
        <f t="shared" si="7"/>
        <v>2014</v>
      </c>
      <c r="F60" t="s">
        <v>654</v>
      </c>
      <c r="G60">
        <v>2017</v>
      </c>
      <c r="H60">
        <f>'App.2-AB_Capital Expenditures'!W19</f>
        <v>55</v>
      </c>
      <c r="I60">
        <f>'App.2-AB_Capital Expenditures'!X19</f>
        <v>206.67929999999998</v>
      </c>
    </row>
    <row r="61" spans="1:9" x14ac:dyDescent="0.2">
      <c r="A61" t="str">
        <f>'LDC Info'!$E$14</f>
        <v>Niagara-on-the-Lake Hydro Inc.</v>
      </c>
      <c r="B61" t="str">
        <f t="shared" si="4"/>
        <v>EB-2018-0056</v>
      </c>
      <c r="C61">
        <f t="shared" si="5"/>
        <v>2019</v>
      </c>
      <c r="D61">
        <f t="shared" si="6"/>
        <v>2018</v>
      </c>
      <c r="E61">
        <f t="shared" si="7"/>
        <v>2014</v>
      </c>
      <c r="F61" t="s">
        <v>655</v>
      </c>
      <c r="G61">
        <v>2017</v>
      </c>
      <c r="H61">
        <f>'App.2-AB_Capital Expenditures'!W20</f>
        <v>160</v>
      </c>
      <c r="I61">
        <f>'App.2-AB_Capital Expenditures'!X20</f>
        <v>154.62658999999996</v>
      </c>
    </row>
    <row r="62" spans="1:9" x14ac:dyDescent="0.2">
      <c r="A62" t="str">
        <f>'LDC Info'!$E$14</f>
        <v>Niagara-on-the-Lake Hydro Inc.</v>
      </c>
      <c r="B62" t="str">
        <f t="shared" si="4"/>
        <v>EB-2018-0056</v>
      </c>
      <c r="C62">
        <f t="shared" si="5"/>
        <v>2019</v>
      </c>
      <c r="D62">
        <f t="shared" si="6"/>
        <v>2018</v>
      </c>
      <c r="E62">
        <f t="shared" si="7"/>
        <v>2014</v>
      </c>
      <c r="F62" s="9" t="s">
        <v>1206</v>
      </c>
      <c r="G62">
        <v>2017</v>
      </c>
      <c r="H62">
        <f>'App.2-AB_Capital Expenditures'!W21</f>
        <v>1250</v>
      </c>
      <c r="I62">
        <f>'App.2-AB_Capital Expenditures'!X21</f>
        <v>1603.2444300000002</v>
      </c>
    </row>
    <row r="63" spans="1:9" x14ac:dyDescent="0.2">
      <c r="A63" t="str">
        <f>'LDC Info'!$E$14</f>
        <v>Niagara-on-the-Lake Hydro Inc.</v>
      </c>
      <c r="B63" t="str">
        <f t="shared" si="4"/>
        <v>EB-2018-0056</v>
      </c>
      <c r="C63">
        <f t="shared" si="5"/>
        <v>2019</v>
      </c>
      <c r="D63">
        <f t="shared" si="6"/>
        <v>2018</v>
      </c>
      <c r="E63">
        <f t="shared" si="7"/>
        <v>2014</v>
      </c>
      <c r="F63" s="9" t="s">
        <v>1203</v>
      </c>
      <c r="G63">
        <v>2017</v>
      </c>
      <c r="H63">
        <f>'App.2-AB_Capital Expenditures'!W22</f>
        <v>0</v>
      </c>
      <c r="I63">
        <f>'App.2-AB_Capital Expenditures'!X22</f>
        <v>-319.95391000000001</v>
      </c>
    </row>
    <row r="64" spans="1:9" x14ac:dyDescent="0.2">
      <c r="A64" t="str">
        <f>'LDC Info'!$E$14</f>
        <v>Niagara-on-the-Lake Hydro Inc.</v>
      </c>
      <c r="B64" t="str">
        <f t="shared" si="4"/>
        <v>EB-2018-0056</v>
      </c>
      <c r="C64">
        <f t="shared" si="5"/>
        <v>2019</v>
      </c>
      <c r="D64">
        <f t="shared" si="6"/>
        <v>2018</v>
      </c>
      <c r="E64">
        <f t="shared" si="7"/>
        <v>2014</v>
      </c>
      <c r="F64" s="9" t="s">
        <v>1207</v>
      </c>
      <c r="G64">
        <v>2017</v>
      </c>
      <c r="H64">
        <f>'App.2-AB_Capital Expenditures'!W23</f>
        <v>1250</v>
      </c>
      <c r="I64">
        <f>'App.2-AB_Capital Expenditures'!X23</f>
        <v>1283.2905200000002</v>
      </c>
    </row>
    <row r="65" spans="1:9" x14ac:dyDescent="0.2">
      <c r="A65" t="str">
        <f>'LDC Info'!$E$14</f>
        <v>Niagara-on-the-Lake Hydro Inc.</v>
      </c>
      <c r="B65" t="str">
        <f t="shared" si="4"/>
        <v>EB-2018-0056</v>
      </c>
      <c r="C65">
        <f t="shared" si="5"/>
        <v>2019</v>
      </c>
      <c r="D65">
        <f t="shared" si="6"/>
        <v>2018</v>
      </c>
      <c r="E65">
        <f t="shared" si="7"/>
        <v>2014</v>
      </c>
      <c r="F65" t="s">
        <v>657</v>
      </c>
      <c r="G65">
        <v>2017</v>
      </c>
      <c r="H65">
        <f>'App.2-AB_Capital Expenditures'!W24</f>
        <v>994.42151203173307</v>
      </c>
      <c r="I65">
        <f>'App.2-AB_Capital Expenditures'!X24</f>
        <v>1088.6038599999999</v>
      </c>
    </row>
    <row r="66" spans="1:9" x14ac:dyDescent="0.2">
      <c r="A66" t="str">
        <f>'LDC Info'!$E$14</f>
        <v>Niagara-on-the-Lake Hydro Inc.</v>
      </c>
      <c r="B66" t="str">
        <f t="shared" ref="B66:B97" si="8">EBNUMBER</f>
        <v>EB-2018-0056</v>
      </c>
      <c r="C66">
        <f t="shared" ref="C66:C97" si="9">TestYear</f>
        <v>2019</v>
      </c>
      <c r="D66">
        <f t="shared" ref="D66:D97" si="10">BridgeYear</f>
        <v>2018</v>
      </c>
      <c r="E66">
        <f t="shared" ref="E66:E97" si="11">RebaseYear</f>
        <v>2014</v>
      </c>
      <c r="F66" t="s">
        <v>652</v>
      </c>
      <c r="G66">
        <v>2018</v>
      </c>
      <c r="H66">
        <f>'App.2-AB_Capital Expenditures'!Z17</f>
        <v>100</v>
      </c>
      <c r="I66">
        <f>'App.2-AB_Capital Expenditures'!AA17</f>
        <v>2603.7278436666666</v>
      </c>
    </row>
    <row r="67" spans="1:9" x14ac:dyDescent="0.2">
      <c r="A67" t="str">
        <f>'LDC Info'!$E$14</f>
        <v>Niagara-on-the-Lake Hydro Inc.</v>
      </c>
      <c r="B67" t="str">
        <f t="shared" si="8"/>
        <v>EB-2018-0056</v>
      </c>
      <c r="C67">
        <f t="shared" si="9"/>
        <v>2019</v>
      </c>
      <c r="D67">
        <f t="shared" si="10"/>
        <v>2018</v>
      </c>
      <c r="E67">
        <f t="shared" si="11"/>
        <v>2014</v>
      </c>
      <c r="F67" t="s">
        <v>653</v>
      </c>
      <c r="G67">
        <v>2018</v>
      </c>
      <c r="H67">
        <f>'App.2-AB_Capital Expenditures'!Z18</f>
        <v>1030</v>
      </c>
      <c r="I67">
        <f>'App.2-AB_Capital Expenditures'!AA18</f>
        <v>1473.7728499999998</v>
      </c>
    </row>
    <row r="68" spans="1:9" x14ac:dyDescent="0.2">
      <c r="A68" t="str">
        <f>'LDC Info'!$E$14</f>
        <v>Niagara-on-the-Lake Hydro Inc.</v>
      </c>
      <c r="B68" t="str">
        <f t="shared" si="8"/>
        <v>EB-2018-0056</v>
      </c>
      <c r="C68">
        <f t="shared" si="9"/>
        <v>2019</v>
      </c>
      <c r="D68">
        <f t="shared" si="10"/>
        <v>2018</v>
      </c>
      <c r="E68">
        <f t="shared" si="11"/>
        <v>2014</v>
      </c>
      <c r="F68" t="s">
        <v>654</v>
      </c>
      <c r="G68">
        <v>2018</v>
      </c>
      <c r="H68">
        <f>'App.2-AB_Capital Expenditures'!Z19</f>
        <v>55</v>
      </c>
      <c r="I68">
        <f>'App.2-AB_Capital Expenditures'!AA19</f>
        <v>125</v>
      </c>
    </row>
    <row r="69" spans="1:9" x14ac:dyDescent="0.2">
      <c r="A69" t="str">
        <f>'LDC Info'!$E$14</f>
        <v>Niagara-on-the-Lake Hydro Inc.</v>
      </c>
      <c r="B69" t="str">
        <f t="shared" si="8"/>
        <v>EB-2018-0056</v>
      </c>
      <c r="C69">
        <f t="shared" si="9"/>
        <v>2019</v>
      </c>
      <c r="D69">
        <f t="shared" si="10"/>
        <v>2018</v>
      </c>
      <c r="E69">
        <f t="shared" si="11"/>
        <v>2014</v>
      </c>
      <c r="F69" t="s">
        <v>655</v>
      </c>
      <c r="G69">
        <v>2018</v>
      </c>
      <c r="H69">
        <f>'App.2-AB_Capital Expenditures'!Z20</f>
        <v>65</v>
      </c>
      <c r="I69">
        <f>'App.2-AB_Capital Expenditures'!AA20</f>
        <v>498.77976999999993</v>
      </c>
    </row>
    <row r="70" spans="1:9" x14ac:dyDescent="0.2">
      <c r="A70" t="str">
        <f>'LDC Info'!$E$14</f>
        <v>Niagara-on-the-Lake Hydro Inc.</v>
      </c>
      <c r="B70" t="str">
        <f t="shared" si="8"/>
        <v>EB-2018-0056</v>
      </c>
      <c r="C70">
        <f t="shared" si="9"/>
        <v>2019</v>
      </c>
      <c r="D70">
        <f t="shared" si="10"/>
        <v>2018</v>
      </c>
      <c r="E70">
        <f t="shared" si="11"/>
        <v>2014</v>
      </c>
      <c r="F70" s="9" t="s">
        <v>1206</v>
      </c>
      <c r="G70">
        <v>2018</v>
      </c>
      <c r="H70">
        <f>'App.2-AB_Capital Expenditures'!Z21</f>
        <v>1250</v>
      </c>
      <c r="I70">
        <f>'App.2-AB_Capital Expenditures'!AA21</f>
        <v>4701.2804636666669</v>
      </c>
    </row>
    <row r="71" spans="1:9" x14ac:dyDescent="0.2">
      <c r="A71" t="str">
        <f>'LDC Info'!$E$14</f>
        <v>Niagara-on-the-Lake Hydro Inc.</v>
      </c>
      <c r="B71" t="str">
        <f t="shared" si="8"/>
        <v>EB-2018-0056</v>
      </c>
      <c r="C71">
        <f t="shared" si="9"/>
        <v>2019</v>
      </c>
      <c r="D71">
        <f t="shared" si="10"/>
        <v>2018</v>
      </c>
      <c r="E71">
        <f t="shared" si="11"/>
        <v>2014</v>
      </c>
      <c r="F71" s="9" t="s">
        <v>1203</v>
      </c>
      <c r="G71">
        <v>2018</v>
      </c>
      <c r="H71">
        <f>'App.2-AB_Capital Expenditures'!Z22</f>
        <v>0</v>
      </c>
      <c r="I71">
        <f>'App.2-AB_Capital Expenditures'!AA22</f>
        <v>-1983.9451536666668</v>
      </c>
    </row>
    <row r="72" spans="1:9" x14ac:dyDescent="0.2">
      <c r="A72" t="str">
        <f>'LDC Info'!$E$14</f>
        <v>Niagara-on-the-Lake Hydro Inc.</v>
      </c>
      <c r="B72" t="str">
        <f t="shared" si="8"/>
        <v>EB-2018-0056</v>
      </c>
      <c r="C72">
        <f t="shared" si="9"/>
        <v>2019</v>
      </c>
      <c r="D72">
        <f t="shared" si="10"/>
        <v>2018</v>
      </c>
      <c r="E72">
        <f t="shared" si="11"/>
        <v>2014</v>
      </c>
      <c r="F72" s="9" t="s">
        <v>1207</v>
      </c>
      <c r="G72">
        <v>2018</v>
      </c>
      <c r="H72">
        <f>'App.2-AB_Capital Expenditures'!Z23</f>
        <v>1250</v>
      </c>
      <c r="I72">
        <f>'App.2-AB_Capital Expenditures'!AA23</f>
        <v>2717.3353100000004</v>
      </c>
    </row>
    <row r="73" spans="1:9" x14ac:dyDescent="0.2">
      <c r="A73" t="str">
        <f>'LDC Info'!$E$14</f>
        <v>Niagara-on-the-Lake Hydro Inc.</v>
      </c>
      <c r="B73" t="str">
        <f t="shared" si="8"/>
        <v>EB-2018-0056</v>
      </c>
      <c r="C73">
        <f t="shared" si="9"/>
        <v>2019</v>
      </c>
      <c r="D73">
        <f t="shared" si="10"/>
        <v>2018</v>
      </c>
      <c r="E73">
        <f t="shared" si="11"/>
        <v>2014</v>
      </c>
      <c r="F73" t="s">
        <v>657</v>
      </c>
      <c r="G73">
        <v>2018</v>
      </c>
      <c r="H73">
        <f>'App.2-AB_Capital Expenditures'!Z24</f>
        <v>1010.3322562242408</v>
      </c>
      <c r="I73">
        <f>'App.2-AB_Capital Expenditures'!AA24</f>
        <v>1152.4874572899882</v>
      </c>
    </row>
    <row r="74" spans="1:9" x14ac:dyDescent="0.2">
      <c r="A74" t="str">
        <f>'LDC Info'!$E$14</f>
        <v>Niagara-on-the-Lake Hydro Inc.</v>
      </c>
      <c r="B74" t="str">
        <f t="shared" si="8"/>
        <v>EB-2018-0056</v>
      </c>
      <c r="C74">
        <f t="shared" si="9"/>
        <v>2019</v>
      </c>
      <c r="D74">
        <f t="shared" si="10"/>
        <v>2018</v>
      </c>
      <c r="E74">
        <f t="shared" si="11"/>
        <v>2014</v>
      </c>
      <c r="F74" t="s">
        <v>652</v>
      </c>
      <c r="G74">
        <v>2019</v>
      </c>
      <c r="H74">
        <f>'App.2-AB_Capital Expenditures'!AC17</f>
        <v>835.5</v>
      </c>
    </row>
    <row r="75" spans="1:9" x14ac:dyDescent="0.2">
      <c r="A75" t="str">
        <f>'LDC Info'!$E$14</f>
        <v>Niagara-on-the-Lake Hydro Inc.</v>
      </c>
      <c r="B75" t="str">
        <f t="shared" si="8"/>
        <v>EB-2018-0056</v>
      </c>
      <c r="C75">
        <f t="shared" si="9"/>
        <v>2019</v>
      </c>
      <c r="D75">
        <f t="shared" si="10"/>
        <v>2018</v>
      </c>
      <c r="E75">
        <f t="shared" si="11"/>
        <v>2014</v>
      </c>
      <c r="F75" t="s">
        <v>653</v>
      </c>
      <c r="G75">
        <v>2019</v>
      </c>
      <c r="H75">
        <f>'App.2-AB_Capital Expenditures'!AC18</f>
        <v>1097</v>
      </c>
    </row>
    <row r="76" spans="1:9" x14ac:dyDescent="0.2">
      <c r="A76" t="str">
        <f>'LDC Info'!$E$14</f>
        <v>Niagara-on-the-Lake Hydro Inc.</v>
      </c>
      <c r="B76" t="str">
        <f t="shared" si="8"/>
        <v>EB-2018-0056</v>
      </c>
      <c r="C76">
        <f t="shared" si="9"/>
        <v>2019</v>
      </c>
      <c r="D76">
        <f t="shared" si="10"/>
        <v>2018</v>
      </c>
      <c r="E76">
        <f t="shared" si="11"/>
        <v>2014</v>
      </c>
      <c r="F76" t="s">
        <v>654</v>
      </c>
      <c r="G76">
        <v>2019</v>
      </c>
      <c r="H76">
        <f>'App.2-AB_Capital Expenditures'!AC19</f>
        <v>3832.34</v>
      </c>
    </row>
    <row r="77" spans="1:9" x14ac:dyDescent="0.2">
      <c r="A77" t="str">
        <f>'LDC Info'!$E$14</f>
        <v>Niagara-on-the-Lake Hydro Inc.</v>
      </c>
      <c r="B77" t="str">
        <f t="shared" si="8"/>
        <v>EB-2018-0056</v>
      </c>
      <c r="C77">
        <f t="shared" si="9"/>
        <v>2019</v>
      </c>
      <c r="D77">
        <f t="shared" si="10"/>
        <v>2018</v>
      </c>
      <c r="E77">
        <f t="shared" si="11"/>
        <v>2014</v>
      </c>
      <c r="F77" t="s">
        <v>655</v>
      </c>
      <c r="G77">
        <v>2019</v>
      </c>
      <c r="H77">
        <f>'App.2-AB_Capital Expenditures'!AC20</f>
        <v>83.75</v>
      </c>
    </row>
    <row r="78" spans="1:9" x14ac:dyDescent="0.2">
      <c r="A78" t="str">
        <f>'LDC Info'!$E$14</f>
        <v>Niagara-on-the-Lake Hydro Inc.</v>
      </c>
      <c r="B78" t="str">
        <f t="shared" si="8"/>
        <v>EB-2018-0056</v>
      </c>
      <c r="C78">
        <f t="shared" si="9"/>
        <v>2019</v>
      </c>
      <c r="D78">
        <f t="shared" si="10"/>
        <v>2018</v>
      </c>
      <c r="E78">
        <f t="shared" si="11"/>
        <v>2014</v>
      </c>
      <c r="F78" s="9" t="s">
        <v>1206</v>
      </c>
      <c r="G78">
        <v>2019</v>
      </c>
      <c r="H78">
        <f>'App.2-AB_Capital Expenditures'!AC21</f>
        <v>5848.59</v>
      </c>
    </row>
    <row r="79" spans="1:9" x14ac:dyDescent="0.2">
      <c r="A79" t="str">
        <f>'LDC Info'!$E$14</f>
        <v>Niagara-on-the-Lake Hydro Inc.</v>
      </c>
      <c r="B79" t="str">
        <f t="shared" si="8"/>
        <v>EB-2018-0056</v>
      </c>
      <c r="C79">
        <f t="shared" si="9"/>
        <v>2019</v>
      </c>
      <c r="D79">
        <f t="shared" si="10"/>
        <v>2018</v>
      </c>
      <c r="E79">
        <f t="shared" si="11"/>
        <v>2014</v>
      </c>
      <c r="F79" s="9" t="s">
        <v>1203</v>
      </c>
      <c r="G79">
        <v>2019</v>
      </c>
      <c r="H79">
        <f>'App.2-AB_Capital Expenditures'!AC22</f>
        <v>-787.13599999999997</v>
      </c>
    </row>
    <row r="80" spans="1:9" x14ac:dyDescent="0.2">
      <c r="A80" t="str">
        <f>'LDC Info'!$E$14</f>
        <v>Niagara-on-the-Lake Hydro Inc.</v>
      </c>
      <c r="B80" t="str">
        <f t="shared" si="8"/>
        <v>EB-2018-0056</v>
      </c>
      <c r="C80">
        <f t="shared" si="9"/>
        <v>2019</v>
      </c>
      <c r="D80">
        <f t="shared" si="10"/>
        <v>2018</v>
      </c>
      <c r="E80">
        <f t="shared" si="11"/>
        <v>2014</v>
      </c>
      <c r="F80" s="9" t="s">
        <v>1207</v>
      </c>
      <c r="G80">
        <v>2019</v>
      </c>
      <c r="H80">
        <f>'App.2-AB_Capital Expenditures'!AC23</f>
        <v>5061.4539999999997</v>
      </c>
    </row>
    <row r="81" spans="1:8" x14ac:dyDescent="0.2">
      <c r="A81" t="str">
        <f>'LDC Info'!$E$14</f>
        <v>Niagara-on-the-Lake Hydro Inc.</v>
      </c>
      <c r="B81" t="str">
        <f t="shared" si="8"/>
        <v>EB-2018-0056</v>
      </c>
      <c r="C81">
        <f t="shared" si="9"/>
        <v>2019</v>
      </c>
      <c r="D81">
        <f t="shared" si="10"/>
        <v>2018</v>
      </c>
      <c r="E81">
        <f t="shared" si="11"/>
        <v>2014</v>
      </c>
      <c r="F81" t="s">
        <v>657</v>
      </c>
      <c r="G81">
        <v>2019</v>
      </c>
      <c r="H81">
        <f>'App.2-AB_Capital Expenditures'!AC24</f>
        <v>1161.4004589633535</v>
      </c>
    </row>
    <row r="82" spans="1:8" x14ac:dyDescent="0.2">
      <c r="A82" t="str">
        <f>'LDC Info'!$E$14</f>
        <v>Niagara-on-the-Lake Hydro Inc.</v>
      </c>
      <c r="B82" t="str">
        <f t="shared" si="8"/>
        <v>EB-2018-0056</v>
      </c>
      <c r="C82">
        <f t="shared" si="9"/>
        <v>2019</v>
      </c>
      <c r="D82">
        <f t="shared" si="10"/>
        <v>2018</v>
      </c>
      <c r="E82">
        <f t="shared" si="11"/>
        <v>2014</v>
      </c>
      <c r="F82" t="s">
        <v>652</v>
      </c>
      <c r="G82">
        <v>2020</v>
      </c>
      <c r="H82">
        <f>'App.2-AB_Capital Expenditures'!AD17</f>
        <v>851.31500000000005</v>
      </c>
    </row>
    <row r="83" spans="1:8" x14ac:dyDescent="0.2">
      <c r="A83" t="str">
        <f>'LDC Info'!$E$14</f>
        <v>Niagara-on-the-Lake Hydro Inc.</v>
      </c>
      <c r="B83" t="str">
        <f t="shared" si="8"/>
        <v>EB-2018-0056</v>
      </c>
      <c r="C83">
        <f t="shared" si="9"/>
        <v>2019</v>
      </c>
      <c r="D83">
        <f t="shared" si="10"/>
        <v>2018</v>
      </c>
      <c r="E83">
        <f t="shared" si="11"/>
        <v>2014</v>
      </c>
      <c r="F83" t="s">
        <v>653</v>
      </c>
      <c r="G83">
        <v>2020</v>
      </c>
      <c r="H83">
        <f>'App.2-AB_Capital Expenditures'!AD18</f>
        <v>1160</v>
      </c>
    </row>
    <row r="84" spans="1:8" x14ac:dyDescent="0.2">
      <c r="A84" t="str">
        <f>'LDC Info'!$E$14</f>
        <v>Niagara-on-the-Lake Hydro Inc.</v>
      </c>
      <c r="B84" t="str">
        <f t="shared" si="8"/>
        <v>EB-2018-0056</v>
      </c>
      <c r="C84">
        <f t="shared" si="9"/>
        <v>2019</v>
      </c>
      <c r="D84">
        <f t="shared" si="10"/>
        <v>2018</v>
      </c>
      <c r="E84">
        <f t="shared" si="11"/>
        <v>2014</v>
      </c>
      <c r="F84" t="s">
        <v>654</v>
      </c>
      <c r="G84">
        <v>2020</v>
      </c>
      <c r="H84">
        <f>'App.2-AB_Capital Expenditures'!AD19</f>
        <v>97.7</v>
      </c>
    </row>
    <row r="85" spans="1:8" x14ac:dyDescent="0.2">
      <c r="A85" t="str">
        <f>'LDC Info'!$E$14</f>
        <v>Niagara-on-the-Lake Hydro Inc.</v>
      </c>
      <c r="B85" t="str">
        <f t="shared" si="8"/>
        <v>EB-2018-0056</v>
      </c>
      <c r="C85">
        <f t="shared" si="9"/>
        <v>2019</v>
      </c>
      <c r="D85">
        <f t="shared" si="10"/>
        <v>2018</v>
      </c>
      <c r="E85">
        <f t="shared" si="11"/>
        <v>2014</v>
      </c>
      <c r="F85" t="s">
        <v>655</v>
      </c>
      <c r="G85">
        <v>2020</v>
      </c>
      <c r="H85">
        <f>'App.2-AB_Capital Expenditures'!AD20</f>
        <v>71.718999999999994</v>
      </c>
    </row>
    <row r="86" spans="1:8" x14ac:dyDescent="0.2">
      <c r="A86" t="str">
        <f>'LDC Info'!$E$14</f>
        <v>Niagara-on-the-Lake Hydro Inc.</v>
      </c>
      <c r="B86" t="str">
        <f t="shared" si="8"/>
        <v>EB-2018-0056</v>
      </c>
      <c r="C86">
        <f t="shared" si="9"/>
        <v>2019</v>
      </c>
      <c r="D86">
        <f t="shared" si="10"/>
        <v>2018</v>
      </c>
      <c r="E86">
        <f t="shared" si="11"/>
        <v>2014</v>
      </c>
      <c r="F86" s="9" t="s">
        <v>1206</v>
      </c>
      <c r="G86">
        <v>2020</v>
      </c>
      <c r="H86">
        <f>'App.2-AB_Capital Expenditures'!AD21</f>
        <v>2180.7339999999999</v>
      </c>
    </row>
    <row r="87" spans="1:8" x14ac:dyDescent="0.2">
      <c r="A87" t="str">
        <f>'LDC Info'!$E$14</f>
        <v>Niagara-on-the-Lake Hydro Inc.</v>
      </c>
      <c r="B87" t="str">
        <f t="shared" si="8"/>
        <v>EB-2018-0056</v>
      </c>
      <c r="C87">
        <f t="shared" si="9"/>
        <v>2019</v>
      </c>
      <c r="D87">
        <f t="shared" si="10"/>
        <v>2018</v>
      </c>
      <c r="E87">
        <f t="shared" si="11"/>
        <v>2014</v>
      </c>
      <c r="F87" s="9" t="s">
        <v>1203</v>
      </c>
      <c r="G87">
        <v>2020</v>
      </c>
      <c r="H87">
        <f>'App.2-AB_Capital Expenditures'!AD22</f>
        <v>-656.31500000000005</v>
      </c>
    </row>
    <row r="88" spans="1:8" x14ac:dyDescent="0.2">
      <c r="A88" t="str">
        <f>'LDC Info'!$E$14</f>
        <v>Niagara-on-the-Lake Hydro Inc.</v>
      </c>
      <c r="B88" t="str">
        <f t="shared" si="8"/>
        <v>EB-2018-0056</v>
      </c>
      <c r="C88">
        <f t="shared" si="9"/>
        <v>2019</v>
      </c>
      <c r="D88">
        <f t="shared" si="10"/>
        <v>2018</v>
      </c>
      <c r="E88">
        <f t="shared" si="11"/>
        <v>2014</v>
      </c>
      <c r="F88" s="9" t="s">
        <v>1207</v>
      </c>
      <c r="G88">
        <v>2020</v>
      </c>
      <c r="H88">
        <f>'App.2-AB_Capital Expenditures'!AD23</f>
        <v>1524.4189999999999</v>
      </c>
    </row>
    <row r="89" spans="1:8" x14ac:dyDescent="0.2">
      <c r="A89" t="str">
        <f>'LDC Info'!$E$14</f>
        <v>Niagara-on-the-Lake Hydro Inc.</v>
      </c>
      <c r="B89" t="str">
        <f t="shared" si="8"/>
        <v>EB-2018-0056</v>
      </c>
      <c r="C89">
        <f t="shared" si="9"/>
        <v>2019</v>
      </c>
      <c r="D89">
        <f t="shared" si="10"/>
        <v>2018</v>
      </c>
      <c r="E89">
        <f t="shared" si="11"/>
        <v>2014</v>
      </c>
      <c r="F89" t="s">
        <v>657</v>
      </c>
      <c r="G89">
        <v>2020</v>
      </c>
      <c r="H89">
        <f>'App.2-AB_Capital Expenditures'!AD24</f>
        <v>1178.8214658478037</v>
      </c>
    </row>
    <row r="90" spans="1:8" x14ac:dyDescent="0.2">
      <c r="A90" t="str">
        <f>'LDC Info'!$E$14</f>
        <v>Niagara-on-the-Lake Hydro Inc.</v>
      </c>
      <c r="B90" t="str">
        <f t="shared" si="8"/>
        <v>EB-2018-0056</v>
      </c>
      <c r="C90">
        <f t="shared" si="9"/>
        <v>2019</v>
      </c>
      <c r="D90">
        <f t="shared" si="10"/>
        <v>2018</v>
      </c>
      <c r="E90">
        <f t="shared" si="11"/>
        <v>2014</v>
      </c>
      <c r="F90" t="s">
        <v>652</v>
      </c>
      <c r="G90">
        <v>2021</v>
      </c>
      <c r="H90">
        <f>'App.2-AB_Capital Expenditures'!AE17</f>
        <v>842.45399999999995</v>
      </c>
    </row>
    <row r="91" spans="1:8" x14ac:dyDescent="0.2">
      <c r="A91" t="str">
        <f>'LDC Info'!$E$14</f>
        <v>Niagara-on-the-Lake Hydro Inc.</v>
      </c>
      <c r="B91" t="str">
        <f t="shared" si="8"/>
        <v>EB-2018-0056</v>
      </c>
      <c r="C91">
        <f t="shared" si="9"/>
        <v>2019</v>
      </c>
      <c r="D91">
        <f t="shared" si="10"/>
        <v>2018</v>
      </c>
      <c r="E91">
        <f t="shared" si="11"/>
        <v>2014</v>
      </c>
      <c r="F91" t="s">
        <v>653</v>
      </c>
      <c r="G91">
        <v>2021</v>
      </c>
      <c r="H91">
        <f>'App.2-AB_Capital Expenditures'!AE18</f>
        <v>935</v>
      </c>
    </row>
    <row r="92" spans="1:8" x14ac:dyDescent="0.2">
      <c r="A92" t="str">
        <f>'LDC Info'!$E$14</f>
        <v>Niagara-on-the-Lake Hydro Inc.</v>
      </c>
      <c r="B92" t="str">
        <f t="shared" si="8"/>
        <v>EB-2018-0056</v>
      </c>
      <c r="C92">
        <f t="shared" si="9"/>
        <v>2019</v>
      </c>
      <c r="D92">
        <f t="shared" si="10"/>
        <v>2018</v>
      </c>
      <c r="E92">
        <f t="shared" si="11"/>
        <v>2014</v>
      </c>
      <c r="F92" t="s">
        <v>654</v>
      </c>
      <c r="G92">
        <v>2021</v>
      </c>
      <c r="H92">
        <f>'App.2-AB_Capital Expenditures'!AE19</f>
        <v>100.482</v>
      </c>
    </row>
    <row r="93" spans="1:8" x14ac:dyDescent="0.2">
      <c r="A93" t="str">
        <f>'LDC Info'!$E$14</f>
        <v>Niagara-on-the-Lake Hydro Inc.</v>
      </c>
      <c r="B93" t="str">
        <f t="shared" si="8"/>
        <v>EB-2018-0056</v>
      </c>
      <c r="C93">
        <f t="shared" si="9"/>
        <v>2019</v>
      </c>
      <c r="D93">
        <f t="shared" si="10"/>
        <v>2018</v>
      </c>
      <c r="E93">
        <f t="shared" si="11"/>
        <v>2014</v>
      </c>
      <c r="F93" t="s">
        <v>655</v>
      </c>
      <c r="G93">
        <v>2021</v>
      </c>
      <c r="H93">
        <f>'App.2-AB_Capital Expenditures'!AE20</f>
        <v>148.58000000000001</v>
      </c>
    </row>
    <row r="94" spans="1:8" x14ac:dyDescent="0.2">
      <c r="A94" t="str">
        <f>'LDC Info'!$E$14</f>
        <v>Niagara-on-the-Lake Hydro Inc.</v>
      </c>
      <c r="B94" t="str">
        <f t="shared" si="8"/>
        <v>EB-2018-0056</v>
      </c>
      <c r="C94">
        <f t="shared" si="9"/>
        <v>2019</v>
      </c>
      <c r="D94">
        <f t="shared" si="10"/>
        <v>2018</v>
      </c>
      <c r="E94">
        <f t="shared" si="11"/>
        <v>2014</v>
      </c>
      <c r="F94" s="9" t="s">
        <v>1206</v>
      </c>
      <c r="G94">
        <v>2021</v>
      </c>
      <c r="H94">
        <f>'App.2-AB_Capital Expenditures'!AE21</f>
        <v>2026.5159999999998</v>
      </c>
    </row>
    <row r="95" spans="1:8" x14ac:dyDescent="0.2">
      <c r="A95" t="str">
        <f>'LDC Info'!$E$14</f>
        <v>Niagara-on-the-Lake Hydro Inc.</v>
      </c>
      <c r="B95" t="str">
        <f t="shared" si="8"/>
        <v>EB-2018-0056</v>
      </c>
      <c r="C95">
        <f t="shared" si="9"/>
        <v>2019</v>
      </c>
      <c r="D95">
        <f t="shared" si="10"/>
        <v>2018</v>
      </c>
      <c r="E95">
        <f t="shared" si="11"/>
        <v>2014</v>
      </c>
      <c r="F95" s="9" t="s">
        <v>1203</v>
      </c>
      <c r="G95">
        <v>2021</v>
      </c>
      <c r="H95">
        <f>'App.2-AB_Capital Expenditures'!AE22</f>
        <v>-667.45399999999995</v>
      </c>
    </row>
    <row r="96" spans="1:8" x14ac:dyDescent="0.2">
      <c r="A96" t="str">
        <f>'LDC Info'!$E$14</f>
        <v>Niagara-on-the-Lake Hydro Inc.</v>
      </c>
      <c r="B96" t="str">
        <f t="shared" si="8"/>
        <v>EB-2018-0056</v>
      </c>
      <c r="C96">
        <f t="shared" si="9"/>
        <v>2019</v>
      </c>
      <c r="D96">
        <f t="shared" si="10"/>
        <v>2018</v>
      </c>
      <c r="E96">
        <f t="shared" si="11"/>
        <v>2014</v>
      </c>
      <c r="F96" s="9" t="s">
        <v>1207</v>
      </c>
      <c r="G96">
        <v>2021</v>
      </c>
      <c r="H96">
        <f>'App.2-AB_Capital Expenditures'!AE23</f>
        <v>1359.0619999999999</v>
      </c>
    </row>
    <row r="97" spans="1:8" x14ac:dyDescent="0.2">
      <c r="A97" t="str">
        <f>'LDC Info'!$E$14</f>
        <v>Niagara-on-the-Lake Hydro Inc.</v>
      </c>
      <c r="B97" t="str">
        <f t="shared" si="8"/>
        <v>EB-2018-0056</v>
      </c>
      <c r="C97">
        <f t="shared" si="9"/>
        <v>2019</v>
      </c>
      <c r="D97">
        <f t="shared" si="10"/>
        <v>2018</v>
      </c>
      <c r="E97">
        <f t="shared" si="11"/>
        <v>2014</v>
      </c>
      <c r="F97" t="s">
        <v>657</v>
      </c>
      <c r="G97">
        <v>2021</v>
      </c>
      <c r="H97">
        <f>'App.2-AB_Capital Expenditures'!AE24</f>
        <v>1196.5037878355206</v>
      </c>
    </row>
    <row r="98" spans="1:8" x14ac:dyDescent="0.2">
      <c r="A98" t="str">
        <f>'LDC Info'!$E$14</f>
        <v>Niagara-on-the-Lake Hydro Inc.</v>
      </c>
      <c r="B98" t="str">
        <f t="shared" ref="B98:B113" si="12">EBNUMBER</f>
        <v>EB-2018-0056</v>
      </c>
      <c r="C98">
        <f t="shared" ref="C98:C113" si="13">TestYear</f>
        <v>2019</v>
      </c>
      <c r="D98">
        <f t="shared" ref="D98:D113" si="14">BridgeYear</f>
        <v>2018</v>
      </c>
      <c r="E98">
        <f t="shared" ref="E98:E113" si="15">RebaseYear</f>
        <v>2014</v>
      </c>
      <c r="F98" t="s">
        <v>652</v>
      </c>
      <c r="G98">
        <v>2022</v>
      </c>
      <c r="H98">
        <f>'App.2-AB_Capital Expenditures'!AF17</f>
        <v>853.928</v>
      </c>
    </row>
    <row r="99" spans="1:8" x14ac:dyDescent="0.2">
      <c r="A99" t="str">
        <f>'LDC Info'!$E$14</f>
        <v>Niagara-on-the-Lake Hydro Inc.</v>
      </c>
      <c r="B99" t="str">
        <f t="shared" si="12"/>
        <v>EB-2018-0056</v>
      </c>
      <c r="C99">
        <f t="shared" si="13"/>
        <v>2019</v>
      </c>
      <c r="D99">
        <f t="shared" si="14"/>
        <v>2018</v>
      </c>
      <c r="E99">
        <f t="shared" si="15"/>
        <v>2014</v>
      </c>
      <c r="F99" t="s">
        <v>653</v>
      </c>
      <c r="G99">
        <v>2022</v>
      </c>
      <c r="H99">
        <f>'App.2-AB_Capital Expenditures'!AF18</f>
        <v>935</v>
      </c>
    </row>
    <row r="100" spans="1:8" x14ac:dyDescent="0.2">
      <c r="A100" t="str">
        <f>'LDC Info'!$E$14</f>
        <v>Niagara-on-the-Lake Hydro Inc.</v>
      </c>
      <c r="B100" t="str">
        <f t="shared" si="12"/>
        <v>EB-2018-0056</v>
      </c>
      <c r="C100">
        <f t="shared" si="13"/>
        <v>2019</v>
      </c>
      <c r="D100">
        <f t="shared" si="14"/>
        <v>2018</v>
      </c>
      <c r="E100">
        <f t="shared" si="15"/>
        <v>2014</v>
      </c>
      <c r="F100" t="s">
        <v>654</v>
      </c>
      <c r="G100">
        <v>2022</v>
      </c>
      <c r="H100">
        <f>'App.2-AB_Capital Expenditures'!AF19</f>
        <v>130</v>
      </c>
    </row>
    <row r="101" spans="1:8" x14ac:dyDescent="0.2">
      <c r="A101" t="str">
        <f>'LDC Info'!$E$14</f>
        <v>Niagara-on-the-Lake Hydro Inc.</v>
      </c>
      <c r="B101" t="str">
        <f t="shared" si="12"/>
        <v>EB-2018-0056</v>
      </c>
      <c r="C101">
        <f t="shared" si="13"/>
        <v>2019</v>
      </c>
      <c r="D101">
        <f t="shared" si="14"/>
        <v>2018</v>
      </c>
      <c r="E101">
        <f t="shared" si="15"/>
        <v>2014</v>
      </c>
      <c r="F101" t="s">
        <v>655</v>
      </c>
      <c r="G101">
        <v>2022</v>
      </c>
      <c r="H101">
        <f>'App.2-AB_Capital Expenditures'!AF20</f>
        <v>133.84</v>
      </c>
    </row>
    <row r="102" spans="1:8" x14ac:dyDescent="0.2">
      <c r="A102" t="str">
        <f>'LDC Info'!$E$14</f>
        <v>Niagara-on-the-Lake Hydro Inc.</v>
      </c>
      <c r="B102" t="str">
        <f t="shared" si="12"/>
        <v>EB-2018-0056</v>
      </c>
      <c r="C102">
        <f t="shared" si="13"/>
        <v>2019</v>
      </c>
      <c r="D102">
        <f t="shared" si="14"/>
        <v>2018</v>
      </c>
      <c r="E102">
        <f t="shared" si="15"/>
        <v>2014</v>
      </c>
      <c r="F102" s="9" t="s">
        <v>1206</v>
      </c>
      <c r="G102">
        <v>2022</v>
      </c>
      <c r="H102">
        <f>'App.2-AB_Capital Expenditures'!AF21</f>
        <v>2052.768</v>
      </c>
    </row>
    <row r="103" spans="1:8" x14ac:dyDescent="0.2">
      <c r="A103" t="str">
        <f>'LDC Info'!$E$14</f>
        <v>Niagara-on-the-Lake Hydro Inc.</v>
      </c>
      <c r="B103" t="str">
        <f t="shared" si="12"/>
        <v>EB-2018-0056</v>
      </c>
      <c r="C103">
        <f t="shared" si="13"/>
        <v>2019</v>
      </c>
      <c r="D103">
        <f t="shared" si="14"/>
        <v>2018</v>
      </c>
      <c r="E103">
        <f t="shared" si="15"/>
        <v>2014</v>
      </c>
      <c r="F103" s="9" t="s">
        <v>1203</v>
      </c>
      <c r="G103">
        <v>2022</v>
      </c>
      <c r="H103">
        <f>'App.2-AB_Capital Expenditures'!AF22</f>
        <v>-678.928</v>
      </c>
    </row>
    <row r="104" spans="1:8" x14ac:dyDescent="0.2">
      <c r="A104" t="str">
        <f>'LDC Info'!$E$14</f>
        <v>Niagara-on-the-Lake Hydro Inc.</v>
      </c>
      <c r="B104" t="str">
        <f t="shared" si="12"/>
        <v>EB-2018-0056</v>
      </c>
      <c r="C104">
        <f t="shared" si="13"/>
        <v>2019</v>
      </c>
      <c r="D104">
        <f t="shared" si="14"/>
        <v>2018</v>
      </c>
      <c r="E104">
        <f t="shared" si="15"/>
        <v>2014</v>
      </c>
      <c r="F104" s="9" t="s">
        <v>1207</v>
      </c>
      <c r="G104">
        <v>2022</v>
      </c>
      <c r="H104">
        <f>'App.2-AB_Capital Expenditures'!AF23</f>
        <v>1373.8400000000001</v>
      </c>
    </row>
    <row r="105" spans="1:8" x14ac:dyDescent="0.2">
      <c r="A105" t="str">
        <f>'LDC Info'!$E$14</f>
        <v>Niagara-on-the-Lake Hydro Inc.</v>
      </c>
      <c r="B105" t="str">
        <f t="shared" si="12"/>
        <v>EB-2018-0056</v>
      </c>
      <c r="C105">
        <f t="shared" si="13"/>
        <v>2019</v>
      </c>
      <c r="D105">
        <f t="shared" si="14"/>
        <v>2018</v>
      </c>
      <c r="E105">
        <f t="shared" si="15"/>
        <v>2014</v>
      </c>
      <c r="F105" t="s">
        <v>657</v>
      </c>
      <c r="G105">
        <v>2022</v>
      </c>
      <c r="H105">
        <f>'App.2-AB_Capital Expenditures'!AF24</f>
        <v>1214.4513446530532</v>
      </c>
    </row>
    <row r="106" spans="1:8" x14ac:dyDescent="0.2">
      <c r="A106" t="str">
        <f>'LDC Info'!$E$14</f>
        <v>Niagara-on-the-Lake Hydro Inc.</v>
      </c>
      <c r="B106" t="str">
        <f t="shared" si="12"/>
        <v>EB-2018-0056</v>
      </c>
      <c r="C106">
        <f t="shared" si="13"/>
        <v>2019</v>
      </c>
      <c r="D106">
        <f t="shared" si="14"/>
        <v>2018</v>
      </c>
      <c r="E106">
        <f t="shared" si="15"/>
        <v>2014</v>
      </c>
      <c r="F106" t="s">
        <v>652</v>
      </c>
      <c r="G106">
        <v>2023</v>
      </c>
      <c r="H106">
        <f>'App.2-AB_Capital Expenditures'!AG17</f>
        <v>872.74599999999998</v>
      </c>
    </row>
    <row r="107" spans="1:8" x14ac:dyDescent="0.2">
      <c r="A107" t="str">
        <f>'LDC Info'!$E$14</f>
        <v>Niagara-on-the-Lake Hydro Inc.</v>
      </c>
      <c r="B107" t="str">
        <f t="shared" si="12"/>
        <v>EB-2018-0056</v>
      </c>
      <c r="C107">
        <f t="shared" si="13"/>
        <v>2019</v>
      </c>
      <c r="D107">
        <f t="shared" si="14"/>
        <v>2018</v>
      </c>
      <c r="E107">
        <f t="shared" si="15"/>
        <v>2014</v>
      </c>
      <c r="F107" t="s">
        <v>653</v>
      </c>
      <c r="G107">
        <v>2023</v>
      </c>
      <c r="H107">
        <f>'App.2-AB_Capital Expenditures'!AG18</f>
        <v>969</v>
      </c>
    </row>
    <row r="108" spans="1:8" x14ac:dyDescent="0.2">
      <c r="A108" t="str">
        <f>'LDC Info'!$E$14</f>
        <v>Niagara-on-the-Lake Hydro Inc.</v>
      </c>
      <c r="B108" t="str">
        <f t="shared" si="12"/>
        <v>EB-2018-0056</v>
      </c>
      <c r="C108">
        <f t="shared" si="13"/>
        <v>2019</v>
      </c>
      <c r="D108">
        <f t="shared" si="14"/>
        <v>2018</v>
      </c>
      <c r="E108">
        <f t="shared" si="15"/>
        <v>2014</v>
      </c>
      <c r="F108" t="s">
        <v>654</v>
      </c>
      <c r="G108">
        <v>2023</v>
      </c>
      <c r="H108">
        <f>'App.2-AB_Capital Expenditures'!AG19</f>
        <v>106.29600000000001</v>
      </c>
    </row>
    <row r="109" spans="1:8" x14ac:dyDescent="0.2">
      <c r="A109" t="str">
        <f>'LDC Info'!$E$14</f>
        <v>Niagara-on-the-Lake Hydro Inc.</v>
      </c>
      <c r="B109" t="str">
        <f t="shared" si="12"/>
        <v>EB-2018-0056</v>
      </c>
      <c r="C109">
        <f t="shared" si="13"/>
        <v>2019</v>
      </c>
      <c r="D109">
        <f t="shared" si="14"/>
        <v>2018</v>
      </c>
      <c r="E109">
        <f t="shared" si="15"/>
        <v>2014</v>
      </c>
      <c r="F109" t="s">
        <v>655</v>
      </c>
      <c r="G109">
        <v>2023</v>
      </c>
      <c r="H109">
        <f>'App.2-AB_Capital Expenditures'!AG20</f>
        <v>534.79399999999998</v>
      </c>
    </row>
    <row r="110" spans="1:8" x14ac:dyDescent="0.2">
      <c r="A110" t="str">
        <f>'LDC Info'!$E$14</f>
        <v>Niagara-on-the-Lake Hydro Inc.</v>
      </c>
      <c r="B110" t="str">
        <f t="shared" si="12"/>
        <v>EB-2018-0056</v>
      </c>
      <c r="C110">
        <f t="shared" si="13"/>
        <v>2019</v>
      </c>
      <c r="D110">
        <f t="shared" si="14"/>
        <v>2018</v>
      </c>
      <c r="E110">
        <f t="shared" si="15"/>
        <v>2014</v>
      </c>
      <c r="F110" s="9" t="s">
        <v>1206</v>
      </c>
      <c r="G110">
        <v>2023</v>
      </c>
      <c r="H110">
        <f>'App.2-AB_Capital Expenditures'!AG21</f>
        <v>2482.8360000000002</v>
      </c>
    </row>
    <row r="111" spans="1:8" x14ac:dyDescent="0.2">
      <c r="A111" t="str">
        <f>'LDC Info'!$E$14</f>
        <v>Niagara-on-the-Lake Hydro Inc.</v>
      </c>
      <c r="B111" t="str">
        <f t="shared" si="12"/>
        <v>EB-2018-0056</v>
      </c>
      <c r="C111">
        <f t="shared" si="13"/>
        <v>2019</v>
      </c>
      <c r="D111">
        <f t="shared" si="14"/>
        <v>2018</v>
      </c>
      <c r="E111">
        <f t="shared" si="15"/>
        <v>2014</v>
      </c>
      <c r="F111" s="9" t="s">
        <v>1203</v>
      </c>
      <c r="G111">
        <v>2023</v>
      </c>
      <c r="H111">
        <f>'App.2-AB_Capital Expenditures'!AG22</f>
        <v>-694.24599999999998</v>
      </c>
    </row>
    <row r="112" spans="1:8" x14ac:dyDescent="0.2">
      <c r="A112" t="str">
        <f>'LDC Info'!$E$14</f>
        <v>Niagara-on-the-Lake Hydro Inc.</v>
      </c>
      <c r="B112" t="str">
        <f t="shared" si="12"/>
        <v>EB-2018-0056</v>
      </c>
      <c r="C112">
        <f t="shared" si="13"/>
        <v>2019</v>
      </c>
      <c r="D112">
        <f t="shared" si="14"/>
        <v>2018</v>
      </c>
      <c r="E112">
        <f t="shared" si="15"/>
        <v>2014</v>
      </c>
      <c r="F112" s="9" t="s">
        <v>1207</v>
      </c>
      <c r="G112">
        <v>2023</v>
      </c>
      <c r="H112">
        <f>'App.2-AB_Capital Expenditures'!AG23</f>
        <v>1788.5900000000001</v>
      </c>
    </row>
    <row r="113" spans="1:8" x14ac:dyDescent="0.2">
      <c r="A113" t="str">
        <f>'LDC Info'!$E$14</f>
        <v>Niagara-on-the-Lake Hydro Inc.</v>
      </c>
      <c r="B113" t="str">
        <f t="shared" si="12"/>
        <v>EB-2018-0056</v>
      </c>
      <c r="C113">
        <f t="shared" si="13"/>
        <v>2019</v>
      </c>
      <c r="D113">
        <f t="shared" si="14"/>
        <v>2018</v>
      </c>
      <c r="E113">
        <f t="shared" si="15"/>
        <v>2014</v>
      </c>
      <c r="F113" t="s">
        <v>657</v>
      </c>
      <c r="G113">
        <v>2023</v>
      </c>
      <c r="H113">
        <f>'App.2-AB_Capital Expenditures'!AG24</f>
        <v>1232.6681148228488</v>
      </c>
    </row>
  </sheetData>
  <sheetProtection algorithmName="SHA-512" hashValue="G+D5GHtrcUlLbU4p5rhwRR3d0epC+g2CPY0MSF6J5XbuXcFMRoq3/Tf4ONP9ke5CgCvXEfxSdwcpxcw51lccnQ==" saltValue="jb+JR3auLldq+ZevIO4u2A=="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6"/>
    <pageSetUpPr fitToPage="1"/>
  </sheetPr>
  <dimension ref="A1:D45"/>
  <sheetViews>
    <sheetView showGridLines="0" zoomScaleNormal="100" workbookViewId="0"/>
  </sheetViews>
  <sheetFormatPr defaultColWidth="9.28515625" defaultRowHeight="12.75" x14ac:dyDescent="0.2"/>
  <cols>
    <col min="1" max="2" width="53.28515625" style="27" customWidth="1"/>
    <col min="3" max="3" width="54.28515625" style="27" customWidth="1"/>
    <col min="4" max="16384" width="9.28515625" style="27"/>
  </cols>
  <sheetData>
    <row r="1" spans="1:4" x14ac:dyDescent="0.2">
      <c r="B1" s="68" t="s">
        <v>277</v>
      </c>
      <c r="C1" s="69" t="str">
        <f>EBNUMBER</f>
        <v>EB-2018-0056</v>
      </c>
      <c r="D1" s="69"/>
    </row>
    <row r="2" spans="1:4" x14ac:dyDescent="0.2">
      <c r="B2" s="68" t="s">
        <v>278</v>
      </c>
      <c r="C2" s="70"/>
      <c r="D2" s="69"/>
    </row>
    <row r="3" spans="1:4" x14ac:dyDescent="0.2">
      <c r="B3" s="68" t="s">
        <v>279</v>
      </c>
      <c r="C3" s="70"/>
      <c r="D3" s="69"/>
    </row>
    <row r="4" spans="1:4" x14ac:dyDescent="0.2">
      <c r="B4" s="68" t="s">
        <v>280</v>
      </c>
      <c r="C4" s="70"/>
      <c r="D4" s="69"/>
    </row>
    <row r="5" spans="1:4" x14ac:dyDescent="0.2">
      <c r="B5" s="68" t="s">
        <v>281</v>
      </c>
      <c r="C5" s="71"/>
      <c r="D5" s="69"/>
    </row>
    <row r="6" spans="1:4" x14ac:dyDescent="0.2">
      <c r="B6" s="68"/>
      <c r="C6" s="464"/>
      <c r="D6" s="69"/>
    </row>
    <row r="7" spans="1:4" x14ac:dyDescent="0.2">
      <c r="B7" s="68" t="s">
        <v>282</v>
      </c>
      <c r="C7" s="71"/>
      <c r="D7" s="69"/>
    </row>
    <row r="8" spans="1:4" x14ac:dyDescent="0.2">
      <c r="B8" s="68"/>
      <c r="C8" s="68"/>
      <c r="D8" s="69"/>
    </row>
    <row r="9" spans="1:4" ht="18" x14ac:dyDescent="0.2">
      <c r="A9" s="1661" t="s">
        <v>864</v>
      </c>
      <c r="B9" s="1661"/>
      <c r="C9" s="1661"/>
      <c r="D9" s="69"/>
    </row>
    <row r="10" spans="1:4" ht="18" x14ac:dyDescent="0.2">
      <c r="A10" s="1661" t="s">
        <v>865</v>
      </c>
      <c r="B10" s="1661"/>
      <c r="C10" s="1661"/>
      <c r="D10" s="69"/>
    </row>
    <row r="12" spans="1:4" ht="28.5" customHeight="1" x14ac:dyDescent="0.2">
      <c r="A12" s="72" t="s">
        <v>862</v>
      </c>
      <c r="B12" s="73" t="s">
        <v>866</v>
      </c>
      <c r="C12" s="73" t="s">
        <v>863</v>
      </c>
    </row>
    <row r="13" spans="1:4" ht="63.75" x14ac:dyDescent="0.2">
      <c r="A13" s="74" t="s">
        <v>1492</v>
      </c>
      <c r="B13" s="1529" t="s">
        <v>1493</v>
      </c>
      <c r="C13" s="74" t="s">
        <v>1494</v>
      </c>
    </row>
    <row r="14" spans="1:4" ht="51" x14ac:dyDescent="0.2">
      <c r="A14" s="74" t="s">
        <v>1495</v>
      </c>
      <c r="B14" s="1529" t="s">
        <v>1496</v>
      </c>
      <c r="C14" s="74" t="s">
        <v>1497</v>
      </c>
    </row>
    <row r="15" spans="1:4" ht="38.25" x14ac:dyDescent="0.2">
      <c r="A15" s="74" t="s">
        <v>1498</v>
      </c>
      <c r="B15" s="1529" t="s">
        <v>1499</v>
      </c>
      <c r="C15" s="74" t="s">
        <v>1500</v>
      </c>
    </row>
    <row r="16" spans="1:4" ht="89.25" x14ac:dyDescent="0.2">
      <c r="A16" s="1529" t="s">
        <v>1501</v>
      </c>
      <c r="B16" s="1529" t="s">
        <v>1502</v>
      </c>
      <c r="C16" s="74" t="s">
        <v>1503</v>
      </c>
    </row>
    <row r="17" spans="1:3" ht="51" x14ac:dyDescent="0.2">
      <c r="A17" s="74" t="s">
        <v>1504</v>
      </c>
      <c r="B17" s="1529" t="s">
        <v>1505</v>
      </c>
      <c r="C17" s="74" t="s">
        <v>1506</v>
      </c>
    </row>
    <row r="18" spans="1:3" ht="25.5" x14ac:dyDescent="0.2">
      <c r="A18" s="74" t="s">
        <v>1507</v>
      </c>
      <c r="B18" s="1529" t="s">
        <v>1508</v>
      </c>
      <c r="C18" s="74" t="s">
        <v>1509</v>
      </c>
    </row>
    <row r="19" spans="1:3" ht="63.75" x14ac:dyDescent="0.2">
      <c r="A19" s="74" t="s">
        <v>1510</v>
      </c>
      <c r="B19" s="74" t="s">
        <v>1511</v>
      </c>
      <c r="C19" s="74" t="s">
        <v>1512</v>
      </c>
    </row>
    <row r="20" spans="1:3" ht="38.25" x14ac:dyDescent="0.2">
      <c r="A20" s="74" t="s">
        <v>1513</v>
      </c>
      <c r="B20" s="74" t="s">
        <v>1514</v>
      </c>
      <c r="C20" s="74" t="s">
        <v>1515</v>
      </c>
    </row>
    <row r="21" spans="1:3" ht="51" x14ac:dyDescent="0.2">
      <c r="A21" s="74" t="s">
        <v>1516</v>
      </c>
      <c r="B21" s="74" t="s">
        <v>1517</v>
      </c>
      <c r="C21" s="74" t="s">
        <v>1518</v>
      </c>
    </row>
    <row r="22" spans="1:3" ht="38.25" x14ac:dyDescent="0.2">
      <c r="A22" s="74" t="s">
        <v>1519</v>
      </c>
      <c r="B22" s="74" t="s">
        <v>1520</v>
      </c>
      <c r="C22" s="74" t="s">
        <v>1521</v>
      </c>
    </row>
    <row r="23" spans="1:3" x14ac:dyDescent="0.2">
      <c r="A23" s="74"/>
      <c r="B23" s="74"/>
      <c r="C23" s="74"/>
    </row>
    <row r="24" spans="1:3" x14ac:dyDescent="0.2">
      <c r="A24" s="74"/>
      <c r="B24" s="74"/>
      <c r="C24" s="74"/>
    </row>
    <row r="25" spans="1:3" x14ac:dyDescent="0.2">
      <c r="A25" s="74"/>
      <c r="B25" s="74"/>
      <c r="C25" s="74"/>
    </row>
    <row r="26" spans="1:3" x14ac:dyDescent="0.2">
      <c r="A26" s="74"/>
      <c r="B26" s="74"/>
      <c r="C26" s="74"/>
    </row>
    <row r="27" spans="1:3" x14ac:dyDescent="0.2">
      <c r="A27" s="74"/>
      <c r="B27" s="74"/>
      <c r="C27" s="74"/>
    </row>
    <row r="28" spans="1:3" x14ac:dyDescent="0.2">
      <c r="A28" s="74"/>
      <c r="B28" s="74"/>
      <c r="C28" s="74"/>
    </row>
    <row r="29" spans="1:3" x14ac:dyDescent="0.2">
      <c r="A29" s="74"/>
      <c r="B29" s="74"/>
      <c r="C29" s="74"/>
    </row>
    <row r="30" spans="1:3" x14ac:dyDescent="0.2">
      <c r="A30" s="74"/>
      <c r="B30" s="74"/>
      <c r="C30" s="74"/>
    </row>
    <row r="31" spans="1:3" x14ac:dyDescent="0.2">
      <c r="A31" s="74"/>
      <c r="B31" s="74"/>
      <c r="C31" s="74"/>
    </row>
    <row r="32" spans="1:3" x14ac:dyDescent="0.2">
      <c r="A32" s="74"/>
      <c r="B32" s="74"/>
      <c r="C32" s="74"/>
    </row>
    <row r="33" spans="1:3" x14ac:dyDescent="0.2">
      <c r="A33" s="74"/>
      <c r="B33" s="74"/>
      <c r="C33" s="74"/>
    </row>
    <row r="34" spans="1:3" ht="15" x14ac:dyDescent="0.2">
      <c r="A34" s="74"/>
      <c r="B34" s="74"/>
      <c r="C34" s="75"/>
    </row>
    <row r="35" spans="1:3" ht="15" x14ac:dyDescent="0.2">
      <c r="A35" s="74"/>
      <c r="B35" s="74"/>
      <c r="C35" s="75"/>
    </row>
    <row r="36" spans="1:3" ht="15" x14ac:dyDescent="0.2">
      <c r="A36" s="74"/>
      <c r="B36" s="74"/>
      <c r="C36" s="75"/>
    </row>
    <row r="37" spans="1:3" x14ac:dyDescent="0.2">
      <c r="A37" s="74"/>
      <c r="B37" s="74"/>
      <c r="C37" s="74"/>
    </row>
    <row r="38" spans="1:3" x14ac:dyDescent="0.2">
      <c r="A38" s="74"/>
      <c r="B38" s="74"/>
      <c r="C38" s="74"/>
    </row>
    <row r="39" spans="1:3" x14ac:dyDescent="0.2">
      <c r="A39" s="74"/>
      <c r="B39" s="74"/>
      <c r="C39" s="74"/>
    </row>
    <row r="40" spans="1:3" x14ac:dyDescent="0.2">
      <c r="A40" s="74"/>
      <c r="B40" s="74"/>
      <c r="C40" s="74"/>
    </row>
    <row r="41" spans="1:3" x14ac:dyDescent="0.2">
      <c r="A41" s="74"/>
      <c r="B41" s="74"/>
      <c r="C41" s="74"/>
    </row>
    <row r="42" spans="1:3" x14ac:dyDescent="0.2">
      <c r="A42" s="74"/>
      <c r="B42" s="74"/>
      <c r="C42" s="74"/>
    </row>
    <row r="43" spans="1:3" x14ac:dyDescent="0.2">
      <c r="A43" s="74"/>
      <c r="B43" s="74"/>
      <c r="C43" s="74"/>
    </row>
    <row r="45" spans="1:3" x14ac:dyDescent="0.2">
      <c r="A45" s="39" t="s">
        <v>886</v>
      </c>
    </row>
  </sheetData>
  <sheetProtection algorithmName="SHA-512" hashValue="VR1swAc/nooHWHSk8+3SxBzjryxtwUR+09Y3pYQMkb9jr84Um+3stqobGJvicJRFmVLd+FHLEppwRBQEbwHZmw==" saltValue="f+eBO2oSaecCNNmKEs1mrQ==" spinCount="100000" sheet="1" objects="1" scenarios="1"/>
  <mergeCells count="2">
    <mergeCell ref="A10:C10"/>
    <mergeCell ref="A9:C9"/>
  </mergeCells>
  <pageMargins left="0.70866141732283472" right="0.70866141732283472" top="0.74803149606299213" bottom="0.74803149606299213" header="0.31496062992125984" footer="0.31496062992125984"/>
  <pageSetup scale="52" orientation="landscape" verticalDpi="1200"/>
</worksheet>
</file>

<file path=docProps/app.xml><?xml version="1.0" encoding="utf-8"?>
<Properties xmlns="http://schemas.openxmlformats.org/officeDocument/2006/extended-properties" xmlns:vt="http://schemas.openxmlformats.org/officeDocument/2006/docPropsVTypes">
  <TitlesOfParts>
    <vt:vector size="84" baseType="lpstr">
      <vt:lpstr>LDC Info</vt:lpstr>
      <vt:lpstr>Index</vt:lpstr>
      <vt:lpstr>COS Flowchart</vt:lpstr>
      <vt:lpstr>List of Key References</vt:lpstr>
      <vt:lpstr>App.2-A_Requested_Approvals</vt:lpstr>
      <vt:lpstr>App.2-AA_Capital Projects</vt:lpstr>
      <vt:lpstr>App.2-AB_Capital Expenditures</vt:lpstr>
      <vt:lpstr>Hidden_CAPEX</vt:lpstr>
      <vt:lpstr>App.2-AC_Customer Engagement</vt:lpstr>
      <vt:lpstr>App.2-B_Acctg Instructions</vt:lpstr>
      <vt:lpstr>App.2-BA_Fixed Asset Cont</vt:lpstr>
      <vt:lpstr>Appendix 2-BB Service Life  </vt:lpstr>
      <vt:lpstr>App.2-C_DepExp</vt:lpstr>
      <vt:lpstr>App.2-D_Overhead</vt:lpstr>
      <vt:lpstr>App.2-EA_Account 1575 (2015)</vt:lpstr>
      <vt:lpstr>App.2-EB_Account 1576 (2012)</vt:lpstr>
      <vt:lpstr>App.2-EC_Account 1576 (2013)</vt:lpstr>
      <vt:lpstr>App.2-FA Proposed REG Invest.</vt:lpstr>
      <vt:lpstr>Hidden_REG Invest.</vt:lpstr>
      <vt:lpstr>App.2-FB Calc of REG Improvemnt</vt:lpstr>
      <vt:lpstr>Hidden_REG Improvement</vt:lpstr>
      <vt:lpstr>App.2-FC Calc of REG Expansion</vt:lpstr>
      <vt:lpstr>Hidden_REG Expansion</vt:lpstr>
      <vt:lpstr>App.2-G SQI</vt:lpstr>
      <vt:lpstr>App.2-H_Other_Oper_Rev</vt:lpstr>
      <vt:lpstr>Hidden_Other Revenue</vt:lpstr>
      <vt:lpstr>App_2-I LF_CDM</vt:lpstr>
      <vt:lpstr>App.2-IA_Load_Forecast_Instrct</vt:lpstr>
      <vt:lpstr>App.2-IB_Load_Forecast_Analysis</vt:lpstr>
      <vt:lpstr>App.2-JA_OM&amp;A_Summary_Analys</vt:lpstr>
      <vt:lpstr>Hidden_OM&amp;A Summary</vt:lpstr>
      <vt:lpstr>App.2-JB_OM&amp;A_Cost _Drivers</vt:lpstr>
      <vt:lpstr>App.2-JC_OMA Programs</vt:lpstr>
      <vt:lpstr>App.2-K_Employee Costs</vt:lpstr>
      <vt:lpstr>Hidden_Employee Costs</vt:lpstr>
      <vt:lpstr>App.2-L_OM&amp;A_per_Cust_FTE</vt:lpstr>
      <vt:lpstr>App.2-L_OM&amp;A_per_Cust_FTEE_exp</vt:lpstr>
      <vt:lpstr>App.2-M_Regulatory_Costs</vt:lpstr>
      <vt:lpstr>Hidden_RegulatoryCosts1</vt:lpstr>
      <vt:lpstr>Hidden_RegulatoryCosts2</vt:lpstr>
      <vt:lpstr>App.2-N_Corp_Cost_Allocation</vt:lpstr>
      <vt:lpstr>App.2-OA Capital Structure</vt:lpstr>
      <vt:lpstr>App.2-OB_Debt Instruments</vt:lpstr>
      <vt:lpstr>App.2-Q_Cost of Serv. Emb. Dx</vt:lpstr>
      <vt:lpstr>App.2-R_Loss Factors</vt:lpstr>
      <vt:lpstr>App.2-S_Stranded Meters</vt:lpstr>
      <vt:lpstr>App.2-Y_MIFRS Summary Impacts</vt:lpstr>
      <vt:lpstr>Sheet19</vt:lpstr>
      <vt:lpstr>App.2-YA_IFRS Transition Costs</vt:lpstr>
      <vt:lpstr>App.2-Z_Commodity Expense</vt:lpstr>
      <vt:lpstr>Sheet1</vt:lpstr>
      <vt:lpstr>'App_2-I LF_CDM'!BridgeYear</vt:lpstr>
      <vt:lpstr>BridgeYear</vt:lpstr>
      <vt:lpstr>'App_2-I LF_CDM'!EBNUMBER</vt:lpstr>
      <vt:lpstr>EBNUMBER</vt:lpstr>
      <vt:lpstr>LDCLIST</vt:lpstr>
      <vt:lpstr>'App.2-A_Requested_Approvals'!Print_Area</vt:lpstr>
      <vt:lpstr>'App.2-AA_Capital Projects'!Print_Area</vt:lpstr>
      <vt:lpstr>'App.2-B_Acctg Instructions'!Print_Area</vt:lpstr>
      <vt:lpstr>'App.2-BA_Fixed Asset Cont'!Print_Area</vt:lpstr>
      <vt:lpstr>'App.2-D_Overhead'!Print_Area</vt:lpstr>
      <vt:lpstr>'App.2-H_Other_Oper_Rev'!Print_Area</vt:lpstr>
      <vt:lpstr>'App.2-IA_Load_Forecast_Instrct'!Print_Area</vt:lpstr>
      <vt:lpstr>'App.2-JA_OM&amp;A_Summary_Analys'!Print_Area</vt:lpstr>
      <vt:lpstr>'App.2-JB_OM&amp;A_Cost _Drivers'!Print_Area</vt:lpstr>
      <vt:lpstr>'App.2-JC_OMA Programs'!Print_Area</vt:lpstr>
      <vt:lpstr>'App.2-K_Employee Costs'!Print_Area</vt:lpstr>
      <vt:lpstr>'App.2-L_OM&amp;A_per_Cust_FTE'!Print_Area</vt:lpstr>
      <vt:lpstr>'App.2-L_OM&amp;A_per_Cust_FTEE_exp'!Print_Area</vt:lpstr>
      <vt:lpstr>'App.2-M_Regulatory_Costs'!Print_Area</vt:lpstr>
      <vt:lpstr>'App.2-N_Corp_Cost_Allocation'!Print_Area</vt:lpstr>
      <vt:lpstr>'App.2-OA Capital Structure'!Print_Area</vt:lpstr>
      <vt:lpstr>'App.2-OB_Debt Instruments'!Print_Area</vt:lpstr>
      <vt:lpstr>'App.2-Q_Cost of Serv. Emb. Dx'!Print_Area</vt:lpstr>
      <vt:lpstr>'App.2-R_Loss Factors'!Print_Area</vt:lpstr>
      <vt:lpstr>'App.2-S_Stranded Meters'!Print_Area</vt:lpstr>
      <vt:lpstr>'App.2-YA_IFRS Transition Costs'!Print_Area</vt:lpstr>
      <vt:lpstr>'COS Flowchart'!Print_Area</vt:lpstr>
      <vt:lpstr>Index!Print_Area</vt:lpstr>
      <vt:lpstr>'LDC Info'!Print_Area</vt:lpstr>
      <vt:lpstr>'App_2-I LF_CDM'!RebaseYear</vt:lpstr>
      <vt:lpstr>RebaseYear</vt:lpstr>
      <vt:lpstr>'App_2-I LF_CDM'!TestYear</vt:lpstr>
      <vt:lpstr>TestYear</vt:lpstr>
    </vt:vector>
  </TitlesOfParts>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